
<file path=[Content_Types].xml><?xml version="1.0" encoding="utf-8"?>
<Types xmlns="http://schemas.openxmlformats.org/package/2006/content-types">
  <Default Extension="bin" ContentType="application/vnd.ms-office.vbaProject"/>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threadedComments/threadedComment1.xml" ContentType="application/vnd.ms-excel.threadedcomments+xml"/>
  <Override PartName="/xl/comments2.xml" ContentType="application/vnd.openxmlformats-officedocument.spreadsheetml.comments+xml"/>
  <Override PartName="/xl/threadedComments/threadedComment2.xml" ContentType="application/vnd.ms-excel.threadedcomments+xml"/>
  <Override PartName="/xl/comments3.xml" ContentType="application/vnd.openxmlformats-officedocument.spreadsheetml.comments+xml"/>
  <Override PartName="/xl/threadedComments/threadedComment3.xml" ContentType="application/vnd.ms-excel.threadedcomments+xml"/>
  <Override PartName="/xl/drawings/drawing1.xml" ContentType="application/vnd.openxmlformats-officedocument.drawing+xml"/>
  <Override PartName="/xl/comments4.xml" ContentType="application/vnd.openxmlformats-officedocument.spreadsheetml.comments+xml"/>
  <Override PartName="/xl/threadedComments/threadedComment4.xml" ContentType="application/vnd.ms-excel.threadedcomments+xml"/>
  <Override PartName="/xl/comments5.xml" ContentType="application/vnd.openxmlformats-officedocument.spreadsheetml.comment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15" codeName="{51196F13-6AD0-C1B8-E2B4-A1F9AE17003E}"/>
  <workbookPr date1904="1" codeName="ThisWorkbook"/>
  <mc:AlternateContent xmlns:mc="http://schemas.openxmlformats.org/markup-compatibility/2006">
    <mc:Choice Requires="x15">
      <x15ac:absPath xmlns:x15ac="http://schemas.microsoft.com/office/spreadsheetml/2010/11/ac" url="/Users/macdetdv/Desktop/"/>
    </mc:Choice>
  </mc:AlternateContent>
  <xr:revisionPtr revIDLastSave="0" documentId="8_{53F72379-5403-C34E-AAB1-30D095015F2D}" xr6:coauthVersionLast="43" xr6:coauthVersionMax="43" xr10:uidLastSave="{00000000-0000-0000-0000-000000000000}"/>
  <bookViews>
    <workbookView xWindow="26500" yWindow="460" windowWidth="23640" windowHeight="27020" activeTab="4" xr2:uid="{00000000-000D-0000-FFFF-FFFF00000000}"/>
  </bookViews>
  <sheets>
    <sheet name="2019 ORDERS - Q1" sheetId="1" r:id="rId1"/>
    <sheet name="PRODUCTS" sheetId="5" r:id="rId2"/>
    <sheet name="REPERTOIRE new contact" sheetId="4" r:id="rId3"/>
    <sheet name="BOOK SPICE" sheetId="8" r:id="rId4"/>
    <sheet name="FORMULAIRE COMMANDE" sheetId="17" r:id="rId5"/>
    <sheet name="DATA COMMANDE" sheetId="10" r:id="rId6"/>
    <sheet name="TABLEAU DE BORD" sheetId="15" r:id="rId7"/>
    <sheet name="PRODUITS" sheetId="12" r:id="rId8"/>
    <sheet name="CLIENTS" sheetId="13" r:id="rId9"/>
    <sheet name="SHIPMENT" sheetId="16" r:id="rId10"/>
    <sheet name="RAJAKKAD index" sheetId="7" r:id="rId11"/>
    <sheet name="SALES distrib - 10 06" sheetId="11" r:id="rId12"/>
    <sheet name="Feuil1" sheetId="9" r:id="rId13"/>
    <sheet name="Feuille 1 (Giulia)" sheetId="6" r:id="rId14"/>
  </sheets>
  <definedNames>
    <definedName name="_xlnm._FilterDatabase" localSheetId="0" hidden="1">'2019 ORDERS - Q1'!$C$3:$E$299</definedName>
    <definedName name="_xlnm._FilterDatabase" localSheetId="5" hidden="1">'DATA COMMANDE'!$A$1:$B$278</definedName>
    <definedName name="Catégorie">PRODUITS!$D$2:$D$634</definedName>
    <definedName name="Code_EAN">PRODUITS!$P$1</definedName>
    <definedName name="Collection">PRODUITS!$C$1</definedName>
    <definedName name="Couleur">PRODUITS!$F$1</definedName>
    <definedName name="hauteur">PRODUITS!$I$1</definedName>
    <definedName name="item_Nombre">PRODUITS!$G$2:$G$634</definedName>
    <definedName name="largeur">PRODUITS!$H$1</definedName>
    <definedName name="nom">PRODUITS!$E$1</definedName>
    <definedName name="num_article">PRODUITS!$A$1</definedName>
    <definedName name="papier">PRODUITS!$O$1</definedName>
    <definedName name="poids">PRODUITS!$K$1</definedName>
    <definedName name="prix_Blanc_Custom">PRODUITS!$S$1:$S$634</definedName>
    <definedName name="prix_Blanc_Std">PRODUITS!$R$1:$R$634</definedName>
    <definedName name="prix_Bleu_Custom">PRODUITS!$Y$1:$Y$634</definedName>
    <definedName name="prix_Bleu_Stdt">PRODUITS!$X$1:$X$634</definedName>
    <definedName name="prix_Gris_Custom">PRODUITS!$AG$1:$AG$634</definedName>
    <definedName name="prix_Gris_Stdt">PRODUITS!$AF$1:$AF$634</definedName>
    <definedName name="prix_Jaune_Custom">PRODUITS!$W$1:$W$634</definedName>
    <definedName name="prix_Jaune_Stdt">PRODUITS!$V$1:$V$634</definedName>
    <definedName name="prix_Mauve_Custom">PRODUITS!$AE$1:$AE$634</definedName>
    <definedName name="prix_Mauve_Stdt">PRODUITS!$AD$1:$AD$634</definedName>
    <definedName name="prix_MauveHTVA_Custom">PRODUITS!$AI$1:$AI$634</definedName>
    <definedName name="prix_MauveHTVA_Stdt">PRODUITS!$AH$1:$AH$634</definedName>
    <definedName name="prix_Orange_Custom">PRODUITS!$AC$1:$AC$634</definedName>
    <definedName name="prix_Orange_Stdt">PRODUITS!$AB$1:$AB$634</definedName>
    <definedName name="prix_Rouge_Custom">PRODUITS!$AA$1:$AA$634</definedName>
    <definedName name="prix_Rouge_Stdt">PRODUITS!$Z$1:$Z$634</definedName>
    <definedName name="prix_Vert_Custom">PRODUITS!$U$1:$U$634</definedName>
    <definedName name="prix_Vert_Stdt">PRODUITS!$T$1:$T$634</definedName>
    <definedName name="produits_Tout">PRODUITS!$B$2:$B$634</definedName>
    <definedName name="raccord">PRODUITS!$L$1</definedName>
    <definedName name="raccord_type">PRODUITS!$M$1</definedName>
    <definedName name="stock_DP">PRODUITS!$AR$2:$AR$634</definedName>
    <definedName name="stock_Entiris">PRODUITS!$AS$2:$AS$634</definedName>
    <definedName name="stock_Studio">PRODUITS!$AQ$2:$AQ$634</definedName>
    <definedName name="total_Size">PRODUITS!$J$2:$J$634</definedName>
    <definedName name="unite_type">PRODUITS!$Q$2:$Q$634</definedName>
    <definedName name="validité">PRODUITS!$N$1</definedName>
    <definedName name="_xlnm.Print_Area" localSheetId="3">'BOOK SPICE'!$A$1:$O$59</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K46" i="13" l="1"/>
  <c r="AH599" i="12" l="1"/>
  <c r="AH600" i="12"/>
  <c r="AH601" i="12"/>
  <c r="AH602" i="12"/>
  <c r="AH603" i="12"/>
  <c r="AH604" i="12"/>
  <c r="AH605" i="12"/>
  <c r="AH606" i="12"/>
  <c r="AH607" i="12"/>
  <c r="AH608" i="12"/>
  <c r="AH609" i="12"/>
  <c r="AH610" i="12"/>
  <c r="AH611" i="12"/>
  <c r="AH612" i="12"/>
  <c r="AH613" i="12"/>
  <c r="AH614" i="12"/>
  <c r="AH615" i="12"/>
  <c r="AH616" i="12"/>
  <c r="AH617" i="12"/>
  <c r="AH618" i="12"/>
  <c r="AH619" i="12"/>
  <c r="AH620" i="12"/>
  <c r="AH621" i="12"/>
  <c r="AH622" i="12"/>
  <c r="AH623" i="12"/>
  <c r="AH624" i="12"/>
  <c r="AH625" i="12"/>
  <c r="AH626" i="12"/>
  <c r="AH627" i="12"/>
  <c r="AH628" i="12"/>
  <c r="AH629" i="12"/>
  <c r="AH630" i="12"/>
  <c r="AH631" i="12"/>
  <c r="AH632" i="12"/>
  <c r="AH633" i="12"/>
  <c r="AH634" i="12"/>
  <c r="AH598" i="12"/>
  <c r="J634" i="12"/>
  <c r="K634" i="12" s="1"/>
  <c r="J633" i="12"/>
  <c r="K633" i="12" s="1"/>
  <c r="J632" i="12"/>
  <c r="K632" i="12" s="1"/>
  <c r="J631" i="12"/>
  <c r="K631" i="12" s="1"/>
  <c r="J630" i="12"/>
  <c r="K630" i="12" s="1"/>
  <c r="J629" i="12"/>
  <c r="K629" i="12" s="1"/>
  <c r="J628" i="12"/>
  <c r="K628" i="12" s="1"/>
  <c r="J627" i="12"/>
  <c r="K627" i="12" s="1"/>
  <c r="J626" i="12"/>
  <c r="K626" i="12" s="1"/>
  <c r="J625" i="12"/>
  <c r="K625" i="12" s="1"/>
  <c r="J624" i="12"/>
  <c r="K624" i="12" s="1"/>
  <c r="J623" i="12"/>
  <c r="K623" i="12" s="1"/>
  <c r="J622" i="12"/>
  <c r="K622" i="12" s="1"/>
  <c r="J621" i="12"/>
  <c r="K621" i="12" s="1"/>
  <c r="J620" i="12"/>
  <c r="K620" i="12" s="1"/>
  <c r="J619" i="12"/>
  <c r="K619" i="12" s="1"/>
  <c r="J618" i="12"/>
  <c r="K618" i="12" s="1"/>
  <c r="J617" i="12"/>
  <c r="K617" i="12" s="1"/>
  <c r="J616" i="12"/>
  <c r="K616" i="12" s="1"/>
  <c r="J615" i="12"/>
  <c r="K615" i="12" s="1"/>
  <c r="J614" i="12"/>
  <c r="K614" i="12" s="1"/>
  <c r="J613" i="12"/>
  <c r="K613" i="12" s="1"/>
  <c r="J612" i="12"/>
  <c r="K612" i="12" s="1"/>
  <c r="J611" i="12"/>
  <c r="K611" i="12" s="1"/>
  <c r="J610" i="12"/>
  <c r="K610" i="12" s="1"/>
  <c r="J609" i="12"/>
  <c r="K609" i="12" s="1"/>
  <c r="J608" i="12"/>
  <c r="K608" i="12" s="1"/>
  <c r="J607" i="12"/>
  <c r="K607" i="12" s="1"/>
  <c r="J606" i="12"/>
  <c r="K606" i="12" s="1"/>
  <c r="J605" i="12"/>
  <c r="K605" i="12" s="1"/>
  <c r="J604" i="12"/>
  <c r="K604" i="12" s="1"/>
  <c r="J603" i="12"/>
  <c r="K603" i="12" s="1"/>
  <c r="J602" i="12"/>
  <c r="K602" i="12" s="1"/>
  <c r="J601" i="12"/>
  <c r="K601" i="12" s="1"/>
  <c r="J600" i="12"/>
  <c r="K600" i="12" s="1"/>
  <c r="J599" i="12"/>
  <c r="K599" i="12" s="1"/>
  <c r="J598" i="12"/>
  <c r="K598" i="12" s="1"/>
  <c r="J588" i="12"/>
  <c r="K588" i="12"/>
  <c r="J589" i="12"/>
  <c r="K589" i="12"/>
  <c r="J590" i="12"/>
  <c r="K590" i="12"/>
  <c r="J591" i="12"/>
  <c r="K591" i="12"/>
  <c r="J592" i="12"/>
  <c r="K592" i="12"/>
  <c r="J593" i="12"/>
  <c r="K593" i="12"/>
  <c r="J594" i="12"/>
  <c r="K594" i="12"/>
  <c r="J595" i="12"/>
  <c r="K595" i="12"/>
  <c r="J596" i="12"/>
  <c r="K596" i="12"/>
  <c r="J597" i="12"/>
  <c r="K597" i="12"/>
  <c r="J587" i="12"/>
  <c r="K587" i="12"/>
  <c r="J562" i="12"/>
  <c r="K562" i="12" s="1"/>
  <c r="J563" i="12"/>
  <c r="K563" i="12"/>
  <c r="J564" i="12"/>
  <c r="K564" i="12" s="1"/>
  <c r="J565" i="12"/>
  <c r="K565" i="12"/>
  <c r="J566" i="12"/>
  <c r="K566" i="12" s="1"/>
  <c r="J567" i="12"/>
  <c r="K567" i="12"/>
  <c r="J568" i="12"/>
  <c r="K568" i="12" s="1"/>
  <c r="J569" i="12"/>
  <c r="K569" i="12"/>
  <c r="J570" i="12"/>
  <c r="K570" i="12" s="1"/>
  <c r="J571" i="12"/>
  <c r="K571" i="12"/>
  <c r="J572" i="12"/>
  <c r="K572" i="12" s="1"/>
  <c r="J573" i="12"/>
  <c r="K573" i="12"/>
  <c r="J574" i="12"/>
  <c r="K574" i="12" s="1"/>
  <c r="J575" i="12"/>
  <c r="K575" i="12"/>
  <c r="J576" i="12"/>
  <c r="K576" i="12" s="1"/>
  <c r="J577" i="12"/>
  <c r="K577" i="12"/>
  <c r="J578" i="12"/>
  <c r="K578" i="12" s="1"/>
  <c r="J579" i="12"/>
  <c r="K579" i="12"/>
  <c r="J580" i="12"/>
  <c r="K580" i="12" s="1"/>
  <c r="J581" i="12"/>
  <c r="K581" i="12"/>
  <c r="J582" i="12"/>
  <c r="K582" i="12" s="1"/>
  <c r="J583" i="12"/>
  <c r="K583" i="12"/>
  <c r="J584" i="12"/>
  <c r="K584" i="12" s="1"/>
  <c r="J585" i="12"/>
  <c r="K585" i="12"/>
  <c r="J586" i="12"/>
  <c r="K586" i="12" s="1"/>
  <c r="J561" i="12"/>
  <c r="K561" i="12" s="1"/>
  <c r="AH494" i="12"/>
  <c r="AH495" i="12"/>
  <c r="AH496" i="12"/>
  <c r="AH497" i="12"/>
  <c r="AH498" i="12"/>
  <c r="AH499" i="12"/>
  <c r="AH500" i="12"/>
  <c r="AH501" i="12"/>
  <c r="AH502" i="12"/>
  <c r="AH503" i="12"/>
  <c r="AH504" i="12"/>
  <c r="AH505" i="12"/>
  <c r="AH506" i="12"/>
  <c r="AH507" i="12"/>
  <c r="AH508" i="12"/>
  <c r="AH509" i="12"/>
  <c r="AH510" i="12"/>
  <c r="AH511" i="12"/>
  <c r="AH512" i="12"/>
  <c r="AH513" i="12"/>
  <c r="AH514" i="12"/>
  <c r="AH515" i="12"/>
  <c r="AH516" i="12"/>
  <c r="AH517" i="12"/>
  <c r="AH518" i="12"/>
  <c r="AH519" i="12"/>
  <c r="AH520" i="12"/>
  <c r="AH521" i="12"/>
  <c r="AH522" i="12"/>
  <c r="AH523" i="12"/>
  <c r="AH524" i="12"/>
  <c r="AH525" i="12"/>
  <c r="AH526" i="12"/>
  <c r="AH527" i="12"/>
  <c r="AH528" i="12"/>
  <c r="AH529" i="12"/>
  <c r="AH530" i="12"/>
  <c r="AH531" i="12"/>
  <c r="AH532" i="12"/>
  <c r="AH533" i="12"/>
  <c r="AH534" i="12"/>
  <c r="AH535" i="12"/>
  <c r="AH536" i="12"/>
  <c r="AH537" i="12"/>
  <c r="AH538" i="12"/>
  <c r="AH539" i="12"/>
  <c r="AH540" i="12"/>
  <c r="AH541" i="12"/>
  <c r="AH542" i="12"/>
  <c r="AH543" i="12"/>
  <c r="AH544" i="12"/>
  <c r="AH545" i="12"/>
  <c r="AH546" i="12"/>
  <c r="AH547" i="12"/>
  <c r="AH548" i="12"/>
  <c r="AH549" i="12"/>
  <c r="AH550" i="12"/>
  <c r="AH551" i="12"/>
  <c r="AH552" i="12"/>
  <c r="AH553" i="12"/>
  <c r="AH554" i="12"/>
  <c r="AH555" i="12"/>
  <c r="AH556" i="12"/>
  <c r="AH557" i="12"/>
  <c r="AH558" i="12"/>
  <c r="AH559" i="12"/>
  <c r="AH560" i="12"/>
  <c r="AH493" i="12"/>
  <c r="J560" i="12"/>
  <c r="K560" i="12" s="1"/>
  <c r="J559" i="12"/>
  <c r="K559" i="12" s="1"/>
  <c r="J558" i="12"/>
  <c r="K558" i="12" s="1"/>
  <c r="J557" i="12"/>
  <c r="K557" i="12" s="1"/>
  <c r="J556" i="12"/>
  <c r="K556" i="12" s="1"/>
  <c r="J555" i="12"/>
  <c r="K555" i="12" s="1"/>
  <c r="J554" i="12"/>
  <c r="K554" i="12" s="1"/>
  <c r="J553" i="12"/>
  <c r="K553" i="12" s="1"/>
  <c r="J552" i="12"/>
  <c r="K552" i="12" s="1"/>
  <c r="J551" i="12"/>
  <c r="K551" i="12" s="1"/>
  <c r="J550" i="12"/>
  <c r="K550" i="12" s="1"/>
  <c r="J549" i="12"/>
  <c r="K549" i="12" s="1"/>
  <c r="J548" i="12"/>
  <c r="K548" i="12" s="1"/>
  <c r="J547" i="12"/>
  <c r="K547" i="12" s="1"/>
  <c r="J546" i="12"/>
  <c r="K546" i="12" s="1"/>
  <c r="J545" i="12"/>
  <c r="K545" i="12" s="1"/>
  <c r="J544" i="12"/>
  <c r="K544" i="12" s="1"/>
  <c r="J543" i="12"/>
  <c r="K543" i="12" s="1"/>
  <c r="J542" i="12"/>
  <c r="K542" i="12" s="1"/>
  <c r="J541" i="12"/>
  <c r="K541" i="12" s="1"/>
  <c r="J540" i="12"/>
  <c r="K540" i="12" s="1"/>
  <c r="J539" i="12"/>
  <c r="K539" i="12" s="1"/>
  <c r="J538" i="12"/>
  <c r="K538" i="12" s="1"/>
  <c r="J537" i="12"/>
  <c r="K537" i="12" s="1"/>
  <c r="J536" i="12"/>
  <c r="K536" i="12" s="1"/>
  <c r="J535" i="12"/>
  <c r="K535" i="12" s="1"/>
  <c r="J534" i="12"/>
  <c r="K534" i="12" s="1"/>
  <c r="J533" i="12"/>
  <c r="K533" i="12" s="1"/>
  <c r="J532" i="12"/>
  <c r="K532" i="12" s="1"/>
  <c r="J531" i="12"/>
  <c r="K531" i="12" s="1"/>
  <c r="J530" i="12"/>
  <c r="K530" i="12" s="1"/>
  <c r="J529" i="12"/>
  <c r="K529" i="12" s="1"/>
  <c r="J528" i="12"/>
  <c r="K528" i="12" s="1"/>
  <c r="J527" i="12"/>
  <c r="K527" i="12" s="1"/>
  <c r="J526" i="12"/>
  <c r="K526" i="12" s="1"/>
  <c r="J525" i="12"/>
  <c r="K525" i="12" s="1"/>
  <c r="J524" i="12"/>
  <c r="K524" i="12" s="1"/>
  <c r="J523" i="12"/>
  <c r="K523" i="12" s="1"/>
  <c r="J522" i="12"/>
  <c r="K522" i="12" s="1"/>
  <c r="J521" i="12"/>
  <c r="K521" i="12" s="1"/>
  <c r="J520" i="12"/>
  <c r="K520" i="12" s="1"/>
  <c r="J519" i="12"/>
  <c r="K519" i="12" s="1"/>
  <c r="J518" i="12"/>
  <c r="K518" i="12" s="1"/>
  <c r="J517" i="12"/>
  <c r="K517" i="12" s="1"/>
  <c r="J516" i="12"/>
  <c r="K516" i="12" s="1"/>
  <c r="J515" i="12"/>
  <c r="K515" i="12" s="1"/>
  <c r="J514" i="12"/>
  <c r="K514" i="12" s="1"/>
  <c r="J513" i="12"/>
  <c r="K513" i="12" s="1"/>
  <c r="J512" i="12"/>
  <c r="K512" i="12" s="1"/>
  <c r="J511" i="12"/>
  <c r="K511" i="12" s="1"/>
  <c r="J510" i="12"/>
  <c r="K510" i="12" s="1"/>
  <c r="J509" i="12"/>
  <c r="K509" i="12" s="1"/>
  <c r="J508" i="12"/>
  <c r="K508" i="12" s="1"/>
  <c r="J507" i="12"/>
  <c r="K507" i="12" s="1"/>
  <c r="J506" i="12"/>
  <c r="K506" i="12" s="1"/>
  <c r="J505" i="12"/>
  <c r="K505" i="12" s="1"/>
  <c r="J504" i="12"/>
  <c r="K504" i="12" s="1"/>
  <c r="J503" i="12"/>
  <c r="K503" i="12" s="1"/>
  <c r="J502" i="12"/>
  <c r="K502" i="12" s="1"/>
  <c r="J501" i="12"/>
  <c r="K501" i="12" s="1"/>
  <c r="J500" i="12"/>
  <c r="K500" i="12" s="1"/>
  <c r="J499" i="12"/>
  <c r="K499" i="12" s="1"/>
  <c r="J498" i="12"/>
  <c r="K498" i="12" s="1"/>
  <c r="J497" i="12"/>
  <c r="K497" i="12" s="1"/>
  <c r="J496" i="12"/>
  <c r="K496" i="12" s="1"/>
  <c r="J495" i="12"/>
  <c r="K495" i="12" s="1"/>
  <c r="J494" i="12"/>
  <c r="K494" i="12" s="1"/>
  <c r="J493" i="12"/>
  <c r="K493" i="12" s="1"/>
  <c r="J480" i="12"/>
  <c r="K480" i="12"/>
  <c r="J481" i="12"/>
  <c r="K481" i="12"/>
  <c r="J482" i="12"/>
  <c r="K482" i="12"/>
  <c r="J483" i="12"/>
  <c r="K483" i="12"/>
  <c r="J484" i="12"/>
  <c r="K484" i="12"/>
  <c r="J485" i="12"/>
  <c r="K485" i="12"/>
  <c r="J486" i="12"/>
  <c r="K486" i="12"/>
  <c r="J487" i="12"/>
  <c r="K487" i="12"/>
  <c r="J488" i="12"/>
  <c r="K488" i="12"/>
  <c r="J489" i="12"/>
  <c r="K489" i="12"/>
  <c r="J490" i="12"/>
  <c r="K490" i="12"/>
  <c r="J491" i="12"/>
  <c r="K491" i="12"/>
  <c r="J492" i="12"/>
  <c r="K492" i="12"/>
  <c r="J479" i="12"/>
  <c r="K479" i="12" s="1"/>
  <c r="J476" i="12"/>
  <c r="K476" i="12"/>
  <c r="J477" i="12"/>
  <c r="K477" i="12"/>
  <c r="J478" i="12"/>
  <c r="K478" i="12"/>
  <c r="J475" i="12"/>
  <c r="K475" i="12"/>
  <c r="J472" i="12"/>
  <c r="K472" i="12"/>
  <c r="J473" i="12"/>
  <c r="K473" i="12"/>
  <c r="J474" i="12"/>
  <c r="K474" i="12"/>
  <c r="J468" i="12"/>
  <c r="K468" i="12"/>
  <c r="J469" i="12"/>
  <c r="K469" i="12"/>
  <c r="J470" i="12"/>
  <c r="K470" i="12"/>
  <c r="J471" i="12"/>
  <c r="K471" i="12"/>
  <c r="J465" i="12"/>
  <c r="K465" i="12"/>
  <c r="J466" i="12"/>
  <c r="K466" i="12"/>
  <c r="J467" i="12"/>
  <c r="K467" i="12"/>
  <c r="J464" i="12"/>
  <c r="K464" i="12" s="1"/>
  <c r="J426" i="12"/>
  <c r="K426" i="12"/>
  <c r="J427" i="12"/>
  <c r="K427" i="12"/>
  <c r="J428" i="12"/>
  <c r="K428" i="12"/>
  <c r="J429" i="12"/>
  <c r="K429" i="12"/>
  <c r="J430" i="12"/>
  <c r="K430" i="12"/>
  <c r="J431" i="12"/>
  <c r="K431" i="12"/>
  <c r="J432" i="12"/>
  <c r="K432" i="12"/>
  <c r="J433" i="12"/>
  <c r="K433" i="12"/>
  <c r="J434" i="12"/>
  <c r="K434" i="12"/>
  <c r="J435" i="12"/>
  <c r="K435" i="12"/>
  <c r="J436" i="12"/>
  <c r="K436" i="12"/>
  <c r="J437" i="12"/>
  <c r="K437" i="12"/>
  <c r="J438" i="12"/>
  <c r="K438" i="12"/>
  <c r="J439" i="12"/>
  <c r="K439" i="12"/>
  <c r="J440" i="12"/>
  <c r="K440" i="12"/>
  <c r="J441" i="12"/>
  <c r="K441" i="12"/>
  <c r="J442" i="12"/>
  <c r="K442" i="12"/>
  <c r="J443" i="12"/>
  <c r="K443" i="12"/>
  <c r="J444" i="12"/>
  <c r="K444" i="12"/>
  <c r="J445" i="12"/>
  <c r="K445" i="12"/>
  <c r="J446" i="12"/>
  <c r="K446" i="12"/>
  <c r="J447" i="12"/>
  <c r="K447" i="12"/>
  <c r="J448" i="12"/>
  <c r="K448" i="12"/>
  <c r="J449" i="12"/>
  <c r="K449" i="12"/>
  <c r="J450" i="12"/>
  <c r="K450" i="12"/>
  <c r="J451" i="12"/>
  <c r="K451" i="12"/>
  <c r="J452" i="12"/>
  <c r="K452" i="12"/>
  <c r="J453" i="12"/>
  <c r="K453" i="12"/>
  <c r="J454" i="12"/>
  <c r="K454" i="12"/>
  <c r="J455" i="12"/>
  <c r="K455" i="12"/>
  <c r="J456" i="12"/>
  <c r="K456" i="12"/>
  <c r="J457" i="12"/>
  <c r="K457" i="12"/>
  <c r="J458" i="12"/>
  <c r="K458" i="12"/>
  <c r="J459" i="12"/>
  <c r="K459" i="12"/>
  <c r="J460" i="12"/>
  <c r="K460" i="12"/>
  <c r="J461" i="12"/>
  <c r="K461" i="12"/>
  <c r="J462" i="12"/>
  <c r="K462" i="12"/>
  <c r="J463" i="12"/>
  <c r="K463" i="12"/>
  <c r="J425" i="12"/>
  <c r="K425" i="12"/>
  <c r="AH362" i="12"/>
  <c r="AH363" i="12"/>
  <c r="AH364" i="12"/>
  <c r="AH365" i="12"/>
  <c r="AH366" i="12"/>
  <c r="AH367" i="12"/>
  <c r="AH368" i="12"/>
  <c r="AH369" i="12"/>
  <c r="AH370" i="12"/>
  <c r="AH371" i="12"/>
  <c r="AH372" i="12"/>
  <c r="AH373" i="12"/>
  <c r="AH374" i="12"/>
  <c r="AH375" i="12"/>
  <c r="AH376" i="12"/>
  <c r="AH377" i="12"/>
  <c r="AH378" i="12"/>
  <c r="AH379" i="12"/>
  <c r="AH380" i="12"/>
  <c r="AH381" i="12"/>
  <c r="AH382" i="12"/>
  <c r="AH383" i="12"/>
  <c r="AH384" i="12"/>
  <c r="AH385" i="12"/>
  <c r="AH386" i="12"/>
  <c r="AH387" i="12"/>
  <c r="AH388" i="12"/>
  <c r="AH389" i="12"/>
  <c r="AH390" i="12"/>
  <c r="AH391" i="12"/>
  <c r="AH392" i="12"/>
  <c r="AH393" i="12"/>
  <c r="AH394" i="12"/>
  <c r="AH395" i="12"/>
  <c r="AH396" i="12"/>
  <c r="AH397" i="12"/>
  <c r="AH398" i="12"/>
  <c r="AH399" i="12"/>
  <c r="AH400" i="12"/>
  <c r="AH401" i="12"/>
  <c r="AH402" i="12"/>
  <c r="AH403" i="12"/>
  <c r="AH404" i="12"/>
  <c r="AH405" i="12"/>
  <c r="AH406" i="12"/>
  <c r="AH407" i="12"/>
  <c r="AH408" i="12"/>
  <c r="AH409" i="12"/>
  <c r="AH410" i="12"/>
  <c r="AH411" i="12"/>
  <c r="AH412" i="12"/>
  <c r="AH413" i="12"/>
  <c r="AH414" i="12"/>
  <c r="AH415" i="12"/>
  <c r="AH416" i="12"/>
  <c r="AH417" i="12"/>
  <c r="AH418" i="12"/>
  <c r="AH419" i="12"/>
  <c r="AH420" i="12"/>
  <c r="AH421" i="12"/>
  <c r="AH422" i="12"/>
  <c r="AH423" i="12"/>
  <c r="AH424" i="12"/>
  <c r="AH361" i="12"/>
  <c r="J424" i="12"/>
  <c r="K424" i="12" s="1"/>
  <c r="J423" i="12"/>
  <c r="K423" i="12" s="1"/>
  <c r="J422" i="12"/>
  <c r="K422" i="12" s="1"/>
  <c r="J421" i="12"/>
  <c r="K421" i="12" s="1"/>
  <c r="J420" i="12"/>
  <c r="K420" i="12" s="1"/>
  <c r="J419" i="12"/>
  <c r="K419" i="12" s="1"/>
  <c r="J418" i="12"/>
  <c r="K418" i="12" s="1"/>
  <c r="J417" i="12"/>
  <c r="K417" i="12" s="1"/>
  <c r="J416" i="12"/>
  <c r="K416" i="12" s="1"/>
  <c r="J415" i="12"/>
  <c r="K415" i="12" s="1"/>
  <c r="J414" i="12"/>
  <c r="K414" i="12" s="1"/>
  <c r="J413" i="12"/>
  <c r="K413" i="12" s="1"/>
  <c r="J412" i="12"/>
  <c r="K412" i="12" s="1"/>
  <c r="J411" i="12"/>
  <c r="K411" i="12" s="1"/>
  <c r="J410" i="12"/>
  <c r="K410" i="12" s="1"/>
  <c r="J409" i="12"/>
  <c r="K409" i="12" s="1"/>
  <c r="J408" i="12"/>
  <c r="K408" i="12" s="1"/>
  <c r="J407" i="12"/>
  <c r="K407" i="12" s="1"/>
  <c r="J406" i="12"/>
  <c r="K406" i="12" s="1"/>
  <c r="J405" i="12"/>
  <c r="K405" i="12" s="1"/>
  <c r="J404" i="12"/>
  <c r="K404" i="12" s="1"/>
  <c r="J403" i="12"/>
  <c r="K403" i="12" s="1"/>
  <c r="J402" i="12"/>
  <c r="K402" i="12" s="1"/>
  <c r="J401" i="12"/>
  <c r="K401" i="12" s="1"/>
  <c r="J400" i="12"/>
  <c r="K400" i="12" s="1"/>
  <c r="J399" i="12"/>
  <c r="K399" i="12" s="1"/>
  <c r="J398" i="12"/>
  <c r="K398" i="12" s="1"/>
  <c r="J397" i="12"/>
  <c r="K397" i="12" s="1"/>
  <c r="J396" i="12"/>
  <c r="K396" i="12" s="1"/>
  <c r="J395" i="12"/>
  <c r="K395" i="12" s="1"/>
  <c r="J394" i="12"/>
  <c r="K394" i="12" s="1"/>
  <c r="J393" i="12"/>
  <c r="K393" i="12" s="1"/>
  <c r="J392" i="12"/>
  <c r="K392" i="12" s="1"/>
  <c r="J391" i="12"/>
  <c r="K391" i="12" s="1"/>
  <c r="J390" i="12"/>
  <c r="K390" i="12" s="1"/>
  <c r="J389" i="12"/>
  <c r="K389" i="12" s="1"/>
  <c r="J388" i="12"/>
  <c r="K388" i="12" s="1"/>
  <c r="J387" i="12"/>
  <c r="K387" i="12" s="1"/>
  <c r="J386" i="12"/>
  <c r="K386" i="12" s="1"/>
  <c r="J385" i="12"/>
  <c r="K385" i="12" s="1"/>
  <c r="J384" i="12"/>
  <c r="K384" i="12" s="1"/>
  <c r="J383" i="12"/>
  <c r="K383" i="12" s="1"/>
  <c r="J382" i="12"/>
  <c r="K382" i="12" s="1"/>
  <c r="J381" i="12"/>
  <c r="K381" i="12" s="1"/>
  <c r="J380" i="12"/>
  <c r="K380" i="12" s="1"/>
  <c r="J379" i="12"/>
  <c r="K379" i="12" s="1"/>
  <c r="J378" i="12"/>
  <c r="K378" i="12" s="1"/>
  <c r="J377" i="12"/>
  <c r="K377" i="12" s="1"/>
  <c r="J376" i="12"/>
  <c r="K376" i="12" s="1"/>
  <c r="J375" i="12"/>
  <c r="K375" i="12" s="1"/>
  <c r="J374" i="12"/>
  <c r="K374" i="12" s="1"/>
  <c r="J373" i="12"/>
  <c r="K373" i="12" s="1"/>
  <c r="J372" i="12"/>
  <c r="K372" i="12" s="1"/>
  <c r="J371" i="12"/>
  <c r="K371" i="12" s="1"/>
  <c r="J370" i="12"/>
  <c r="K370" i="12" s="1"/>
  <c r="J369" i="12"/>
  <c r="K369" i="12" s="1"/>
  <c r="J368" i="12"/>
  <c r="K368" i="12" s="1"/>
  <c r="J367" i="12"/>
  <c r="K367" i="12" s="1"/>
  <c r="J366" i="12"/>
  <c r="K366" i="12" s="1"/>
  <c r="J365" i="12"/>
  <c r="K365" i="12" s="1"/>
  <c r="J364" i="12"/>
  <c r="K364" i="12" s="1"/>
  <c r="J363" i="12"/>
  <c r="K363" i="12" s="1"/>
  <c r="J362" i="12"/>
  <c r="K362" i="12" s="1"/>
  <c r="J361" i="12"/>
  <c r="K361" i="12" s="1"/>
  <c r="J349" i="12"/>
  <c r="K349" i="12" s="1"/>
  <c r="J350" i="12"/>
  <c r="K350" i="12"/>
  <c r="J351" i="12"/>
  <c r="K351" i="12" s="1"/>
  <c r="J352" i="12"/>
  <c r="K352" i="12"/>
  <c r="J353" i="12"/>
  <c r="K353" i="12" s="1"/>
  <c r="J354" i="12"/>
  <c r="K354" i="12"/>
  <c r="J355" i="12"/>
  <c r="K355" i="12" s="1"/>
  <c r="J356" i="12"/>
  <c r="K356" i="12"/>
  <c r="J357" i="12"/>
  <c r="K357" i="12" s="1"/>
  <c r="J358" i="12"/>
  <c r="K358" i="12"/>
  <c r="J359" i="12"/>
  <c r="K359" i="12" s="1"/>
  <c r="J360" i="12"/>
  <c r="K360" i="12"/>
  <c r="J344" i="12"/>
  <c r="K344" i="12"/>
  <c r="J345" i="12"/>
  <c r="K345" i="12"/>
  <c r="J346" i="12"/>
  <c r="K346" i="12"/>
  <c r="J347" i="12"/>
  <c r="K347" i="12"/>
  <c r="J348" i="12"/>
  <c r="K348" i="12"/>
  <c r="J343" i="12"/>
  <c r="K343" i="12" s="1"/>
  <c r="J299" i="12"/>
  <c r="K299" i="12" s="1"/>
  <c r="J300" i="12"/>
  <c r="K300" i="12"/>
  <c r="J301" i="12"/>
  <c r="K301" i="12" s="1"/>
  <c r="J302" i="12"/>
  <c r="K302" i="12"/>
  <c r="J303" i="12"/>
  <c r="K303" i="12" s="1"/>
  <c r="J304" i="12"/>
  <c r="K304" i="12"/>
  <c r="J305" i="12"/>
  <c r="K305" i="12" s="1"/>
  <c r="J306" i="12"/>
  <c r="K306" i="12"/>
  <c r="J307" i="12"/>
  <c r="K307" i="12" s="1"/>
  <c r="J308" i="12"/>
  <c r="K308" i="12"/>
  <c r="J309" i="12"/>
  <c r="K309" i="12" s="1"/>
  <c r="J310" i="12"/>
  <c r="K310" i="12"/>
  <c r="J311" i="12"/>
  <c r="K311" i="12" s="1"/>
  <c r="J312" i="12"/>
  <c r="K312" i="12"/>
  <c r="J313" i="12"/>
  <c r="K313" i="12" s="1"/>
  <c r="J314" i="12"/>
  <c r="K314" i="12"/>
  <c r="J315" i="12"/>
  <c r="K315" i="12" s="1"/>
  <c r="J316" i="12"/>
  <c r="K316" i="12"/>
  <c r="J317" i="12"/>
  <c r="K317" i="12" s="1"/>
  <c r="J318" i="12"/>
  <c r="K318" i="12"/>
  <c r="J319" i="12"/>
  <c r="K319" i="12" s="1"/>
  <c r="J320" i="12"/>
  <c r="K320" i="12"/>
  <c r="J321" i="12"/>
  <c r="K321" i="12" s="1"/>
  <c r="J322" i="12"/>
  <c r="K322" i="12"/>
  <c r="J323" i="12"/>
  <c r="K323" i="12" s="1"/>
  <c r="J324" i="12"/>
  <c r="K324" i="12"/>
  <c r="J325" i="12"/>
  <c r="K325" i="12" s="1"/>
  <c r="J326" i="12"/>
  <c r="K326" i="12"/>
  <c r="J327" i="12"/>
  <c r="K327" i="12" s="1"/>
  <c r="J328" i="12"/>
  <c r="K328" i="12"/>
  <c r="J329" i="12"/>
  <c r="K329" i="12" s="1"/>
  <c r="J330" i="12"/>
  <c r="K330" i="12"/>
  <c r="J331" i="12"/>
  <c r="K331" i="12" s="1"/>
  <c r="J332" i="12"/>
  <c r="K332" i="12"/>
  <c r="J333" i="12"/>
  <c r="K333" i="12" s="1"/>
  <c r="J334" i="12"/>
  <c r="K334" i="12"/>
  <c r="J335" i="12"/>
  <c r="K335" i="12" s="1"/>
  <c r="J336" i="12"/>
  <c r="K336" i="12"/>
  <c r="J337" i="12"/>
  <c r="K337" i="12" s="1"/>
  <c r="J338" i="12"/>
  <c r="K338" i="12"/>
  <c r="J339" i="12"/>
  <c r="K339" i="12" s="1"/>
  <c r="J340" i="12"/>
  <c r="K340" i="12"/>
  <c r="J341" i="12"/>
  <c r="K341" i="12" s="1"/>
  <c r="J342" i="12"/>
  <c r="K342" i="12"/>
  <c r="J298" i="12"/>
  <c r="K298" i="12"/>
  <c r="J297" i="12"/>
  <c r="K297" i="12"/>
  <c r="AH215" i="12"/>
  <c r="AH216" i="12"/>
  <c r="AH217" i="12"/>
  <c r="AH218" i="12"/>
  <c r="AH219" i="12"/>
  <c r="AH220" i="12"/>
  <c r="AH221" i="12"/>
  <c r="AH222" i="12"/>
  <c r="AH223" i="12"/>
  <c r="AH224" i="12"/>
  <c r="AH225" i="12"/>
  <c r="AH226" i="12"/>
  <c r="AH227" i="12"/>
  <c r="AH228" i="12"/>
  <c r="AH229" i="12"/>
  <c r="AH230" i="12"/>
  <c r="AH231" i="12"/>
  <c r="AH232" i="12"/>
  <c r="AH233" i="12"/>
  <c r="AH234" i="12"/>
  <c r="AH235" i="12"/>
  <c r="AH236" i="12"/>
  <c r="AH237" i="12"/>
  <c r="AH238" i="12"/>
  <c r="AH239" i="12"/>
  <c r="AH240" i="12"/>
  <c r="AH241" i="12"/>
  <c r="AH242" i="12"/>
  <c r="AH243" i="12"/>
  <c r="AH244" i="12"/>
  <c r="AH245" i="12"/>
  <c r="AH246" i="12"/>
  <c r="AH247" i="12"/>
  <c r="AH248" i="12"/>
  <c r="AH249" i="12"/>
  <c r="AH250" i="12"/>
  <c r="AH251" i="12"/>
  <c r="AH252" i="12"/>
  <c r="AH253" i="12"/>
  <c r="AH254" i="12"/>
  <c r="AH255" i="12"/>
  <c r="AH256" i="12"/>
  <c r="AH257" i="12"/>
  <c r="AH258" i="12"/>
  <c r="AH259" i="12"/>
  <c r="AH260" i="12"/>
  <c r="AH261" i="12"/>
  <c r="AH262" i="12"/>
  <c r="AH263" i="12"/>
  <c r="AH264" i="12"/>
  <c r="AH265" i="12"/>
  <c r="AH266" i="12"/>
  <c r="AH267" i="12"/>
  <c r="AH268" i="12"/>
  <c r="AH269" i="12"/>
  <c r="AH270" i="12"/>
  <c r="AH271" i="12"/>
  <c r="AH272" i="12"/>
  <c r="AH273" i="12"/>
  <c r="AH274" i="12"/>
  <c r="AH275" i="12"/>
  <c r="AH276" i="12"/>
  <c r="AH277" i="12"/>
  <c r="AH278" i="12"/>
  <c r="AH279" i="12"/>
  <c r="AH280" i="12"/>
  <c r="AH281" i="12"/>
  <c r="AH282" i="12"/>
  <c r="AH283" i="12"/>
  <c r="AH284" i="12"/>
  <c r="AH285" i="12"/>
  <c r="AH286" i="12"/>
  <c r="AH287" i="12"/>
  <c r="AH288" i="12"/>
  <c r="AH289" i="12"/>
  <c r="AH290" i="12"/>
  <c r="AH291" i="12"/>
  <c r="AH292" i="12"/>
  <c r="AH293" i="12"/>
  <c r="AH294" i="12"/>
  <c r="AH295" i="12"/>
  <c r="AH296" i="12"/>
  <c r="AH214" i="12"/>
  <c r="J296" i="12"/>
  <c r="K296" i="12" s="1"/>
  <c r="J295" i="12"/>
  <c r="K295" i="12" s="1"/>
  <c r="J294" i="12"/>
  <c r="K294" i="12" s="1"/>
  <c r="J293" i="12"/>
  <c r="K293" i="12" s="1"/>
  <c r="J292" i="12"/>
  <c r="K292" i="12" s="1"/>
  <c r="J291" i="12"/>
  <c r="K291" i="12" s="1"/>
  <c r="J290" i="12"/>
  <c r="K290" i="12" s="1"/>
  <c r="J289" i="12"/>
  <c r="K289" i="12" s="1"/>
  <c r="J288" i="12"/>
  <c r="K288" i="12" s="1"/>
  <c r="J287" i="12"/>
  <c r="K287" i="12" s="1"/>
  <c r="J286" i="12"/>
  <c r="K286" i="12" s="1"/>
  <c r="J285" i="12"/>
  <c r="K285" i="12" s="1"/>
  <c r="J284" i="12"/>
  <c r="K284" i="12" s="1"/>
  <c r="J283" i="12"/>
  <c r="K283" i="12" s="1"/>
  <c r="J282" i="12"/>
  <c r="K282" i="12" s="1"/>
  <c r="J281" i="12"/>
  <c r="K281" i="12" s="1"/>
  <c r="J280" i="12"/>
  <c r="K280" i="12" s="1"/>
  <c r="J279" i="12"/>
  <c r="K279" i="12" s="1"/>
  <c r="J278" i="12"/>
  <c r="K278" i="12" s="1"/>
  <c r="J277" i="12"/>
  <c r="K277" i="12" s="1"/>
  <c r="J276" i="12"/>
  <c r="K276" i="12" s="1"/>
  <c r="J275" i="12"/>
  <c r="K275" i="12" s="1"/>
  <c r="J274" i="12"/>
  <c r="K274" i="12" s="1"/>
  <c r="J273" i="12"/>
  <c r="K273" i="12" s="1"/>
  <c r="J272" i="12"/>
  <c r="K272" i="12" s="1"/>
  <c r="J271" i="12"/>
  <c r="K271" i="12" s="1"/>
  <c r="J270" i="12"/>
  <c r="K270" i="12" s="1"/>
  <c r="J269" i="12"/>
  <c r="K269" i="12" s="1"/>
  <c r="J268" i="12"/>
  <c r="K268" i="12" s="1"/>
  <c r="J267" i="12"/>
  <c r="K267" i="12" s="1"/>
  <c r="J266" i="12"/>
  <c r="K266" i="12" s="1"/>
  <c r="J265" i="12"/>
  <c r="K265" i="12" s="1"/>
  <c r="J264" i="12"/>
  <c r="K264" i="12" s="1"/>
  <c r="J263" i="12"/>
  <c r="K263" i="12" s="1"/>
  <c r="J262" i="12"/>
  <c r="K262" i="12" s="1"/>
  <c r="J261" i="12"/>
  <c r="K261" i="12" s="1"/>
  <c r="J260" i="12"/>
  <c r="K260" i="12" s="1"/>
  <c r="J259" i="12"/>
  <c r="K259" i="12" s="1"/>
  <c r="J258" i="12"/>
  <c r="K258" i="12" s="1"/>
  <c r="J257" i="12"/>
  <c r="K257" i="12" s="1"/>
  <c r="J256" i="12"/>
  <c r="K256" i="12" s="1"/>
  <c r="J255" i="12"/>
  <c r="K255" i="12" s="1"/>
  <c r="J254" i="12"/>
  <c r="K254" i="12" s="1"/>
  <c r="J253" i="12"/>
  <c r="K253" i="12" s="1"/>
  <c r="J252" i="12"/>
  <c r="K252" i="12" s="1"/>
  <c r="J251" i="12"/>
  <c r="K251" i="12" s="1"/>
  <c r="J250" i="12"/>
  <c r="K250" i="12" s="1"/>
  <c r="J249" i="12"/>
  <c r="K249" i="12" s="1"/>
  <c r="J248" i="12"/>
  <c r="K248" i="12" s="1"/>
  <c r="J247" i="12"/>
  <c r="K247" i="12" s="1"/>
  <c r="J246" i="12"/>
  <c r="K246" i="12" s="1"/>
  <c r="J245" i="12"/>
  <c r="K245" i="12" s="1"/>
  <c r="J244" i="12"/>
  <c r="K244" i="12" s="1"/>
  <c r="J243" i="12"/>
  <c r="K243" i="12" s="1"/>
  <c r="J242" i="12"/>
  <c r="K242" i="12" s="1"/>
  <c r="J241" i="12"/>
  <c r="K241" i="12" s="1"/>
  <c r="J240" i="12"/>
  <c r="K240" i="12" s="1"/>
  <c r="J239" i="12"/>
  <c r="K239" i="12" s="1"/>
  <c r="J238" i="12"/>
  <c r="K238" i="12" s="1"/>
  <c r="J237" i="12"/>
  <c r="K237" i="12" s="1"/>
  <c r="J236" i="12"/>
  <c r="K236" i="12" s="1"/>
  <c r="J235" i="12"/>
  <c r="K235" i="12" s="1"/>
  <c r="J234" i="12"/>
  <c r="K234" i="12" s="1"/>
  <c r="J233" i="12"/>
  <c r="K233" i="12" s="1"/>
  <c r="J232" i="12"/>
  <c r="K232" i="12" s="1"/>
  <c r="J231" i="12"/>
  <c r="K231" i="12" s="1"/>
  <c r="J230" i="12"/>
  <c r="K230" i="12" s="1"/>
  <c r="J229" i="12"/>
  <c r="K229" i="12" s="1"/>
  <c r="J228" i="12"/>
  <c r="K228" i="12" s="1"/>
  <c r="J227" i="12"/>
  <c r="K227" i="12" s="1"/>
  <c r="J226" i="12"/>
  <c r="K226" i="12" s="1"/>
  <c r="J225" i="12"/>
  <c r="K225" i="12" s="1"/>
  <c r="J224" i="12"/>
  <c r="K224" i="12" s="1"/>
  <c r="J223" i="12"/>
  <c r="K223" i="12" s="1"/>
  <c r="J222" i="12"/>
  <c r="K222" i="12" s="1"/>
  <c r="J221" i="12"/>
  <c r="K221" i="12" s="1"/>
  <c r="J220" i="12"/>
  <c r="K220" i="12" s="1"/>
  <c r="J219" i="12"/>
  <c r="K219" i="12" s="1"/>
  <c r="J218" i="12"/>
  <c r="K218" i="12" s="1"/>
  <c r="J217" i="12"/>
  <c r="K217" i="12" s="1"/>
  <c r="J216" i="12"/>
  <c r="K216" i="12" s="1"/>
  <c r="J215" i="12"/>
  <c r="K215" i="12" s="1"/>
  <c r="J214" i="12"/>
  <c r="K214" i="12" s="1"/>
  <c r="J151" i="12"/>
  <c r="K151" i="12" s="1"/>
  <c r="J152" i="12"/>
  <c r="K152" i="12"/>
  <c r="J153" i="12"/>
  <c r="K153" i="12" s="1"/>
  <c r="J154" i="12"/>
  <c r="K154" i="12"/>
  <c r="J155" i="12"/>
  <c r="K155" i="12" s="1"/>
  <c r="J156" i="12"/>
  <c r="K156" i="12"/>
  <c r="J157" i="12"/>
  <c r="K157" i="12" s="1"/>
  <c r="J158" i="12"/>
  <c r="K158" i="12"/>
  <c r="J159" i="12"/>
  <c r="K159" i="12" s="1"/>
  <c r="J160" i="12"/>
  <c r="K160" i="12"/>
  <c r="J161" i="12"/>
  <c r="K161" i="12" s="1"/>
  <c r="J162" i="12"/>
  <c r="K162" i="12"/>
  <c r="J163" i="12"/>
  <c r="K163" i="12" s="1"/>
  <c r="J164" i="12"/>
  <c r="K164" i="12" s="1"/>
  <c r="J165" i="12"/>
  <c r="K165" i="12" s="1"/>
  <c r="J166" i="12"/>
  <c r="K166" i="12"/>
  <c r="J167" i="12"/>
  <c r="K167" i="12" s="1"/>
  <c r="J168" i="12"/>
  <c r="K168" i="12"/>
  <c r="J169" i="12"/>
  <c r="K169" i="12" s="1"/>
  <c r="J170" i="12"/>
  <c r="K170" i="12" s="1"/>
  <c r="J171" i="12"/>
  <c r="K171" i="12" s="1"/>
  <c r="J172" i="12"/>
  <c r="K172" i="12"/>
  <c r="J173" i="12"/>
  <c r="K173" i="12" s="1"/>
  <c r="J174" i="12"/>
  <c r="K174" i="12"/>
  <c r="J175" i="12"/>
  <c r="K175" i="12" s="1"/>
  <c r="J176" i="12"/>
  <c r="K176" i="12" s="1"/>
  <c r="J177" i="12"/>
  <c r="K177" i="12" s="1"/>
  <c r="J178" i="12"/>
  <c r="K178" i="12"/>
  <c r="J179" i="12"/>
  <c r="K179" i="12" s="1"/>
  <c r="J180" i="12"/>
  <c r="K180" i="12"/>
  <c r="J181" i="12"/>
  <c r="K181" i="12" s="1"/>
  <c r="J182" i="12"/>
  <c r="K182" i="12" s="1"/>
  <c r="J183" i="12"/>
  <c r="K183" i="12" s="1"/>
  <c r="J184" i="12"/>
  <c r="K184" i="12"/>
  <c r="J185" i="12"/>
  <c r="K185" i="12" s="1"/>
  <c r="J186" i="12"/>
  <c r="K186" i="12"/>
  <c r="J187" i="12"/>
  <c r="K187" i="12" s="1"/>
  <c r="J188" i="12"/>
  <c r="K188" i="12" s="1"/>
  <c r="J189" i="12"/>
  <c r="K189" i="12" s="1"/>
  <c r="J190" i="12"/>
  <c r="K190" i="12" s="1"/>
  <c r="J191" i="12"/>
  <c r="K191" i="12" s="1"/>
  <c r="J192" i="12"/>
  <c r="K192" i="12" s="1"/>
  <c r="J193" i="12"/>
  <c r="K193" i="12" s="1"/>
  <c r="J194" i="12"/>
  <c r="K194" i="12"/>
  <c r="J195" i="12"/>
  <c r="K195" i="12" s="1"/>
  <c r="J196" i="12"/>
  <c r="K196" i="12"/>
  <c r="J197" i="12"/>
  <c r="K197" i="12" s="1"/>
  <c r="J198" i="12"/>
  <c r="K198" i="12" s="1"/>
  <c r="J199" i="12"/>
  <c r="K199" i="12" s="1"/>
  <c r="J200" i="12"/>
  <c r="K200" i="12"/>
  <c r="J201" i="12"/>
  <c r="K201" i="12" s="1"/>
  <c r="J202" i="12"/>
  <c r="K202" i="12"/>
  <c r="J203" i="12"/>
  <c r="K203" i="12" s="1"/>
  <c r="J204" i="12"/>
  <c r="K204" i="12" s="1"/>
  <c r="J205" i="12"/>
  <c r="K205" i="12" s="1"/>
  <c r="J206" i="12"/>
  <c r="K206" i="12"/>
  <c r="J207" i="12"/>
  <c r="K207" i="12" s="1"/>
  <c r="J208" i="12"/>
  <c r="K208" i="12"/>
  <c r="J209" i="12"/>
  <c r="K209" i="12" s="1"/>
  <c r="J210" i="12"/>
  <c r="K210" i="12" s="1"/>
  <c r="J211" i="12"/>
  <c r="K211" i="12" s="1"/>
  <c r="J212" i="12"/>
  <c r="K212" i="12"/>
  <c r="J213" i="12"/>
  <c r="K213" i="12" s="1"/>
  <c r="J150" i="12"/>
  <c r="K150" i="12"/>
  <c r="J132" i="12" l="1"/>
  <c r="K132" i="12" s="1"/>
  <c r="J133" i="12"/>
  <c r="K133" i="12"/>
  <c r="J134" i="12"/>
  <c r="K134" i="12" s="1"/>
  <c r="J135" i="12"/>
  <c r="K135" i="12"/>
  <c r="J136" i="12"/>
  <c r="K136" i="12" s="1"/>
  <c r="J137" i="12"/>
  <c r="K137" i="12" s="1"/>
  <c r="J138" i="12"/>
  <c r="K138" i="12" s="1"/>
  <c r="J139" i="12"/>
  <c r="K139" i="12"/>
  <c r="J140" i="12"/>
  <c r="K140" i="12" s="1"/>
  <c r="J141" i="12"/>
  <c r="K141" i="12"/>
  <c r="J142" i="12"/>
  <c r="K142" i="12" s="1"/>
  <c r="J143" i="12"/>
  <c r="K143" i="12"/>
  <c r="J144" i="12"/>
  <c r="K144" i="12" s="1"/>
  <c r="J145" i="12"/>
  <c r="K145" i="12" s="1"/>
  <c r="J146" i="12"/>
  <c r="K146" i="12" s="1"/>
  <c r="J147" i="12"/>
  <c r="K147" i="12"/>
  <c r="J148" i="12"/>
  <c r="K148" i="12" s="1"/>
  <c r="J149" i="12"/>
  <c r="K149" i="12"/>
  <c r="J131" i="12"/>
  <c r="K131" i="12" s="1"/>
  <c r="AH70" i="12"/>
  <c r="AH71" i="12"/>
  <c r="AH72" i="12"/>
  <c r="AH73" i="12"/>
  <c r="AH74" i="12"/>
  <c r="AH75" i="12"/>
  <c r="AH76" i="12"/>
  <c r="AH77" i="12"/>
  <c r="AH78" i="12"/>
  <c r="AH79" i="12"/>
  <c r="AH80" i="12"/>
  <c r="AH81" i="12"/>
  <c r="AH82" i="12"/>
  <c r="AH83" i="12"/>
  <c r="AH84" i="12"/>
  <c r="AH85" i="12"/>
  <c r="AH86" i="12"/>
  <c r="AH87" i="12"/>
  <c r="AH88" i="12"/>
  <c r="AH89" i="12"/>
  <c r="AH90" i="12"/>
  <c r="AH91" i="12"/>
  <c r="AH92" i="12"/>
  <c r="AH93" i="12"/>
  <c r="AH94" i="12"/>
  <c r="AH95" i="12"/>
  <c r="AH96" i="12"/>
  <c r="AH97" i="12"/>
  <c r="AH98" i="12"/>
  <c r="AH99" i="12"/>
  <c r="AH100" i="12"/>
  <c r="AH101" i="12"/>
  <c r="AH102" i="12"/>
  <c r="AH103" i="12"/>
  <c r="AH104" i="12"/>
  <c r="AH105" i="12"/>
  <c r="AH106" i="12"/>
  <c r="AH107" i="12"/>
  <c r="AH108" i="12"/>
  <c r="AH109" i="12"/>
  <c r="AH110" i="12"/>
  <c r="AH111" i="12"/>
  <c r="AH112" i="12"/>
  <c r="AH113" i="12"/>
  <c r="AH114" i="12"/>
  <c r="AH115" i="12"/>
  <c r="AH116" i="12"/>
  <c r="AH117" i="12"/>
  <c r="AH118" i="12"/>
  <c r="AH119" i="12"/>
  <c r="AH120" i="12"/>
  <c r="AH121" i="12"/>
  <c r="AH122" i="12"/>
  <c r="AH123" i="12"/>
  <c r="AH124" i="12"/>
  <c r="AH125" i="12"/>
  <c r="AH126" i="12"/>
  <c r="AH127" i="12"/>
  <c r="AH128" i="12"/>
  <c r="AH129" i="12"/>
  <c r="AH130" i="12"/>
  <c r="AH69" i="12"/>
  <c r="J130" i="12"/>
  <c r="K130" i="12" s="1"/>
  <c r="J129" i="12"/>
  <c r="K129" i="12" s="1"/>
  <c r="J128" i="12"/>
  <c r="K128" i="12" s="1"/>
  <c r="J127" i="12"/>
  <c r="K127" i="12" s="1"/>
  <c r="J126" i="12"/>
  <c r="K126" i="12" s="1"/>
  <c r="J125" i="12"/>
  <c r="K125" i="12" s="1"/>
  <c r="J124" i="12"/>
  <c r="K124" i="12" s="1"/>
  <c r="J123" i="12"/>
  <c r="K123" i="12" s="1"/>
  <c r="J122" i="12"/>
  <c r="K122" i="12" s="1"/>
  <c r="J121" i="12"/>
  <c r="K121" i="12" s="1"/>
  <c r="J120" i="12"/>
  <c r="K120" i="12" s="1"/>
  <c r="J119" i="12"/>
  <c r="K119" i="12" s="1"/>
  <c r="J118" i="12"/>
  <c r="K118" i="12" s="1"/>
  <c r="J117" i="12"/>
  <c r="K117" i="12" s="1"/>
  <c r="J116" i="12"/>
  <c r="K116" i="12" s="1"/>
  <c r="J115" i="12"/>
  <c r="K115" i="12" s="1"/>
  <c r="J114" i="12"/>
  <c r="K114" i="12" s="1"/>
  <c r="J113" i="12"/>
  <c r="K113" i="12" s="1"/>
  <c r="J112" i="12"/>
  <c r="K112" i="12" s="1"/>
  <c r="J111" i="12"/>
  <c r="K111" i="12" s="1"/>
  <c r="J110" i="12"/>
  <c r="K110" i="12" s="1"/>
  <c r="J109" i="12"/>
  <c r="K109" i="12" s="1"/>
  <c r="J108" i="12"/>
  <c r="K108" i="12" s="1"/>
  <c r="J107" i="12"/>
  <c r="K107" i="12" s="1"/>
  <c r="J106" i="12"/>
  <c r="K106" i="12" s="1"/>
  <c r="J105" i="12"/>
  <c r="K105" i="12" s="1"/>
  <c r="J104" i="12"/>
  <c r="K104" i="12" s="1"/>
  <c r="J103" i="12"/>
  <c r="K103" i="12" s="1"/>
  <c r="J102" i="12"/>
  <c r="K102" i="12" s="1"/>
  <c r="J101" i="12"/>
  <c r="K101" i="12" s="1"/>
  <c r="J100" i="12"/>
  <c r="K100" i="12" s="1"/>
  <c r="J99" i="12"/>
  <c r="K99" i="12" s="1"/>
  <c r="J98" i="12"/>
  <c r="K98" i="12" s="1"/>
  <c r="J97" i="12"/>
  <c r="K97" i="12" s="1"/>
  <c r="J96" i="12"/>
  <c r="K96" i="12" s="1"/>
  <c r="J95" i="12"/>
  <c r="K95" i="12" s="1"/>
  <c r="J94" i="12"/>
  <c r="K94" i="12" s="1"/>
  <c r="J93" i="12"/>
  <c r="K93" i="12" s="1"/>
  <c r="J92" i="12"/>
  <c r="K92" i="12" s="1"/>
  <c r="J91" i="12"/>
  <c r="K91" i="12" s="1"/>
  <c r="J90" i="12"/>
  <c r="K90" i="12" s="1"/>
  <c r="J89" i="12"/>
  <c r="K89" i="12" s="1"/>
  <c r="J88" i="12"/>
  <c r="K88" i="12" s="1"/>
  <c r="J87" i="12"/>
  <c r="K87" i="12" s="1"/>
  <c r="J86" i="12"/>
  <c r="K86" i="12" s="1"/>
  <c r="J85" i="12"/>
  <c r="K85" i="12" s="1"/>
  <c r="J84" i="12"/>
  <c r="K84" i="12" s="1"/>
  <c r="J83" i="12"/>
  <c r="K83" i="12" s="1"/>
  <c r="J82" i="12"/>
  <c r="K82" i="12" s="1"/>
  <c r="J81" i="12"/>
  <c r="K81" i="12" s="1"/>
  <c r="J80" i="12"/>
  <c r="K80" i="12" s="1"/>
  <c r="J79" i="12"/>
  <c r="K79" i="12" s="1"/>
  <c r="J78" i="12"/>
  <c r="K78" i="12" s="1"/>
  <c r="J77" i="12"/>
  <c r="K77" i="12" s="1"/>
  <c r="J76" i="12"/>
  <c r="K76" i="12" s="1"/>
  <c r="J75" i="12"/>
  <c r="K75" i="12" s="1"/>
  <c r="J74" i="12"/>
  <c r="K74" i="12" s="1"/>
  <c r="J73" i="12"/>
  <c r="K73" i="12" s="1"/>
  <c r="J72" i="12"/>
  <c r="K72" i="12" s="1"/>
  <c r="J71" i="12"/>
  <c r="K71" i="12" s="1"/>
  <c r="J70" i="12"/>
  <c r="K70" i="12" s="1"/>
  <c r="J69" i="12"/>
  <c r="K69" i="12" s="1"/>
  <c r="J58" i="12"/>
  <c r="K58" i="12" s="1"/>
  <c r="J59" i="12"/>
  <c r="K59" i="12"/>
  <c r="J60" i="12"/>
  <c r="K60" i="12"/>
  <c r="J61" i="12"/>
  <c r="K61" i="12"/>
  <c r="J62" i="12"/>
  <c r="K62" i="12"/>
  <c r="J63" i="12"/>
  <c r="K63" i="12"/>
  <c r="J64" i="12"/>
  <c r="K64" i="12"/>
  <c r="J65" i="12"/>
  <c r="K65" i="12"/>
  <c r="J66" i="12"/>
  <c r="K66" i="12"/>
  <c r="J67" i="12"/>
  <c r="K67" i="12"/>
  <c r="J68" i="12"/>
  <c r="K68" i="12"/>
  <c r="J57" i="12"/>
  <c r="K57" i="12"/>
  <c r="J52" i="12"/>
  <c r="K52" i="12"/>
  <c r="J53" i="12"/>
  <c r="K53" i="12"/>
  <c r="J54" i="12"/>
  <c r="K54" i="12"/>
  <c r="J55" i="12"/>
  <c r="K55" i="12"/>
  <c r="J56" i="12"/>
  <c r="K56" i="12"/>
  <c r="J51" i="12"/>
  <c r="K51" i="12"/>
  <c r="J14" i="12"/>
  <c r="J15" i="12"/>
  <c r="K15" i="12" s="1"/>
  <c r="J16" i="12"/>
  <c r="K16" i="12" s="1"/>
  <c r="J17" i="12"/>
  <c r="K17" i="12" s="1"/>
  <c r="J18" i="12"/>
  <c r="J19" i="12"/>
  <c r="K19" i="12" s="1"/>
  <c r="J20" i="12"/>
  <c r="K20" i="12" s="1"/>
  <c r="J21" i="12"/>
  <c r="K21" i="12" s="1"/>
  <c r="J22" i="12"/>
  <c r="J23" i="12"/>
  <c r="K23" i="12" s="1"/>
  <c r="J24" i="12"/>
  <c r="K24" i="12" s="1"/>
  <c r="J25" i="12"/>
  <c r="K25" i="12" s="1"/>
  <c r="J26" i="12"/>
  <c r="J27" i="12"/>
  <c r="K27" i="12" s="1"/>
  <c r="J28" i="12"/>
  <c r="K28" i="12" s="1"/>
  <c r="J29" i="12"/>
  <c r="K29" i="12" s="1"/>
  <c r="J30" i="12"/>
  <c r="J31" i="12"/>
  <c r="K31" i="12" s="1"/>
  <c r="J32" i="12"/>
  <c r="K32" i="12" s="1"/>
  <c r="J33" i="12"/>
  <c r="K33" i="12" s="1"/>
  <c r="J34" i="12"/>
  <c r="J35" i="12"/>
  <c r="K35" i="12" s="1"/>
  <c r="J36" i="12"/>
  <c r="K36" i="12" s="1"/>
  <c r="J37" i="12"/>
  <c r="K37" i="12" s="1"/>
  <c r="J38" i="12"/>
  <c r="J39" i="12"/>
  <c r="K39" i="12" s="1"/>
  <c r="J40" i="12"/>
  <c r="K40" i="12" s="1"/>
  <c r="J41" i="12"/>
  <c r="K41" i="12" s="1"/>
  <c r="J42" i="12"/>
  <c r="J43" i="12"/>
  <c r="K43" i="12" s="1"/>
  <c r="J44" i="12"/>
  <c r="K44" i="12" s="1"/>
  <c r="J45" i="12"/>
  <c r="K45" i="12" s="1"/>
  <c r="J46" i="12"/>
  <c r="J47" i="12"/>
  <c r="J48" i="12"/>
  <c r="K48" i="12" s="1"/>
  <c r="J49" i="12"/>
  <c r="K49" i="12" s="1"/>
  <c r="J50" i="12"/>
  <c r="K30" i="12"/>
  <c r="K34" i="12"/>
  <c r="K38" i="12"/>
  <c r="K42" i="12"/>
  <c r="K46" i="12"/>
  <c r="K47" i="12"/>
  <c r="K50" i="12"/>
  <c r="J11" i="12"/>
  <c r="K11" i="12" s="1"/>
  <c r="J12" i="12"/>
  <c r="K12" i="12" s="1"/>
  <c r="J13" i="12"/>
  <c r="K13" i="12" s="1"/>
  <c r="K14" i="12"/>
  <c r="K18" i="12"/>
  <c r="K22" i="12"/>
  <c r="K26" i="12"/>
  <c r="J10" i="12"/>
  <c r="K10" i="12" s="1"/>
  <c r="J8" i="12"/>
  <c r="K8" i="12" s="1"/>
  <c r="J9" i="12"/>
  <c r="K9" i="12" s="1"/>
  <c r="J7" i="12"/>
  <c r="K7" i="12" s="1"/>
  <c r="AQ306" i="1" l="1"/>
  <c r="AR306" i="1" s="1"/>
  <c r="AR318" i="1"/>
  <c r="AQ321" i="1"/>
  <c r="AQ320" i="1"/>
  <c r="AR320" i="1" s="1"/>
  <c r="AQ319" i="1"/>
  <c r="AR319" i="1" s="1"/>
  <c r="AQ317" i="1"/>
  <c r="AR317" i="1" s="1"/>
  <c r="AQ316" i="1"/>
  <c r="AR316" i="1" s="1"/>
  <c r="AR321" i="1"/>
  <c r="AR312" i="1"/>
  <c r="AN302" i="1" l="1"/>
  <c r="AN314" i="1"/>
  <c r="AQ314" i="1" s="1"/>
  <c r="AN311" i="1" l="1"/>
  <c r="AP301" i="1" l="1"/>
  <c r="AN280" i="1" l="1"/>
  <c r="AN309" i="1"/>
  <c r="AN307" i="1"/>
  <c r="AN271" i="1" l="1"/>
  <c r="AQ271" i="1" s="1"/>
  <c r="AN304" i="1"/>
  <c r="BB332" i="1"/>
  <c r="AX332" i="1"/>
  <c r="AP332" i="1"/>
  <c r="AQ304" i="1" l="1"/>
  <c r="AQ305" i="1"/>
  <c r="AR305" i="1" s="1"/>
  <c r="AQ307" i="1"/>
  <c r="AR307" i="1" s="1"/>
  <c r="AQ308" i="1"/>
  <c r="AR308" i="1" s="1"/>
  <c r="AQ309" i="1"/>
  <c r="AR309" i="1" s="1"/>
  <c r="AQ311" i="1"/>
  <c r="AR311" i="1" s="1"/>
  <c r="AQ313" i="1"/>
  <c r="AR313" i="1" s="1"/>
  <c r="AN332" i="1"/>
  <c r="AJ332" i="1"/>
  <c r="AI332" i="1"/>
  <c r="AH332" i="1"/>
  <c r="AG332" i="1"/>
  <c r="AF332" i="1"/>
  <c r="AE332" i="1"/>
  <c r="AD332" i="1"/>
  <c r="AC332" i="1"/>
  <c r="AB332" i="1"/>
  <c r="AA332" i="1"/>
  <c r="Z332" i="1"/>
  <c r="Y332" i="1"/>
  <c r="X332" i="1"/>
  <c r="W332" i="1"/>
  <c r="V332" i="1"/>
  <c r="U332" i="1"/>
  <c r="T332" i="1"/>
  <c r="S332" i="1"/>
  <c r="R332" i="1"/>
  <c r="AQ322" i="1"/>
  <c r="AR322" i="1" s="1"/>
  <c r="AQ315" i="1"/>
  <c r="AR315" i="1" s="1"/>
  <c r="AR314" i="1"/>
  <c r="AQ303" i="1"/>
  <c r="AR303" i="1" s="1"/>
  <c r="AZ302" i="1"/>
  <c r="AZ332" i="1" s="1"/>
  <c r="AQ302" i="1"/>
  <c r="AR302" i="1" s="1"/>
  <c r="AQ301" i="1"/>
  <c r="AR301" i="1" s="1"/>
  <c r="AR304" i="1" l="1"/>
  <c r="AQ332" i="1"/>
  <c r="E332" i="1"/>
  <c r="AQ297" i="1"/>
  <c r="AR297" i="1" s="1"/>
  <c r="AN291" i="1" l="1"/>
  <c r="AN295" i="1"/>
  <c r="AZ294" i="1" l="1"/>
  <c r="AN293" i="1"/>
  <c r="AN294" i="1"/>
  <c r="D3" i="11" l="1"/>
  <c r="D4" i="11"/>
  <c r="D5" i="11"/>
  <c r="D7" i="11"/>
  <c r="D8" i="11"/>
  <c r="D10" i="11"/>
  <c r="D12" i="11"/>
  <c r="D13" i="11"/>
  <c r="D14" i="11"/>
  <c r="D15" i="11"/>
  <c r="D18" i="11"/>
  <c r="D20" i="11"/>
  <c r="D21" i="11"/>
  <c r="D22" i="11"/>
  <c r="D26" i="11"/>
  <c r="AP59" i="1" l="1"/>
  <c r="A2" i="11"/>
  <c r="AP282" i="1" l="1"/>
  <c r="BB283" i="1" l="1"/>
  <c r="AN287" i="1"/>
  <c r="AQ283" i="1" l="1"/>
  <c r="AR283" i="1" s="1"/>
  <c r="AQ284" i="1"/>
  <c r="AR284" i="1" s="1"/>
  <c r="AQ285" i="1"/>
  <c r="AR285" i="1" s="1"/>
  <c r="AQ286" i="1"/>
  <c r="AR286" i="1" s="1"/>
  <c r="AQ287" i="1"/>
  <c r="AR287" i="1" s="1"/>
  <c r="AQ288" i="1"/>
  <c r="AR288" i="1" s="1"/>
  <c r="AQ289" i="1"/>
  <c r="AR289" i="1" s="1"/>
  <c r="AQ290" i="1"/>
  <c r="AR290" i="1" s="1"/>
  <c r="AQ291" i="1"/>
  <c r="AR291" i="1" s="1"/>
  <c r="AQ292" i="1"/>
  <c r="AR292" i="1" s="1"/>
  <c r="AQ293" i="1"/>
  <c r="AR293" i="1" s="1"/>
  <c r="AQ294" i="1"/>
  <c r="AR294" i="1" s="1"/>
  <c r="AQ295" i="1"/>
  <c r="AR295" i="1" s="1"/>
  <c r="AQ296" i="1"/>
  <c r="AR296" i="1" s="1"/>
  <c r="AQ298" i="1"/>
  <c r="AR298" i="1" s="1"/>
  <c r="AN281" i="1" l="1"/>
  <c r="H281" i="1"/>
  <c r="H278" i="1"/>
  <c r="H277" i="1"/>
  <c r="H279" i="1"/>
  <c r="AN218" i="1" l="1"/>
  <c r="AN277" i="1" l="1"/>
  <c r="AQ276" i="1"/>
  <c r="AR276" i="1" s="1"/>
  <c r="AQ277" i="1"/>
  <c r="AR277" i="1" s="1"/>
  <c r="AQ278" i="1"/>
  <c r="AR278" i="1" s="1"/>
  <c r="AQ279" i="1"/>
  <c r="AR279" i="1" s="1"/>
  <c r="AQ280" i="1"/>
  <c r="AR280" i="1" s="1"/>
  <c r="AQ281" i="1"/>
  <c r="AR281" i="1" s="1"/>
  <c r="AN270" i="1" l="1"/>
  <c r="AZ267" i="1"/>
  <c r="AI299" i="1"/>
  <c r="AI251" i="1"/>
  <c r="AI210" i="1"/>
  <c r="AI151" i="1"/>
  <c r="AI104" i="1"/>
  <c r="AI48" i="1"/>
  <c r="AI337" i="1" l="1"/>
  <c r="AN254" i="1"/>
  <c r="AZ299" i="1"/>
  <c r="AV332" i="1" s="1"/>
  <c r="AX299" i="1"/>
  <c r="AN256" i="1"/>
  <c r="AQ261" i="1"/>
  <c r="AR261" i="1" s="1"/>
  <c r="AQ262" i="1"/>
  <c r="AR262" i="1" s="1"/>
  <c r="AQ263" i="1"/>
  <c r="AR263" i="1" s="1"/>
  <c r="AQ264" i="1"/>
  <c r="AR264" i="1" s="1"/>
  <c r="AQ265" i="1"/>
  <c r="AR265" i="1" s="1"/>
  <c r="AQ266" i="1"/>
  <c r="AR266" i="1" s="1"/>
  <c r="AQ267" i="1"/>
  <c r="AR267" i="1" s="1"/>
  <c r="AQ268" i="1"/>
  <c r="AR268" i="1" s="1"/>
  <c r="AQ269" i="1"/>
  <c r="AR269" i="1" s="1"/>
  <c r="AQ270" i="1"/>
  <c r="AR271" i="1"/>
  <c r="AQ272" i="1"/>
  <c r="AR272" i="1" s="1"/>
  <c r="AQ273" i="1"/>
  <c r="AR273" i="1" s="1"/>
  <c r="AQ275" i="1"/>
  <c r="AR275" i="1" s="1"/>
  <c r="AQ282" i="1"/>
  <c r="AR282" i="1" s="1"/>
  <c r="AR270" i="1" l="1"/>
  <c r="AN253" i="1"/>
  <c r="AN255" i="1"/>
  <c r="AP299" i="1"/>
  <c r="BB256" i="1"/>
  <c r="BB253" i="1"/>
  <c r="BB254" i="1"/>
  <c r="BB299" i="1" l="1"/>
  <c r="AN252" i="1"/>
  <c r="AN299" i="1" s="1"/>
  <c r="AQ253" i="1"/>
  <c r="AR253" i="1" s="1"/>
  <c r="AQ254" i="1"/>
  <c r="AR254" i="1" s="1"/>
  <c r="AQ255" i="1"/>
  <c r="AR255" i="1" s="1"/>
  <c r="AQ256" i="1"/>
  <c r="AR256" i="1" s="1"/>
  <c r="AQ257" i="1"/>
  <c r="AR257" i="1" s="1"/>
  <c r="AQ258" i="1"/>
  <c r="AR258" i="1" s="1"/>
  <c r="AQ259" i="1"/>
  <c r="AR259" i="1" s="1"/>
  <c r="AQ260" i="1"/>
  <c r="AR260" i="1" s="1"/>
  <c r="S299" i="1"/>
  <c r="T299" i="1"/>
  <c r="U299" i="1"/>
  <c r="V299" i="1"/>
  <c r="W299" i="1"/>
  <c r="X299" i="1"/>
  <c r="Y299" i="1"/>
  <c r="Z299" i="1"/>
  <c r="AA299" i="1"/>
  <c r="AB299" i="1"/>
  <c r="AC299" i="1"/>
  <c r="AD299" i="1"/>
  <c r="AE299" i="1"/>
  <c r="AF299" i="1"/>
  <c r="AG299" i="1"/>
  <c r="AH299" i="1"/>
  <c r="AJ299" i="1"/>
  <c r="AK299" i="1"/>
  <c r="R299" i="1"/>
  <c r="AK337" i="1" l="1"/>
  <c r="AK332" i="1"/>
  <c r="C299" i="1"/>
  <c r="C332" i="1"/>
  <c r="E299" i="1"/>
  <c r="AN249" i="1"/>
  <c r="E5" i="9" l="1"/>
  <c r="B5" i="9"/>
  <c r="D4" i="9"/>
  <c r="E4" i="9" s="1"/>
  <c r="D3" i="9"/>
  <c r="E3" i="9" s="1"/>
  <c r="D2" i="9"/>
  <c r="E2" i="9" s="1"/>
  <c r="E7" i="9" l="1"/>
  <c r="AN242" i="1" l="1"/>
  <c r="AN243" i="1"/>
  <c r="AQ243" i="1" s="1"/>
  <c r="AR243" i="1" s="1"/>
  <c r="X225" i="1"/>
  <c r="AN225" i="1" s="1"/>
  <c r="AZ159" i="1"/>
  <c r="AN238" i="1"/>
  <c r="AE251" i="1"/>
  <c r="AF251" i="1"/>
  <c r="AE210" i="1"/>
  <c r="AF210" i="1"/>
  <c r="AE151" i="1"/>
  <c r="AF151" i="1"/>
  <c r="AE104" i="1"/>
  <c r="AF104" i="1"/>
  <c r="AE48" i="1"/>
  <c r="AF48" i="1"/>
  <c r="AP242" i="1"/>
  <c r="AQ245" i="1"/>
  <c r="AR245" i="1" s="1"/>
  <c r="AQ244" i="1"/>
  <c r="AR244" i="1" s="1"/>
  <c r="AN241" i="1"/>
  <c r="AF337" i="1" l="1"/>
  <c r="AE337" i="1"/>
  <c r="AQ242" i="1"/>
  <c r="AR242" i="1" s="1"/>
  <c r="AN236" i="1"/>
  <c r="AQ211" i="1"/>
  <c r="AR211" i="1" s="1"/>
  <c r="AN237" i="1" l="1"/>
  <c r="AP237" i="1"/>
  <c r="AQ238" i="1"/>
  <c r="AR238" i="1" s="1"/>
  <c r="AQ239" i="1"/>
  <c r="AR239" i="1" s="1"/>
  <c r="AQ240" i="1"/>
  <c r="AR240" i="1" s="1"/>
  <c r="AQ241" i="1"/>
  <c r="AR241" i="1" s="1"/>
  <c r="AQ246" i="1"/>
  <c r="AQ247" i="1"/>
  <c r="AR247" i="1" s="1"/>
  <c r="AN224" i="1" l="1"/>
  <c r="AN230" i="1"/>
  <c r="AN228" i="1"/>
  <c r="AQ228" i="1" s="1"/>
  <c r="AR228" i="1" s="1"/>
  <c r="BB236" i="1"/>
  <c r="AQ236" i="1"/>
  <c r="AR236" i="1" s="1"/>
  <c r="BB235" i="1"/>
  <c r="AN235" i="1"/>
  <c r="AN233" i="1"/>
  <c r="AP194" i="1"/>
  <c r="AQ194" i="1" l="1"/>
  <c r="AR194" i="1" s="1"/>
  <c r="AN232" i="1"/>
  <c r="AQ232" i="1" s="1"/>
  <c r="AR232" i="1" s="1"/>
  <c r="AP159" i="1"/>
  <c r="AN159" i="1"/>
  <c r="AN231" i="1"/>
  <c r="AQ231" i="1" s="1"/>
  <c r="AR231" i="1" s="1"/>
  <c r="AQ233" i="1"/>
  <c r="AR233" i="1" s="1"/>
  <c r="BB230" i="1"/>
  <c r="BB231" i="1"/>
  <c r="AN229" i="1"/>
  <c r="BB229" i="1"/>
  <c r="AQ252" i="1"/>
  <c r="AR252" i="1" s="1"/>
  <c r="AQ234" i="1"/>
  <c r="AR234" i="1" s="1"/>
  <c r="AQ235" i="1"/>
  <c r="AR235" i="1" s="1"/>
  <c r="AN103" i="1"/>
  <c r="AQ103" i="1" s="1"/>
  <c r="AN102" i="1"/>
  <c r="AQ102" i="1" s="1"/>
  <c r="AN101" i="1"/>
  <c r="AQ101" i="1" s="1"/>
  <c r="AN100" i="1"/>
  <c r="AQ100" i="1" s="1"/>
  <c r="AN99" i="1"/>
  <c r="AQ99" i="1" s="1"/>
  <c r="AN98" i="1"/>
  <c r="AQ98" i="1" s="1"/>
  <c r="AN97" i="1"/>
  <c r="AQ97" i="1" s="1"/>
  <c r="AN90" i="1"/>
  <c r="AQ90" i="1" s="1"/>
  <c r="AQ96" i="1"/>
  <c r="AQ95" i="1"/>
  <c r="AX94" i="1"/>
  <c r="AN94" i="1"/>
  <c r="AQ94" i="1" s="1"/>
  <c r="AQ93" i="1"/>
  <c r="AQ92" i="1"/>
  <c r="AQ91" i="1"/>
  <c r="AZ90" i="1"/>
  <c r="AQ89" i="1"/>
  <c r="AX88" i="1"/>
  <c r="AQ88" i="1"/>
  <c r="AX87" i="1"/>
  <c r="AQ87" i="1"/>
  <c r="AQ86" i="1"/>
  <c r="AQ299" i="1" l="1"/>
  <c r="AN221" i="1"/>
  <c r="BB251" i="1"/>
  <c r="AX251" i="1"/>
  <c r="AZ251" i="1"/>
  <c r="AN85" i="1"/>
  <c r="AN81" i="1"/>
  <c r="AN75" i="1"/>
  <c r="AN74" i="1"/>
  <c r="AZ73" i="1"/>
  <c r="AN73" i="1"/>
  <c r="AN67" i="1"/>
  <c r="AZ62" i="1"/>
  <c r="AZ61" i="1"/>
  <c r="AN59" i="1"/>
  <c r="AZ58" i="1"/>
  <c r="AN58" i="1"/>
  <c r="AN55" i="1"/>
  <c r="AN50" i="1"/>
  <c r="AH49" i="1"/>
  <c r="AH104" i="1" s="1"/>
  <c r="S104" i="1"/>
  <c r="T104" i="1"/>
  <c r="U104" i="1"/>
  <c r="V104" i="1"/>
  <c r="W104" i="1"/>
  <c r="X104" i="1"/>
  <c r="Y104" i="1"/>
  <c r="Z104" i="1"/>
  <c r="AA104" i="1"/>
  <c r="AB104" i="1"/>
  <c r="AC104" i="1"/>
  <c r="AD104" i="1"/>
  <c r="AG104" i="1"/>
  <c r="AJ104" i="1"/>
  <c r="R104" i="1"/>
  <c r="AZ47" i="1"/>
  <c r="AN44" i="1"/>
  <c r="AZ43" i="1"/>
  <c r="AZ42" i="1"/>
  <c r="AN42" i="1"/>
  <c r="AN39" i="1"/>
  <c r="AN34" i="1"/>
  <c r="AZ27" i="1"/>
  <c r="AN27" i="1"/>
  <c r="AN22" i="1"/>
  <c r="AN23" i="1"/>
  <c r="AN25" i="1"/>
  <c r="AN7" i="1"/>
  <c r="S48" i="1"/>
  <c r="T48" i="1"/>
  <c r="U48" i="1"/>
  <c r="V48" i="1"/>
  <c r="W48" i="1"/>
  <c r="X48" i="1"/>
  <c r="Y48" i="1"/>
  <c r="Z48" i="1"/>
  <c r="AA48" i="1"/>
  <c r="AB48" i="1"/>
  <c r="AC48" i="1"/>
  <c r="AD48" i="1"/>
  <c r="AG48" i="1"/>
  <c r="AH48" i="1"/>
  <c r="AJ48" i="1"/>
  <c r="R48" i="1"/>
  <c r="AN163" i="1"/>
  <c r="AN129" i="1"/>
  <c r="AD127" i="1"/>
  <c r="AD151" i="1" s="1"/>
  <c r="R151" i="1"/>
  <c r="S151" i="1"/>
  <c r="T151" i="1"/>
  <c r="U151" i="1"/>
  <c r="V151" i="1"/>
  <c r="W151" i="1"/>
  <c r="X151" i="1"/>
  <c r="Y151" i="1"/>
  <c r="Z151" i="1"/>
  <c r="AA151" i="1"/>
  <c r="AB151" i="1"/>
  <c r="AC151" i="1"/>
  <c r="AG151" i="1"/>
  <c r="AH151" i="1"/>
  <c r="AJ151" i="1"/>
  <c r="AX151" i="1"/>
  <c r="AX210" i="1"/>
  <c r="AN207" i="1"/>
  <c r="AQ171" i="1"/>
  <c r="AR171" i="1" s="1"/>
  <c r="AQ172" i="1"/>
  <c r="AR172" i="1" s="1"/>
  <c r="AQ173" i="1"/>
  <c r="AR173" i="1" s="1"/>
  <c r="AQ174" i="1"/>
  <c r="AR174" i="1" s="1"/>
  <c r="AQ175" i="1"/>
  <c r="AR175" i="1" s="1"/>
  <c r="AQ176" i="1"/>
  <c r="AR176" i="1" s="1"/>
  <c r="AQ177" i="1"/>
  <c r="AR177" i="1" s="1"/>
  <c r="AQ178" i="1"/>
  <c r="AR178" i="1" s="1"/>
  <c r="AQ179" i="1"/>
  <c r="AR179" i="1" s="1"/>
  <c r="AQ180" i="1"/>
  <c r="AR180" i="1" s="1"/>
  <c r="AQ181" i="1"/>
  <c r="AR181" i="1" s="1"/>
  <c r="AQ182" i="1"/>
  <c r="AR182" i="1" s="1"/>
  <c r="AQ183" i="1"/>
  <c r="AR183" i="1" s="1"/>
  <c r="AQ184" i="1"/>
  <c r="AR184" i="1" s="1"/>
  <c r="AQ185" i="1"/>
  <c r="AR185" i="1" s="1"/>
  <c r="AQ186" i="1"/>
  <c r="AR186" i="1" s="1"/>
  <c r="AQ187" i="1"/>
  <c r="AR187" i="1" s="1"/>
  <c r="AQ188" i="1"/>
  <c r="AR188" i="1" s="1"/>
  <c r="AN189" i="1"/>
  <c r="AQ189" i="1" s="1"/>
  <c r="AR189" i="1" s="1"/>
  <c r="AQ160" i="1"/>
  <c r="AR160" i="1" s="1"/>
  <c r="S251" i="1"/>
  <c r="T251" i="1"/>
  <c r="U251" i="1"/>
  <c r="V251" i="1"/>
  <c r="W251" i="1"/>
  <c r="X251" i="1"/>
  <c r="Y251" i="1"/>
  <c r="Z251" i="1"/>
  <c r="AA251" i="1"/>
  <c r="AB251" i="1"/>
  <c r="AC251" i="1"/>
  <c r="AD251" i="1"/>
  <c r="AG251" i="1"/>
  <c r="AH251" i="1"/>
  <c r="AJ251" i="1"/>
  <c r="R251" i="1"/>
  <c r="AP207" i="1"/>
  <c r="R210" i="1"/>
  <c r="S210" i="1"/>
  <c r="T210" i="1"/>
  <c r="U210" i="1"/>
  <c r="V210" i="1"/>
  <c r="W210" i="1"/>
  <c r="X210" i="1"/>
  <c r="Y210" i="1"/>
  <c r="Z210" i="1"/>
  <c r="AB210" i="1"/>
  <c r="AC210" i="1"/>
  <c r="AD210" i="1"/>
  <c r="AG210" i="1"/>
  <c r="AH210" i="1"/>
  <c r="AJ210" i="1"/>
  <c r="AN226" i="1"/>
  <c r="AQ225" i="1"/>
  <c r="AR225" i="1" s="1"/>
  <c r="AQ227" i="1"/>
  <c r="AR227" i="1" s="1"/>
  <c r="AQ229" i="1"/>
  <c r="AR229" i="1" s="1"/>
  <c r="AQ230" i="1"/>
  <c r="AR230" i="1" s="1"/>
  <c r="AQ237" i="1"/>
  <c r="AR237" i="1" s="1"/>
  <c r="AQ248" i="1"/>
  <c r="AR248" i="1" s="1"/>
  <c r="AQ249" i="1"/>
  <c r="AR249" i="1" s="1"/>
  <c r="AQ250" i="1"/>
  <c r="AR250" i="1" s="1"/>
  <c r="AQ218" i="1"/>
  <c r="AR218" i="1" s="1"/>
  <c r="AQ219" i="1"/>
  <c r="AR219" i="1" s="1"/>
  <c r="R337" i="1" l="1"/>
  <c r="Z337" i="1"/>
  <c r="V337" i="1"/>
  <c r="AJ337" i="1"/>
  <c r="AC337" i="1"/>
  <c r="Y337" i="1"/>
  <c r="U337" i="1"/>
  <c r="AH337" i="1"/>
  <c r="AB337" i="1"/>
  <c r="X337" i="1"/>
  <c r="T337" i="1"/>
  <c r="AD337" i="1"/>
  <c r="AG337" i="1"/>
  <c r="W337" i="1"/>
  <c r="S337" i="1"/>
  <c r="E104" i="1"/>
  <c r="E251" i="1"/>
  <c r="E48" i="1"/>
  <c r="E151" i="1"/>
  <c r="AZ48" i="1"/>
  <c r="AV299" i="1"/>
  <c r="AQ226" i="1"/>
  <c r="AR226" i="1" s="1"/>
  <c r="AV251" i="1"/>
  <c r="AP222" i="1"/>
  <c r="AA210" i="1"/>
  <c r="AA337" i="1" s="1"/>
  <c r="AQ149" i="1"/>
  <c r="AR149" i="1" s="1"/>
  <c r="AQ150" i="1"/>
  <c r="AR150" i="1" s="1"/>
  <c r="BB168" i="1"/>
  <c r="AN168" i="1"/>
  <c r="AN191" i="1"/>
  <c r="AQ191" i="1" s="1"/>
  <c r="AR191" i="1" s="1"/>
  <c r="AN192" i="1"/>
  <c r="AQ192" i="1" s="1"/>
  <c r="AR192" i="1" s="1"/>
  <c r="BB191" i="1"/>
  <c r="AQ193" i="1"/>
  <c r="AR193" i="1" s="1"/>
  <c r="AN190" i="1"/>
  <c r="AQ190" i="1" s="1"/>
  <c r="AR190" i="1" s="1"/>
  <c r="AP251" i="1" l="1"/>
  <c r="E210" i="1"/>
  <c r="AP203" i="1"/>
  <c r="AP204" i="1"/>
  <c r="AP202" i="1"/>
  <c r="AN204" i="1"/>
  <c r="AN203" i="1"/>
  <c r="AN202" i="1"/>
  <c r="E337" i="1" l="1"/>
  <c r="AP210" i="1"/>
  <c r="AQ156" i="1"/>
  <c r="AR156" i="1" s="1"/>
  <c r="AQ157" i="1"/>
  <c r="AQ158" i="1"/>
  <c r="AR158" i="1" s="1"/>
  <c r="AQ159" i="1"/>
  <c r="AR159" i="1" s="1"/>
  <c r="BB157" i="1" l="1"/>
  <c r="BB210" i="1" s="1"/>
  <c r="AR157" i="1"/>
  <c r="AQ214" i="1"/>
  <c r="AR214" i="1" s="1"/>
  <c r="AQ215" i="1"/>
  <c r="AR215" i="1" s="1"/>
  <c r="AQ217" i="1"/>
  <c r="AR217" i="1" s="1"/>
  <c r="AQ220" i="1"/>
  <c r="AR220" i="1" s="1"/>
  <c r="AQ221" i="1"/>
  <c r="AR221" i="1" s="1"/>
  <c r="AQ222" i="1"/>
  <c r="AR222" i="1" s="1"/>
  <c r="AQ223" i="1"/>
  <c r="AR223" i="1" s="1"/>
  <c r="AQ224" i="1"/>
  <c r="AR224" i="1" s="1"/>
  <c r="AN216" i="1"/>
  <c r="AQ216" i="1" s="1"/>
  <c r="AR216" i="1" s="1"/>
  <c r="AN213" i="1" l="1"/>
  <c r="AN251" i="1" s="1"/>
  <c r="AN195" i="1" l="1"/>
  <c r="AQ195" i="1" s="1"/>
  <c r="AR195" i="1" s="1"/>
  <c r="AN199" i="1" l="1"/>
  <c r="AN205" i="1"/>
  <c r="AQ204" i="1" l="1"/>
  <c r="AR204" i="1" s="1"/>
  <c r="AQ203" i="1"/>
  <c r="AR203" i="1" s="1"/>
  <c r="AQ201" i="1"/>
  <c r="AR201" i="1" s="1"/>
  <c r="AQ202" i="1"/>
  <c r="AR202" i="1" s="1"/>
  <c r="AQ205" i="1"/>
  <c r="AR205" i="1" s="1"/>
  <c r="AQ206" i="1"/>
  <c r="AR206" i="1" s="1"/>
  <c r="AQ207" i="1"/>
  <c r="AR207" i="1" s="1"/>
  <c r="AQ208" i="1"/>
  <c r="AR208" i="1" s="1"/>
  <c r="AQ209" i="1"/>
  <c r="AR209" i="1" s="1"/>
  <c r="AQ212" i="1"/>
  <c r="AR212" i="1" s="1"/>
  <c r="AQ213" i="1"/>
  <c r="AR213" i="1" s="1"/>
  <c r="AN133" i="1"/>
  <c r="AQ251" i="1" l="1"/>
  <c r="AN72" i="1"/>
  <c r="C251" i="1" l="1"/>
  <c r="AZ193" i="1"/>
  <c r="AZ210" i="1" s="1"/>
  <c r="AV210" i="1" l="1"/>
  <c r="O44" i="8"/>
  <c r="AQ168" i="1" l="1"/>
  <c r="AR168" i="1" s="1"/>
  <c r="AN167" i="1" l="1"/>
  <c r="AQ167" i="1" s="1"/>
  <c r="AR167" i="1" s="1"/>
  <c r="AQ165" i="1"/>
  <c r="AR165" i="1" s="1"/>
  <c r="AQ169" i="1"/>
  <c r="AQ170" i="1"/>
  <c r="AR170" i="1" s="1"/>
  <c r="AQ196" i="1"/>
  <c r="AR196" i="1" s="1"/>
  <c r="AQ197" i="1"/>
  <c r="AR197" i="1" s="1"/>
  <c r="AQ198" i="1"/>
  <c r="AR198" i="1" s="1"/>
  <c r="AQ199" i="1"/>
  <c r="AR199" i="1" s="1"/>
  <c r="AQ200" i="1"/>
  <c r="AR200" i="1" s="1"/>
  <c r="AN166" i="1"/>
  <c r="AQ166" i="1" s="1"/>
  <c r="AR166" i="1" s="1"/>
  <c r="AN161" i="1"/>
  <c r="AN77" i="1"/>
  <c r="AN164" i="1"/>
  <c r="AQ164" i="1" s="1"/>
  <c r="AR164" i="1" s="1"/>
  <c r="AW121" i="1"/>
  <c r="AN152" i="1"/>
  <c r="AQ152" i="1" s="1"/>
  <c r="AR152" i="1" s="1"/>
  <c r="AQ154" i="1"/>
  <c r="AR154" i="1" s="1"/>
  <c r="AQ155" i="1"/>
  <c r="AR155" i="1" s="1"/>
  <c r="AQ163" i="1"/>
  <c r="AR163" i="1" s="1"/>
  <c r="AN162" i="1"/>
  <c r="AQ162" i="1" s="1"/>
  <c r="AR162" i="1" s="1"/>
  <c r="D59" i="8"/>
  <c r="AQ161" i="1" l="1"/>
  <c r="AR161" i="1" s="1"/>
  <c r="AN210" i="1"/>
  <c r="AN60" i="1"/>
  <c r="AQ139" i="1"/>
  <c r="AR139" i="1" s="1"/>
  <c r="AN26" i="1"/>
  <c r="AQ26" i="1" s="1"/>
  <c r="E405" i="5" l="1"/>
  <c r="AP112" i="1" l="1"/>
  <c r="AQ138" i="1"/>
  <c r="AR138" i="1" s="1"/>
  <c r="AQ153" i="1"/>
  <c r="AQ210" i="1" l="1"/>
  <c r="C210" i="1" s="1"/>
  <c r="AR153" i="1"/>
  <c r="AP147" i="1"/>
  <c r="AN107" i="1" l="1"/>
  <c r="AQ143" i="1"/>
  <c r="AR143" i="1" s="1"/>
  <c r="AQ144" i="1"/>
  <c r="AR144" i="1" s="1"/>
  <c r="AQ145" i="1"/>
  <c r="AR145" i="1" s="1"/>
  <c r="AQ146" i="1"/>
  <c r="AR146" i="1" s="1"/>
  <c r="AQ147" i="1"/>
  <c r="AR147" i="1" s="1"/>
  <c r="AQ148" i="1"/>
  <c r="AR148" i="1" s="1"/>
  <c r="AN142" i="1"/>
  <c r="AQ142" i="1" s="1"/>
  <c r="AR142" i="1" s="1"/>
  <c r="F12" i="5"/>
  <c r="E12" i="5"/>
  <c r="G12" i="5"/>
  <c r="AN141" i="1"/>
  <c r="AQ141" i="1" s="1"/>
  <c r="AR141" i="1" s="1"/>
  <c r="E14" i="5"/>
  <c r="AN140" i="1" s="1"/>
  <c r="AQ140" i="1" s="1"/>
  <c r="AR140" i="1" s="1"/>
  <c r="AZ137" i="1" l="1"/>
  <c r="E436" i="5"/>
  <c r="O436" i="5" s="1"/>
  <c r="D436" i="5"/>
  <c r="C436" i="5"/>
  <c r="O435" i="5"/>
  <c r="G435" i="5"/>
  <c r="O434" i="5"/>
  <c r="G434" i="5"/>
  <c r="O433" i="5"/>
  <c r="G433" i="5"/>
  <c r="O432" i="5"/>
  <c r="G432" i="5"/>
  <c r="O431" i="5"/>
  <c r="G431" i="5"/>
  <c r="O430" i="5"/>
  <c r="G430" i="5"/>
  <c r="O429" i="5"/>
  <c r="G429" i="5"/>
  <c r="O428" i="5"/>
  <c r="G428" i="5"/>
  <c r="O427" i="5"/>
  <c r="G427" i="5"/>
  <c r="O426" i="5"/>
  <c r="G426" i="5"/>
  <c r="O425" i="5"/>
  <c r="G425" i="5"/>
  <c r="O424" i="5"/>
  <c r="G424" i="5"/>
  <c r="O423" i="5"/>
  <c r="G423" i="5"/>
  <c r="O422" i="5"/>
  <c r="G422" i="5"/>
  <c r="O421" i="5"/>
  <c r="G421" i="5"/>
  <c r="O420" i="5"/>
  <c r="G420" i="5"/>
  <c r="O419" i="5"/>
  <c r="G419" i="5"/>
  <c r="O418" i="5"/>
  <c r="G418" i="5"/>
  <c r="O417" i="5"/>
  <c r="G417" i="5"/>
  <c r="O416" i="5"/>
  <c r="G416" i="5"/>
  <c r="O415" i="5"/>
  <c r="G415" i="5"/>
  <c r="O414" i="5"/>
  <c r="G414" i="5"/>
  <c r="O413" i="5"/>
  <c r="G413" i="5"/>
  <c r="O412" i="5"/>
  <c r="G412" i="5"/>
  <c r="O411" i="5"/>
  <c r="G411" i="5"/>
  <c r="O410" i="5"/>
  <c r="G410" i="5"/>
  <c r="C6" i="5"/>
  <c r="C5" i="5"/>
  <c r="AQ137" i="1"/>
  <c r="AR137" i="1" s="1"/>
  <c r="AQ136" i="1"/>
  <c r="AR136" i="1" s="1"/>
  <c r="AQ135" i="1"/>
  <c r="AR135" i="1" s="1"/>
  <c r="AZ134" i="1"/>
  <c r="AN134" i="1"/>
  <c r="AQ134" i="1" s="1"/>
  <c r="AR134" i="1" s="1"/>
  <c r="AQ133" i="1"/>
  <c r="AR133" i="1" s="1"/>
  <c r="AQ132" i="1"/>
  <c r="AR132" i="1" s="1"/>
  <c r="AQ131" i="1"/>
  <c r="AR131" i="1" s="1"/>
  <c r="AZ130" i="1"/>
  <c r="AN130" i="1"/>
  <c r="AQ130" i="1" s="1"/>
  <c r="AR130" i="1" s="1"/>
  <c r="AZ129" i="1"/>
  <c r="AQ129" i="1"/>
  <c r="AR129" i="1" s="1"/>
  <c r="AZ128" i="1"/>
  <c r="AQ128" i="1"/>
  <c r="AR128" i="1" s="1"/>
  <c r="AQ127" i="1"/>
  <c r="AR127" i="1" s="1"/>
  <c r="AP126" i="1"/>
  <c r="AQ125" i="1"/>
  <c r="AR125" i="1" s="1"/>
  <c r="AQ124" i="1"/>
  <c r="AR124" i="1" s="1"/>
  <c r="AQ123" i="1"/>
  <c r="AR123" i="1" s="1"/>
  <c r="AN122" i="1"/>
  <c r="AQ122" i="1" s="1"/>
  <c r="AR122" i="1" s="1"/>
  <c r="AN121" i="1"/>
  <c r="AQ121" i="1" s="1"/>
  <c r="AR121" i="1" s="1"/>
  <c r="AQ120" i="1"/>
  <c r="AR120" i="1" s="1"/>
  <c r="AQ119" i="1"/>
  <c r="AR119" i="1" s="1"/>
  <c r="AQ118" i="1"/>
  <c r="AR118" i="1" s="1"/>
  <c r="AN117" i="1"/>
  <c r="AQ117" i="1" s="1"/>
  <c r="AR117" i="1" s="1"/>
  <c r="AN116" i="1"/>
  <c r="AQ116" i="1" s="1"/>
  <c r="AR116" i="1" s="1"/>
  <c r="AQ115" i="1"/>
  <c r="AR115" i="1" s="1"/>
  <c r="AQ114" i="1"/>
  <c r="AR114" i="1" s="1"/>
  <c r="AQ113" i="1"/>
  <c r="AR113" i="1" s="1"/>
  <c r="AQ112" i="1"/>
  <c r="AR112" i="1" s="1"/>
  <c r="AZ111" i="1"/>
  <c r="AQ111" i="1"/>
  <c r="AR111" i="1" s="1"/>
  <c r="AQ110" i="1"/>
  <c r="AR110" i="1" s="1"/>
  <c r="AQ109" i="1"/>
  <c r="AR109" i="1" s="1"/>
  <c r="AQ108" i="1"/>
  <c r="AR108" i="1" s="1"/>
  <c r="BB107" i="1"/>
  <c r="AQ107" i="1"/>
  <c r="AR107" i="1" s="1"/>
  <c r="AN106" i="1"/>
  <c r="AQ105" i="1"/>
  <c r="AR105" i="1" s="1"/>
  <c r="AQ85" i="1"/>
  <c r="AQ84" i="1"/>
  <c r="BB83" i="1"/>
  <c r="AQ83" i="1"/>
  <c r="AQ82" i="1"/>
  <c r="BB81" i="1"/>
  <c r="AW81" i="1"/>
  <c r="AQ81" i="1"/>
  <c r="AQ80" i="1"/>
  <c r="AQ79" i="1"/>
  <c r="AQ78" i="1"/>
  <c r="AQ77" i="1"/>
  <c r="AQ76" i="1"/>
  <c r="AQ75" i="1"/>
  <c r="AQ74" i="1"/>
  <c r="AQ73" i="1"/>
  <c r="AQ72" i="1"/>
  <c r="AQ71" i="1"/>
  <c r="AQ70" i="1"/>
  <c r="AQ69" i="1"/>
  <c r="AP68" i="1"/>
  <c r="AQ67" i="1"/>
  <c r="AQ66" i="1"/>
  <c r="BB65" i="1"/>
  <c r="AQ65" i="1"/>
  <c r="AQ64" i="1"/>
  <c r="AQ63" i="1"/>
  <c r="AQ62" i="1"/>
  <c r="AQ61" i="1"/>
  <c r="AQ60" i="1"/>
  <c r="AQ58" i="1"/>
  <c r="BB57" i="1"/>
  <c r="AN57" i="1"/>
  <c r="AQ57" i="1" s="1"/>
  <c r="AQ56" i="1"/>
  <c r="AQ55" i="1"/>
  <c r="AZ54" i="1"/>
  <c r="AZ104" i="1" s="1"/>
  <c r="AN54" i="1"/>
  <c r="AQ54" i="1" s="1"/>
  <c r="AN53" i="1"/>
  <c r="AQ53" i="1" s="1"/>
  <c r="AQ52" i="1"/>
  <c r="AQ51" i="1"/>
  <c r="AQ50" i="1"/>
  <c r="AQ47" i="1"/>
  <c r="AQ46" i="1"/>
  <c r="AQ45" i="1"/>
  <c r="AQ44" i="1"/>
  <c r="AQ43" i="1"/>
  <c r="AQ42" i="1"/>
  <c r="AQ41" i="1"/>
  <c r="AQ40" i="1"/>
  <c r="AQ39" i="1"/>
  <c r="AQ38" i="1"/>
  <c r="AQ37" i="1"/>
  <c r="AN36" i="1"/>
  <c r="AQ36" i="1" s="1"/>
  <c r="AQ35" i="1"/>
  <c r="AX34" i="1"/>
  <c r="AX48" i="1" s="1"/>
  <c r="AV48" i="1" s="1"/>
  <c r="AQ34" i="1"/>
  <c r="AQ33" i="1"/>
  <c r="AQ32" i="1"/>
  <c r="AQ31" i="1"/>
  <c r="AQ30" i="1"/>
  <c r="AQ29" i="1"/>
  <c r="AQ28" i="1"/>
  <c r="AQ27" i="1"/>
  <c r="AQ25" i="1"/>
  <c r="AQ24" i="1"/>
  <c r="AQ23" i="1"/>
  <c r="AQ22" i="1"/>
  <c r="AN21" i="1"/>
  <c r="AQ21" i="1" s="1"/>
  <c r="AN20" i="1"/>
  <c r="AQ20" i="1" s="1"/>
  <c r="BB19" i="1"/>
  <c r="AN19" i="1"/>
  <c r="AQ19" i="1" s="1"/>
  <c r="AQ18" i="1"/>
  <c r="AN17" i="1"/>
  <c r="AQ17" i="1" s="1"/>
  <c r="AN16" i="1"/>
  <c r="AQ15" i="1"/>
  <c r="AP14" i="1"/>
  <c r="AP13" i="1"/>
  <c r="AQ12" i="1"/>
  <c r="AQ11" i="1"/>
  <c r="AQ10" i="1"/>
  <c r="AQ9" i="1"/>
  <c r="AQ8" i="1"/>
  <c r="AQ7" i="1"/>
  <c r="AQ6" i="1"/>
  <c r="AQ5" i="1"/>
  <c r="AQ68" i="1" l="1"/>
  <c r="AQ14" i="1"/>
  <c r="B2" i="11"/>
  <c r="D2" i="11" s="1"/>
  <c r="AX104" i="1"/>
  <c r="AX337" i="1" s="1"/>
  <c r="BB104" i="1"/>
  <c r="AQ49" i="1"/>
  <c r="AN104" i="1"/>
  <c r="AQ59" i="1"/>
  <c r="AP104" i="1"/>
  <c r="AQ16" i="1"/>
  <c r="BB16" i="1" s="1"/>
  <c r="BB48" i="1" s="1"/>
  <c r="AN48" i="1"/>
  <c r="AQ13" i="1"/>
  <c r="AP48" i="1"/>
  <c r="BB151" i="1"/>
  <c r="AP151" i="1"/>
  <c r="AZ151" i="1"/>
  <c r="AQ106" i="1"/>
  <c r="AR106" i="1" s="1"/>
  <c r="AN151" i="1"/>
  <c r="G436" i="5"/>
  <c r="AQ126" i="1"/>
  <c r="AR126" i="1" s="1"/>
  <c r="BB337" i="1" l="1"/>
  <c r="AV151" i="1"/>
  <c r="AZ337" i="1"/>
  <c r="AX338" i="1" s="1"/>
  <c r="AV104" i="1"/>
  <c r="AQ104" i="1"/>
  <c r="AQ48" i="1"/>
  <c r="C48" i="1" s="1"/>
  <c r="AQ151" i="1"/>
  <c r="C104" i="1" l="1"/>
  <c r="C151" i="1"/>
  <c r="AR151" i="1"/>
  <c r="C337"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Opale</author>
    <author>tc={FDDF4CC6-BFF8-5B45-AA60-93273A1DE250}</author>
    <author>tc={C918B43D-2AA2-FE44-89AF-DA5778BD62B7}</author>
    <author>tc={CB6467FA-A171-014D-BBED-04C57733D20A}</author>
    <author>tc={F8B0E918-CA31-C546-A99B-51235126213F}</author>
    <author>tc={9F902329-DCCE-B541-9D47-0C02DB3BBABB}</author>
    <author>tc={2F364F65-B0EE-B244-8CCA-072760910232}</author>
    <author>tc={123050F1-1F60-0245-B6F4-E60D8FFB3466}</author>
    <author>tc={48B560E7-724B-334B-BBA0-CE9E3213E9E7}</author>
    <author>tc={483E98A4-D27B-2E4F-9650-C681DE1B5769}</author>
    <author>tc={BA291048-A568-B14D-A831-6F6680BB53F3}</author>
    <author>tc={548E15DD-05CC-A14D-846C-6513FE2DDDDE}</author>
    <author>tc={5A222731-39A5-7642-911F-6A66B612F8B9}</author>
    <author>tc={E8A46618-5F82-6A4C-AC1B-929045E6795C}</author>
    <author>tc={92D2C905-8A06-C640-B485-AA09C5EC27BB}</author>
    <author>tc={FA4C7970-4AC0-D746-998C-0A715774D162}</author>
    <author>tc={DD55CFB0-D5F0-F447-8192-755CCB1AD9D1}</author>
  </authors>
  <commentList>
    <comment ref="A3" authorId="0" shapeId="0" xr:uid="{4ACEBA22-7578-CA4A-8FEF-241D0D7B89FA}">
      <text>
        <r>
          <rPr>
            <sz val="11"/>
            <color rgb="FF000000"/>
            <rFont val="Helvetica Neue"/>
            <family val="2"/>
          </rPr>
          <t xml:space="preserve">Opale:
</t>
        </r>
        <r>
          <rPr>
            <sz val="11"/>
            <color rgb="FF000000"/>
            <rFont val="Helvetica Neue"/>
            <family val="2"/>
          </rPr>
          <t>YEAR_MONTH_NUMBER</t>
        </r>
      </text>
    </comment>
    <comment ref="C3" authorId="0" shapeId="0" xr:uid="{4010E5E5-7CB5-F647-833F-47DABEA80AD6}">
      <text>
        <r>
          <rPr>
            <sz val="11"/>
            <color rgb="FF000000"/>
            <rFont val="Helvetica Neue"/>
            <family val="2"/>
          </rPr>
          <t xml:space="preserve">Opale:
</t>
        </r>
        <r>
          <rPr>
            <sz val="11"/>
            <color rgb="FF000000"/>
            <rFont val="Helvetica Neue"/>
            <family val="2"/>
          </rPr>
          <t xml:space="preserve">Directs
</t>
        </r>
        <r>
          <rPr>
            <sz val="11"/>
            <color rgb="FF000000"/>
            <rFont val="Helvetica Neue"/>
            <family val="2"/>
          </rPr>
          <t xml:space="preserve">Distributeurs
</t>
        </r>
        <r>
          <rPr>
            <sz val="11"/>
            <color rgb="FF000000"/>
            <rFont val="Helvetica Neue"/>
            <family val="2"/>
          </rPr>
          <t>TdV</t>
        </r>
      </text>
    </comment>
    <comment ref="D3" authorId="0" shapeId="0" xr:uid="{7D93A691-5C61-BB4D-A296-DC891F5B47E4}">
      <text>
        <r>
          <rPr>
            <sz val="11"/>
            <color rgb="FF000000"/>
            <rFont val="Helvetica Neue"/>
            <family val="2"/>
          </rPr>
          <t xml:space="preserve">Opale:
</t>
        </r>
        <r>
          <rPr>
            <sz val="11"/>
            <color rgb="FF000000"/>
            <rFont val="Helvetica Neue"/>
            <family val="2"/>
          </rPr>
          <t xml:space="preserve">To contact
</t>
        </r>
        <r>
          <rPr>
            <sz val="11"/>
            <color rgb="FF000000"/>
            <rFont val="Helvetica Neue"/>
            <family val="2"/>
          </rPr>
          <t xml:space="preserve">To orders
</t>
        </r>
        <r>
          <rPr>
            <sz val="11"/>
            <color rgb="FF000000"/>
            <rFont val="Helvetica Neue"/>
            <family val="2"/>
          </rPr>
          <t xml:space="preserve">To alexia
</t>
        </r>
        <r>
          <rPr>
            <sz val="11"/>
            <color rgb="FF000000"/>
            <rFont val="Helvetica Neue"/>
            <family val="2"/>
          </rPr>
          <t xml:space="preserve">eshop
</t>
        </r>
        <r>
          <rPr>
            <sz val="11"/>
            <color rgb="FF000000"/>
            <rFont val="Helvetica Neue"/>
            <family val="2"/>
          </rPr>
          <t xml:space="preserve">HOUZZ
</t>
        </r>
        <r>
          <rPr>
            <sz val="11"/>
            <color rgb="FF000000"/>
            <rFont val="Helvetica Neue"/>
            <family val="2"/>
          </rPr>
          <t>Diatly</t>
        </r>
      </text>
    </comment>
    <comment ref="J3" authorId="0" shapeId="0" xr:uid="{E198EC8D-FF63-6547-A011-6F32F1FF77E7}">
      <text>
        <r>
          <rPr>
            <sz val="11"/>
            <color rgb="FF000000"/>
            <rFont val="Helvetica Neue"/>
            <family val="2"/>
          </rPr>
          <t xml:space="preserve">Opale:
</t>
        </r>
        <r>
          <rPr>
            <sz val="11"/>
            <color rgb="FF000000"/>
            <rFont val="Helvetica Neue"/>
            <family val="2"/>
          </rPr>
          <t xml:space="preserve">Required
</t>
        </r>
        <r>
          <rPr>
            <sz val="11"/>
            <color rgb="FF000000"/>
            <rFont val="Helvetica Neue"/>
            <family val="2"/>
          </rPr>
          <t xml:space="preserve">Not required
</t>
        </r>
        <r>
          <rPr>
            <sz val="11"/>
            <color rgb="FF000000"/>
            <rFont val="Helvetica Neue"/>
            <family val="2"/>
          </rPr>
          <t xml:space="preserve">Sent (to Decoprint by Alexia)
</t>
        </r>
      </text>
    </comment>
    <comment ref="C4" authorId="0" shapeId="0" xr:uid="{00000000-0006-0000-0000-000002000000}">
      <text>
        <r>
          <rPr>
            <sz val="11"/>
            <color rgb="FF000000"/>
            <rFont val="Helvetica Neue"/>
            <family val="2"/>
          </rPr>
          <t xml:space="preserve">Opale:
</t>
        </r>
        <r>
          <rPr>
            <sz val="11"/>
            <color rgb="FF000000"/>
            <rFont val="Helvetica Neue"/>
            <family val="2"/>
          </rPr>
          <t xml:space="preserve">Directs
</t>
        </r>
        <r>
          <rPr>
            <sz val="11"/>
            <color rgb="FF000000"/>
            <rFont val="Helvetica Neue"/>
            <family val="2"/>
          </rPr>
          <t xml:space="preserve">Distributeurs
</t>
        </r>
        <r>
          <rPr>
            <sz val="11"/>
            <color rgb="FF000000"/>
            <rFont val="Helvetica Neue"/>
            <family val="2"/>
          </rPr>
          <t>TdV</t>
        </r>
      </text>
    </comment>
    <comment ref="D4" authorId="0" shapeId="0" xr:uid="{00000000-0006-0000-0000-000003000000}">
      <text>
        <r>
          <rPr>
            <sz val="11"/>
            <color indexed="8"/>
            <rFont val="Helvetica Neue"/>
            <family val="2"/>
          </rPr>
          <t>Opale:
To contact
To orders
To alexia
eshop
HOUZZ
Diatly</t>
        </r>
      </text>
    </comment>
    <comment ref="J4" authorId="0" shapeId="0" xr:uid="{00000000-0006-0000-0000-000004000000}">
      <text>
        <r>
          <rPr>
            <sz val="11"/>
            <color indexed="8"/>
            <rFont val="Helvetica Neue"/>
            <family val="2"/>
          </rPr>
          <t xml:space="preserve">Opale:
Required
Not required
Sent (to Decoprint by Alexia)
</t>
        </r>
      </text>
    </comment>
    <comment ref="A11" authorId="1" shapeId="0" xr:uid="{FDDF4CC6-BFF8-5B45-AA60-93273A1DE25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invoice remains unpaid</t>
      </text>
    </comment>
    <comment ref="AO16" authorId="0" shapeId="0" xr:uid="{00000000-0006-0000-0000-000006000000}">
      <text>
        <r>
          <rPr>
            <sz val="11"/>
            <color indexed="8"/>
            <rFont val="Helvetica Neue"/>
            <family val="2"/>
          </rPr>
          <t>Opale:
prix purple total: 220,22 EUR</t>
        </r>
      </text>
    </comment>
    <comment ref="AO18" authorId="0" shapeId="0" xr:uid="{00000000-0006-0000-0000-000007000000}">
      <text>
        <r>
          <rPr>
            <sz val="11"/>
            <color indexed="8"/>
            <rFont val="Helvetica Neue"/>
            <family val="2"/>
          </rPr>
          <t>Opale:
!! Erreur d’envoi (chimera Toscana à renvoyer - non facturé au client)</t>
        </r>
      </text>
    </comment>
    <comment ref="L25" authorId="2" shapeId="0" xr:uid="{C918B43D-2AA2-FE44-89AF-DA5778BD62B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via decoprint</t>
      </text>
    </comment>
    <comment ref="AZ53" authorId="3" shapeId="0" xr:uid="{CB6467FA-A171-014D-BBED-04C57733D20A}">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remboursé (NdC) dû à un retard exceptionnel par TNT</t>
      </text>
    </comment>
    <comment ref="AO54" authorId="0" shapeId="0" xr:uid="{00000000-0006-0000-0000-000010000000}">
      <text>
        <r>
          <rPr>
            <sz val="11"/>
            <color rgb="FF000000"/>
            <rFont val="Helvetica Neue"/>
            <family val="2"/>
          </rPr>
          <t xml:space="preserve">Opale:
</t>
        </r>
        <r>
          <rPr>
            <sz val="11"/>
            <color rgb="FF000000"/>
            <rFont val="Helvetica Neue"/>
            <family val="2"/>
          </rPr>
          <t xml:space="preserve">Facture séparée pour la douane - même envoi (même bon de livraison)
</t>
        </r>
      </text>
    </comment>
    <comment ref="AX55" authorId="0" shapeId="0" xr:uid="{00000000-0006-0000-0000-000012000000}">
      <text>
        <r>
          <rPr>
            <sz val="11"/>
            <color indexed="8"/>
            <rFont val="Helvetica Neue"/>
            <family val="2"/>
          </rPr>
          <t>Opale:
20 eur dans devis pour second envoi du book spice)</t>
        </r>
      </text>
    </comment>
    <comment ref="A59" authorId="4" shapeId="0" xr:uid="{F8B0E918-CA31-C546-A99B-51235126213F}">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voir paiement (90 EUR??)</t>
      </text>
    </comment>
    <comment ref="AS59" authorId="5" shapeId="0" xr:uid="{9F902329-DCCE-B541-9D47-0C02DB3BBABB}">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ils ont payé 425 EUR</t>
      </text>
    </comment>
    <comment ref="AX65" authorId="0" shapeId="0" xr:uid="{00000000-0006-0000-0000-000015000000}">
      <text>
        <r>
          <rPr>
            <sz val="11"/>
            <color rgb="FF000000"/>
            <rFont val="Helvetica Neue"/>
            <family val="2"/>
          </rPr>
          <t xml:space="preserve">Opale:
</t>
        </r>
        <r>
          <rPr>
            <sz val="11"/>
            <color rgb="FF000000"/>
            <rFont val="Helvetica Neue"/>
            <family val="2"/>
          </rPr>
          <t>Offert</t>
        </r>
      </text>
    </comment>
    <comment ref="A66" authorId="6" shapeId="0" xr:uid="{2F364F65-B0EE-B244-8CCA-07276091023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7984,52 (non reporté) - pour books</t>
      </text>
    </comment>
    <comment ref="AN66" authorId="7" shapeId="0" xr:uid="{123050F1-1F60-0245-B6F4-E60D8FFB3466}">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7894,52</t>
      </text>
    </comment>
    <comment ref="U78" authorId="0" shapeId="0" xr:uid="{00000000-0006-0000-0000-000019000000}">
      <text>
        <r>
          <rPr>
            <sz val="11"/>
            <color indexed="8"/>
            <rFont val="Helvetica Neue"/>
            <family val="2"/>
          </rPr>
          <t xml:space="preserve">Opale:
CG
Ode
Balsam
Saudade
Spice (proto)	</t>
        </r>
      </text>
    </comment>
    <comment ref="AO78" authorId="0" shapeId="0" xr:uid="{00000000-0006-0000-0000-00001A000000}">
      <text>
        <r>
          <rPr>
            <sz val="11"/>
            <color rgb="FF000000"/>
            <rFont val="Helvetica Neue"/>
            <family val="2"/>
          </rPr>
          <t xml:space="preserve">Opale:
</t>
        </r>
        <r>
          <rPr>
            <sz val="11"/>
            <color rgb="FF000000"/>
            <rFont val="Helvetica Neue"/>
            <family val="2"/>
          </rPr>
          <t xml:space="preserve">Location du 18/02/2019 au 18/04/2019
</t>
        </r>
        <r>
          <rPr>
            <sz val="11"/>
            <color rgb="FF000000"/>
            <rFont val="Helvetica Neue"/>
            <family val="2"/>
          </rPr>
          <t>Facturation des frais de transport uniquement</t>
        </r>
      </text>
    </comment>
    <comment ref="AM86" authorId="0" shapeId="0" xr:uid="{995D7818-04D0-5741-8695-0643FC9C469C}">
      <text>
        <r>
          <rPr>
            <sz val="11"/>
            <color rgb="FF000000"/>
            <rFont val="Helvetica Neue"/>
            <family val="2"/>
          </rPr>
          <t xml:space="preserve">Opale:
</t>
        </r>
        <r>
          <rPr>
            <sz val="11"/>
            <color rgb="FF000000"/>
            <rFont val="Helvetica Neue"/>
            <family val="2"/>
          </rPr>
          <t>ABC Europe (imprimerie)</t>
        </r>
      </text>
    </comment>
    <comment ref="I90" authorId="0" shapeId="0" xr:uid="{1E63F052-8944-EE48-B0D9-5E95D003A5E4}">
      <text>
        <r>
          <rPr>
            <sz val="11"/>
            <color rgb="FF000000"/>
            <rFont val="Helvetica Neue"/>
            <family val="2"/>
          </rPr>
          <t xml:space="preserve">Opale:
</t>
        </r>
        <r>
          <rPr>
            <sz val="11"/>
            <color rgb="FF000000"/>
            <rFont val="Helvetica Neue"/>
            <family val="2"/>
          </rPr>
          <t>Waiting for payment confirmation</t>
        </r>
      </text>
    </comment>
    <comment ref="U111" authorId="0" shapeId="0" xr:uid="{00000000-0006-0000-0000-00001F000000}">
      <text>
        <r>
          <rPr>
            <sz val="11"/>
            <color rgb="FF000000"/>
            <rFont val="Helvetica Neue"/>
            <family val="2"/>
          </rPr>
          <t xml:space="preserve">Opale:
</t>
        </r>
        <r>
          <rPr>
            <sz val="11"/>
            <color rgb="FF000000"/>
            <rFont val="Helvetica Neue"/>
            <family val="2"/>
          </rPr>
          <t xml:space="preserve">Saudade
</t>
        </r>
        <r>
          <rPr>
            <sz val="11"/>
            <color rgb="FF000000"/>
            <rFont val="Helvetica Neue"/>
            <family val="2"/>
          </rPr>
          <t xml:space="preserve">Spice	</t>
        </r>
      </text>
    </comment>
    <comment ref="N127" authorId="8" shapeId="0" xr:uid="{48B560E7-724B-334B-BBA0-CE9E3213E9E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le camion n’est pas arrivé à temps pour retirer les catalogues chez ENTIRIS (avant 12:30 comme exprésséement demandé). ENTIRIS est fermé jusqu’au 22/04 inclus. Montecolino repassera donc le 23/04.</t>
      </text>
    </comment>
    <comment ref="AL127" authorId="0" shapeId="0" xr:uid="{00000000-0006-0000-0000-000020000000}">
      <text>
        <r>
          <rPr>
            <sz val="11"/>
            <color rgb="FF000000"/>
            <rFont val="Helvetica Neue"/>
            <family val="2"/>
          </rPr>
          <t xml:space="preserve">Opale:
</t>
        </r>
        <r>
          <rPr>
            <sz val="11"/>
            <color rgb="FF000000"/>
            <rFont val="Helvetica Neue"/>
            <family val="2"/>
          </rPr>
          <t xml:space="preserve">Prix montecolino
</t>
        </r>
        <r>
          <rPr>
            <sz val="11"/>
            <color rgb="FF000000"/>
            <rFont val="Helvetica Neue"/>
            <family val="2"/>
          </rPr>
          <t xml:space="preserve">14,6 plain
</t>
        </r>
        <r>
          <rPr>
            <sz val="11"/>
            <color rgb="FF000000"/>
            <rFont val="Helvetica Neue"/>
            <family val="2"/>
          </rPr>
          <t>19,7 traditionnel</t>
        </r>
      </text>
    </comment>
    <comment ref="AL128" authorId="0" shapeId="0" xr:uid="{00000000-0006-0000-0000-000021000000}">
      <text>
        <r>
          <rPr>
            <sz val="11"/>
            <color indexed="8"/>
            <rFont val="Helvetica Neue"/>
            <family val="2"/>
          </rPr>
          <t>Opale:
20% de remise</t>
        </r>
      </text>
    </comment>
    <comment ref="AL136" authorId="0" shapeId="0" xr:uid="{00000000-0006-0000-0000-000023000000}">
      <text>
        <r>
          <rPr>
            <sz val="11"/>
            <color rgb="FF000000"/>
            <rFont val="Helvetica Neue"/>
            <family val="2"/>
          </rPr>
          <t xml:space="preserve">Opale:
</t>
        </r>
        <r>
          <rPr>
            <sz val="11"/>
            <color rgb="FF000000"/>
            <rFont val="Helvetica Neue"/>
            <family val="2"/>
          </rPr>
          <t xml:space="preserve">Balsam
</t>
        </r>
        <r>
          <rPr>
            <sz val="11"/>
            <color rgb="FF000000"/>
            <rFont val="Helvetica Neue"/>
            <family val="2"/>
          </rPr>
          <t xml:space="preserve">Saudade
</t>
        </r>
        <r>
          <rPr>
            <sz val="11"/>
            <color rgb="FF000000"/>
            <rFont val="Helvetica Neue"/>
            <family val="2"/>
          </rPr>
          <t xml:space="preserve">Ode	</t>
        </r>
      </text>
    </comment>
    <comment ref="F139" authorId="9" shapeId="0" xr:uid="{483E98A4-D27B-2E4F-9650-C681DE1B576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paiement à recevoir avant de confirmer la commande!</t>
      </text>
    </comment>
    <comment ref="U160" authorId="10" shapeId="0" xr:uid="{BA291048-A568-B14D-A831-6F6680BB53F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book sppice
blossom (dfect)
saudade (madeira + lintu)</t>
      </text>
    </comment>
    <comment ref="F165" authorId="11" shapeId="0" xr:uid="{548E15DD-05CC-A14D-846C-6513FE2DDDDE}">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à établir sur base des coordonnées d’entreprise à recevoir
15,75 EUR / m2</t>
      </text>
    </comment>
    <comment ref="A209" authorId="12" shapeId="0" xr:uid="{5A222731-39A5-7642-911F-6A66B612F8B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out of stock (16/05)
Réponse :
    OK - livré</t>
      </text>
    </comment>
    <comment ref="A211" authorId="13" shapeId="0" xr:uid="{E8A46618-5F82-6A4C-AC1B-929045E6795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perdu par TNT</t>
      </text>
    </comment>
    <comment ref="A218" authorId="14" shapeId="0" xr:uid="{92D2C905-8A06-C640-B485-AA09C5EC27BB}">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out of stock (zhé marine)</t>
      </text>
    </comment>
    <comment ref="N220" authorId="15" shapeId="0" xr:uid="{FA4C7970-4AC0-D746-998C-0A715774D16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wiating for customer’s confirmation(mapping sent to montse)</t>
      </text>
    </comment>
    <comment ref="U222" authorId="16" shapeId="0" xr:uid="{DD55CFB0-D5F0-F447-8192-755CCB1AD9D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CG
SICE
SAU</t>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tc={B9657C7E-62DB-C945-A16F-96A692DFE873}</author>
    <author>tc={4FFD1B67-C441-B148-A2FB-F71FEF9B726F}</author>
    <author>tc={EB504468-6D5A-AC44-86F8-5AE7C85E870F}</author>
    <author>Opale</author>
  </authors>
  <commentList>
    <comment ref="D3" authorId="0" shapeId="0" xr:uid="{B9657C7E-62DB-C945-A16F-96A692DFE87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estimation</t>
      </text>
    </comment>
    <comment ref="B12" authorId="1" shapeId="0" xr:uid="{4FFD1B67-C441-B148-A2FB-F71FEF9B726F}">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21 x 29cm -&gt; 0,07 m2
(1 m2 / 14,29)</t>
      </text>
    </comment>
    <comment ref="B14" authorId="2" shapeId="0" xr:uid="{EB504468-6D5A-AC44-86F8-5AE7C85E870F}">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size: 0,53 x 0,2</t>
      </text>
    </comment>
    <comment ref="E370" authorId="3" shapeId="0" xr:uid="{00000000-0006-0000-0400-000001000000}">
      <text>
        <r>
          <rPr>
            <sz val="11"/>
            <color indexed="8"/>
            <rFont val="Helvetica Neue"/>
            <family val="2"/>
          </rPr>
          <t xml:space="preserve">Opale:
2e à moitié prix 
</t>
        </r>
      </text>
    </comment>
    <comment ref="C411" authorId="3" shapeId="0" xr:uid="{00000000-0006-0000-0400-000002000000}">
      <text>
        <r>
          <rPr>
            <sz val="11"/>
            <color indexed="8"/>
            <rFont val="Helvetica Neue"/>
            <family val="2"/>
          </rPr>
          <t>Opale:
3 sur leur fiche</t>
        </r>
      </text>
    </comment>
    <comment ref="C419" authorId="3" shapeId="0" xr:uid="{00000000-0006-0000-0400-000003000000}">
      <text>
        <r>
          <rPr>
            <sz val="11"/>
            <color rgb="FF000000"/>
            <rFont val="Helvetica Neue"/>
            <family val="2"/>
          </rPr>
          <t xml:space="preserve">Opale:
</t>
        </r>
        <r>
          <rPr>
            <sz val="11"/>
            <color rgb="FF000000"/>
            <rFont val="Helvetica Neue"/>
            <family val="2"/>
          </rPr>
          <t>58 selon fiche</t>
        </r>
      </text>
    </comment>
    <comment ref="C422" authorId="3" shapeId="0" xr:uid="{00000000-0006-0000-0400-000004000000}">
      <text>
        <r>
          <rPr>
            <sz val="11"/>
            <color rgb="FF000000"/>
            <rFont val="Helvetica Neue"/>
            <family val="2"/>
          </rPr>
          <t xml:space="preserve">Opale:
</t>
        </r>
        <r>
          <rPr>
            <sz val="11"/>
            <color rgb="FF000000"/>
            <rFont val="Helvetica Neue"/>
            <family val="2"/>
          </rPr>
          <t>1 selon fiche</t>
        </r>
      </text>
    </comment>
    <comment ref="C424" authorId="3" shapeId="0" xr:uid="{00000000-0006-0000-0400-000005000000}">
      <text>
        <r>
          <rPr>
            <sz val="11"/>
            <color indexed="8"/>
            <rFont val="Helvetica Neue"/>
            <family val="2"/>
          </rPr>
          <t>Opale:
14 selon fiche</t>
        </r>
      </text>
    </comment>
    <comment ref="C425" authorId="3" shapeId="0" xr:uid="{00000000-0006-0000-0400-000006000000}">
      <text>
        <r>
          <rPr>
            <sz val="11"/>
            <color indexed="8"/>
            <rFont val="Helvetica Neue"/>
            <family val="2"/>
          </rPr>
          <t>Opale:
Demande de 5 catalogues par email (11 janvier 2019)</t>
        </r>
      </text>
    </comment>
    <comment ref="C429" authorId="3" shapeId="0" xr:uid="{00000000-0006-0000-0400-000007000000}">
      <text>
        <r>
          <rPr>
            <sz val="11"/>
            <color indexed="8"/>
            <rFont val="Helvetica Neue"/>
            <family val="2"/>
          </rPr>
          <t>Opale:
5 selon fiche</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Opale</author>
    <author>tc={8EBE419D-578C-D642-91AC-80C8B571CDB1}</author>
    <author>tc={B635D587-42B3-D543-B868-56708051C21C}</author>
    <author>tc={1635C254-226F-0945-B4D3-1A5432D59B02}</author>
    <author>BELGIAN DESIGN sprl</author>
  </authors>
  <commentList>
    <comment ref="D6" authorId="0" shapeId="0" xr:uid="{1D664523-4F6D-1440-9355-BDB0D4EB854E}">
      <text>
        <r>
          <rPr>
            <sz val="11"/>
            <color rgb="FF000000"/>
            <rFont val="Helvetica Neue"/>
            <family val="2"/>
          </rPr>
          <t xml:space="preserve">Opale:
</t>
        </r>
        <r>
          <rPr>
            <sz val="11"/>
            <color rgb="FF000000"/>
            <rFont val="Helvetica Neue"/>
            <family val="2"/>
          </rPr>
          <t xml:space="preserve">2e à moitié prix 
</t>
        </r>
      </text>
    </comment>
    <comment ref="D35" authorId="1" shapeId="0" xr:uid="{8EBE419D-578C-D642-91AC-80C8B571CDB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attendre le paiement (devis envoyé!). Attention: envoyer 4 jeux des books à `1 jour d’intervalle!! (avec à chaque fois la facture appropriée -&gt; 1 jour, 1 jeu de 4 catalogues).</t>
      </text>
    </comment>
    <comment ref="F37" authorId="2" shapeId="0" xr:uid="{B635D587-42B3-D543-B868-56708051C21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le camion de montecolino a manqué les horaires d’entiris - ils enlèveront leur pallettes mardi 23 avril 2019.</t>
      </text>
    </comment>
    <comment ref="D47" authorId="3" shapeId="0" xr:uid="{1635C254-226F-0945-B4D3-1A5432D59B0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email envoyé à Alessandra pour avoir les étiquettes</t>
      </text>
    </comment>
    <comment ref="B49" authorId="4" shapeId="0" xr:uid="{51D414BF-7E18-DF4C-8109-82109116024F}">
      <text>
        <r>
          <rPr>
            <b/>
            <sz val="10"/>
            <color rgb="FF000000"/>
            <rFont val="Tahoma"/>
            <family val="2"/>
          </rPr>
          <t>BELGIAN DESIGN sprl:</t>
        </r>
        <r>
          <rPr>
            <sz val="10"/>
            <color rgb="FF000000"/>
            <rFont val="Tahoma"/>
            <family val="2"/>
          </rPr>
          <t xml:space="preserve">
</t>
        </r>
        <r>
          <rPr>
            <sz val="10"/>
            <color rgb="FF000000"/>
            <rFont val="Tahoma"/>
            <family val="2"/>
          </rPr>
          <t xml:space="preserve">déjà inscrit au dessus
</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tc={1546D8D7-3317-044E-9A11-8F78F0FF7FCB}</author>
  </authors>
  <commentList>
    <comment ref="BB39" authorId="0" shapeId="0" xr:uid="{1546D8D7-3317-044E-9A11-8F78F0FF7FCB}">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estimation</t>
      </text>
    </comment>
  </commentList>
</comments>
</file>

<file path=xl/comments5.xml><?xml version="1.0" encoding="utf-8"?>
<comments xmlns="http://schemas.openxmlformats.org/spreadsheetml/2006/main" xmlns:mc="http://schemas.openxmlformats.org/markup-compatibility/2006" xmlns:xr="http://schemas.microsoft.com/office/spreadsheetml/2014/revision" mc:Ignorable="xr">
  <authors>
    <author>BELGIAN DESIGN sprl</author>
  </authors>
  <commentList>
    <comment ref="B51" authorId="0" shapeId="0" xr:uid="{070E8087-969A-CF4C-8FCC-F8B5232BD898}">
      <text>
        <r>
          <rPr>
            <b/>
            <sz val="10"/>
            <color rgb="FF000000"/>
            <rFont val="Tahoma"/>
            <family val="2"/>
          </rPr>
          <t>BELGIAN DESIGN sprl:</t>
        </r>
        <r>
          <rPr>
            <sz val="10"/>
            <color rgb="FF000000"/>
            <rFont val="Tahoma"/>
            <family val="2"/>
          </rPr>
          <t xml:space="preserve">
</t>
        </r>
        <r>
          <rPr>
            <sz val="10"/>
            <color rgb="FF000000"/>
            <rFont val="Tahoma"/>
            <family val="2"/>
          </rPr>
          <t xml:space="preserve">déjà inscrit au dessus
</t>
        </r>
      </text>
    </comment>
  </commentList>
</comments>
</file>

<file path=xl/sharedStrings.xml><?xml version="1.0" encoding="utf-8"?>
<sst xmlns="http://schemas.openxmlformats.org/spreadsheetml/2006/main" count="14177" uniqueCount="3168">
  <si>
    <t>Tableau 1</t>
  </si>
  <si>
    <t>Origine de la commande</t>
  </si>
  <si>
    <t>Références</t>
  </si>
  <si>
    <t>Digital file</t>
  </si>
  <si>
    <t>Transporteur</t>
  </si>
  <si>
    <t>Client</t>
  </si>
  <si>
    <t>Facturation envoi</t>
  </si>
  <si>
    <t>Calcul marge (when required)</t>
  </si>
  <si>
    <t>Produits</t>
  </si>
  <si>
    <t>Réf TdV</t>
  </si>
  <si>
    <t>Date réception DEMANDE</t>
  </si>
  <si>
    <t>Clients</t>
  </si>
  <si>
    <t>Mode commande</t>
  </si>
  <si>
    <t>PAYS</t>
  </si>
  <si>
    <t>Réf Quote</t>
  </si>
  <si>
    <t>Réf BdC</t>
  </si>
  <si>
    <t>Réf BdL</t>
  </si>
  <si>
    <t>Dossier custom Alexia</t>
  </si>
  <si>
    <t>Réf envoi</t>
  </si>
  <si>
    <t>Date envoi client</t>
  </si>
  <si>
    <t>Nom/Réf client</t>
  </si>
  <si>
    <t>Commentaires</t>
  </si>
  <si>
    <t>Réf client</t>
  </si>
  <si>
    <t>Type</t>
  </si>
  <si>
    <t>Price list</t>
  </si>
  <si>
    <t>Réf facture fournisseur</t>
  </si>
  <si>
    <t>Réf facture TdV</t>
  </si>
  <si>
    <t>PRIX invoice/htrans (EUR)</t>
  </si>
  <si>
    <t>TdV - fournisseur</t>
  </si>
  <si>
    <t>Date de paiement</t>
  </si>
  <si>
    <t>Colis</t>
  </si>
  <si>
    <t>Qté</t>
  </si>
  <si>
    <t>Taille</t>
  </si>
  <si>
    <t>Poids colis (Kg)</t>
  </si>
  <si>
    <t>Transport Fee reportée au client (HTVA)</t>
  </si>
  <si>
    <t>Réf facture Fournisseur</t>
  </si>
  <si>
    <t>Montant facture TNT (HTVA)</t>
  </si>
  <si>
    <t>Agent / revendeur</t>
  </si>
  <si>
    <t>Marge</t>
  </si>
  <si>
    <t>City Garden</t>
  </si>
  <si>
    <t>Ode</t>
  </si>
  <si>
    <t>Balsam</t>
  </si>
  <si>
    <t>Saudade</t>
  </si>
  <si>
    <t>Spice</t>
  </si>
  <si>
    <t>Distributeur</t>
  </si>
  <si>
    <t>To Contact</t>
  </si>
  <si>
    <t>SPAIN</t>
  </si>
  <si>
    <t>NA</t>
  </si>
  <si>
    <t>2019_P_001</t>
  </si>
  <si>
    <t>Sent</t>
  </si>
  <si>
    <t>TNT</t>
  </si>
  <si>
    <t>Montse</t>
  </si>
  <si>
    <t>La maison</t>
  </si>
  <si>
    <t>rolls</t>
  </si>
  <si>
    <t>ODE</t>
  </si>
  <si>
    <t>White &amp; green</t>
  </si>
  <si>
    <t>2019_005</t>
  </si>
  <si>
    <t>Box</t>
  </si>
  <si>
    <t xml:space="preserve">63 x 11 x </t>
  </si>
  <si>
    <t>TdV</t>
  </si>
  <si>
    <t>BELGIUM</t>
  </si>
  <si>
    <t>2019_P_002</t>
  </si>
  <si>
    <t>not required</t>
  </si>
  <si>
    <t xml:space="preserve">M&amp;O </t>
  </si>
  <si>
    <t>SPICE</t>
  </si>
  <si>
    <t>Other</t>
  </si>
  <si>
    <t>-</t>
  </si>
  <si>
    <t>Direct</t>
  </si>
  <si>
    <t>Diatly</t>
  </si>
  <si>
    <t>FRANCE</t>
  </si>
  <si>
    <t>La Redoute (#524236)</t>
  </si>
  <si>
    <t>Purple</t>
  </si>
  <si>
    <t>distributeur</t>
  </si>
  <si>
    <t>To orders</t>
  </si>
  <si>
    <t>AUSTRALIA</t>
  </si>
  <si>
    <t>Lollo</t>
  </si>
  <si>
    <t>2/3 boxes delivered only. TNT to re-ship the last package (TNT error) - free of charge for the customer - DELIVERY OK</t>
  </si>
  <si>
    <t>CG</t>
  </si>
  <si>
    <t>Yellow &amp; blue</t>
  </si>
  <si>
    <t>JAPAN</t>
  </si>
  <si>
    <t>2019_P_003</t>
  </si>
  <si>
    <t>WA ltd</t>
  </si>
  <si>
    <t>SAUDADE</t>
  </si>
  <si>
    <t>2019/004</t>
  </si>
  <si>
    <t>Houzz</t>
  </si>
  <si>
    <t>UK</t>
  </si>
  <si>
    <t>2019_P_004</t>
  </si>
  <si>
    <t>Fedex</t>
  </si>
  <si>
    <t>Issue with sending (confusion with a clock?)</t>
  </si>
  <si>
    <t>ITALY</t>
  </si>
  <si>
    <t>Alessandra Ferretti</t>
  </si>
  <si>
    <t>Sirpi</t>
  </si>
  <si>
    <t>sample</t>
  </si>
  <si>
    <t>2019_006</t>
  </si>
  <si>
    <t>Enveloppe</t>
  </si>
  <si>
    <t>Presse</t>
  </si>
  <si>
    <t>To Alexia</t>
  </si>
  <si>
    <t>GAEL Maison</t>
  </si>
  <si>
    <t>65 x 13 x 13</t>
  </si>
  <si>
    <t>SIRPI</t>
  </si>
  <si>
    <t>TNT labels provided by SIRPI</t>
  </si>
  <si>
    <t>RUSSIA</t>
  </si>
  <si>
    <t>2019_P_005</t>
  </si>
  <si>
    <t>11 feb 2019</t>
  </si>
  <si>
    <t>SKOL</t>
  </si>
  <si>
    <r>
      <rPr>
        <sz val="10"/>
        <color indexed="8"/>
        <rFont val="Helvetica Neue"/>
        <family val="2"/>
      </rPr>
      <t xml:space="preserve">Out of stock 200803 (Alexia en discussion avec Géraldine) - date de dispo communiquée à SKOL </t>
    </r>
    <r>
      <rPr>
        <b/>
        <sz val="10"/>
        <color indexed="8"/>
        <rFont val="Helvetica Neue"/>
        <family val="2"/>
      </rPr>
      <t>Livraison pour le 14/02 max!</t>
    </r>
  </si>
  <si>
    <t>2019/029</t>
  </si>
  <si>
    <t>2019_P_006</t>
  </si>
  <si>
    <t>31 jan 2019</t>
  </si>
  <si>
    <t>Stockolm design fair</t>
  </si>
  <si>
    <t>2019_P_007</t>
  </si>
  <si>
    <t>A Line story</t>
  </si>
  <si>
    <t>Commande via aline</t>
  </si>
  <si>
    <t>RAJAKKAD</t>
  </si>
  <si>
    <t>209/018</t>
  </si>
  <si>
    <t>A Line Story</t>
  </si>
  <si>
    <t>USA</t>
  </si>
  <si>
    <t>2019_P_008</t>
  </si>
  <si>
    <t>ex works</t>
  </si>
  <si>
    <t>784970641812 (FEDEX)</t>
  </si>
  <si>
    <t>houzz</t>
  </si>
  <si>
    <t>Réf HOUZZ: 1622-6805-2891-8860 (tel à FEDEX pour enlèvmeent)</t>
  </si>
  <si>
    <t>2019_020</t>
  </si>
  <si>
    <t>na</t>
  </si>
  <si>
    <t>Na</t>
  </si>
  <si>
    <t>Ex works</t>
  </si>
  <si>
    <t>2019_P_009</t>
  </si>
  <si>
    <t>08 feb 2019</t>
  </si>
  <si>
    <r>
      <rPr>
        <sz val="10"/>
        <color indexed="8"/>
        <rFont val="Helvetica Neue"/>
        <family val="2"/>
      </rPr>
      <t xml:space="preserve">À livrer en même temps que </t>
    </r>
    <r>
      <rPr>
        <b/>
        <sz val="10"/>
        <color indexed="8"/>
        <rFont val="Helvetica Neue"/>
        <family val="2"/>
      </rPr>
      <t xml:space="preserve">2019_P_005 - Livraison pour le 14/02 max! !!confusion dans les envois. Envoyé chez SIRPI. Envoi de chez SIRPI to SKOL by FEDEX on 11 FEB 2019. </t>
    </r>
  </si>
  <si>
    <t>2019/030</t>
  </si>
  <si>
    <t>2019_P_010</t>
  </si>
  <si>
    <t>Tintelijn</t>
  </si>
  <si>
    <t>Via HARVIZO</t>
  </si>
  <si>
    <t>Grey</t>
  </si>
  <si>
    <t>2019_008</t>
  </si>
  <si>
    <t>55 x 11 x 18</t>
  </si>
  <si>
    <t>HARVIZO</t>
  </si>
  <si>
    <t>2019_P_012</t>
  </si>
  <si>
    <t>Gaspard &amp; Melle</t>
  </si>
  <si>
    <t xml:space="preserve">Showroom en france - pas de distri pour ode </t>
  </si>
  <si>
    <t>Purple ex VAT</t>
  </si>
  <si>
    <t>2019_009</t>
  </si>
  <si>
    <t>2019_P_011</t>
  </si>
  <si>
    <t>Mikael Perrier</t>
  </si>
  <si>
    <t>La Redoute (#535771)</t>
  </si>
  <si>
    <t>En attente</t>
  </si>
  <si>
    <t>PORTUGAL</t>
  </si>
  <si>
    <t>Go Home</t>
  </si>
  <si>
    <r>
      <rPr>
        <sz val="10"/>
        <color indexed="8"/>
        <rFont val="Helvetica Neue"/>
        <family val="2"/>
      </rPr>
      <t>Sample for fair -</t>
    </r>
    <r>
      <rPr>
        <sz val="10"/>
        <color indexed="24"/>
        <rFont val="Helvetica Neue"/>
        <family val="2"/>
      </rPr>
      <t xml:space="preserve"> LOST BY TNT!!</t>
    </r>
  </si>
  <si>
    <t>63 x 11 x 4</t>
  </si>
  <si>
    <t>Sample for Pieter</t>
  </si>
  <si>
    <t>2019_P_013</t>
  </si>
  <si>
    <t>01 Feb 2019</t>
  </si>
  <si>
    <t>Order samples for books SPICE</t>
  </si>
  <si>
    <t>GERMANY</t>
  </si>
  <si>
    <t>pending</t>
  </si>
  <si>
    <t>APRIL</t>
  </si>
  <si>
    <t>book</t>
  </si>
  <si>
    <t>CHINA</t>
  </si>
  <si>
    <t>2019_Q_009</t>
  </si>
  <si>
    <t>SOFRO</t>
  </si>
  <si>
    <t>Order to be processed when books availale (200) - quote 2019_Q_009</t>
  </si>
  <si>
    <t>THE NETHERLANDS</t>
  </si>
  <si>
    <t>Post</t>
  </si>
  <si>
    <t>Rob Viools</t>
  </si>
  <si>
    <t>Quote accepted - samples sent</t>
  </si>
  <si>
    <t>2019_013</t>
  </si>
  <si>
    <t>2019_P_019</t>
  </si>
  <si>
    <t>07FEB2019</t>
  </si>
  <si>
    <t>Gaspard&amp;Mlle Quotation accepted on 25JAN2019</t>
  </si>
  <si>
    <t>2019_012</t>
  </si>
  <si>
    <t>110 x 12 x 12</t>
  </si>
  <si>
    <t>2019_P_014</t>
  </si>
  <si>
    <t>1/2: 190325 2/2: 190533</t>
  </si>
  <si>
    <t>Montecolino</t>
  </si>
  <si>
    <t>Article de stock à envoyer ASAP. Article à reprodurie (sem 6) à envoyer dès dispo. MONTEOCLINO OK, see email 25JAN2019</t>
  </si>
  <si>
    <t>2019/028</t>
  </si>
  <si>
    <t>2019_P_015</t>
  </si>
  <si>
    <t>7742 5444 9752</t>
  </si>
  <si>
    <t>29 jan 2019</t>
  </si>
  <si>
    <t>Order 1623-0517-7479-5864 - Ship by Feb 1 - Feb 8</t>
  </si>
  <si>
    <t>2019_P_017</t>
  </si>
  <si>
    <t>7743 3376 1712</t>
  </si>
  <si>
    <t>2 BdC from sirpi, 1 shipment</t>
  </si>
  <si>
    <t>2019_027</t>
  </si>
  <si>
    <t>2019_P_016</t>
  </si>
  <si>
    <t>Estelle Callies</t>
  </si>
  <si>
    <t>La Redoute (#539993)</t>
  </si>
  <si>
    <t>en attente</t>
  </si>
  <si>
    <t>2019_Q_001</t>
  </si>
  <si>
    <t>2019_P_036</t>
  </si>
  <si>
    <t>OK</t>
  </si>
  <si>
    <t>12FEB2019</t>
  </si>
  <si>
    <t>Lindsey Aresco</t>
  </si>
  <si>
    <t>Quotation 2019_Q_001 sent (update sent on 25JAN2019)</t>
  </si>
  <si>
    <t>BALSAM</t>
  </si>
  <si>
    <t>2019_024</t>
  </si>
  <si>
    <t>Marion Bron</t>
  </si>
  <si>
    <t>Sample request during M&amp;O (STUDIO DE BRY)</t>
  </si>
  <si>
    <t>2019_Q_006</t>
  </si>
  <si>
    <t>2019_P_038</t>
  </si>
  <si>
    <t>Fanny</t>
  </si>
  <si>
    <t>Order for MIAMI (via HEIMTEX) - 2019/Q/006</t>
  </si>
  <si>
    <t>2019_044</t>
  </si>
  <si>
    <t>CHILE</t>
  </si>
  <si>
    <t>2019_P_020</t>
  </si>
  <si>
    <t>785 4208 8289</t>
  </si>
  <si>
    <t>Yvonne Hall</t>
  </si>
  <si>
    <t>Order 1623-6046-2710-3820 - Ship by Feb 8 - Feb . Fedex res code: ANR 104</t>
  </si>
  <si>
    <t>2019_Q_008</t>
  </si>
  <si>
    <t>Sample request - devis 2019/Q/008 sent to Montse</t>
  </si>
  <si>
    <t>2019/015</t>
  </si>
  <si>
    <t>SINGAPORE</t>
  </si>
  <si>
    <t>Quote to be finalized (color to be chosen by client) - client to confirm to us - Tatum</t>
  </si>
  <si>
    <t>2019_P_023</t>
  </si>
  <si>
    <t>Rolls for samples (by montecolino) - !! TNT express before 12:00 - poinceblanc</t>
  </si>
  <si>
    <t>2019_017</t>
  </si>
  <si>
    <t>30 jan 2019</t>
  </si>
  <si>
    <t>Sample of CG-191113 sent (address provided by HOUZZ). Sample &amp; shipment not charged (3,5 EUR in total)</t>
  </si>
  <si>
    <t>2019_P_022</t>
  </si>
  <si>
    <t>BOOKS</t>
  </si>
  <si>
    <t>Nina Sorokina</t>
  </si>
  <si>
    <t>Samples via website (chimera) (bureau archi DENIOT Paris)</t>
  </si>
  <si>
    <t>Rutger Hopstr</t>
  </si>
  <si>
    <t>Samples request via website (LORE)</t>
  </si>
  <si>
    <t>Firmdales</t>
  </si>
  <si>
    <t>Samples after interview (Hotels London)</t>
  </si>
  <si>
    <t>2019_P_024</t>
  </si>
  <si>
    <t>Samples for London Hotels (contact Alexia) - sur mesure, à faire produire par Décoprint (paper type different) - à envoyer en même temps que 190141</t>
  </si>
  <si>
    <t>55 x 12 x 12</t>
  </si>
  <si>
    <t>2019_P_025</t>
  </si>
  <si>
    <t>À envoyer à ENTIRIS</t>
  </si>
  <si>
    <t>samples for book (by alexia)</t>
  </si>
  <si>
    <t>Samples request via website (YVONNE HALL)</t>
  </si>
  <si>
    <t>2019_P_026</t>
  </si>
  <si>
    <t>Samples for client (SPICE) (stock studio)</t>
  </si>
  <si>
    <t>Alexandra Meeus</t>
  </si>
  <si>
    <t>book for sales representative</t>
  </si>
  <si>
    <t xml:space="preserve">55 x 55 x 5 </t>
  </si>
  <si>
    <t>2019_Q_010</t>
  </si>
  <si>
    <t>2019_P_027</t>
  </si>
  <si>
    <t>Carus Exklusiv</t>
  </si>
  <si>
    <t>Quote 2019_Q_010: majorelle for stand (Carus Excklusiv) - Purple without VAT</t>
  </si>
  <si>
    <t>2019_026</t>
  </si>
  <si>
    <t>110 x 12x 12</t>
  </si>
  <si>
    <t>2019_P_032</t>
  </si>
  <si>
    <t>Decoprint</t>
  </si>
  <si>
    <t>05FEB2019</t>
  </si>
  <si>
    <t>Wohlfromm</t>
  </si>
  <si>
    <t>BdC sent directly by distributor to DECOPRINT (orders in cc)</t>
  </si>
  <si>
    <t>INDIA</t>
  </si>
  <si>
    <t>2019_P_028</t>
  </si>
  <si>
    <t>05 Feb 2019</t>
  </si>
  <si>
    <t>Nitin</t>
  </si>
  <si>
    <t>FAST DELIVERY REQUIRED! (Indian Fair on 12th Feb) !</t>
  </si>
  <si>
    <t>2019_019</t>
  </si>
  <si>
    <t>2019_P_029</t>
  </si>
  <si>
    <t>629049621 629045174</t>
  </si>
  <si>
    <t>Tenessee</t>
  </si>
  <si>
    <t xml:space="preserve">To be shipped to Australia on 15th feb at the latest! </t>
  </si>
  <si>
    <t>2019_022 2019_023</t>
  </si>
  <si>
    <t>MALTA</t>
  </si>
  <si>
    <t>2019_P_031</t>
  </si>
  <si>
    <t>1 53 519563</t>
  </si>
  <si>
    <t>Matthew &amp; Lara</t>
  </si>
  <si>
    <t>Books for showroom (all except ode) - SPICE to be shipped when available!</t>
  </si>
  <si>
    <t>Red</t>
  </si>
  <si>
    <t>2019_033</t>
  </si>
  <si>
    <t>55 x 55 x 15</t>
  </si>
  <si>
    <t>2019_P_030</t>
  </si>
  <si>
    <t>Margot Bertels</t>
  </si>
  <si>
    <t>Maison des Arts - à livrer chez TdV</t>
  </si>
  <si>
    <t>2019_P_033</t>
  </si>
  <si>
    <t>2019/036</t>
  </si>
  <si>
    <t>Natalie Cowley</t>
  </si>
  <si>
    <t>Samples request via website (Natalie Cowley)</t>
  </si>
  <si>
    <t>GREECE</t>
  </si>
  <si>
    <t>2019_Q_011</t>
  </si>
  <si>
    <t>2019_P_046</t>
  </si>
  <si>
    <t>Dimitra Siou</t>
  </si>
  <si>
    <t>Quote for books sent (2019/Q/011 - as you plan</t>
  </si>
  <si>
    <t>2019_037</t>
  </si>
  <si>
    <t>55 x 55 x 20</t>
  </si>
  <si>
    <t>Irina</t>
  </si>
  <si>
    <t>Feb</t>
  </si>
  <si>
    <t>Gabriel Mialocq</t>
  </si>
  <si>
    <t>Bureau archi (SdB)</t>
  </si>
  <si>
    <t>06FEB2019</t>
  </si>
  <si>
    <t>Samples ARLES - showroom Il Falcone</t>
  </si>
  <si>
    <t>2019_P_034</t>
  </si>
  <si>
    <t>Sandrine Devuyst</t>
  </si>
  <si>
    <t>Une brique dans le ventre</t>
  </si>
  <si>
    <t>2019_021</t>
  </si>
  <si>
    <t>55 x 20 x 15</t>
  </si>
  <si>
    <t>2019_P_035</t>
  </si>
  <si>
    <r>
      <rPr>
        <sz val="10"/>
        <color indexed="8"/>
        <rFont val="Helvetica Neue"/>
        <family val="2"/>
      </rPr>
      <t xml:space="preserve">153522704 </t>
    </r>
    <r>
      <rPr>
        <sz val="12"/>
        <color indexed="8"/>
        <rFont val="Times"/>
        <family val="1"/>
      </rPr>
      <t xml:space="preserve">
</t>
    </r>
  </si>
  <si>
    <t>15 Feb 2019</t>
  </si>
  <si>
    <t>Purple without VAT - to be delivered by 19th feb max on site</t>
  </si>
  <si>
    <t>2019_032</t>
  </si>
  <si>
    <t>55 x 13 x 13</t>
  </si>
  <si>
    <t>2019_Q_012</t>
  </si>
  <si>
    <t>2019_P_041</t>
  </si>
  <si>
    <t>Damien Absil</t>
  </si>
  <si>
    <t xml:space="preserve">Homepage - expo vitrine (-35%) - Quote </t>
  </si>
  <si>
    <t>2019/039</t>
  </si>
  <si>
    <t>55 x 18 x 13</t>
  </si>
  <si>
    <t>2019_P_037</t>
  </si>
  <si>
    <t xml:space="preserve">TdV - samples pour book </t>
  </si>
  <si>
    <t>Stéphanie Durand</t>
  </si>
  <si>
    <t>sample request (borage charcoal) - bureau archi</t>
  </si>
  <si>
    <t>Miami Store - Rolls &amp; book for SPICE - !! Envoyer book spice dès que dispo (max cost TNT: 275 EUR) - dispo commande: se</t>
  </si>
  <si>
    <t>2019/044</t>
  </si>
  <si>
    <t>55 x 25 x 30</t>
  </si>
  <si>
    <t>2019_P_039</t>
  </si>
  <si>
    <t xml:space="preserve">ERROR FROM p_009!! (Toscana à la place de riviera required!!) </t>
  </si>
  <si>
    <t>2019/043</t>
  </si>
  <si>
    <t>110 x 13 x 13</t>
  </si>
  <si>
    <t>11/02/0209</t>
  </si>
  <si>
    <t>2019_P_040</t>
  </si>
  <si>
    <t>Julie Coupain</t>
  </si>
  <si>
    <t>Mariage Lou &amp; greg</t>
  </si>
  <si>
    <t>2019/035</t>
  </si>
  <si>
    <t xml:space="preserve">Sirpi - samples </t>
  </si>
  <si>
    <t>2019_Q_016</t>
  </si>
  <si>
    <t>2019_P_042</t>
  </si>
  <si>
    <t>Pending</t>
  </si>
  <si>
    <t>Véronique Vanham</t>
  </si>
  <si>
    <t>via sample request (LUZ, HO, BENGAL)</t>
  </si>
  <si>
    <t>SIRPI requests sample: ROYAL &amp; Concrete</t>
  </si>
  <si>
    <t>Stephanie Manasseh</t>
  </si>
  <si>
    <t>sample request of majorelle emerald</t>
  </si>
  <si>
    <t>Pauline Lesage</t>
  </si>
  <si>
    <t>Pour shooting GAEL (shopping) - LORE (de stock au studio, 5 bandes)</t>
  </si>
  <si>
    <t>HONG KONG</t>
  </si>
  <si>
    <t>Q_013</t>
  </si>
  <si>
    <t>Ankie Sue</t>
  </si>
  <si>
    <r>
      <rPr>
        <sz val="10"/>
        <color indexed="8"/>
        <rFont val="Helvetica Neue"/>
        <family val="2"/>
      </rPr>
      <t xml:space="preserve">Quote for books of SPICE &amp; BALSAM / to be shipped together when SPICE available - </t>
    </r>
    <r>
      <rPr>
        <b/>
        <sz val="10"/>
        <color indexed="8"/>
        <rFont val="Helvetica Neue"/>
        <family val="2"/>
      </rPr>
      <t>PAYE</t>
    </r>
  </si>
  <si>
    <t>2019_P_043</t>
  </si>
  <si>
    <t>Anne-Françoise Magerotte</t>
  </si>
  <si>
    <t xml:space="preserve">Rebel Design - prêt des catalogues de la collection jusque 18 Avril 2019. </t>
  </si>
  <si>
    <t>2019/031</t>
  </si>
  <si>
    <t>Q_014</t>
  </si>
  <si>
    <t>Deepak Parwani</t>
  </si>
  <si>
    <t>DAMATI Lifestyles, mumbai - distri des 5 collections (order pour les books) -greenlight from customer awaited</t>
  </si>
  <si>
    <t>2019_P_044</t>
  </si>
  <si>
    <t>Magali Guitton</t>
  </si>
  <si>
    <t>CEU sans ligne (taille standard)</t>
  </si>
  <si>
    <t>2019/042</t>
  </si>
  <si>
    <t>2019_Q_017</t>
  </si>
  <si>
    <t>2019_P_045</t>
  </si>
  <si>
    <t>Melany Clesse</t>
  </si>
  <si>
    <t>Boutique Arlon (LU) - veut vendre toutes nos collections! + achat YUN pour showroom (20%)</t>
  </si>
  <si>
    <t>2019/049</t>
  </si>
  <si>
    <t>110 x 13 x 13  55 x 55 x 20</t>
  </si>
  <si>
    <t>PH. Enderson</t>
  </si>
  <si>
    <t>Streetsense (sample) - frais de port partagé</t>
  </si>
  <si>
    <t>2019_Q_015</t>
  </si>
  <si>
    <t>2019_P_051</t>
  </si>
  <si>
    <t>Anne-Françoise d’Aoust</t>
  </si>
  <si>
    <t>Quatuor Uccle</t>
  </si>
  <si>
    <t>2019/047</t>
  </si>
  <si>
    <t>2019_Q_018</t>
  </si>
  <si>
    <t>2019_P_050</t>
  </si>
  <si>
    <t>Renotec (la maison des arts)</t>
  </si>
  <si>
    <t>2019/046</t>
  </si>
  <si>
    <t>Ok</t>
  </si>
  <si>
    <t>Gaelle Blondeau</t>
  </si>
  <si>
    <t>WAVE archi (échantillon BALSAM teal &amp; royal)</t>
  </si>
  <si>
    <t>2019_Q_019</t>
  </si>
  <si>
    <t>Zoe Arnautov</t>
  </si>
  <si>
    <t>UK - cadre photo CG (majorelle)</t>
  </si>
  <si>
    <t>2019/040</t>
  </si>
  <si>
    <t>Peter Nijssen</t>
  </si>
  <si>
    <t>Via sample request website (luz cameo)</t>
  </si>
  <si>
    <t>Sample Request (adressed to Maasmechelen village - majorelle -&gt; commande P/048 (yellowstone is the subcontractor)</t>
  </si>
  <si>
    <t>2019_Q_020</t>
  </si>
  <si>
    <t>Orange</t>
  </si>
  <si>
    <t>2019_Q_021</t>
  </si>
  <si>
    <t>Marie-Hélène Farine</t>
  </si>
  <si>
    <t>2019_052</t>
  </si>
  <si>
    <t>2019_Q_022</t>
  </si>
  <si>
    <t>2019_P_048</t>
  </si>
  <si>
    <t>Renée Reynders</t>
  </si>
  <si>
    <t>YELLOWSTONE (expo avec MAJORELLE emeraud)</t>
  </si>
  <si>
    <t>2019/045</t>
  </si>
  <si>
    <t>Nathalie Horion</t>
  </si>
  <si>
    <t>Palmarosa pour tête de lit client</t>
  </si>
  <si>
    <t>LUXEMBOURG</t>
  </si>
  <si>
    <t>2019_Q_023</t>
  </si>
  <si>
    <t>Didier Chiron</t>
  </si>
  <si>
    <t>Lintu safran</t>
  </si>
  <si>
    <t>Anne Verheyden</t>
  </si>
  <si>
    <t>Samples saudade / spice / bls</t>
  </si>
  <si>
    <t>170 g</t>
  </si>
  <si>
    <t>2019_P_049</t>
  </si>
  <si>
    <t xml:space="preserve">Irina </t>
  </si>
  <si>
    <t>Yellow</t>
  </si>
  <si>
    <t>2019/053</t>
  </si>
  <si>
    <t>2019_P_052</t>
  </si>
  <si>
    <t>samples studio for customers</t>
  </si>
  <si>
    <t>12 kg</t>
  </si>
  <si>
    <t>Sophie Bekaert</t>
  </si>
  <si>
    <t>sample request (aralia garnet)</t>
  </si>
  <si>
    <t>68 gr</t>
  </si>
  <si>
    <t>Poste</t>
  </si>
  <si>
    <t>2019_P_053</t>
  </si>
  <si>
    <t>2 rolls of JOY (all colors) for Entiris</t>
  </si>
  <si>
    <t>190506 190589</t>
  </si>
  <si>
    <t>2019_Q_024</t>
  </si>
  <si>
    <t>2019_P_054</t>
  </si>
  <si>
    <t>homepage (book SAUDADE et ODE)</t>
  </si>
  <si>
    <t>BOOK</t>
  </si>
  <si>
    <t>2019/051</t>
  </si>
  <si>
    <t>2019_P_055</t>
  </si>
  <si>
    <t>7747 6076 6476</t>
  </si>
  <si>
    <t>SIRPI - their ref: ordine n. 604 del 01/03/2019</t>
  </si>
  <si>
    <t>ordine n. 604 del 01/03/2019</t>
  </si>
  <si>
    <t>See P/056</t>
  </si>
  <si>
    <t>2019/062</t>
  </si>
  <si>
    <t>120 x 11 x 11 55 x 18 x 13</t>
  </si>
  <si>
    <t>2019_Q_025</t>
  </si>
  <si>
    <t>Laeticia Meyer</t>
  </si>
  <si>
    <t>Demande prix panoramique (via FB puis email) - legend &amp; mist</t>
  </si>
  <si>
    <t>Sabine Schanen</t>
  </si>
  <si>
    <t>Samples request via website (lore royal &amp; kentia sautern)</t>
  </si>
  <si>
    <t>Nathalie Dours*</t>
  </si>
  <si>
    <t>sample request (sencha + monoi)</t>
  </si>
  <si>
    <t>28gr</t>
  </si>
  <si>
    <t>2019_Q_026</t>
  </si>
  <si>
    <t>2019_p_065</t>
  </si>
  <si>
    <t>2019/060</t>
  </si>
  <si>
    <t>2019_P_056</t>
  </si>
  <si>
    <t>Sirpi (their ref: PO 604)</t>
  </si>
  <si>
    <t>PO 604</t>
  </si>
  <si>
    <t>DENMARK</t>
  </si>
  <si>
    <t>2019_Q_027</t>
  </si>
  <si>
    <t>Carsten Bundgaard</t>
  </si>
  <si>
    <t>TAPET COMPAGNIET - suite à Heimtex</t>
  </si>
  <si>
    <t>Alice Wouters</t>
  </si>
  <si>
    <t>Sample Request - ceu magnolia</t>
  </si>
  <si>
    <t>David Lanzas</t>
  </si>
  <si>
    <t>Prototype books</t>
  </si>
  <si>
    <t>55 x 25x 25</t>
  </si>
  <si>
    <t>Alessandra Ferreti</t>
  </si>
  <si>
    <t>55 x 5 x 5</t>
  </si>
  <si>
    <t>2019_P_058</t>
  </si>
  <si>
    <t>RENOTEC - reimpression</t>
  </si>
  <si>
    <t>RNBB1491428</t>
  </si>
  <si>
    <t>120 x 25 x 30</t>
  </si>
  <si>
    <t>2019_P_059</t>
  </si>
  <si>
    <t>Sofia Barros</t>
  </si>
  <si>
    <t xml:space="preserve">Commande 02 </t>
  </si>
  <si>
    <t>2019_057</t>
  </si>
  <si>
    <t>2019_P_060</t>
  </si>
  <si>
    <t xml:space="preserve">Isabel Carbonell </t>
  </si>
  <si>
    <t>Commande la maison 900198</t>
  </si>
  <si>
    <t>2019/063</t>
  </si>
  <si>
    <t>120 x 25 x 12</t>
  </si>
  <si>
    <t>2019_Q_028</t>
  </si>
  <si>
    <t>Book for SPICE (60)</t>
  </si>
  <si>
    <t>Catalogue SPICE pour salon à Moscou (catalogue de TdV)</t>
  </si>
  <si>
    <t>2019_056</t>
  </si>
  <si>
    <t>_</t>
  </si>
  <si>
    <t>Karin Dale</t>
  </si>
  <si>
    <t>Sample Request royal legend</t>
  </si>
  <si>
    <t>middle</t>
  </si>
  <si>
    <t>MALAYSIA</t>
  </si>
  <si>
    <t>2019_Q_030</t>
  </si>
  <si>
    <t xml:space="preserve">Melodie </t>
  </si>
  <si>
    <t>Tatum company - devis for customer</t>
  </si>
  <si>
    <t>2019_Q_031</t>
  </si>
  <si>
    <t>Julie Anselmo</t>
  </si>
  <si>
    <t xml:space="preserve">commande direct paris </t>
  </si>
  <si>
    <t>2019_P_061</t>
  </si>
  <si>
    <t>Ingrid Van der Veen</t>
  </si>
  <si>
    <t>Via Rob Viool (zebra)</t>
  </si>
  <si>
    <t>Green</t>
  </si>
  <si>
    <t>2019/058</t>
  </si>
  <si>
    <t>2 kg</t>
  </si>
  <si>
    <t>2019_P_062</t>
  </si>
  <si>
    <t>Montecolino (stock)</t>
  </si>
  <si>
    <t>ACD1903-058</t>
  </si>
  <si>
    <t>2019_P_063</t>
  </si>
  <si>
    <t>Montecolino (échantillons)</t>
  </si>
  <si>
    <t>ACD1903-059</t>
  </si>
  <si>
    <t>2019/059</t>
  </si>
  <si>
    <t>55 x 28 x 23</t>
  </si>
  <si>
    <t>Aymeric Masson</t>
  </si>
  <si>
    <t>sample request</t>
  </si>
  <si>
    <t>grande</t>
  </si>
  <si>
    <t>135 gr</t>
  </si>
  <si>
    <t xml:space="preserve">Linda Geertsma </t>
  </si>
  <si>
    <t>mmoyenne</t>
  </si>
  <si>
    <t>35 gr</t>
  </si>
  <si>
    <t>2019_P_064</t>
  </si>
  <si>
    <t xml:space="preserve">Pour shooting press </t>
  </si>
  <si>
    <t>2019/064</t>
  </si>
  <si>
    <t>Benoit Fontaine</t>
  </si>
  <si>
    <t>Peinture Fontaine (bastogne)</t>
  </si>
  <si>
    <t>55 x 11 x 11</t>
  </si>
  <si>
    <t>COLOMBIA</t>
  </si>
  <si>
    <t>2019_Q_032</t>
  </si>
  <si>
    <t>Daniel</t>
  </si>
  <si>
    <t>Christophe Vervaet</t>
  </si>
  <si>
    <t>Sample request - palmarosa (black + white)</t>
  </si>
  <si>
    <t>moyenne</t>
  </si>
  <si>
    <t>3 timbres BE</t>
  </si>
  <si>
    <t>2019_P_066</t>
  </si>
  <si>
    <t>Email dated 20/03/2019</t>
  </si>
  <si>
    <t>2019/065</t>
  </si>
  <si>
    <t xml:space="preserve">TATUM company - samples request </t>
  </si>
  <si>
    <t>Tableau 1-1</t>
  </si>
  <si>
    <t>Safran</t>
  </si>
  <si>
    <t>Turquoise</t>
  </si>
  <si>
    <t>Cameo</t>
  </si>
  <si>
    <t>Riviera</t>
  </si>
  <si>
    <t>Deep Indigo</t>
  </si>
  <si>
    <t>Sienna</t>
  </si>
  <si>
    <t>Sauge</t>
  </si>
  <si>
    <t>Jade</t>
  </si>
  <si>
    <t>Ether</t>
  </si>
  <si>
    <t>Marine</t>
  </si>
  <si>
    <t>Pirate</t>
  </si>
  <si>
    <t>Australia</t>
  </si>
  <si>
    <t>Chile</t>
  </si>
  <si>
    <t>China</t>
  </si>
  <si>
    <t>France</t>
  </si>
  <si>
    <t>Germany</t>
  </si>
  <si>
    <t>Greece</t>
  </si>
  <si>
    <t>India</t>
  </si>
  <si>
    <t>Italy</t>
  </si>
  <si>
    <t>Japan</t>
  </si>
  <si>
    <t>Malta</t>
  </si>
  <si>
    <t>Russia</t>
  </si>
  <si>
    <t>Spain</t>
  </si>
  <si>
    <t>Email</t>
  </si>
  <si>
    <t>tel</t>
  </si>
  <si>
    <t>comment</t>
  </si>
  <si>
    <t>Belgium</t>
  </si>
  <si>
    <t>Gent</t>
  </si>
  <si>
    <t>Zoe Christiaens (A. Meeus)</t>
  </si>
  <si>
    <r>
      <rPr>
        <u/>
        <sz val="12"/>
        <color indexed="31"/>
        <rFont val="Arial"/>
        <family val="2"/>
      </rPr>
      <t>zoe@tintelijn.be</t>
    </r>
  </si>
  <si>
    <t>+32 9 219 09 60</t>
  </si>
  <si>
    <t>Quatuor</t>
  </si>
  <si>
    <t>Uccle</t>
  </si>
  <si>
    <r>
      <rPr>
        <u/>
        <sz val="9"/>
        <color indexed="8"/>
        <rFont val="Helvetica Neue"/>
        <family val="2"/>
      </rPr>
      <t>anne-francoise@quatuor.be</t>
    </r>
  </si>
  <si>
    <t>+32 2 372 13 00</t>
  </si>
  <si>
    <t>La vie moderne</t>
  </si>
  <si>
    <t>Mons</t>
  </si>
  <si>
    <t>La Maison</t>
  </si>
  <si>
    <t>Barcelona</t>
  </si>
  <si>
    <t>Monste &amp; David</t>
  </si>
  <si>
    <t>Essone</t>
  </si>
  <si>
    <t>Vincent Thierard</t>
  </si>
  <si>
    <t>do not distribute this collection</t>
  </si>
  <si>
    <t>Sofro</t>
  </si>
  <si>
    <t>Kelly</t>
  </si>
  <si>
    <t>Marie H1</t>
  </si>
  <si>
    <t>Esneux</t>
  </si>
  <si>
    <t>WAVE</t>
  </si>
  <si>
    <t>Ixelles</t>
  </si>
  <si>
    <r>
      <rPr>
        <u/>
        <sz val="10"/>
        <color indexed="31"/>
        <rFont val="Helvetica Neue"/>
        <family val="2"/>
      </rPr>
      <t>gaelle@wavearchitecture.eu</t>
    </r>
  </si>
  <si>
    <t>+32 477 52 83 55</t>
  </si>
  <si>
    <t>Homepage</t>
  </si>
  <si>
    <t>Damien Absil Cédric Alby</t>
  </si>
  <si>
    <r>
      <rPr>
        <u/>
        <sz val="9"/>
        <color indexed="8"/>
        <rFont val="Helvetica Neue"/>
        <family val="2"/>
      </rPr>
      <t>contact@homepagebrussels.com</t>
    </r>
    <r>
      <rPr>
        <sz val="9"/>
        <color indexed="8"/>
        <rFont val="Helvetica Neue"/>
        <family val="2"/>
      </rPr>
      <t> </t>
    </r>
    <r>
      <rPr>
        <u/>
        <sz val="9"/>
        <color indexed="8"/>
        <rFont val="Helvetica Neue"/>
        <family val="2"/>
      </rPr>
      <t>info@homepagebrussels.com</t>
    </r>
  </si>
  <si>
    <t>+32 2 544 16 90</t>
  </si>
  <si>
    <t>Type de book</t>
  </si>
  <si>
    <t>Prix book by TdV</t>
  </si>
  <si>
    <t>Prix book Montecolino</t>
  </si>
  <si>
    <t>Prix book prototype</t>
  </si>
  <si>
    <t>Prix de vente (direct)  HTVA</t>
  </si>
  <si>
    <t>Prix de vente (Distri) HTVA</t>
  </si>
  <si>
    <t>Prix sample borage</t>
  </si>
  <si>
    <t>Prix sample digital</t>
  </si>
  <si>
    <t>Ref</t>
  </si>
  <si>
    <t>collection</t>
  </si>
  <si>
    <t>pattern</t>
  </si>
  <si>
    <t>Color</t>
  </si>
  <si>
    <t># rouleaux</t>
  </si>
  <si>
    <t># book</t>
  </si>
  <si>
    <t># samples</t>
  </si>
  <si>
    <t>Country</t>
  </si>
  <si>
    <t>Prix prod (en m2, HTVA)</t>
  </si>
  <si>
    <t>format</t>
  </si>
  <si>
    <t>total (prix prod X format)</t>
  </si>
  <si>
    <t>Paper type</t>
  </si>
  <si>
    <t>SAU210106</t>
  </si>
  <si>
    <t>Tradi</t>
  </si>
  <si>
    <t>SUAVE</t>
  </si>
  <si>
    <t>Magnolia</t>
  </si>
  <si>
    <t>SAU210114</t>
  </si>
  <si>
    <t>SAU210112</t>
  </si>
  <si>
    <t>SAU210104</t>
  </si>
  <si>
    <t>jade</t>
  </si>
  <si>
    <t>SAU210204</t>
  </si>
  <si>
    <t>SENCHA</t>
  </si>
  <si>
    <t>SAU210203</t>
  </si>
  <si>
    <t>ether</t>
  </si>
  <si>
    <t>SAU210207</t>
  </si>
  <si>
    <t>marine</t>
  </si>
  <si>
    <t>SAU210209</t>
  </si>
  <si>
    <t>scarlet</t>
  </si>
  <si>
    <t>SAU210214</t>
  </si>
  <si>
    <t>sauge</t>
  </si>
  <si>
    <t>SAU210210</t>
  </si>
  <si>
    <t>Deep indigo</t>
  </si>
  <si>
    <t>SAU210205</t>
  </si>
  <si>
    <t>gold</t>
  </si>
  <si>
    <t>SAU210402</t>
  </si>
  <si>
    <t>LITHO</t>
  </si>
  <si>
    <t>SAU210403</t>
  </si>
  <si>
    <t>SAU210401</t>
  </si>
  <si>
    <t>champagne</t>
  </si>
  <si>
    <t>SAU210404</t>
  </si>
  <si>
    <t>SAU210507</t>
  </si>
  <si>
    <t>MADEIRA</t>
  </si>
  <si>
    <t>amarine</t>
  </si>
  <si>
    <t>SAU210503</t>
  </si>
  <si>
    <t>SAU210501</t>
  </si>
  <si>
    <t>SAU210511</t>
  </si>
  <si>
    <t>poivre</t>
  </si>
  <si>
    <t>SAU210514</t>
  </si>
  <si>
    <t>SAU210612</t>
  </si>
  <si>
    <t>HANAMI</t>
  </si>
  <si>
    <t>safran</t>
  </si>
  <si>
    <t>SAU210613</t>
  </si>
  <si>
    <t>santal</t>
  </si>
  <si>
    <t>SAU210603</t>
  </si>
  <si>
    <t>SAU210604</t>
  </si>
  <si>
    <t>SAU210607</t>
  </si>
  <si>
    <t>SAU210308</t>
  </si>
  <si>
    <t>LUZ</t>
  </si>
  <si>
    <t>cameo</t>
  </si>
  <si>
    <t>SAU210311</t>
  </si>
  <si>
    <t>SAU210314</t>
  </si>
  <si>
    <t>SAU210303</t>
  </si>
  <si>
    <t>SAU210711</t>
  </si>
  <si>
    <t>SHIBORI</t>
  </si>
  <si>
    <t>SAU210704</t>
  </si>
  <si>
    <t>SAU210707</t>
  </si>
  <si>
    <t>SAU210702</t>
  </si>
  <si>
    <t>ivory</t>
  </si>
  <si>
    <t>SAU210802</t>
  </si>
  <si>
    <t>ELEGANS</t>
  </si>
  <si>
    <t>SAU210907</t>
  </si>
  <si>
    <t>RIME</t>
  </si>
  <si>
    <t>SAU210902</t>
  </si>
  <si>
    <t>SAU210904</t>
  </si>
  <si>
    <t>SAU210915</t>
  </si>
  <si>
    <t>riviera</t>
  </si>
  <si>
    <t>SAU210917</t>
  </si>
  <si>
    <t>SAUD211012</t>
  </si>
  <si>
    <t>Digital</t>
  </si>
  <si>
    <t>BRAHEA</t>
  </si>
  <si>
    <t>SAUD211017</t>
  </si>
  <si>
    <t>pirate</t>
  </si>
  <si>
    <t>SAUD211015</t>
  </si>
  <si>
    <t>SAUD211006</t>
  </si>
  <si>
    <t>magnolia</t>
  </si>
  <si>
    <t>SAUD211115</t>
  </si>
  <si>
    <t>AGROA</t>
  </si>
  <si>
    <t>SAUD211112</t>
  </si>
  <si>
    <t>SAUD211116</t>
  </si>
  <si>
    <t>rio</t>
  </si>
  <si>
    <t>SAUD211107</t>
  </si>
  <si>
    <t>SAUD211216</t>
  </si>
  <si>
    <t>KAMEN</t>
  </si>
  <si>
    <t>SAUD211217</t>
  </si>
  <si>
    <t>SAUD211215</t>
  </si>
  <si>
    <t>SAUD211317</t>
  </si>
  <si>
    <t>GINKESAI</t>
  </si>
  <si>
    <t>SAUD211315</t>
  </si>
  <si>
    <t>SAUD211307</t>
  </si>
  <si>
    <t>SAUD211304</t>
  </si>
  <si>
    <t>SAUD211417</t>
  </si>
  <si>
    <t>BOLD</t>
  </si>
  <si>
    <t>SAUD211415</t>
  </si>
  <si>
    <t>SAUD211407</t>
  </si>
  <si>
    <t>SAUD211408</t>
  </si>
  <si>
    <t>SAUD211516</t>
  </si>
  <si>
    <t>PARADE</t>
  </si>
  <si>
    <t>SAUD211504</t>
  </si>
  <si>
    <t>SAUD211615</t>
  </si>
  <si>
    <t>TOTEM</t>
  </si>
  <si>
    <t>SAUD211607</t>
  </si>
  <si>
    <t>SAUD211604</t>
  </si>
  <si>
    <t>SAUD211606</t>
  </si>
  <si>
    <t>SAUD211608</t>
  </si>
  <si>
    <t>SAUD211610</t>
  </si>
  <si>
    <t>Indigo</t>
  </si>
  <si>
    <t>SAUD211613</t>
  </si>
  <si>
    <t>SAUD211601</t>
  </si>
  <si>
    <t>BLS - 200208</t>
  </si>
  <si>
    <t>ALIOS</t>
  </si>
  <si>
    <t>Opium</t>
  </si>
  <si>
    <t>BLS - 200203</t>
  </si>
  <si>
    <t>BLS - 200209</t>
  </si>
  <si>
    <t>Patchouli</t>
  </si>
  <si>
    <t>BLS - 200214</t>
  </si>
  <si>
    <t>BLS - 201204</t>
  </si>
  <si>
    <t>ZHÉ</t>
  </si>
  <si>
    <t>BLS - 201205</t>
  </si>
  <si>
    <t>Jasmin</t>
  </si>
  <si>
    <t>BLS - 201201</t>
  </si>
  <si>
    <t>Champagne</t>
  </si>
  <si>
    <t>BLS - 201207</t>
  </si>
  <si>
    <t>BLS - 200401</t>
  </si>
  <si>
    <t>BENGAL</t>
  </si>
  <si>
    <t>BLS - 200414</t>
  </si>
  <si>
    <t>BLS - 200410</t>
  </si>
  <si>
    <t>Plum</t>
  </si>
  <si>
    <t>BLS - 200406</t>
  </si>
  <si>
    <t>BLS - 200105</t>
  </si>
  <si>
    <t>ADALIE</t>
  </si>
  <si>
    <t>BLS - 200114</t>
  </si>
  <si>
    <t>BLS - 200110</t>
  </si>
  <si>
    <t>BLS - 200504</t>
  </si>
  <si>
    <t>BLOSSOM</t>
  </si>
  <si>
    <t>BLS - 200501</t>
  </si>
  <si>
    <t>BLS - 200513</t>
  </si>
  <si>
    <t>Santal</t>
  </si>
  <si>
    <t>BLS - 200502</t>
  </si>
  <si>
    <t>Emeraude</t>
  </si>
  <si>
    <t>BLS - 200515</t>
  </si>
  <si>
    <t>Violette</t>
  </si>
  <si>
    <t>BLS - 200506</t>
  </si>
  <si>
    <t>BLS - 201008</t>
  </si>
  <si>
    <t>NAHKA</t>
  </si>
  <si>
    <t>BLS - 201013</t>
  </si>
  <si>
    <t>BLS - 201002</t>
  </si>
  <si>
    <t>BLS - 201014</t>
  </si>
  <si>
    <t>BLS - 201015</t>
  </si>
  <si>
    <t>BLS - 201102</t>
  </si>
  <si>
    <t>ZÉPHYR</t>
  </si>
  <si>
    <t>BLS - 201107</t>
  </si>
  <si>
    <t>BLS - 201104</t>
  </si>
  <si>
    <t>BLS - 201110</t>
  </si>
  <si>
    <t>BLS - 200908</t>
  </si>
  <si>
    <t>OCELOT</t>
  </si>
  <si>
    <t>BLS - 200904</t>
  </si>
  <si>
    <t>BLS - 200915</t>
  </si>
  <si>
    <t>BLS - 200705</t>
  </si>
  <si>
    <t>KAMI</t>
  </si>
  <si>
    <t>BLS - 200711</t>
  </si>
  <si>
    <t>Poivre</t>
  </si>
  <si>
    <t>BLS - 200803</t>
  </si>
  <si>
    <t>LINTU</t>
  </si>
  <si>
    <t>BLS - 200802</t>
  </si>
  <si>
    <t>BLS - 200812</t>
  </si>
  <si>
    <t>BLS - 200805</t>
  </si>
  <si>
    <t>BLS - 200809</t>
  </si>
  <si>
    <t>BLS - 200806</t>
  </si>
  <si>
    <t>BLS - 200314</t>
  </si>
  <si>
    <t>ARDESIA</t>
  </si>
  <si>
    <t>BLS - 200315</t>
  </si>
  <si>
    <t>BLS - 200304</t>
  </si>
  <si>
    <t>BLS - 200601</t>
  </si>
  <si>
    <t>IKHO</t>
  </si>
  <si>
    <t>BLS - 200606</t>
  </si>
  <si>
    <t>BLD - 201506</t>
  </si>
  <si>
    <t>YÚN</t>
  </si>
  <si>
    <t>BLD - 201502</t>
  </si>
  <si>
    <t>BLD - 201507</t>
  </si>
  <si>
    <t>BLD - 201509</t>
  </si>
  <si>
    <t>BLD - 201514</t>
  </si>
  <si>
    <t>BLD - 201512</t>
  </si>
  <si>
    <t>BLD - 201314</t>
  </si>
  <si>
    <t>CÉU</t>
  </si>
  <si>
    <t>BLD - 201302</t>
  </si>
  <si>
    <t>BLD - 201306</t>
  </si>
  <si>
    <t>BLD - 201312</t>
  </si>
  <si>
    <t>BLD - 201307</t>
  </si>
  <si>
    <t>BLD - 201309</t>
  </si>
  <si>
    <t>BLD - 201402</t>
  </si>
  <si>
    <t>SORA</t>
  </si>
  <si>
    <t>BLD - 201407</t>
  </si>
  <si>
    <t>BLD - 201409</t>
  </si>
  <si>
    <t>BLD - 201406</t>
  </si>
  <si>
    <t>BLD - 201412</t>
  </si>
  <si>
    <t>BLD - 201414</t>
  </si>
  <si>
    <t>CG190102</t>
  </si>
  <si>
    <t>ALHAMBRA</t>
  </si>
  <si>
    <t xml:space="preserve"> Moon Rock</t>
  </si>
  <si>
    <t>CG190107</t>
  </si>
  <si>
    <t xml:space="preserve"> Sahara </t>
  </si>
  <si>
    <t>CG190115</t>
  </si>
  <si>
    <t xml:space="preserve"> Royal</t>
  </si>
  <si>
    <t>CG190202</t>
  </si>
  <si>
    <t>ARLES</t>
  </si>
  <si>
    <t>CG190213</t>
  </si>
  <si>
    <t>Teal</t>
  </si>
  <si>
    <t>CG190208</t>
  </si>
  <si>
    <t>Sauterne</t>
  </si>
  <si>
    <t>CG190210</t>
  </si>
  <si>
    <t>Blush</t>
  </si>
  <si>
    <t>CG190309</t>
  </si>
  <si>
    <t>BAMBOO</t>
  </si>
  <si>
    <t>CG190305</t>
  </si>
  <si>
    <t>Pearl</t>
  </si>
  <si>
    <t>CG190314</t>
  </si>
  <si>
    <t>CG190310</t>
  </si>
  <si>
    <t>CG190404</t>
  </si>
  <si>
    <t>CHEHEL</t>
  </si>
  <si>
    <t xml:space="preserve"> Ivory</t>
  </si>
  <si>
    <t>CG190410</t>
  </si>
  <si>
    <t>CG190416</t>
  </si>
  <si>
    <t>Charcoal</t>
  </si>
  <si>
    <t>CG190501</t>
  </si>
  <si>
    <t>GUËLL</t>
  </si>
  <si>
    <t>CG190504</t>
  </si>
  <si>
    <t>CG190508</t>
  </si>
  <si>
    <t>CG190515</t>
  </si>
  <si>
    <t>Royal</t>
  </si>
  <si>
    <t>CG190603</t>
  </si>
  <si>
    <t>HOKKAIDO</t>
  </si>
  <si>
    <t xml:space="preserve"> Stone</t>
  </si>
  <si>
    <t>CG190606</t>
  </si>
  <si>
    <t xml:space="preserve"> Frost</t>
  </si>
  <si>
    <t>CG190616</t>
  </si>
  <si>
    <t>CG190713</t>
  </si>
  <si>
    <t>TIGERS</t>
  </si>
  <si>
    <t>CG190702</t>
  </si>
  <si>
    <t>CG190707</t>
  </si>
  <si>
    <t>CG190804</t>
  </si>
  <si>
    <t>TIVOLI</t>
  </si>
  <si>
    <t>CG190801</t>
  </si>
  <si>
    <t>CG190807</t>
  </si>
  <si>
    <t>CG190917</t>
  </si>
  <si>
    <t>VERSAILLES</t>
  </si>
  <si>
    <t>Granite</t>
  </si>
  <si>
    <t>CG190903</t>
  </si>
  <si>
    <t>Stone</t>
  </si>
  <si>
    <t>CG190912</t>
  </si>
  <si>
    <t xml:space="preserve">VERSAILLES </t>
  </si>
  <si>
    <t>Garnet</t>
  </si>
  <si>
    <t>CG191013</t>
  </si>
  <si>
    <t>VICTORIA</t>
  </si>
  <si>
    <t>CG191012</t>
  </si>
  <si>
    <t>CG191006</t>
  </si>
  <si>
    <t>Frost</t>
  </si>
  <si>
    <t>CG191113</t>
  </si>
  <si>
    <t xml:space="preserve">VILLA DORIA </t>
  </si>
  <si>
    <t>CG191103</t>
  </si>
  <si>
    <t>VILLA DORIA</t>
  </si>
  <si>
    <t>CG191114</t>
  </si>
  <si>
    <t xml:space="preserve"> Indigo</t>
  </si>
  <si>
    <t>CG191104</t>
  </si>
  <si>
    <t>CG191209</t>
  </si>
  <si>
    <t xml:space="preserve">ZEBRA </t>
  </si>
  <si>
    <t>CG191204</t>
  </si>
  <si>
    <t>ZEBRA</t>
  </si>
  <si>
    <t>CG191201</t>
  </si>
  <si>
    <t>CG191211</t>
  </si>
  <si>
    <t>Raspberry</t>
  </si>
  <si>
    <t>CG191309</t>
  </si>
  <si>
    <t>ZIA</t>
  </si>
  <si>
    <t>CG191314</t>
  </si>
  <si>
    <t>CG191304</t>
  </si>
  <si>
    <t>GD191413</t>
  </si>
  <si>
    <t>MAJORELLE</t>
  </si>
  <si>
    <t xml:space="preserve"> Teal</t>
  </si>
  <si>
    <t>GD191418</t>
  </si>
  <si>
    <t>Emeraud</t>
  </si>
  <si>
    <t>GD191402</t>
  </si>
  <si>
    <t xml:space="preserve"> Moon Rock </t>
  </si>
  <si>
    <t>GD191416</t>
  </si>
  <si>
    <t>GD191409</t>
  </si>
  <si>
    <t>GD191408</t>
  </si>
  <si>
    <t xml:space="preserve"> Sauterne</t>
  </si>
  <si>
    <t>GD191502</t>
  </si>
  <si>
    <t>SHALIMAR</t>
  </si>
  <si>
    <t>GD191511</t>
  </si>
  <si>
    <t xml:space="preserve"> Raspberry</t>
  </si>
  <si>
    <t>GD191504</t>
  </si>
  <si>
    <t>GD191507</t>
  </si>
  <si>
    <t>GD191516</t>
  </si>
  <si>
    <t xml:space="preserve"> Charcoal</t>
  </si>
  <si>
    <t>GD191508</t>
  </si>
  <si>
    <t>GD191602</t>
  </si>
  <si>
    <t>ESTE</t>
  </si>
  <si>
    <t>GD191619</t>
  </si>
  <si>
    <t>Mouse</t>
  </si>
  <si>
    <t>GD191616</t>
  </si>
  <si>
    <t>GD191611</t>
  </si>
  <si>
    <t>GD191604</t>
  </si>
  <si>
    <t>GD191609</t>
  </si>
  <si>
    <t>ODE-191515</t>
  </si>
  <si>
    <t>ARALIA</t>
  </si>
  <si>
    <t>ODE-191512</t>
  </si>
  <si>
    <t>ODE-191509</t>
  </si>
  <si>
    <t>ODE-191505</t>
  </si>
  <si>
    <t>Concrete</t>
  </si>
  <si>
    <t>ODE-190203</t>
  </si>
  <si>
    <t>Natural</t>
  </si>
  <si>
    <t>ODE-190212</t>
  </si>
  <si>
    <t>ODE-190215</t>
  </si>
  <si>
    <t>ODE-190213</t>
  </si>
  <si>
    <t>ODE-191915</t>
  </si>
  <si>
    <t>CANIS</t>
  </si>
  <si>
    <t>ODE-191911</t>
  </si>
  <si>
    <t>ODE-191908</t>
  </si>
  <si>
    <t>ODE-190609</t>
  </si>
  <si>
    <t>CHIMERA</t>
  </si>
  <si>
    <t>ODE-190610</t>
  </si>
  <si>
    <t>Toscana</t>
  </si>
  <si>
    <t>ODE-190803</t>
  </si>
  <si>
    <t>DUKE</t>
  </si>
  <si>
    <t>ODE-191210</t>
  </si>
  <si>
    <t>ECHO</t>
  </si>
  <si>
    <t>ODE-191212</t>
  </si>
  <si>
    <t>ODE-191213</t>
  </si>
  <si>
    <t>ODE-191202</t>
  </si>
  <si>
    <t>Gold</t>
  </si>
  <si>
    <t>ODE-190518</t>
  </si>
  <si>
    <t>EMPIRE</t>
  </si>
  <si>
    <t>ODE-190512</t>
  </si>
  <si>
    <t>ODE-190515</t>
  </si>
  <si>
    <t>ODE-190503</t>
  </si>
  <si>
    <t>ODE-191010</t>
  </si>
  <si>
    <t>GLORIA</t>
  </si>
  <si>
    <t>ODE-191008</t>
  </si>
  <si>
    <t>ODE-191006</t>
  </si>
  <si>
    <t>Ghost</t>
  </si>
  <si>
    <t>ODE-191015</t>
  </si>
  <si>
    <t>ODE-190302</t>
  </si>
  <si>
    <t>HAVANA</t>
  </si>
  <si>
    <t>ODE-190312</t>
  </si>
  <si>
    <t>ODE-190315</t>
  </si>
  <si>
    <t>ODE-190313</t>
  </si>
  <si>
    <t>ODE-191705</t>
  </si>
  <si>
    <t>HOWEA</t>
  </si>
  <si>
    <t>ODE-191710</t>
  </si>
  <si>
    <t>ODE-191713</t>
  </si>
  <si>
    <t>ODE-191708</t>
  </si>
  <si>
    <t>ODE-192008</t>
  </si>
  <si>
    <t>ILLUSION</t>
  </si>
  <si>
    <t>ODE-192009</t>
  </si>
  <si>
    <t>ODE-192005</t>
  </si>
  <si>
    <t>ODE-192015</t>
  </si>
  <si>
    <t>ODE-190708</t>
  </si>
  <si>
    <t>KENTIA</t>
  </si>
  <si>
    <t>ODE-190712</t>
  </si>
  <si>
    <t>ODE-190705</t>
  </si>
  <si>
    <t xml:space="preserve"> Concrete</t>
  </si>
  <si>
    <t>ODE-190713</t>
  </si>
  <si>
    <t>ODE-190109</t>
  </si>
  <si>
    <t>LEGEND</t>
  </si>
  <si>
    <t>ODE-190115</t>
  </si>
  <si>
    <t>ODE-190102</t>
  </si>
  <si>
    <t>ODE-190112</t>
  </si>
  <si>
    <t xml:space="preserve">LEGEND </t>
  </si>
  <si>
    <t>ODE-191112</t>
  </si>
  <si>
    <t>LORE</t>
  </si>
  <si>
    <t>ODE-191108</t>
  </si>
  <si>
    <t>ODE-191107</t>
  </si>
  <si>
    <t>Automn</t>
  </si>
  <si>
    <t>ODE-191115</t>
  </si>
  <si>
    <t>ODE-191815</t>
  </si>
  <si>
    <t>MIST</t>
  </si>
  <si>
    <t>ODE-191802</t>
  </si>
  <si>
    <t>ODE-191809</t>
  </si>
  <si>
    <t>ODE-191805</t>
  </si>
  <si>
    <t>ODE-191618</t>
  </si>
  <si>
    <t>MUSE</t>
  </si>
  <si>
    <t>ODE-191602</t>
  </si>
  <si>
    <t>ODE-191605</t>
  </si>
  <si>
    <t>ODE-191615</t>
  </si>
  <si>
    <t>ODE-191401</t>
  </si>
  <si>
    <t>MYTH</t>
  </si>
  <si>
    <t>ODE-191412</t>
  </si>
  <si>
    <t>ODE-191415</t>
  </si>
  <si>
    <t>ODE-191418</t>
  </si>
  <si>
    <t>ODE-190910</t>
  </si>
  <si>
    <t>ONIR</t>
  </si>
  <si>
    <t>ODE-190909</t>
  </si>
  <si>
    <t>ODE-192115</t>
  </si>
  <si>
    <t>ADAGE</t>
  </si>
  <si>
    <t>ODE-192119</t>
  </si>
  <si>
    <t>ODE-192104</t>
  </si>
  <si>
    <t>Ivory</t>
  </si>
  <si>
    <t>ODE-192125</t>
  </si>
  <si>
    <t>Sahara</t>
  </si>
  <si>
    <t>ODE-192126</t>
  </si>
  <si>
    <t>ODE-192127</t>
  </si>
  <si>
    <t xml:space="preserve">Stone </t>
  </si>
  <si>
    <t>ODE-192128</t>
  </si>
  <si>
    <t>ODE-192215</t>
  </si>
  <si>
    <t>ODE-192204</t>
  </si>
  <si>
    <t>ODE-192218</t>
  </si>
  <si>
    <t>ODE-192209</t>
  </si>
  <si>
    <t>ODE-192225</t>
  </si>
  <si>
    <t>ODE-192229</t>
  </si>
  <si>
    <t>Aubergine</t>
  </si>
  <si>
    <t>ODE-192201</t>
  </si>
  <si>
    <t>ODE-192326</t>
  </si>
  <si>
    <t>ODE-192310</t>
  </si>
  <si>
    <t>ODE-192304</t>
  </si>
  <si>
    <t>ODE-192327</t>
  </si>
  <si>
    <t>ODE-192306</t>
  </si>
  <si>
    <t>SPI-230130</t>
  </si>
  <si>
    <t>HÔ</t>
  </si>
  <si>
    <t>Charcoal black</t>
  </si>
  <si>
    <t>SPI-230102</t>
  </si>
  <si>
    <t>Emeraud green</t>
  </si>
  <si>
    <t>SPI-230106</t>
  </si>
  <si>
    <t>Turquoise blue</t>
  </si>
  <si>
    <t>SPI-230123</t>
  </si>
  <si>
    <t>Lime Green</t>
  </si>
  <si>
    <t>SPI-230125</t>
  </si>
  <si>
    <t>Ghost white</t>
  </si>
  <si>
    <t>SPI-230126</t>
  </si>
  <si>
    <t xml:space="preserve">Frost Grey </t>
  </si>
  <si>
    <t>SPI-230133</t>
  </si>
  <si>
    <t>Cobalt blue</t>
  </si>
  <si>
    <t>SPI-230206</t>
  </si>
  <si>
    <t>BORAGE</t>
  </si>
  <si>
    <t>SPI-230221</t>
  </si>
  <si>
    <t>Tangerine</t>
  </si>
  <si>
    <t>SPI-230226</t>
  </si>
  <si>
    <t xml:space="preserve">Grey Frost </t>
  </si>
  <si>
    <t>SPI-230230</t>
  </si>
  <si>
    <t>SPI-230307</t>
  </si>
  <si>
    <t>MONOÏ</t>
  </si>
  <si>
    <t>Riviera Green</t>
  </si>
  <si>
    <t>SPI-230312</t>
  </si>
  <si>
    <t>Nude Pink</t>
  </si>
  <si>
    <t>SPI-230325</t>
  </si>
  <si>
    <t>SPI-230326</t>
  </si>
  <si>
    <t>SPI-230425</t>
  </si>
  <si>
    <t>JOY</t>
  </si>
  <si>
    <t>SPI-230426</t>
  </si>
  <si>
    <t>SPI-230411</t>
  </si>
  <si>
    <t>Powder Pink</t>
  </si>
  <si>
    <t>SPI-230412</t>
  </si>
  <si>
    <t>SPI-230421</t>
  </si>
  <si>
    <t>SPI-230423</t>
  </si>
  <si>
    <t>SPI-230407</t>
  </si>
  <si>
    <t>SPI-230402</t>
  </si>
  <si>
    <t>SPI-230406</t>
  </si>
  <si>
    <t>SPI-230433</t>
  </si>
  <si>
    <t>SPI-230430</t>
  </si>
  <si>
    <t>SPID-230525</t>
  </si>
  <si>
    <t>PALMAROSA</t>
  </si>
  <si>
    <t>SPID-230530</t>
  </si>
  <si>
    <t>SPID-230611</t>
  </si>
  <si>
    <t>SARO</t>
  </si>
  <si>
    <t>SPID-230633</t>
  </si>
  <si>
    <t>SPID-230623</t>
  </si>
  <si>
    <t>SPID-230725</t>
  </si>
  <si>
    <t>PANACHE</t>
  </si>
  <si>
    <t>SPID-230730</t>
  </si>
  <si>
    <t>SPID-230721</t>
  </si>
  <si>
    <t>SPID-230723</t>
  </si>
  <si>
    <t>SPID-230826</t>
  </si>
  <si>
    <t>YLANG YLANG</t>
  </si>
  <si>
    <t>SPID-230806</t>
  </si>
  <si>
    <t>RAJ - 190112</t>
  </si>
  <si>
    <t>PALANI</t>
  </si>
  <si>
    <t>RAJ - 190101</t>
  </si>
  <si>
    <t>RAJ - 190108</t>
  </si>
  <si>
    <t>RAJ - 190115</t>
  </si>
  <si>
    <t>RAJ - 190110</t>
  </si>
  <si>
    <t>RAJ - 190102</t>
  </si>
  <si>
    <t>RAJ - 190213</t>
  </si>
  <si>
    <t>IDUKKI</t>
  </si>
  <si>
    <t>RAJ - 190214</t>
  </si>
  <si>
    <t>RAJ - 190212</t>
  </si>
  <si>
    <t>RAJ - 190202</t>
  </si>
  <si>
    <t>RAJ - 190204</t>
  </si>
  <si>
    <t>RAJ - 190203</t>
  </si>
  <si>
    <t>RAJ - 190307</t>
  </si>
  <si>
    <t>KERALA</t>
  </si>
  <si>
    <t>RAJ - 190315</t>
  </si>
  <si>
    <t>RAJ - 190310</t>
  </si>
  <si>
    <t>RAJ - 190308</t>
  </si>
  <si>
    <t>RAJ - 190312</t>
  </si>
  <si>
    <t>RAJ - 190317</t>
  </si>
  <si>
    <t>Commande book SPICE</t>
  </si>
  <si>
    <t>number of book required</t>
  </si>
  <si>
    <t>Devis</t>
  </si>
  <si>
    <t>bon de commande</t>
  </si>
  <si>
    <t>Invoice</t>
  </si>
  <si>
    <t>shipment</t>
  </si>
  <si>
    <t xml:space="preserve">Account charged </t>
  </si>
  <si>
    <t>Account customer (when applicable)</t>
  </si>
  <si>
    <t>Manor House</t>
  </si>
  <si>
    <t>P_031</t>
  </si>
  <si>
    <t>TDV</t>
  </si>
  <si>
    <t>20 EUR de transort ont été compté dans le devis, à remettre sur facture de SPICE</t>
  </si>
  <si>
    <t>paid! (invoice 025)</t>
  </si>
  <si>
    <t>Kelly Teng</t>
  </si>
  <si>
    <t>Leda41</t>
  </si>
  <si>
    <t>Marleen Van Eeckhout</t>
  </si>
  <si>
    <t>Not yet set up</t>
  </si>
  <si>
    <t>HK</t>
  </si>
  <si>
    <t>Today furnishing</t>
  </si>
  <si>
    <t>Q/013</t>
  </si>
  <si>
    <t>Customer</t>
  </si>
  <si>
    <t>Together with book of balsam - PAYE (invoice 038)</t>
  </si>
  <si>
    <t>LUX</t>
  </si>
  <si>
    <t>luxbuilding</t>
  </si>
  <si>
    <t>Mélany clesse</t>
  </si>
  <si>
    <t>A déjà reçu les 4 autres catalogues</t>
  </si>
  <si>
    <t>Taiwan</t>
  </si>
  <si>
    <t>ROTEX</t>
  </si>
  <si>
    <t>Joan Sun</t>
  </si>
  <si>
    <t>Together with saudade</t>
  </si>
  <si>
    <t>As you Plan</t>
  </si>
  <si>
    <t>a déjà reçu les 4 autres collections</t>
  </si>
  <si>
    <t>Q_016</t>
  </si>
  <si>
    <t>Irina / Leonid</t>
  </si>
  <si>
    <t>Meine Wand -D-Rüdershausen</t>
  </si>
  <si>
    <t>Via M. Wohlfromm</t>
  </si>
  <si>
    <t>95 EUR / book</t>
  </si>
  <si>
    <t>Fausel Biskamp - D-Dusseldorf</t>
  </si>
  <si>
    <t>Q_028</t>
  </si>
  <si>
    <t>60 + 12 prototypes for sales representatives</t>
  </si>
  <si>
    <t>Email dated 06/03/2019</t>
  </si>
  <si>
    <t>Denmark</t>
  </si>
  <si>
    <t>Tapet Compagniet</t>
  </si>
  <si>
    <t>Q_027</t>
  </si>
  <si>
    <t>See email dated 07/03/2019</t>
  </si>
  <si>
    <t>Q_021</t>
  </si>
  <si>
    <t>COLORA St Pieters Leeuw</t>
  </si>
  <si>
    <t>Harvizo order form (email dated 11 mars 2019)</t>
  </si>
  <si>
    <t>COLORA Brugge</t>
  </si>
  <si>
    <t>COLORA St Andries</t>
  </si>
  <si>
    <t>COLORA Deinze</t>
  </si>
  <si>
    <t>UNIEK Decoratie</t>
  </si>
  <si>
    <t>GIELISSEN</t>
  </si>
  <si>
    <t>COLORA Grimbergen</t>
  </si>
  <si>
    <t>ALTEX</t>
  </si>
  <si>
    <t>ECOSTORE Melle</t>
  </si>
  <si>
    <t>Kazumi KATO</t>
  </si>
  <si>
    <t xml:space="preserve">Wallpaper </t>
  </si>
  <si>
    <t>Colombia</t>
  </si>
  <si>
    <t>EURODIS</t>
  </si>
  <si>
    <t>Q-026</t>
  </si>
  <si>
    <t>Vervaet</t>
  </si>
  <si>
    <t>Laarne</t>
  </si>
  <si>
    <t>Miserez</t>
  </si>
  <si>
    <t>Lierde</t>
  </si>
  <si>
    <t>Schellaert</t>
  </si>
  <si>
    <t>Ninove</t>
  </si>
  <si>
    <t>Colora Waregem</t>
  </si>
  <si>
    <t>SPICE book (base pour commande - feb 2019)</t>
  </si>
  <si>
    <t>Prevision</t>
  </si>
  <si>
    <t>Email sent</t>
  </si>
  <si>
    <t>confirmed</t>
  </si>
  <si>
    <t>Prix négocié</t>
  </si>
  <si>
    <t>Prix total</t>
  </si>
  <si>
    <t>Date Shipped</t>
  </si>
  <si>
    <t>Note</t>
  </si>
  <si>
    <t>Devis #</t>
  </si>
  <si>
    <t>HEIM</t>
  </si>
  <si>
    <t>M&amp;O</t>
  </si>
  <si>
    <t>SDF</t>
  </si>
  <si>
    <t>Total sans négoce</t>
  </si>
  <si>
    <t>Azerbadjan</t>
  </si>
  <si>
    <t>AGENT</t>
  </si>
  <si>
    <t>Casa Garda (Chile)</t>
  </si>
  <si>
    <t>Finland</t>
  </si>
  <si>
    <t>Koweit</t>
  </si>
  <si>
    <t xml:space="preserve">24/01/2019: message from alexia: En fait leurs commerciaux doivent d’abord faire un tour de leurs client puis seulement ils vont placer une commande ferme. Donc on doit encore attendre pour le devis. </t>
  </si>
  <si>
    <t>Mexico</t>
  </si>
  <si>
    <t>Alexia to f-up</t>
  </si>
  <si>
    <t>Moonavoor</t>
  </si>
  <si>
    <t>Poland</t>
  </si>
  <si>
    <r>
      <rPr>
        <sz val="10"/>
        <color indexed="8"/>
        <rFont val="Calibri"/>
        <family val="2"/>
      </rPr>
      <t xml:space="preserve">23/01/2019: OK for books for reps by end Feb; we will have a meeting in these days and a confirmed quantity of SPICE books will follow
</t>
    </r>
    <r>
      <rPr>
        <sz val="10"/>
        <color indexed="8"/>
        <rFont val="Helvetica"/>
        <family val="2"/>
      </rPr>
      <t>By now we can say that we would need between 80 and 100 books, no logo on the cover is required; firm order follows asap</t>
    </r>
  </si>
  <si>
    <t>11/01/2019: 5 books required. 24/01/2019: confirmation required by email sent to them</t>
  </si>
  <si>
    <t>Slovenia</t>
  </si>
  <si>
    <t>F-up by Alexia</t>
  </si>
  <si>
    <t>USA MIAMI</t>
  </si>
  <si>
    <t>Quote sent (2019/Q/006 25JAN2019)</t>
  </si>
  <si>
    <t>WA</t>
  </si>
  <si>
    <t>16/01/2019: 5 books ordered (file for approval to be sent for logo on cover when available)</t>
  </si>
  <si>
    <t>TAIWAN</t>
  </si>
  <si>
    <t>Extra’s</t>
  </si>
  <si>
    <t xml:space="preserve">TOTAL	</t>
  </si>
  <si>
    <t>950 : 350 MONTECOLINO + 600 NORMAUX</t>
  </si>
  <si>
    <t>Suivi des commandes</t>
  </si>
  <si>
    <t>BDC</t>
  </si>
  <si>
    <t>References</t>
  </si>
  <si>
    <t>FACTURE</t>
  </si>
  <si>
    <t>NOTE</t>
  </si>
  <si>
    <t>Date</t>
  </si>
  <si>
    <t>Wallpaper +</t>
  </si>
  <si>
    <t>Envoyé</t>
  </si>
  <si>
    <t xml:space="preserve">Devis ok -  Facture en attente </t>
  </si>
  <si>
    <r>
      <rPr>
        <sz val="10"/>
        <color indexed="37"/>
        <rFont val="Helvetica Neue"/>
        <family val="2"/>
      </rPr>
      <t>(ILS NOUS DOIVENT DE L’ARGENT)</t>
    </r>
    <r>
      <rPr>
        <sz val="10"/>
        <color indexed="37"/>
        <rFont val="Helvetica Neue"/>
        <family val="2"/>
      </rPr>
      <t xml:space="preserve">
</t>
    </r>
  </si>
  <si>
    <t xml:space="preserve"> La maison</t>
  </si>
  <si>
    <t>Rouleaux digitaux</t>
  </si>
  <si>
    <t>Envoyés ensemble</t>
  </si>
  <si>
    <t>Facturé</t>
  </si>
  <si>
    <t>Rouleaux tradis</t>
  </si>
  <si>
    <t>Jolie papier</t>
  </si>
  <si>
    <t>samples</t>
  </si>
  <si>
    <t>/</t>
  </si>
  <si>
    <t>Collaboration</t>
  </si>
  <si>
    <t>Wallpaper + HK</t>
  </si>
  <si>
    <t>BLS-201107 x 5 rolls</t>
  </si>
  <si>
    <t>(ILS NOUS DOIVENT DE L’ARGENT)</t>
  </si>
  <si>
    <t>Sacre sucre</t>
  </si>
  <si>
    <t>4 majorelle sauterne</t>
  </si>
  <si>
    <t>FILPASSION</t>
  </si>
  <si>
    <t>rouleaux tradis</t>
  </si>
  <si>
    <t xml:space="preserve"> HOUZZ</t>
  </si>
  <si>
    <t>Villa Doria gris - CG191104 x 1roll</t>
  </si>
  <si>
    <t>1607-7017-9726-1283</t>
  </si>
  <si>
    <t>3 majorelle sauterne</t>
  </si>
  <si>
    <t>En attente étiquettes</t>
  </si>
  <si>
    <t>RAJAKKAD INDEX</t>
  </si>
  <si>
    <t>REFERENCE</t>
  </si>
  <si>
    <t>NAME</t>
  </si>
  <si>
    <t>COLOR</t>
  </si>
  <si>
    <t>PANELS</t>
  </si>
  <si>
    <t>M2</t>
  </si>
  <si>
    <t xml:space="preserve"> PAPER </t>
  </si>
  <si>
    <t>2 panels of 53cm x 300cm High</t>
  </si>
  <si>
    <t>DGS 4100</t>
  </si>
  <si>
    <t>3 panels of 53cm x 300cm High</t>
  </si>
  <si>
    <t>DGS 4201</t>
  </si>
  <si>
    <t>Diane Stempaert</t>
  </si>
  <si>
    <t>sample request (sencha + mist + monoi)</t>
  </si>
  <si>
    <t>67 gr</t>
  </si>
  <si>
    <t>25/03/209</t>
  </si>
  <si>
    <t>2019_P_067</t>
  </si>
  <si>
    <t>Solène Messonier</t>
  </si>
  <si>
    <t>Via A Line Story</t>
  </si>
  <si>
    <t>BdC 25/03/2019</t>
  </si>
  <si>
    <t>2019_Q_034</t>
  </si>
  <si>
    <t>Olivier Fabri</t>
  </si>
  <si>
    <t>Audrey Tamic</t>
  </si>
  <si>
    <t>sample request - yun magnolia</t>
  </si>
  <si>
    <t>Prix HTVA</t>
  </si>
  <si>
    <t>City GARDEN</t>
  </si>
  <si>
    <t>Prix sample A4 tradi</t>
  </si>
  <si>
    <t>to alexia</t>
  </si>
  <si>
    <t>LuXEMBOURG</t>
  </si>
  <si>
    <t>Fabien Jacquet</t>
  </si>
  <si>
    <t>Moreno Archi &amp; associés - sampels sencha</t>
  </si>
  <si>
    <t>Kuala Lumpur</t>
  </si>
  <si>
    <t>Karen Kolandasamy</t>
  </si>
  <si>
    <t xml:space="preserve">TATUM kuala lumpur - CG BAMBOO sampels </t>
  </si>
  <si>
    <t>enveloppe</t>
  </si>
  <si>
    <t>2019_P_070</t>
  </si>
  <si>
    <t>Book balsam</t>
  </si>
  <si>
    <t>tNT</t>
  </si>
  <si>
    <t>MARIE H1 (book balsam)</t>
  </si>
  <si>
    <t>bELGIUM</t>
  </si>
  <si>
    <t>2019_P_071</t>
  </si>
  <si>
    <t>Scandinavian wallpaper</t>
  </si>
  <si>
    <t>2019/069</t>
  </si>
  <si>
    <t>box</t>
  </si>
  <si>
    <t>55 x 30 x 25</t>
  </si>
  <si>
    <t>7</t>
  </si>
  <si>
    <t>AusTRALIA</t>
  </si>
  <si>
    <t>2019_P_072</t>
  </si>
  <si>
    <t>to orders</t>
  </si>
  <si>
    <t>Jean-Louis Deniot archi (appart à NYC)</t>
  </si>
  <si>
    <t>2019_Q_035</t>
  </si>
  <si>
    <t>orange</t>
  </si>
  <si>
    <t># 002.06</t>
  </si>
  <si>
    <t>Peinture Fontaine Daniel &amp; Fils</t>
  </si>
  <si>
    <t>Bastogne</t>
  </si>
  <si>
    <t>2019_Q_036</t>
  </si>
  <si>
    <t xml:space="preserve">chimera </t>
  </si>
  <si>
    <t>blue</t>
  </si>
  <si>
    <t>sent</t>
  </si>
  <si>
    <t>as you plan - DUKE (custom)</t>
  </si>
  <si>
    <t>Order As you Plan (rolls)</t>
  </si>
  <si>
    <t>2019_P_069</t>
  </si>
  <si>
    <t>2019_Q_038</t>
  </si>
  <si>
    <t>Paola Prieto</t>
  </si>
  <si>
    <t>Casa Garda</t>
  </si>
  <si>
    <t>email daed 28/03/2019</t>
  </si>
  <si>
    <t>Blue</t>
  </si>
  <si>
    <t>Brugge</t>
  </si>
  <si>
    <t>COLLUMBIEN</t>
  </si>
  <si>
    <t>Roux</t>
  </si>
  <si>
    <t>Genk</t>
  </si>
  <si>
    <t>St Niklaas</t>
  </si>
  <si>
    <t>Colora Roeselare</t>
  </si>
  <si>
    <t>Roeselare</t>
  </si>
  <si>
    <t>Colora Lier</t>
  </si>
  <si>
    <t>Lier$</t>
  </si>
  <si>
    <t>2019_P_074</t>
  </si>
  <si>
    <t xml:space="preserve">ISabel Carbonell </t>
  </si>
  <si>
    <t>La Maison BCN</t>
  </si>
  <si>
    <t>2019_P_077</t>
  </si>
  <si>
    <t>Deepak Sharma</t>
  </si>
  <si>
    <t>upfront payemnt OK, cimera riviera</t>
  </si>
  <si>
    <t xml:space="preserve">email 05/04/2019 </t>
  </si>
  <si>
    <t>2019/072</t>
  </si>
  <si>
    <t>110 x 11 x 11</t>
  </si>
  <si>
    <t>5</t>
  </si>
  <si>
    <t>2019/073</t>
  </si>
  <si>
    <t>2019_P_076</t>
  </si>
  <si>
    <t>Isabel Carbonell</t>
  </si>
  <si>
    <t>green</t>
  </si>
  <si>
    <t>La Maison (palmarosa white pour showroom!)</t>
  </si>
  <si>
    <t>2019_P_075</t>
  </si>
  <si>
    <t>email 04/04/2019</t>
  </si>
  <si>
    <t>2019_P_078</t>
  </si>
  <si>
    <t>Scandinavian wallpaper (majorelle)</t>
  </si>
  <si>
    <t xml:space="preserve">120 x </t>
  </si>
  <si>
    <t>2019/076</t>
  </si>
  <si>
    <t>tnt</t>
  </si>
  <si>
    <t>2019_P_079</t>
  </si>
  <si>
    <t>2019/071</t>
  </si>
  <si>
    <t>2019/077</t>
  </si>
  <si>
    <t>AoR from production</t>
  </si>
  <si>
    <t>red</t>
  </si>
  <si>
    <t>ok</t>
  </si>
  <si>
    <t>191204</t>
  </si>
  <si>
    <t>2019/074</t>
  </si>
  <si>
    <t>191150</t>
  </si>
  <si>
    <t>190831</t>
  </si>
  <si>
    <t>190719</t>
  </si>
  <si>
    <t>2019_P_073</t>
  </si>
  <si>
    <t>Magalie</t>
  </si>
  <si>
    <t>12585475</t>
  </si>
  <si>
    <t>Contact personne</t>
  </si>
  <si>
    <t>Schulzes Farbes und Tapetenhaus</t>
  </si>
  <si>
    <t>Berlin</t>
  </si>
  <si>
    <t xml:space="preserve">Unico </t>
  </si>
  <si>
    <t>Casa garda</t>
  </si>
  <si>
    <t>ventas@casagarda.cl
psaieg@casagarda.cl</t>
  </si>
  <si>
    <t>info@leda41.be</t>
  </si>
  <si>
    <t>showroom@luxbuilding.lu</t>
  </si>
  <si>
    <t>dimitra@asyouplan.gr
anna@asyouplan.gr</t>
  </si>
  <si>
    <t>v.thierard@montecolino.fr</t>
  </si>
  <si>
    <t xml:space="preserve">paola  daniela </t>
  </si>
  <si>
    <t>Tel : +49 5529 9199720</t>
  </si>
  <si>
    <t>info@meinewand.de</t>
  </si>
  <si>
    <t>MEINE WAND – SEBASTIAN STAHL E.K.
Hopfenhof 7
D-37434 Rüdershausen</t>
  </si>
  <si>
    <t>Tel</t>
  </si>
  <si>
    <t>Tel : 030 88 70 84 84</t>
  </si>
  <si>
    <t>info@unico-interiors.de</t>
  </si>
  <si>
    <t>UNICO INTERIORS GMBH &amp; CO HANDELS KG
Hohenzollerndamm 29
D-10713 Berlin</t>
  </si>
  <si>
    <t>info@fausel-biskamp.de</t>
  </si>
  <si>
    <t xml:space="preserve">Ludenberger Strasse 11
D-40629 Düsseldorf – Grafenberg
</t>
  </si>
  <si>
    <t>Tel : 0211 97 76 30</t>
  </si>
  <si>
    <t>Tapetenagentur</t>
  </si>
  <si>
    <t>M. Waltz</t>
  </si>
  <si>
    <t>Jakobstrasse 66
D-50678 Köln</t>
  </si>
  <si>
    <t>Tel : 49 (0)221 932 81 82</t>
  </si>
  <si>
    <t>Bergensesteenweg 732
1600 Leeuw-Saint-Pierre</t>
  </si>
  <si>
    <t>colora.sintpietersleeuw@colora.be</t>
  </si>
  <si>
    <t>+32 (0)23 80 80 82</t>
  </si>
  <si>
    <t>Maalse Steenweg 324B
8310 ST-KRUIS</t>
  </si>
  <si>
    <r>
      <t> </t>
    </r>
    <r>
      <rPr>
        <u/>
        <sz val="10"/>
        <color theme="10"/>
        <rFont val="Helvetica Neue"/>
        <family val="2"/>
      </rPr>
      <t>colora.brugge@colora.be</t>
    </r>
  </si>
  <si>
    <t>+32 (0)50 35 74 58</t>
  </si>
  <si>
    <t>Hoogstraten</t>
  </si>
  <si>
    <t>Mertens Interieur (colora Hoogstraten)</t>
  </si>
  <si>
    <t>Heiligbloedlaan 283
2320 Hoogstraten</t>
  </si>
  <si>
    <t>Tel. 03 314 52 78 </t>
  </si>
  <si>
    <t>administratie@mertens-interieur.be
info@mertens-schilderwerken.be</t>
  </si>
  <si>
    <t>Verpoorten Verfdistributie</t>
  </si>
  <si>
    <t>Herentals</t>
  </si>
  <si>
    <t>verkoop@verpoorten-verf.be</t>
  </si>
  <si>
    <t>Toekomstlaan 48
2200 Herentals</t>
  </si>
  <si>
    <t>014 24 81 00</t>
  </si>
  <si>
    <t>PERGAMENE</t>
  </si>
  <si>
    <t>info@pergamene.be</t>
  </si>
  <si>
    <t>Belgielaan 8
2200 Herentals</t>
  </si>
  <si>
    <t>014 22 19 23</t>
  </si>
  <si>
    <t>Torhoutse Steenweg 337 1
8200 SINT-ANDRIES</t>
  </si>
  <si>
    <t>+32 (0)50 71 86 43</t>
  </si>
  <si>
    <t>colora.brugge2@colora.be</t>
  </si>
  <si>
    <t>Gentsesteenweg 41 9800 Deinze</t>
  </si>
  <si>
    <r>
      <t> </t>
    </r>
    <r>
      <rPr>
        <u/>
        <sz val="10"/>
        <color theme="10"/>
        <rFont val="Helvetica Neue"/>
        <family val="2"/>
      </rPr>
      <t>09 380 00 67</t>
    </r>
  </si>
  <si>
    <t>colora.deinze@colora.be</t>
  </si>
  <si>
    <t>Dilserweg 19
3680 Opoeteren</t>
  </si>
  <si>
    <t>0484 56 38 99</t>
  </si>
  <si>
    <t>uniek.decoratie@telenet.be</t>
  </si>
  <si>
    <t>melany clesse</t>
  </si>
  <si>
    <t>peinture Fontaine D. &amp; fils</t>
  </si>
  <si>
    <t>Quatuor UCCLE</t>
  </si>
  <si>
    <t>Anne-Françoise d'aoust</t>
  </si>
  <si>
    <t>Verkortingstraat 53
  9040 St Amandsberg</t>
  </si>
  <si>
    <t>09 219 09 60</t>
  </si>
  <si>
    <t>Michael Fockedey</t>
  </si>
  <si>
    <t>Peerderbaan 6
3670 Meeuwen</t>
  </si>
  <si>
    <t> 011 79 26 55</t>
  </si>
  <si>
    <t>johanna@gielissen.be</t>
  </si>
  <si>
    <t>Wolvertemsesteenweg 46
1850 Grimbergen</t>
  </si>
  <si>
    <t>colora.grimbergen@colora.be</t>
  </si>
  <si>
    <t>+32 (0)22 69 90 46</t>
  </si>
  <si>
    <t>Gustaaf Vandenheuvelstraat 157
2230 Ramsel</t>
  </si>
  <si>
    <t>016 56 63 92</t>
  </si>
  <si>
    <t>Vijverwegel 66
9090 Melle</t>
  </si>
  <si>
    <t>info@ecostore.be</t>
  </si>
  <si>
    <t>+32 (0)9 272 82 92</t>
  </si>
  <si>
    <t>Adresse livraison</t>
  </si>
  <si>
    <t>adresse facturation (if different)</t>
  </si>
  <si>
    <t>Euridus SAS
Calle 75#24A-65, apto A7
Manizelas, Caldas
Colombia</t>
  </si>
  <si>
    <t xml:space="preserve">Daniel </t>
  </si>
  <si>
    <t>+573142144626</t>
  </si>
  <si>
    <t>info@homepagebrussels.com
contact@homepagebrussels.com</t>
  </si>
  <si>
    <t>Rue du Page 102
1050 Brussels</t>
  </si>
  <si>
    <t>Cedric Alby</t>
  </si>
  <si>
    <t>Track ref</t>
  </si>
  <si>
    <t>Kasteeldreef 8 
9270 Laarne</t>
  </si>
  <si>
    <t>09 369 09 50</t>
  </si>
  <si>
    <t>Martine</t>
  </si>
  <si>
    <t>Kruisstraat 29
9570 Lierde</t>
  </si>
  <si>
    <t xml:space="preserve">Halsesteenweg 21
9402 Meerbeke </t>
  </si>
  <si>
    <t>ninove@schellaert.be</t>
  </si>
  <si>
    <t>08/04/2019</t>
  </si>
  <si>
    <t>191419</t>
  </si>
  <si>
    <t xml:space="preserve">Wijmeriestraat 5
8790 WAREGEM
</t>
  </si>
  <si>
    <t>+32 (0)56 60 12 14</t>
  </si>
  <si>
    <t>colora.waregem@colora.be</t>
  </si>
  <si>
    <t>Pathoekeweg 5
8000 Brugge</t>
  </si>
  <si>
    <t>050 31 51 75</t>
  </si>
  <si>
    <t>T: +32 (0)54 33 37 83 </t>
  </si>
  <si>
    <t>Bosdel 57
3600 Genk</t>
  </si>
  <si>
    <t>089 30 06 90</t>
  </si>
  <si>
    <t>Stationsstraat 119
9100 Sint-Niklaas</t>
  </si>
  <si>
    <t>03 776 42 53</t>
  </si>
  <si>
    <t>info@t-interiors.be</t>
  </si>
  <si>
    <t>Tina De Smaele</t>
  </si>
  <si>
    <t>lifestyle creator</t>
  </si>
  <si>
    <t>Brugsesteenweg 302
8800 ROESELAERE</t>
  </si>
  <si>
    <t>Antwerpsesteenweg 308 
2500 Lier</t>
  </si>
  <si>
    <t>051 22 63 75</t>
  </si>
  <si>
    <t>034881127</t>
  </si>
  <si>
    <t>Schulzes Farben- und Tapetenhaus
Provinzialstraße 57
D-13409 Berlin</t>
  </si>
  <si>
    <t>Herr Rudolf Dietzmann – Herr Tim Dietzmann</t>
  </si>
  <si>
    <t>benoit-fontaine@skynet.be</t>
  </si>
  <si>
    <t>anne-francoise@quatuor.be</t>
  </si>
  <si>
    <t>manorhousemalta@gmail.com,</t>
  </si>
  <si>
    <t>jannellivolpi_import@jannellievolpi.it,</t>
  </si>
  <si>
    <t>phenie.sofro@yahoo.com,</t>
  </si>
  <si>
    <t>Ankie@todayfurnishing.com,</t>
  </si>
  <si>
    <t>showroom@luxbuilding.lu,</t>
  </si>
  <si>
    <t>joan@att-rotex.com.tw,</t>
  </si>
  <si>
    <t>mail@skol.su,</t>
  </si>
  <si>
    <t>david@lamaisonbarcelona.com, 
isabel@lamaisonbarcelona.com,</t>
  </si>
  <si>
    <t>info@tapetenagentur.de,</t>
  </si>
  <si>
    <t>carsten@tapetcompagniet.dk,</t>
  </si>
  <si>
    <t>mhfarine@hotmail.com,</t>
  </si>
  <si>
    <t>info@altex-studio.be,</t>
  </si>
  <si>
    <t>kato@wallart.co.jp,</t>
  </si>
  <si>
    <t>wallpaperstoremiami@gmail.com,</t>
  </si>
  <si>
    <t>eurodissas@gmail.com,</t>
  </si>
  <si>
    <t>martine@decovervaet.be,</t>
  </si>
  <si>
    <t>info@decoratie-miserez.be,</t>
  </si>
  <si>
    <t>decoratie@collumbien.be,</t>
  </si>
  <si>
    <t>monica.ponzetta@rouxverf.be,</t>
  </si>
  <si>
    <t>colora.roeselare@colora.be,</t>
  </si>
  <si>
    <t>colora.lier@colora.be,</t>
  </si>
  <si>
    <t>info@tintelijn.be,</t>
  </si>
  <si>
    <t>info@tapeten-in-berlin.de,</t>
  </si>
  <si>
    <t>The Belgian House</t>
  </si>
  <si>
    <t>Michael</t>
  </si>
  <si>
    <t xml:space="preserve">Germany </t>
  </si>
  <si>
    <t>Schäfer Tapeten</t>
  </si>
  <si>
    <t>Handelsvertretung &amp; Beratung WOHLFROMM</t>
  </si>
  <si>
    <t>Marianne Cauwels</t>
  </si>
  <si>
    <t>1489 Frances Street
Vancouver BC V5L 1Z1</t>
  </si>
  <si>
    <t>marianne@thebh.ca</t>
  </si>
  <si>
    <t>1.604.716.8229</t>
  </si>
  <si>
    <t>CEU</t>
  </si>
  <si>
    <t>12/04/2019</t>
  </si>
  <si>
    <t>2019/080</t>
  </si>
  <si>
    <t>direct via site web (à livrer au Portugal)</t>
  </si>
  <si>
    <t>2019/081</t>
  </si>
  <si>
    <t xml:space="preserve">Devis pour BALSAM teal - pour tête de lit de client </t>
  </si>
  <si>
    <t>2019_P_080</t>
  </si>
  <si>
    <t>2019/082</t>
  </si>
  <si>
    <t>RussIA</t>
  </si>
  <si>
    <t>2019_p_082</t>
  </si>
  <si>
    <t>2019_083</t>
  </si>
  <si>
    <t>Book</t>
  </si>
  <si>
    <t>15 avril 2019</t>
  </si>
  <si>
    <t>contact person</t>
  </si>
  <si>
    <t>country</t>
  </si>
  <si>
    <t>company</t>
  </si>
  <si>
    <t>1489 Frances Street
Vancouver BC V5L 1Z1 - CANADA</t>
  </si>
  <si>
    <t>2019/P/083</t>
  </si>
  <si>
    <t>2019_084</t>
  </si>
  <si>
    <t xml:space="preserve">Pedro de Villagra 2374
7630357 Vitacura, Santiago (Chile)
</t>
  </si>
  <si>
    <t>2019/P/081</t>
  </si>
  <si>
    <t>Rue de Bastogne 87 - 6700 ARLON</t>
  </si>
  <si>
    <t>+352 26 30 50 12</t>
  </si>
  <si>
    <t>2019_P_083</t>
  </si>
  <si>
    <t>P_084</t>
  </si>
  <si>
    <t>2019/085</t>
  </si>
  <si>
    <t>2019/084</t>
  </si>
  <si>
    <t>2019_P_084</t>
  </si>
  <si>
    <t>Kazimo</t>
  </si>
  <si>
    <t>WA Ltd</t>
  </si>
  <si>
    <t xml:space="preserve">email du </t>
  </si>
  <si>
    <t>with Decoprint? (Stephanie to confirm)</t>
  </si>
  <si>
    <t>15</t>
  </si>
  <si>
    <t>55 x 55 x 25</t>
  </si>
  <si>
    <t>17</t>
  </si>
  <si>
    <t xml:space="preserve">ex works </t>
  </si>
  <si>
    <t>13</t>
  </si>
  <si>
    <t>DECOPRONT</t>
  </si>
  <si>
    <t>à confirmer pas stephanie)</t>
  </si>
  <si>
    <t>Q_037</t>
  </si>
  <si>
    <t xml:space="preserve">Benoit Fontaine </t>
  </si>
  <si>
    <t>Fontaine Daniel &amp; fils (new point vente BE)</t>
  </si>
  <si>
    <t>2019/052</t>
  </si>
  <si>
    <t>55 x 55 x 5</t>
  </si>
  <si>
    <t>2019_P_085</t>
  </si>
  <si>
    <t>Marie H 1</t>
  </si>
  <si>
    <t>15/04/2019</t>
  </si>
  <si>
    <t>2019/086</t>
  </si>
  <si>
    <t>2019_P_086</t>
  </si>
  <si>
    <t>2019_P_087</t>
  </si>
  <si>
    <t>2019/087</t>
  </si>
  <si>
    <t>woh-bor@t-online.de</t>
  </si>
  <si>
    <t>Handelsvertretung &amp; Beratung WOHLFROMM - Eibenweg 17 
D-46325 Borken-Weseke</t>
  </si>
  <si>
    <t>2019_P_088</t>
  </si>
  <si>
    <t>2019_038</t>
  </si>
  <si>
    <t>166033378</t>
  </si>
  <si>
    <t>2019/088</t>
  </si>
  <si>
    <t>55 x 55 x 10</t>
  </si>
  <si>
    <t>agent</t>
  </si>
  <si>
    <t>2019_P_089</t>
  </si>
  <si>
    <t>Via alexandra Meeus</t>
  </si>
  <si>
    <t>Colora Grimbergen</t>
  </si>
  <si>
    <t>2019_089</t>
  </si>
  <si>
    <t>bestelling n.17278</t>
  </si>
  <si>
    <t>2019/089</t>
  </si>
  <si>
    <t>Vilnius (AXIS)</t>
  </si>
  <si>
    <t>Lydwine</t>
  </si>
  <si>
    <t>Cocorico (caserne Ixelles)</t>
  </si>
  <si>
    <t>2019_P_090</t>
  </si>
  <si>
    <t>2019_090</t>
  </si>
  <si>
    <t>Karl-Benz-Strasse 2
D*-33334 Gütersloh</t>
  </si>
  <si>
    <t>info@schaefer-tapeten.de</t>
  </si>
  <si>
    <t>As you plan - SPICE bok</t>
  </si>
  <si>
    <t>2019/090</t>
  </si>
  <si>
    <t>2019_P_091</t>
  </si>
  <si>
    <t>2019/091</t>
  </si>
  <si>
    <t>2019_P_092</t>
  </si>
  <si>
    <t>Lifestyle creator</t>
  </si>
  <si>
    <t>49304911438</t>
  </si>
  <si>
    <t>2019_P_094</t>
  </si>
  <si>
    <t>2019_P_095</t>
  </si>
  <si>
    <t>2019_P_096</t>
  </si>
  <si>
    <t>2019_P_097</t>
  </si>
  <si>
    <t>2019_P_098</t>
  </si>
  <si>
    <t>2019_P_099</t>
  </si>
  <si>
    <t>2019_P_100</t>
  </si>
  <si>
    <t>2019_P_101</t>
  </si>
  <si>
    <t>2019_P_102</t>
  </si>
  <si>
    <t>2019_P_103</t>
  </si>
  <si>
    <t>2019_P_104</t>
  </si>
  <si>
    <t>2019_P_105</t>
  </si>
  <si>
    <t>2019_P_106</t>
  </si>
  <si>
    <t>2019_P_107</t>
  </si>
  <si>
    <t>2019_P_108</t>
  </si>
  <si>
    <t>2019_P_109</t>
  </si>
  <si>
    <t>2019_P_110</t>
  </si>
  <si>
    <t>2019_P_111</t>
  </si>
  <si>
    <t>2019_P_112</t>
  </si>
  <si>
    <t>2019_P_113</t>
  </si>
  <si>
    <t>2019_P_114</t>
  </si>
  <si>
    <t>2019_P_115</t>
  </si>
  <si>
    <t>2019_P_116</t>
  </si>
  <si>
    <t>2019_P_117</t>
  </si>
  <si>
    <t>2019_P_118</t>
  </si>
  <si>
    <t>1 6 6 4 2 7 1 5 4</t>
  </si>
  <si>
    <t>1 6 6 4 2 7 1 1 0</t>
  </si>
  <si>
    <t>1 6 6 4 2 3 2 1 0</t>
  </si>
  <si>
    <t>1 6 6 4 2 7 2 2 5</t>
  </si>
  <si>
    <t>1 6 6 4 2 7 4 0 1</t>
  </si>
  <si>
    <t>1 6 6 4 2 7 4 2 9</t>
  </si>
  <si>
    <t>1 6 6 4 2 7 5 3 4</t>
  </si>
  <si>
    <t>1 6 6 4 2 7 5 4 8</t>
  </si>
  <si>
    <t>1 6 6 4 2 7 5 7 9</t>
  </si>
  <si>
    <t>1 6 6 4 2 7 6 1 9</t>
  </si>
  <si>
    <t>1 6 6 4 2 7 6 7 5</t>
  </si>
  <si>
    <t>1 6 6 4 2 7 6 8 4</t>
  </si>
  <si>
    <t>1 6 6 4 2 7 7 0 7</t>
  </si>
  <si>
    <t>1 6 6 4 2 7 7 2 4</t>
  </si>
  <si>
    <t>1 6 6 4 2 7 7 3 8</t>
  </si>
  <si>
    <t>1 6 6 4 2 7 7 5 5</t>
  </si>
  <si>
    <t>1 6 6 4 2 7 7 7 2</t>
  </si>
  <si>
    <t>1 6 6 4 2 7 7 9 0</t>
  </si>
  <si>
    <t>2019/092</t>
  </si>
  <si>
    <t>lux building</t>
  </si>
  <si>
    <t xml:space="preserve">num TVA demandé 16/04 </t>
  </si>
  <si>
    <t>Ibgrid Tegenbos</t>
  </si>
  <si>
    <t>TVA</t>
  </si>
  <si>
    <t>BE0701438078</t>
  </si>
  <si>
    <t>Rue du Doyard 18
6600 Bastogne</t>
  </si>
  <si>
    <t>Chaussée de Waterloo 1232
1180 Uccle</t>
  </si>
  <si>
    <t>Anne-Françoise d'Aoust</t>
  </si>
  <si>
    <t>023721300</t>
  </si>
  <si>
    <t>poids et mesures palette envoyés 15/04</t>
  </si>
  <si>
    <t>166048409</t>
  </si>
  <si>
    <t>email envoyé le 16/04</t>
  </si>
  <si>
    <t>Together with saudade (envoi avec Decoprint?)</t>
  </si>
  <si>
    <t>envoyé par Décoprint</t>
  </si>
  <si>
    <t>DE814553164 (SEPA)</t>
  </si>
  <si>
    <t>DE121295066</t>
  </si>
  <si>
    <t>DE257865561</t>
  </si>
  <si>
    <t>DE135924610</t>
  </si>
  <si>
    <t>DE285993707 (SEPA)</t>
  </si>
  <si>
    <t>DE815015773 </t>
  </si>
  <si>
    <t>2019_P_120</t>
  </si>
  <si>
    <t>1 6 6 7 3 1 4 3 1</t>
  </si>
  <si>
    <t>Ingrid Notterdaeme</t>
  </si>
  <si>
    <t>BE0888749731</t>
  </si>
  <si>
    <t>Sibylle Gernaey</t>
  </si>
  <si>
    <t>De Vlek bvba (ECOSTORE)</t>
  </si>
  <si>
    <t>BE0449.779.793</t>
  </si>
  <si>
    <t>info@ecostore.be; admin@ecostore.be</t>
  </si>
  <si>
    <t>Bvba De Smaele-De Geyter</t>
  </si>
  <si>
    <t>Christiane De Geyter</t>
  </si>
  <si>
    <t xml:space="preserve">1 6 6 7 7 3 9 8 9 </t>
  </si>
  <si>
    <t>2019_P_122</t>
  </si>
  <si>
    <t>2019_P_121</t>
  </si>
  <si>
    <t>1 6 6 7 7 0 8 8 5</t>
  </si>
  <si>
    <t>2019/101</t>
  </si>
  <si>
    <t>2019/102</t>
  </si>
  <si>
    <t>2019/103</t>
  </si>
  <si>
    <t>2019/104</t>
  </si>
  <si>
    <t>2019/106</t>
  </si>
  <si>
    <t>2019/105</t>
  </si>
  <si>
    <t>2019/123</t>
  </si>
  <si>
    <t>2019/107</t>
  </si>
  <si>
    <t>2019/108</t>
  </si>
  <si>
    <t>2019/109</t>
  </si>
  <si>
    <t>2019/110</t>
  </si>
  <si>
    <t>2019/111</t>
  </si>
  <si>
    <t>2019/112</t>
  </si>
  <si>
    <t>2019/113</t>
  </si>
  <si>
    <t>2019/114</t>
  </si>
  <si>
    <t>2019/115</t>
  </si>
  <si>
    <t>2019/116</t>
  </si>
  <si>
    <t>2019/117</t>
  </si>
  <si>
    <t>2019/118</t>
  </si>
  <si>
    <t>2019/119</t>
  </si>
  <si>
    <t>2019/120</t>
  </si>
  <si>
    <t>EX works</t>
  </si>
  <si>
    <t>2019_092</t>
  </si>
  <si>
    <t>PL envoyée 17/04</t>
  </si>
  <si>
    <t> BE0429788 885</t>
  </si>
  <si>
    <t>2019/125</t>
  </si>
  <si>
    <t>colora.brugge2@colora.be; marina.govaere@colora.be</t>
  </si>
  <si>
    <t>Annemie Pieters</t>
  </si>
  <si>
    <t>BE 0476.394.813</t>
  </si>
  <si>
    <t>2019_Q_040</t>
  </si>
  <si>
    <t>WAVE archi (plan WC idukki)</t>
  </si>
  <si>
    <t>KOREA</t>
  </si>
  <si>
    <t>2019_Q_043</t>
  </si>
  <si>
    <t>Sophia Shin</t>
  </si>
  <si>
    <t>Litle sticth (proposal of distributor in Korea) - agreement to be signed off</t>
  </si>
  <si>
    <t>2019_P_093</t>
  </si>
  <si>
    <t>La maison !! From 2019/P/001 -&gt; missing 0,25 cm</t>
  </si>
  <si>
    <t>2019_P_119</t>
  </si>
  <si>
    <t>Q_041</t>
  </si>
  <si>
    <t>2019/100</t>
  </si>
  <si>
    <t>55 x 38 x 24</t>
  </si>
  <si>
    <t>5,3</t>
  </si>
  <si>
    <t>2019_P_081</t>
  </si>
  <si>
    <t>2019/124</t>
  </si>
  <si>
    <t>Marianne Jan</t>
  </si>
  <si>
    <t>L'art des lieux - archi intérieur AMIENS (intéresée par LORE &amp; LEGEND)</t>
  </si>
  <si>
    <t>email daté du 18/04/2019</t>
  </si>
  <si>
    <t>6</t>
  </si>
  <si>
    <t>2019_P_128</t>
  </si>
  <si>
    <t>2019_P_129</t>
  </si>
  <si>
    <t>Isabel</t>
  </si>
  <si>
    <t>email daté du 24/04/2019</t>
  </si>
  <si>
    <t>2019/128</t>
  </si>
  <si>
    <t>direct</t>
  </si>
  <si>
    <t>2019_Q_045</t>
  </si>
  <si>
    <t>Charles Frege</t>
  </si>
  <si>
    <t>Ex VOTOS (alsace)</t>
  </si>
  <si>
    <t>emai daté du 23/04/2019</t>
  </si>
  <si>
    <t>other</t>
  </si>
  <si>
    <t>2019_P_130</t>
  </si>
  <si>
    <t>2019/130</t>
  </si>
  <si>
    <t>white &amp; green</t>
  </si>
  <si>
    <t>2019/131</t>
  </si>
  <si>
    <t>books</t>
  </si>
  <si>
    <t>RENOTEC (reimpression b)</t>
  </si>
  <si>
    <t>purple</t>
  </si>
  <si>
    <t>2019/133</t>
  </si>
  <si>
    <t>2019/132</t>
  </si>
  <si>
    <t>2019_P_131</t>
  </si>
  <si>
    <t>Christie Mak</t>
  </si>
  <si>
    <t>purchase order EPO1904028</t>
  </si>
  <si>
    <t>2019_P_132</t>
  </si>
  <si>
    <t>2019_Q_046</t>
  </si>
  <si>
    <t>L'Art des Lieux - Amiens</t>
  </si>
  <si>
    <t>Q-032</t>
  </si>
  <si>
    <t>2019_P_125</t>
  </si>
  <si>
    <t>191597</t>
  </si>
  <si>
    <t>167303624</t>
  </si>
  <si>
    <t>2019/134</t>
  </si>
  <si>
    <t>Eurodiss SAS - BOOKS SAUDADE</t>
  </si>
  <si>
    <t>EURODIS (Colombia) - BOOK SPICE</t>
  </si>
  <si>
    <t>BOX</t>
  </si>
  <si>
    <t>20</t>
  </si>
  <si>
    <t>Eurodiss SAS - BOOKS BALSAM</t>
  </si>
  <si>
    <t>Eurodiss SAS - BOOKS ODE</t>
  </si>
  <si>
    <t>Colora Diest</t>
  </si>
  <si>
    <t>Harvizo (3 catalogues spice pour sales + ODE)</t>
  </si>
  <si>
    <t>meeting 29/04</t>
  </si>
  <si>
    <t>2019/135</t>
  </si>
  <si>
    <t>bos</t>
  </si>
  <si>
    <t>63 x 11 x 11</t>
  </si>
  <si>
    <t>2</t>
  </si>
  <si>
    <t>2019_P_133</t>
  </si>
  <si>
    <t>2019_P_134</t>
  </si>
  <si>
    <t>2019_P_135</t>
  </si>
  <si>
    <t>2019_Q_047</t>
  </si>
  <si>
    <t>2019_P_136</t>
  </si>
  <si>
    <t>Rebel Design</t>
  </si>
  <si>
    <t>2019/136</t>
  </si>
  <si>
    <t>55 x 25 x 25</t>
  </si>
  <si>
    <t>4</t>
  </si>
  <si>
    <t>Q_039</t>
  </si>
  <si>
    <t>Batya</t>
  </si>
  <si>
    <t>grey</t>
  </si>
  <si>
    <t>Wall Tawk Denver + update avec samples (30/04)</t>
  </si>
  <si>
    <t>Aurore Brouet</t>
  </si>
  <si>
    <t>Sample request (payment)</t>
  </si>
  <si>
    <t>2019_Q_048</t>
  </si>
  <si>
    <t>2019_P_137</t>
  </si>
  <si>
    <t>2019/137</t>
  </si>
  <si>
    <t>books + DP</t>
  </si>
  <si>
    <t>2019_P_138</t>
  </si>
  <si>
    <t>Remplacement samples ENTIRIS (defectueux)</t>
  </si>
  <si>
    <t>2019_P_139</t>
  </si>
  <si>
    <t>2019_Q_049</t>
  </si>
  <si>
    <t>saudade et spice</t>
  </si>
  <si>
    <t>2019_P_140</t>
  </si>
  <si>
    <t>2019_P_141</t>
  </si>
  <si>
    <t>BALSAM royal</t>
  </si>
  <si>
    <t>email dated 03/04/2019</t>
  </si>
  <si>
    <t>2019_P_142</t>
  </si>
  <si>
    <t>2019/139</t>
  </si>
  <si>
    <t>RED</t>
  </si>
  <si>
    <t>2019_P_143</t>
  </si>
  <si>
    <t>etalage HARVIZO</t>
  </si>
  <si>
    <t>email03/05/2019</t>
  </si>
  <si>
    <t>Agent</t>
  </si>
  <si>
    <t xml:space="preserve">Josephine de Wild </t>
  </si>
  <si>
    <t>Sample request via HARVIZO</t>
  </si>
  <si>
    <t>0,12</t>
  </si>
  <si>
    <t>2019_Q_050</t>
  </si>
  <si>
    <t>Ankie@todayfurnishing.com</t>
  </si>
  <si>
    <t>+852 9878 3208</t>
  </si>
  <si>
    <t>2019_Q_051</t>
  </si>
  <si>
    <t>Minnie Cheung</t>
  </si>
  <si>
    <t>Wallpaper + : SPICE collection + samples BLS &amp; SAU</t>
  </si>
  <si>
    <t>email daté du 06/05/2019</t>
  </si>
  <si>
    <t>2019/141</t>
  </si>
  <si>
    <t>2,5</t>
  </si>
  <si>
    <t>La maison - panache custom</t>
  </si>
  <si>
    <t>rotex</t>
  </si>
  <si>
    <t>2019_P_144</t>
  </si>
  <si>
    <t>ACD1905-024</t>
  </si>
  <si>
    <t>2019_P_145</t>
  </si>
  <si>
    <t>Montecolino order (SAU &amp; CG stock)</t>
  </si>
  <si>
    <t>La maison BCN= custom palmarosa</t>
  </si>
  <si>
    <t>2019_P_146</t>
  </si>
  <si>
    <t>Eurodis</t>
  </si>
  <si>
    <t>email 07/05/2019</t>
  </si>
  <si>
    <t>2019/142</t>
  </si>
  <si>
    <t>JAN</t>
  </si>
  <si>
    <t>FEB</t>
  </si>
  <si>
    <t>MAR</t>
  </si>
  <si>
    <t>2019_P_147</t>
  </si>
  <si>
    <t>email dated 07/05/2019</t>
  </si>
  <si>
    <t>2019_P_148</t>
  </si>
  <si>
    <t>2019/144</t>
  </si>
  <si>
    <t>Jean-Louis</t>
  </si>
  <si>
    <t>Bel'Arte</t>
  </si>
  <si>
    <t>2019/140</t>
  </si>
  <si>
    <t>2019_P_149</t>
  </si>
  <si>
    <t>Paola</t>
  </si>
  <si>
    <t>2019/145</t>
  </si>
  <si>
    <t>Casa Garda - new shipment due to lost by TNT - SENCHA GOLD</t>
  </si>
  <si>
    <t>12635902</t>
  </si>
  <si>
    <t>12635903</t>
  </si>
  <si>
    <t>yellow and blue</t>
  </si>
  <si>
    <t>2019_Q_055</t>
  </si>
  <si>
    <t>2019_Q_054</t>
  </si>
  <si>
    <t>Sarah Farahmand</t>
  </si>
  <si>
    <t>email daté du 09/05</t>
  </si>
  <si>
    <t>ESTONIA</t>
  </si>
  <si>
    <t>IRINA</t>
  </si>
  <si>
    <t>blanc</t>
  </si>
  <si>
    <t>0</t>
  </si>
  <si>
    <t>2019_P_123</t>
  </si>
  <si>
    <t>PERGAMEE</t>
  </si>
  <si>
    <t>white</t>
  </si>
  <si>
    <t>DE VLEK bvba</t>
  </si>
  <si>
    <t>de smaele de</t>
  </si>
  <si>
    <t xml:space="preserve">HARVIZO </t>
  </si>
  <si>
    <t>harvizo</t>
  </si>
  <si>
    <t>191389</t>
  </si>
  <si>
    <t>2019/127</t>
  </si>
  <si>
    <t>pallette</t>
  </si>
  <si>
    <t>2019_P_127</t>
  </si>
  <si>
    <t>MONTECOLINO</t>
  </si>
  <si>
    <t>2019/148</t>
  </si>
  <si>
    <t>2019/122</t>
  </si>
  <si>
    <t>110x11x1x</t>
  </si>
  <si>
    <t>191558</t>
  </si>
  <si>
    <t>PRODUCTS</t>
  </si>
  <si>
    <t xml:space="preserve">Wallpapers store miami </t>
  </si>
  <si>
    <t>facturation</t>
  </si>
  <si>
    <t xml:space="preserve">Manor House </t>
  </si>
  <si>
    <t>2019/146</t>
  </si>
  <si>
    <t>2019/147</t>
  </si>
  <si>
    <t>to Decoprint</t>
  </si>
  <si>
    <t>via DP</t>
  </si>
  <si>
    <t>LEDA 41</t>
  </si>
  <si>
    <t>colora St Pieters Leeuw</t>
  </si>
  <si>
    <t>Colora Brugge Sint Kruis</t>
  </si>
  <si>
    <t>Colora Deinze</t>
  </si>
  <si>
    <t>Uniek Decoratie</t>
  </si>
  <si>
    <t>Altex Studio</t>
  </si>
  <si>
    <t>Interieur Vervaet</t>
  </si>
  <si>
    <t>Miserez Decoratie</t>
  </si>
  <si>
    <t>Collumbien</t>
  </si>
  <si>
    <t>Colora Roselaere</t>
  </si>
  <si>
    <t>Mertens Interieur</t>
  </si>
  <si>
    <t>Verpoorten</t>
  </si>
  <si>
    <t xml:space="preserve">Homepage </t>
  </si>
  <si>
    <t>Gielissen (johanna)</t>
  </si>
  <si>
    <t>2019_P_124</t>
  </si>
  <si>
    <t>2019/143</t>
  </si>
  <si>
    <t xml:space="preserve">DP </t>
  </si>
  <si>
    <t xml:space="preserve">Casa garda </t>
  </si>
  <si>
    <t>pour cabinet annelise</t>
  </si>
  <si>
    <t>MAI</t>
  </si>
  <si>
    <t>209/102</t>
  </si>
  <si>
    <t>209/113</t>
  </si>
  <si>
    <t xml:space="preserve">transport: </t>
  </si>
  <si>
    <t>marge nette</t>
  </si>
  <si>
    <t>transport:</t>
  </si>
  <si>
    <t>marge agent</t>
  </si>
  <si>
    <t>book + samples</t>
  </si>
  <si>
    <t>VENTES</t>
  </si>
  <si>
    <t>fournisseur</t>
  </si>
  <si>
    <t>voir 2019/052</t>
  </si>
  <si>
    <t>2019/078</t>
  </si>
  <si>
    <t>120 x 13x 13</t>
  </si>
  <si>
    <t>see 2019_P_149</t>
  </si>
  <si>
    <t>2019/034</t>
  </si>
  <si>
    <t>2019/011</t>
  </si>
  <si>
    <t>Order to be processed when books availale 20</t>
  </si>
  <si>
    <t>WOHLFROMM</t>
  </si>
  <si>
    <t>avril</t>
  </si>
  <si>
    <t>palette</t>
  </si>
  <si>
    <t>ngrande</t>
  </si>
  <si>
    <t>la poste</t>
  </si>
  <si>
    <t>découpe pour boooks</t>
  </si>
  <si>
    <t xml:space="preserve">la poste </t>
  </si>
  <si>
    <t>marge agent:</t>
  </si>
  <si>
    <t>books montecolino</t>
  </si>
  <si>
    <t>rolls + books</t>
  </si>
  <si>
    <t xml:space="preserve">marge agent: </t>
  </si>
  <si>
    <t>prix rouleau digital</t>
  </si>
  <si>
    <t>Total facture DECOPRINT_x000B_(total à payer - HTVA)</t>
  </si>
  <si>
    <t>via wohlfromm</t>
  </si>
  <si>
    <t xml:space="preserve">marge nette </t>
  </si>
  <si>
    <t>JUNE</t>
  </si>
  <si>
    <t>TOTAL S1  2019</t>
  </si>
  <si>
    <t>2019_P_151</t>
  </si>
  <si>
    <t>Colora Zaventem</t>
  </si>
  <si>
    <t>via harvizo</t>
  </si>
  <si>
    <t>2019_P_152</t>
  </si>
  <si>
    <t>2019_P_153</t>
  </si>
  <si>
    <t>2019_P_154</t>
  </si>
  <si>
    <t>COLORA wommelgem</t>
  </si>
  <si>
    <t>prix rouleau tradi</t>
  </si>
  <si>
    <t>56 x 55 x 5</t>
  </si>
  <si>
    <t>57 x 55 x 5</t>
  </si>
  <si>
    <t>58 x 55 x 5</t>
  </si>
  <si>
    <t>via harvizo (même proprio que colora wavre) - hô cobalt</t>
  </si>
  <si>
    <t>via harvizo - monoi nude pink</t>
  </si>
  <si>
    <t>COLORA lier</t>
  </si>
  <si>
    <t>2019/149</t>
  </si>
  <si>
    <t>6 + enveloppe</t>
  </si>
  <si>
    <t xml:space="preserve">lucile Geaiffrai </t>
  </si>
  <si>
    <t>Les Agenceurs (sample request)</t>
  </si>
  <si>
    <t>Madame de Tillesse</t>
  </si>
  <si>
    <t>via harvizo (sample request)</t>
  </si>
  <si>
    <t>2019_P_155</t>
  </si>
  <si>
    <t xml:space="preserve">SKOL </t>
  </si>
  <si>
    <t>2019/152</t>
  </si>
  <si>
    <t>2019/153</t>
  </si>
  <si>
    <t>2019/154</t>
  </si>
  <si>
    <t>0,18</t>
  </si>
  <si>
    <t>2019_P_156</t>
  </si>
  <si>
    <t>2019_P_157</t>
  </si>
  <si>
    <t>Tony Baert</t>
  </si>
  <si>
    <t>to decoprint</t>
  </si>
  <si>
    <t>Telgkämper GmbH</t>
  </si>
  <si>
    <t>via Wohlfromm</t>
  </si>
  <si>
    <t>55 x 55 x 55</t>
  </si>
  <si>
    <t>0,3</t>
  </si>
  <si>
    <t>prix rouleau tradi spice (ho)</t>
  </si>
  <si>
    <t>prix rouleau borage et monoi</t>
  </si>
  <si>
    <t>12646443</t>
  </si>
  <si>
    <t>10</t>
  </si>
  <si>
    <t>2019_P_158</t>
  </si>
  <si>
    <t>DP</t>
  </si>
  <si>
    <t>commande city garden</t>
  </si>
  <si>
    <t>dos diseno + showroom medellin - eurodiss</t>
  </si>
  <si>
    <t>2019_P_159</t>
  </si>
  <si>
    <t>2019/155</t>
  </si>
  <si>
    <t>2019/156</t>
  </si>
  <si>
    <t>65 x 11 x 11</t>
  </si>
  <si>
    <t>3,5</t>
  </si>
  <si>
    <t>2019/158</t>
  </si>
  <si>
    <t>2019/157</t>
  </si>
  <si>
    <t>2019_Q_056</t>
  </si>
  <si>
    <t>Rachel</t>
  </si>
  <si>
    <t>Claudia Interiors</t>
  </si>
  <si>
    <t>2019_Q_057</t>
  </si>
  <si>
    <t>Greta Monko</t>
  </si>
  <si>
    <t>2019_Q_058</t>
  </si>
  <si>
    <t>2019/160</t>
  </si>
  <si>
    <t>2019_P_161</t>
  </si>
  <si>
    <t>2019_P_160</t>
  </si>
  <si>
    <t>Wallpaper store miami</t>
  </si>
  <si>
    <t>email du 22/05/2019</t>
  </si>
  <si>
    <t>blue &amp; yellow</t>
  </si>
  <si>
    <t>uni</t>
  </si>
  <si>
    <t>design</t>
  </si>
  <si>
    <t>pano</t>
  </si>
  <si>
    <t>2019/161</t>
  </si>
  <si>
    <t>2019_P_162</t>
  </si>
  <si>
    <t>191252
191255</t>
  </si>
  <si>
    <t>12656767</t>
  </si>
  <si>
    <t>2019/162</t>
  </si>
  <si>
    <t>book + DP</t>
  </si>
  <si>
    <t>2019/016</t>
  </si>
  <si>
    <t>2019/163</t>
  </si>
  <si>
    <t xml:space="preserve">first order by showroom (stock + collections - KOREA </t>
  </si>
  <si>
    <t xml:space="preserve">120 x 13 x 13 </t>
  </si>
  <si>
    <t>2019/169</t>
  </si>
  <si>
    <t>Roux verf</t>
  </si>
  <si>
    <t>Michael Wolhfromm</t>
  </si>
  <si>
    <t>2019_P_163</t>
  </si>
  <si>
    <t>collab</t>
  </si>
  <si>
    <t>Gitta Deckers</t>
  </si>
  <si>
    <t>Cafe Costume - envoi de support papier peint pour book</t>
  </si>
  <si>
    <t>2019/165</t>
  </si>
  <si>
    <t>marge nette (hors transport)
%</t>
  </si>
  <si>
    <t>BOOKS retail</t>
  </si>
  <si>
    <t>nombre</t>
  </si>
  <si>
    <t>marge TdV</t>
  </si>
  <si>
    <t>Books agent</t>
  </si>
  <si>
    <t>prix unité</t>
  </si>
  <si>
    <t>prix facturé</t>
  </si>
  <si>
    <t>Rolls SAU Q1</t>
  </si>
  <si>
    <t>Rolls ODE Q1</t>
  </si>
  <si>
    <t>Sari Myohanen</t>
  </si>
  <si>
    <t>Peclers paris</t>
  </si>
  <si>
    <t>tube</t>
  </si>
  <si>
    <t>65 x 5</t>
  </si>
  <si>
    <t>2019_P_165</t>
  </si>
  <si>
    <t>Tintelijn (via harvizo)</t>
  </si>
  <si>
    <t>PO/2019/252</t>
  </si>
  <si>
    <t>2019_P_166</t>
  </si>
  <si>
    <t>2019_P_168</t>
  </si>
  <si>
    <t>2019_P_167</t>
  </si>
  <si>
    <t>required</t>
  </si>
  <si>
    <t>Laetitia Bica</t>
  </si>
  <si>
    <t>rénovation intérieur privé</t>
  </si>
  <si>
    <t>n° 3</t>
  </si>
  <si>
    <t xml:space="preserve">go home </t>
  </si>
  <si>
    <t>2019_P_169</t>
  </si>
  <si>
    <t>Go home - Book spice (FOC)</t>
  </si>
  <si>
    <t>COLORA Ternat</t>
  </si>
  <si>
    <t>email 03/06</t>
  </si>
  <si>
    <t>2019_P_170</t>
  </si>
  <si>
    <t>2019_P_171</t>
  </si>
  <si>
    <t>COLORA Lokeren</t>
  </si>
  <si>
    <t>email du 03/06/2019</t>
  </si>
  <si>
    <t>2019_P_172</t>
  </si>
  <si>
    <t>ALESSANDRA FERRETTI</t>
  </si>
  <si>
    <t xml:space="preserve">SIRPI </t>
  </si>
  <si>
    <t>PO 1595</t>
  </si>
  <si>
    <t>2019_P_173</t>
  </si>
  <si>
    <t>COLORA TIELT</t>
  </si>
  <si>
    <t>2019_P_174</t>
  </si>
  <si>
    <t>Isabel Carbonnell</t>
  </si>
  <si>
    <t>La Maison (hotel)</t>
  </si>
  <si>
    <t>pedido compra 900472</t>
  </si>
  <si>
    <t>to DP</t>
  </si>
  <si>
    <t>2019_P_175</t>
  </si>
  <si>
    <t>2019_P_176</t>
  </si>
  <si>
    <t>Daniel Del Rio</t>
  </si>
  <si>
    <t>Eurodis sas</t>
  </si>
  <si>
    <t>par email à DP</t>
  </si>
  <si>
    <t>2019_P_177</t>
  </si>
  <si>
    <t>FEDEX</t>
  </si>
  <si>
    <t>2019_Q_059</t>
  </si>
  <si>
    <t>Wall Tawk - TOTEM custom</t>
  </si>
  <si>
    <t>Batya Stepelman</t>
  </si>
  <si>
    <t>Magalie Guitton</t>
  </si>
  <si>
    <t>stock montecolino</t>
  </si>
  <si>
    <t>ACD1906-023</t>
  </si>
  <si>
    <t>2019/170</t>
  </si>
  <si>
    <t>book + 1 roll</t>
  </si>
  <si>
    <t>Harvizo</t>
  </si>
  <si>
    <t>book (FOC)</t>
  </si>
  <si>
    <t>2019/171</t>
  </si>
  <si>
    <t>2019/172</t>
  </si>
  <si>
    <t>marge harvizo</t>
  </si>
  <si>
    <t>2019/174</t>
  </si>
  <si>
    <t>2019/173</t>
  </si>
  <si>
    <t>2019_P_178</t>
  </si>
  <si>
    <t>to dp</t>
  </si>
  <si>
    <t>2019_P_179</t>
  </si>
  <si>
    <t>2019_P_180</t>
  </si>
  <si>
    <t>total roll (all coll)</t>
  </si>
  <si>
    <t>Lux building (offer for showroom)</t>
  </si>
  <si>
    <t>2019_P_181</t>
  </si>
  <si>
    <t>2019_P_182</t>
  </si>
  <si>
    <t>2019/176</t>
  </si>
  <si>
    <t>2019/177</t>
  </si>
  <si>
    <t>yellow</t>
  </si>
  <si>
    <t>Mr- König</t>
  </si>
  <si>
    <t>2019/175</t>
  </si>
  <si>
    <t>Anais Save</t>
  </si>
  <si>
    <t>MOORE design (bureau d'étude - Paris)</t>
  </si>
  <si>
    <t>Sample</t>
  </si>
  <si>
    <t>envelope</t>
  </si>
  <si>
    <t>spice made</t>
  </si>
  <si>
    <t>Peinture fontaine (Bastogne)</t>
  </si>
  <si>
    <t>2019_P_183</t>
  </si>
  <si>
    <t>Vanessa Bruffaerts</t>
  </si>
  <si>
    <t>Espace Deco Bxl</t>
  </si>
  <si>
    <t>2019_Q_060</t>
  </si>
  <si>
    <t>Montecolino (devis pour ode sur mesure)</t>
  </si>
  <si>
    <t>2019_P_184</t>
  </si>
  <si>
    <t>CENACCHI</t>
  </si>
  <si>
    <t>2019/167</t>
  </si>
  <si>
    <t>Alexia de Ville</t>
  </si>
  <si>
    <t>Cousine (purple - 50%)</t>
  </si>
  <si>
    <t>2019/180</t>
  </si>
  <si>
    <t>65 x 28 x 24</t>
  </si>
  <si>
    <t>commande client</t>
  </si>
  <si>
    <t>2019/181</t>
  </si>
  <si>
    <t>63 x 25 x 25</t>
  </si>
  <si>
    <t>2019_P_186</t>
  </si>
  <si>
    <t>CoLOMBIA</t>
  </si>
  <si>
    <t>2019_Q_062</t>
  </si>
  <si>
    <t>via whatsapp - custom ode</t>
  </si>
  <si>
    <t>2019/138</t>
  </si>
  <si>
    <t>2019/166</t>
  </si>
  <si>
    <t>display perm</t>
  </si>
  <si>
    <t>order 3</t>
  </si>
  <si>
    <t>Rosa Machado</t>
  </si>
  <si>
    <t>SWEDEN</t>
  </si>
  <si>
    <t>2019_P_188</t>
  </si>
  <si>
    <t>Eva Örgen</t>
  </si>
  <si>
    <t>Tapet COMPAGNIET</t>
  </si>
  <si>
    <t># 15108805</t>
  </si>
  <si>
    <t>2019_P_189</t>
  </si>
  <si>
    <t>PO 1776</t>
  </si>
  <si>
    <t>2019_P_190</t>
  </si>
  <si>
    <t>Irina Kanarjova</t>
  </si>
  <si>
    <t>email du 17/06/2019</t>
  </si>
  <si>
    <t>Miniox Bascule</t>
  </si>
  <si>
    <t>2019_P_191</t>
  </si>
  <si>
    <t>SHADE</t>
  </si>
  <si>
    <t>ChILE</t>
  </si>
  <si>
    <t>2019_Q_063</t>
  </si>
  <si>
    <t>2019/183</t>
  </si>
  <si>
    <t>QUOTE!</t>
  </si>
  <si>
    <t>2019_P_192</t>
  </si>
  <si>
    <t>2019__P193</t>
  </si>
  <si>
    <t>Deco Ligot</t>
  </si>
  <si>
    <t>via Harvizo</t>
  </si>
  <si>
    <t>2019/185</t>
  </si>
  <si>
    <r>
      <t xml:space="preserve">Emmanuelle Vandenbrande (via harvizo) </t>
    </r>
    <r>
      <rPr>
        <sz val="10"/>
        <color rgb="FFFF0000"/>
        <rFont val="Helvetica Neue"/>
        <family val="2"/>
      </rPr>
      <t>à envoyer le 8 juillet</t>
    </r>
  </si>
  <si>
    <t>2019/184</t>
  </si>
  <si>
    <t>2019_P_194</t>
  </si>
  <si>
    <t>2019_Q_061</t>
  </si>
  <si>
    <t>collection privée</t>
  </si>
  <si>
    <t>2019/186</t>
  </si>
  <si>
    <t>Not required</t>
  </si>
  <si>
    <t>Coralie Deboix</t>
  </si>
  <si>
    <t>DINTERIEUR (bureau archi - RDV Ju)</t>
  </si>
  <si>
    <t>Tennessee</t>
  </si>
  <si>
    <t>Scandinavian wallpaper (samples)</t>
  </si>
  <si>
    <t>2019_P_195</t>
  </si>
  <si>
    <t>2019_P_196</t>
  </si>
  <si>
    <t>fedex</t>
  </si>
  <si>
    <t>2019_P_197</t>
  </si>
  <si>
    <t xml:space="preserve">Lux building - à livrer à Strassen! </t>
  </si>
  <si>
    <t>2019_P_164</t>
  </si>
  <si>
    <t>Corina Pitic</t>
  </si>
  <si>
    <t>projet archi caserne - archiassoc (SAMPLE)</t>
  </si>
  <si>
    <t>2019/189</t>
  </si>
  <si>
    <t>2019/188</t>
  </si>
  <si>
    <t>2019_P_198</t>
  </si>
  <si>
    <t>2019_Q_065</t>
  </si>
  <si>
    <t>Jonathan Lasserre</t>
  </si>
  <si>
    <t>projet aménagement bureau - ALGOLIA</t>
  </si>
  <si>
    <t>2019/190</t>
  </si>
  <si>
    <t xml:space="preserve">ratio: </t>
  </si>
  <si>
    <t>2019_P_185</t>
  </si>
  <si>
    <t>miami wallpaper</t>
  </si>
  <si>
    <t>2019_P_199</t>
  </si>
  <si>
    <t>not</t>
  </si>
  <si>
    <t>SIRPI + missing roll (CG190508)</t>
  </si>
  <si>
    <t>PO1731</t>
  </si>
  <si>
    <t>2019_P_200</t>
  </si>
  <si>
    <t>PO1829</t>
  </si>
  <si>
    <t>Fac Htransport</t>
  </si>
  <si>
    <t>prévision CA 2019</t>
  </si>
  <si>
    <t>% atteint</t>
  </si>
  <si>
    <t>GERMANY (direct)</t>
  </si>
  <si>
    <t>CHINE</t>
  </si>
  <si>
    <t>GERMANY (agent)</t>
  </si>
  <si>
    <t>JAPON</t>
  </si>
  <si>
    <t>KL</t>
  </si>
  <si>
    <t>Luxembourg</t>
  </si>
  <si>
    <t>Portugal</t>
  </si>
  <si>
    <t>Russie</t>
  </si>
  <si>
    <t>Holland</t>
  </si>
  <si>
    <t>UK Houzz</t>
  </si>
  <si>
    <t xml:space="preserve">USA </t>
  </si>
  <si>
    <t>Andrea Maury</t>
  </si>
  <si>
    <t>Maxime de Campenaere</t>
  </si>
  <si>
    <t>Melanie Debois</t>
  </si>
  <si>
    <t>FANIEL (via harvizo)</t>
  </si>
  <si>
    <t>RDV</t>
  </si>
  <si>
    <t>2019_P_201</t>
  </si>
  <si>
    <t>Home Entour-Ages (via Interieur D)</t>
  </si>
  <si>
    <t>2019/197</t>
  </si>
  <si>
    <t>2019/196</t>
  </si>
  <si>
    <t>2019_P_202</t>
  </si>
  <si>
    <t>Monsieur Habib et Monsieur Delhaxe</t>
  </si>
  <si>
    <t>Fontaine Daniel &amp; fils</t>
  </si>
  <si>
    <t>2019_P_187</t>
  </si>
  <si>
    <t>samples for stock (studio)</t>
  </si>
  <si>
    <t>2019_P_204</t>
  </si>
  <si>
    <t>Astudillo Kullmer - Ermita</t>
  </si>
  <si>
    <t>2019_P_203</t>
  </si>
  <si>
    <t xml:space="preserve">Lux Building. </t>
  </si>
  <si>
    <t>2019/198</t>
  </si>
  <si>
    <t>2019/199</t>
  </si>
  <si>
    <t>JULY</t>
  </si>
  <si>
    <t>2019_P_205</t>
  </si>
  <si>
    <t>PO1951</t>
  </si>
  <si>
    <t>2019_P_206</t>
  </si>
  <si>
    <t>KAZUMI KATO</t>
  </si>
  <si>
    <t xml:space="preserve">Melany Clesse </t>
  </si>
  <si>
    <t>Envoi d'une sélection d'échantillons (BLS-SPICE-SAU)</t>
  </si>
  <si>
    <t>HONK KONG</t>
  </si>
  <si>
    <t>2019_P_208</t>
  </si>
  <si>
    <t>2019_P_209</t>
  </si>
  <si>
    <t>book / samples / showroom display</t>
  </si>
  <si>
    <t>2019/207</t>
  </si>
  <si>
    <t>2019/210</t>
  </si>
  <si>
    <t>2019/03</t>
  </si>
  <si>
    <t>2019/205</t>
  </si>
  <si>
    <t>2019/204</t>
  </si>
  <si>
    <t>191651 + 1 roll FOC</t>
  </si>
  <si>
    <t>2019/202</t>
  </si>
  <si>
    <t>1 book</t>
  </si>
  <si>
    <t>2019_Q_066</t>
  </si>
  <si>
    <t>2019_P_211</t>
  </si>
  <si>
    <t>2019_P_210</t>
  </si>
  <si>
    <t>Arnaud Gauthier</t>
  </si>
  <si>
    <t>SAS La petite Brasserie (Nantes) - resto (via Stephanie durand</t>
  </si>
  <si>
    <t>2019/211</t>
  </si>
  <si>
    <t xml:space="preserve">Homan Iman </t>
  </si>
  <si>
    <t>Michel Penneman</t>
  </si>
  <si>
    <t>LA POSTE</t>
  </si>
  <si>
    <t>Maaike Bakker</t>
  </si>
  <si>
    <t>Samples request (Ester Vermeulen)</t>
  </si>
  <si>
    <t>2019/212</t>
  </si>
  <si>
    <t>France (paris)</t>
  </si>
  <si>
    <t>2019_Q_067</t>
  </si>
  <si>
    <t>2019_P_213</t>
  </si>
  <si>
    <t>Steinhauser</t>
  </si>
  <si>
    <t xml:space="preserve">Direct France </t>
  </si>
  <si>
    <t>2019_P_212</t>
  </si>
  <si>
    <t>requiRED</t>
  </si>
  <si>
    <t>ACD1907-019</t>
  </si>
  <si>
    <t>2019/209
2019/212</t>
  </si>
  <si>
    <t>2019/214</t>
  </si>
  <si>
    <t>2019_P_214</t>
  </si>
  <si>
    <t>PO2066</t>
  </si>
  <si>
    <t>2019_Q_070</t>
  </si>
  <si>
    <t>offre pour réceptin hotel ibis Chatelain</t>
  </si>
  <si>
    <t xml:space="preserve">D'intérieur / </t>
  </si>
  <si>
    <t>2019/218</t>
  </si>
  <si>
    <t>2019/219</t>
  </si>
  <si>
    <t>2019/220</t>
  </si>
  <si>
    <t>2019_P_216</t>
  </si>
  <si>
    <t xml:space="preserve">Herr Wieners </t>
  </si>
  <si>
    <t>2019/229</t>
  </si>
  <si>
    <t>2019_P_217</t>
  </si>
  <si>
    <t>2019_P_218</t>
  </si>
  <si>
    <t>2019_P_219</t>
  </si>
  <si>
    <t>2019_P_220</t>
  </si>
  <si>
    <t>2019_P_221</t>
  </si>
  <si>
    <t>2019_P_222</t>
  </si>
  <si>
    <t>2019_P_215</t>
  </si>
  <si>
    <t>PO2141</t>
  </si>
  <si>
    <t>SMITA</t>
  </si>
  <si>
    <t>15/07/219</t>
  </si>
  <si>
    <t>M. schmitz</t>
  </si>
  <si>
    <t>2019/222</t>
  </si>
  <si>
    <t>CAFE costume</t>
  </si>
  <si>
    <t>Gitta</t>
  </si>
  <si>
    <t>HOMA Interior</t>
  </si>
  <si>
    <t>Homa Iman</t>
  </si>
  <si>
    <t>2019_Q_074</t>
  </si>
  <si>
    <t>purple-30%</t>
  </si>
  <si>
    <t>Miniox</t>
  </si>
  <si>
    <t>gratuit</t>
  </si>
  <si>
    <t>2019/226</t>
  </si>
  <si>
    <t>2019/224</t>
  </si>
  <si>
    <t>WALLPAPER plus</t>
  </si>
  <si>
    <t>2019/225+NDC</t>
  </si>
  <si>
    <t>2019/223</t>
  </si>
  <si>
    <t>2019/227</t>
  </si>
  <si>
    <t>Estonia</t>
  </si>
  <si>
    <t>Référence</t>
  </si>
  <si>
    <t>nom</t>
  </si>
  <si>
    <t>couleur</t>
  </si>
  <si>
    <t>Code client</t>
  </si>
  <si>
    <t>Société</t>
  </si>
  <si>
    <t>Contact</t>
  </si>
  <si>
    <t>Fonction</t>
  </si>
  <si>
    <t>Adresse</t>
  </si>
  <si>
    <t>Ville</t>
  </si>
  <si>
    <t>Code postal</t>
  </si>
  <si>
    <t>Pays</t>
  </si>
  <si>
    <t>Continent</t>
  </si>
  <si>
    <t>type</t>
  </si>
  <si>
    <t>paper type</t>
  </si>
  <si>
    <t>catégorie</t>
  </si>
  <si>
    <t>city garden</t>
  </si>
  <si>
    <t>ode</t>
  </si>
  <si>
    <t>balsam</t>
  </si>
  <si>
    <t>saudade</t>
  </si>
  <si>
    <t>spice</t>
  </si>
  <si>
    <t>contract</t>
  </si>
  <si>
    <t>year of first agreement</t>
  </si>
  <si>
    <t>Directeur Marketing</t>
  </si>
  <si>
    <t>Le Park Artisan – ZA les Gros</t>
  </si>
  <si>
    <t>Ballancourt sur Essonne</t>
  </si>
  <si>
    <t>Europe</t>
  </si>
  <si>
    <t>email</t>
  </si>
  <si>
    <t>vth@montecolino.fr</t>
  </si>
  <si>
    <t>NO</t>
  </si>
  <si>
    <t>001</t>
  </si>
  <si>
    <t>002</t>
  </si>
  <si>
    <t>003</t>
  </si>
  <si>
    <t>004</t>
  </si>
  <si>
    <t>005</t>
  </si>
  <si>
    <t>006</t>
  </si>
  <si>
    <t>007</t>
  </si>
  <si>
    <t>008</t>
  </si>
  <si>
    <t>009</t>
  </si>
  <si>
    <t>010</t>
  </si>
  <si>
    <t>011</t>
  </si>
  <si>
    <t>012</t>
  </si>
  <si>
    <t>013</t>
  </si>
  <si>
    <t>014</t>
  </si>
  <si>
    <t>015</t>
  </si>
  <si>
    <t>016</t>
  </si>
  <si>
    <t>017</t>
  </si>
  <si>
    <t>018</t>
  </si>
  <si>
    <t>019</t>
  </si>
  <si>
    <t>020</t>
  </si>
  <si>
    <t>021</t>
  </si>
  <si>
    <t>022</t>
  </si>
  <si>
    <t>023</t>
  </si>
  <si>
    <t>024</t>
  </si>
  <si>
    <t>025</t>
  </si>
  <si>
    <t>026</t>
  </si>
  <si>
    <t>027</t>
  </si>
  <si>
    <t>028</t>
  </si>
  <si>
    <t>029</t>
  </si>
  <si>
    <t>030</t>
  </si>
  <si>
    <t>031</t>
  </si>
  <si>
    <t>032</t>
  </si>
  <si>
    <t>033</t>
  </si>
  <si>
    <t>034</t>
  </si>
  <si>
    <t>035</t>
  </si>
  <si>
    <t>036</t>
  </si>
  <si>
    <t>037</t>
  </si>
  <si>
    <t>038</t>
  </si>
  <si>
    <t>039</t>
  </si>
  <si>
    <t>040</t>
  </si>
  <si>
    <t>041</t>
  </si>
  <si>
    <t>042</t>
  </si>
  <si>
    <t>043</t>
  </si>
  <si>
    <t>044</t>
  </si>
  <si>
    <t>045</t>
  </si>
  <si>
    <t>046</t>
  </si>
  <si>
    <t>047</t>
  </si>
  <si>
    <t>048</t>
  </si>
  <si>
    <t>049</t>
  </si>
  <si>
    <t>050</t>
  </si>
  <si>
    <t>051</t>
  </si>
  <si>
    <t>052</t>
  </si>
  <si>
    <t>053</t>
  </si>
  <si>
    <t>054</t>
  </si>
  <si>
    <t>055</t>
  </si>
  <si>
    <t>056</t>
  </si>
  <si>
    <t>057</t>
  </si>
  <si>
    <t>058</t>
  </si>
  <si>
    <t>059</t>
  </si>
  <si>
    <t>060</t>
  </si>
  <si>
    <t>061</t>
  </si>
  <si>
    <t>062</t>
  </si>
  <si>
    <t>063</t>
  </si>
  <si>
    <t>064</t>
  </si>
  <si>
    <t>065</t>
  </si>
  <si>
    <t>066</t>
  </si>
  <si>
    <t>067</t>
  </si>
  <si>
    <t>068</t>
  </si>
  <si>
    <t>069</t>
  </si>
  <si>
    <t>070</t>
  </si>
  <si>
    <t>071</t>
  </si>
  <si>
    <t>072</t>
  </si>
  <si>
    <t>073</t>
  </si>
  <si>
    <t>074</t>
  </si>
  <si>
    <t>075</t>
  </si>
  <si>
    <t>076</t>
  </si>
  <si>
    <t>077</t>
  </si>
  <si>
    <t>078</t>
  </si>
  <si>
    <t>079</t>
  </si>
  <si>
    <t>080</t>
  </si>
  <si>
    <t>081</t>
  </si>
  <si>
    <t>082</t>
  </si>
  <si>
    <t>083</t>
  </si>
  <si>
    <t>084</t>
  </si>
  <si>
    <t>085</t>
  </si>
  <si>
    <t>086</t>
  </si>
  <si>
    <t>087</t>
  </si>
  <si>
    <t>088</t>
  </si>
  <si>
    <t>089</t>
  </si>
  <si>
    <t>090</t>
  </si>
  <si>
    <t>091</t>
  </si>
  <si>
    <t>092</t>
  </si>
  <si>
    <t>093</t>
  </si>
  <si>
    <t>094</t>
  </si>
  <si>
    <t>095</t>
  </si>
  <si>
    <t>096</t>
  </si>
  <si>
    <t>097</t>
  </si>
  <si>
    <t>098</t>
  </si>
  <si>
    <t>099</t>
  </si>
  <si>
    <t>100</t>
  </si>
  <si>
    <t>101</t>
  </si>
  <si>
    <t>102</t>
  </si>
  <si>
    <t>103</t>
  </si>
  <si>
    <t>104</t>
  </si>
  <si>
    <t>105</t>
  </si>
  <si>
    <t>106</t>
  </si>
  <si>
    <t>107</t>
  </si>
  <si>
    <t>108</t>
  </si>
  <si>
    <t>109</t>
  </si>
  <si>
    <t>110</t>
  </si>
  <si>
    <t>111</t>
  </si>
  <si>
    <t>112</t>
  </si>
  <si>
    <t>113</t>
  </si>
  <si>
    <t>Rajakkad</t>
  </si>
  <si>
    <t>traditional</t>
  </si>
  <si>
    <t>alhambra</t>
  </si>
  <si>
    <t>moon rock</t>
  </si>
  <si>
    <t>straight</t>
  </si>
  <si>
    <t>EAN code</t>
  </si>
  <si>
    <t>5415058018832</t>
  </si>
  <si>
    <t>DGS 3000</t>
  </si>
  <si>
    <t xml:space="preserve">calcul de prix </t>
  </si>
  <si>
    <t>rouleau</t>
  </si>
  <si>
    <t>sahara</t>
  </si>
  <si>
    <t>royal</t>
  </si>
  <si>
    <t>last year validity</t>
  </si>
  <si>
    <t>5415058018849</t>
  </si>
  <si>
    <t>5415058018856</t>
  </si>
  <si>
    <t>arles</t>
  </si>
  <si>
    <t>weight KG</t>
  </si>
  <si>
    <t>5415058018863</t>
  </si>
  <si>
    <t>5415058018870</t>
  </si>
  <si>
    <t>5415058018887</t>
  </si>
  <si>
    <t>5415058018894</t>
  </si>
  <si>
    <t>bamboo</t>
  </si>
  <si>
    <t>5415058018900</t>
  </si>
  <si>
    <t>pearl</t>
  </si>
  <si>
    <t>indigo</t>
  </si>
  <si>
    <t>blush</t>
  </si>
  <si>
    <t>5415058018917</t>
  </si>
  <si>
    <t>5415058018924</t>
  </si>
  <si>
    <t>5415058018931</t>
  </si>
  <si>
    <t>Chehel</t>
  </si>
  <si>
    <t>charcoal</t>
  </si>
  <si>
    <t>5415058018948</t>
  </si>
  <si>
    <t>5415058018955</t>
  </si>
  <si>
    <t>5415058018962</t>
  </si>
  <si>
    <t>5415058018979</t>
  </si>
  <si>
    <t>5415058018986</t>
  </si>
  <si>
    <t>5415058018993</t>
  </si>
  <si>
    <t>5415058019006</t>
  </si>
  <si>
    <t>Hokkaido</t>
  </si>
  <si>
    <t>5415058019013</t>
  </si>
  <si>
    <t>5415058019020</t>
  </si>
  <si>
    <t>5415058019037</t>
  </si>
  <si>
    <t>5415058019044</t>
  </si>
  <si>
    <t>Tigers</t>
  </si>
  <si>
    <t>teal</t>
  </si>
  <si>
    <t>5415058019051</t>
  </si>
  <si>
    <t>5415058019068</t>
  </si>
  <si>
    <t>5415058019075</t>
  </si>
  <si>
    <t>5415058019082</t>
  </si>
  <si>
    <t>5415058019099</t>
  </si>
  <si>
    <t>5415058019105</t>
  </si>
  <si>
    <t>5415058019112</t>
  </si>
  <si>
    <t>5415058019129</t>
  </si>
  <si>
    <t>5415058019136</t>
  </si>
  <si>
    <t>5415058019143</t>
  </si>
  <si>
    <t>5415058019150</t>
  </si>
  <si>
    <t>5415058019167</t>
  </si>
  <si>
    <t>5415058019174</t>
  </si>
  <si>
    <t>5415058019181</t>
  </si>
  <si>
    <t>5415058019198</t>
  </si>
  <si>
    <t>5415058019204</t>
  </si>
  <si>
    <t>5415058019211</t>
  </si>
  <si>
    <t>5415058019228</t>
  </si>
  <si>
    <t>5415058019235</t>
  </si>
  <si>
    <t>5415058019242</t>
  </si>
  <si>
    <t>5415058019259</t>
  </si>
  <si>
    <t>5415058019266</t>
  </si>
  <si>
    <t>Tivoli</t>
  </si>
  <si>
    <t>Versailles</t>
  </si>
  <si>
    <t>Victoria</t>
  </si>
  <si>
    <t xml:space="preserve">Victoria </t>
  </si>
  <si>
    <t>Villa Doria</t>
  </si>
  <si>
    <t>Zebra</t>
  </si>
  <si>
    <t>Zia</t>
  </si>
  <si>
    <t>digital</t>
  </si>
  <si>
    <t>Majorelle</t>
  </si>
  <si>
    <t>Shalimar</t>
  </si>
  <si>
    <t>Este</t>
  </si>
  <si>
    <t xml:space="preserve">Moon Rock </t>
  </si>
  <si>
    <t xml:space="preserve">Sahara </t>
  </si>
  <si>
    <t>5415058019273</t>
  </si>
  <si>
    <t>5415058019280</t>
  </si>
  <si>
    <t>5415058019297</t>
  </si>
  <si>
    <t>5415058019303</t>
  </si>
  <si>
    <t>5415058019310</t>
  </si>
  <si>
    <t>5415058019327</t>
  </si>
  <si>
    <t>5415058019334</t>
  </si>
  <si>
    <t>5415058019341</t>
  </si>
  <si>
    <t>5415058019358</t>
  </si>
  <si>
    <t>5415058019365</t>
  </si>
  <si>
    <t>5415058019372</t>
  </si>
  <si>
    <t>5415058019389</t>
  </si>
  <si>
    <t>5415058019396</t>
  </si>
  <si>
    <t>5415058019402</t>
  </si>
  <si>
    <t>5415058019419</t>
  </si>
  <si>
    <t>5415058019426</t>
  </si>
  <si>
    <t>5415058019433</t>
  </si>
  <si>
    <t>5415058019440</t>
  </si>
  <si>
    <t>m2</t>
  </si>
  <si>
    <t>prix blanc standard</t>
  </si>
  <si>
    <t>prix blanc custom</t>
  </si>
  <si>
    <t>prix vert standard</t>
  </si>
  <si>
    <t>prix vert custom</t>
  </si>
  <si>
    <t>prix jaune standard</t>
  </si>
  <si>
    <t>prix jaune custom</t>
  </si>
  <si>
    <t>prix bleu custom</t>
  </si>
  <si>
    <t>prix bleu standard</t>
  </si>
  <si>
    <t>prix rouge custom</t>
  </si>
  <si>
    <t>prix rouge standard</t>
  </si>
  <si>
    <t>prix orange standard</t>
  </si>
  <si>
    <t>prix orange custom</t>
  </si>
  <si>
    <t>prix mauve standard</t>
  </si>
  <si>
    <t>prix mauve custom</t>
  </si>
  <si>
    <t>prix gris standard</t>
  </si>
  <si>
    <t>prix gris custom</t>
  </si>
  <si>
    <t>prix mauve htva custom</t>
  </si>
  <si>
    <t>prix mauve htva standard</t>
  </si>
  <si>
    <t>BOOK CG</t>
  </si>
  <si>
    <t>BOOK BLS</t>
  </si>
  <si>
    <t>BOOK SAU</t>
  </si>
  <si>
    <t>BOOK ODE</t>
  </si>
  <si>
    <t>BOOK SPI</t>
  </si>
  <si>
    <t>wide (m)</t>
  </si>
  <si>
    <t>high (m)</t>
  </si>
  <si>
    <t>ODE192115</t>
  </si>
  <si>
    <t>Adage</t>
  </si>
  <si>
    <t>Rime</t>
  </si>
  <si>
    <t>Elegans</t>
  </si>
  <si>
    <t>Item</t>
  </si>
  <si>
    <t>ODE192119</t>
  </si>
  <si>
    <t>ODE192104</t>
  </si>
  <si>
    <t>ODE192125</t>
  </si>
  <si>
    <t>ODE192126</t>
  </si>
  <si>
    <t>ODE192127</t>
  </si>
  <si>
    <t>ODE192128</t>
  </si>
  <si>
    <t>ODE192215</t>
  </si>
  <si>
    <t>ODE192204</t>
  </si>
  <si>
    <t>ODE192218</t>
  </si>
  <si>
    <t>ODE192209</t>
  </si>
  <si>
    <t>ODE192225</t>
  </si>
  <si>
    <t>ODE192229</t>
  </si>
  <si>
    <t>ODE192201</t>
  </si>
  <si>
    <t>ODE192326</t>
  </si>
  <si>
    <t>ODE192310</t>
  </si>
  <si>
    <t>ODE192304</t>
  </si>
  <si>
    <t>ODE192327</t>
  </si>
  <si>
    <t>ODE192306</t>
  </si>
  <si>
    <t>ODE191515</t>
  </si>
  <si>
    <t>ODE191512</t>
  </si>
  <si>
    <t>ODE191509</t>
  </si>
  <si>
    <t>ODE191505</t>
  </si>
  <si>
    <t>ODE190203</t>
  </si>
  <si>
    <t>ODE190212</t>
  </si>
  <si>
    <t>ODE190215</t>
  </si>
  <si>
    <t>ODE190213</t>
  </si>
  <si>
    <t>ODE191915</t>
  </si>
  <si>
    <t>ODE191911</t>
  </si>
  <si>
    <t>ODE191908</t>
  </si>
  <si>
    <t>ODE190609</t>
  </si>
  <si>
    <t>ODE190610</t>
  </si>
  <si>
    <t>ODE190803</t>
  </si>
  <si>
    <t>ODE191210</t>
  </si>
  <si>
    <t>ODE191212</t>
  </si>
  <si>
    <t>ODE191213</t>
  </si>
  <si>
    <t>ODE191202</t>
  </si>
  <si>
    <t>ODE190518</t>
  </si>
  <si>
    <t>ODE190512</t>
  </si>
  <si>
    <t>ODE190515</t>
  </si>
  <si>
    <t>ODE190503</t>
  </si>
  <si>
    <t>ODE191010</t>
  </si>
  <si>
    <t>ODE191008</t>
  </si>
  <si>
    <t>ODE191006</t>
  </si>
  <si>
    <t>ODE191015</t>
  </si>
  <si>
    <t>ODE190302</t>
  </si>
  <si>
    <t>ODE190312</t>
  </si>
  <si>
    <t>ODE190315</t>
  </si>
  <si>
    <t>ODE190313</t>
  </si>
  <si>
    <t>ODE191705</t>
  </si>
  <si>
    <t>ODE191710</t>
  </si>
  <si>
    <t>ODE191713</t>
  </si>
  <si>
    <t>ODE191708</t>
  </si>
  <si>
    <t>ODE192008</t>
  </si>
  <si>
    <t>ODE192009</t>
  </si>
  <si>
    <t>ODE192005</t>
  </si>
  <si>
    <t>ODE192015</t>
  </si>
  <si>
    <t>ODE190708</t>
  </si>
  <si>
    <t>ODE190712</t>
  </si>
  <si>
    <t>ODE190705</t>
  </si>
  <si>
    <t>ODE190713</t>
  </si>
  <si>
    <t>ODE190109</t>
  </si>
  <si>
    <t>ODE190115</t>
  </si>
  <si>
    <t>ODE190102</t>
  </si>
  <si>
    <t>ODE190112</t>
  </si>
  <si>
    <t>ODE191112</t>
  </si>
  <si>
    <t>ODE191108</t>
  </si>
  <si>
    <t>ODE191107</t>
  </si>
  <si>
    <t>ODE191115</t>
  </si>
  <si>
    <t>ODE191815</t>
  </si>
  <si>
    <t>ODE191802</t>
  </si>
  <si>
    <t>ODE191809</t>
  </si>
  <si>
    <t>ODE191805</t>
  </si>
  <si>
    <t>ODE191618</t>
  </si>
  <si>
    <t>ODE191602</t>
  </si>
  <si>
    <t>ODE191605</t>
  </si>
  <si>
    <t>ODE191615</t>
  </si>
  <si>
    <t>ODE191401</t>
  </si>
  <si>
    <t>ODE191412</t>
  </si>
  <si>
    <t>ODE191415</t>
  </si>
  <si>
    <t>ODE191418</t>
  </si>
  <si>
    <t>ODE190910</t>
  </si>
  <si>
    <t>ODE190909</t>
  </si>
  <si>
    <t>Intissé lisse MICA</t>
  </si>
  <si>
    <t>total standard size m2</t>
  </si>
  <si>
    <t>raccord</t>
  </si>
  <si>
    <t>type de raccord</t>
  </si>
  <si>
    <t>Stock studio</t>
  </si>
  <si>
    <t>stock DP</t>
  </si>
  <si>
    <t>stock Entiris</t>
  </si>
  <si>
    <t>BLS200208</t>
  </si>
  <si>
    <t>Traditional</t>
  </si>
  <si>
    <t>Alios</t>
  </si>
  <si>
    <t>opium</t>
  </si>
  <si>
    <t>half drop</t>
  </si>
  <si>
    <t>DGS3000</t>
  </si>
  <si>
    <t>patchouli</t>
  </si>
  <si>
    <t>BLS200203</t>
  </si>
  <si>
    <t>BLS200209</t>
  </si>
  <si>
    <t>BLS200214</t>
  </si>
  <si>
    <t>BLS201204</t>
  </si>
  <si>
    <t>BLS201205</t>
  </si>
  <si>
    <t>BLS201201</t>
  </si>
  <si>
    <t>BLS201207</t>
  </si>
  <si>
    <t>BLS200401</t>
  </si>
  <si>
    <t>BLS200414</t>
  </si>
  <si>
    <t>BLS200410</t>
  </si>
  <si>
    <t>BLS200406</t>
  </si>
  <si>
    <t>BLS200105</t>
  </si>
  <si>
    <t>BLS200114</t>
  </si>
  <si>
    <t>BLS200110</t>
  </si>
  <si>
    <t>BLS200504</t>
  </si>
  <si>
    <t>BLS200501</t>
  </si>
  <si>
    <t>BLS200513</t>
  </si>
  <si>
    <t>BLS200502</t>
  </si>
  <si>
    <t>BLS200515</t>
  </si>
  <si>
    <t>BLS200506</t>
  </si>
  <si>
    <t>BLS201008</t>
  </si>
  <si>
    <t>BLS201013</t>
  </si>
  <si>
    <t>BLS201002</t>
  </si>
  <si>
    <t>BLS201014</t>
  </si>
  <si>
    <t>BLS201015</t>
  </si>
  <si>
    <t>BLS201102</t>
  </si>
  <si>
    <t>BLS201107</t>
  </si>
  <si>
    <t>BLS201104</t>
  </si>
  <si>
    <t>BLS201110</t>
  </si>
  <si>
    <t>BLS200908</t>
  </si>
  <si>
    <t>BLS200904</t>
  </si>
  <si>
    <t>BLS200915</t>
  </si>
  <si>
    <t>BLS200705</t>
  </si>
  <si>
    <t>BLS200711</t>
  </si>
  <si>
    <t>BLS200803</t>
  </si>
  <si>
    <t>BLS200802</t>
  </si>
  <si>
    <t>BLS200812</t>
  </si>
  <si>
    <t>BLS200805</t>
  </si>
  <si>
    <t>BLS200809</t>
  </si>
  <si>
    <t>BLS200806</t>
  </si>
  <si>
    <t>BLS200314</t>
  </si>
  <si>
    <t>BLS200315</t>
  </si>
  <si>
    <t>BLS200304</t>
  </si>
  <si>
    <t>BLS200601</t>
  </si>
  <si>
    <t>BLS200606</t>
  </si>
  <si>
    <t>BLD201506</t>
  </si>
  <si>
    <t>BLD201502</t>
  </si>
  <si>
    <t>BLD201507</t>
  </si>
  <si>
    <t>BLD201509</t>
  </si>
  <si>
    <t>BLD201514</t>
  </si>
  <si>
    <t>BLD201512</t>
  </si>
  <si>
    <t>BLD201314</t>
  </si>
  <si>
    <t>BLD201302</t>
  </si>
  <si>
    <t>BLD201306</t>
  </si>
  <si>
    <t>BLD201312</t>
  </si>
  <si>
    <t>BLD201307</t>
  </si>
  <si>
    <t>BLD201309</t>
  </si>
  <si>
    <t>BLD201402</t>
  </si>
  <si>
    <t>BLD201407</t>
  </si>
  <si>
    <t>BLD201409</t>
  </si>
  <si>
    <t>BLD201406</t>
  </si>
  <si>
    <t>BLD201412</t>
  </si>
  <si>
    <t>BLD201414</t>
  </si>
  <si>
    <t>Suave</t>
  </si>
  <si>
    <t>Sencha</t>
  </si>
  <si>
    <t>deep indigo</t>
  </si>
  <si>
    <t>Litho</t>
  </si>
  <si>
    <t>madeira</t>
  </si>
  <si>
    <t>hanami</t>
  </si>
  <si>
    <t>luz</t>
  </si>
  <si>
    <t>shibori</t>
  </si>
  <si>
    <t>elegans</t>
  </si>
  <si>
    <t>rime</t>
  </si>
  <si>
    <t>DGS4201</t>
  </si>
  <si>
    <t>Brahea</t>
  </si>
  <si>
    <t>agora</t>
  </si>
  <si>
    <t>Kamen</t>
  </si>
  <si>
    <t>Ginkesai</t>
  </si>
  <si>
    <t>bold</t>
  </si>
  <si>
    <t>parade</t>
  </si>
  <si>
    <t>Totem</t>
  </si>
  <si>
    <t>SPI230130</t>
  </si>
  <si>
    <t>Hô</t>
  </si>
  <si>
    <t>charcoal black</t>
  </si>
  <si>
    <t>DGS4100</t>
  </si>
  <si>
    <t>emeraud green</t>
  </si>
  <si>
    <t>turquoise blue</t>
  </si>
  <si>
    <t>lime green</t>
  </si>
  <si>
    <t>ghost white</t>
  </si>
  <si>
    <t>frost grey</t>
  </si>
  <si>
    <t>cobalt blue</t>
  </si>
  <si>
    <t>SPI230102</t>
  </si>
  <si>
    <t>SPI230106</t>
  </si>
  <si>
    <t>SPI230123</t>
  </si>
  <si>
    <t>SPI230125</t>
  </si>
  <si>
    <t>SPI230126</t>
  </si>
  <si>
    <t>SPI230133</t>
  </si>
  <si>
    <t>Borage</t>
  </si>
  <si>
    <t>SPI230206</t>
  </si>
  <si>
    <t>SPI230221</t>
  </si>
  <si>
    <t>SPI230226</t>
  </si>
  <si>
    <t>SPI230230</t>
  </si>
  <si>
    <t>SPI230307</t>
  </si>
  <si>
    <t>SPI230312</t>
  </si>
  <si>
    <t>SPI230325</t>
  </si>
  <si>
    <t>SPI230326</t>
  </si>
  <si>
    <t>SPI230425</t>
  </si>
  <si>
    <t>SPI230426</t>
  </si>
  <si>
    <t>SPI230411</t>
  </si>
  <si>
    <t>SPI230412</t>
  </si>
  <si>
    <t>SPI230421</t>
  </si>
  <si>
    <t>SPI230423</t>
  </si>
  <si>
    <t>SPI230407</t>
  </si>
  <si>
    <t>SPI230402</t>
  </si>
  <si>
    <t>SPI230406</t>
  </si>
  <si>
    <t>SPI230433</t>
  </si>
  <si>
    <t>SPI230430</t>
  </si>
  <si>
    <t>Monoï</t>
  </si>
  <si>
    <t>riviera green</t>
  </si>
  <si>
    <t>nude pink</t>
  </si>
  <si>
    <t>Joy</t>
  </si>
  <si>
    <t>SPID230525</t>
  </si>
  <si>
    <t>SPID230530</t>
  </si>
  <si>
    <t>SPID230611</t>
  </si>
  <si>
    <t>SPID230633</t>
  </si>
  <si>
    <t>SPID230623</t>
  </si>
  <si>
    <t>SPID230725</t>
  </si>
  <si>
    <t>SPID230730</t>
  </si>
  <si>
    <t>SPID230721</t>
  </si>
  <si>
    <t>SPID230723</t>
  </si>
  <si>
    <t>SPID230826</t>
  </si>
  <si>
    <t>SPID230806</t>
  </si>
  <si>
    <t>palmarosa</t>
  </si>
  <si>
    <t>saro</t>
  </si>
  <si>
    <t>panache</t>
  </si>
  <si>
    <t>ylang ylang</t>
  </si>
  <si>
    <t>powder Pink</t>
  </si>
  <si>
    <t>tangerine</t>
  </si>
  <si>
    <t>free match</t>
  </si>
  <si>
    <t>DGS4000</t>
  </si>
  <si>
    <t>CG190107s</t>
  </si>
  <si>
    <t>CG190102s</t>
  </si>
  <si>
    <t>CG190115s</t>
  </si>
  <si>
    <t>CG190202s</t>
  </si>
  <si>
    <t>CG190213s</t>
  </si>
  <si>
    <t>CG190208s</t>
  </si>
  <si>
    <t>CG190210s</t>
  </si>
  <si>
    <t>CG190309s</t>
  </si>
  <si>
    <t>CG190305s</t>
  </si>
  <si>
    <t>CG190314s</t>
  </si>
  <si>
    <t>CG190310s</t>
  </si>
  <si>
    <t>CG190404s</t>
  </si>
  <si>
    <t>CG190410s</t>
  </si>
  <si>
    <t>CG190416s</t>
  </si>
  <si>
    <t>CG190501s</t>
  </si>
  <si>
    <t>CG190504s</t>
  </si>
  <si>
    <t>CG190508s</t>
  </si>
  <si>
    <t>CG190515s</t>
  </si>
  <si>
    <t>CG190603s</t>
  </si>
  <si>
    <t>CG190606s</t>
  </si>
  <si>
    <t>CG190616s</t>
  </si>
  <si>
    <t>CG190713s</t>
  </si>
  <si>
    <t>CG190702s</t>
  </si>
  <si>
    <t>CG190707s</t>
  </si>
  <si>
    <t>CG190804s</t>
  </si>
  <si>
    <t>CG190801s</t>
  </si>
  <si>
    <t>CG190807s</t>
  </si>
  <si>
    <t>CG190917s</t>
  </si>
  <si>
    <t>CG190903s</t>
  </si>
  <si>
    <t>CG190912s</t>
  </si>
  <si>
    <t>CG191013s</t>
  </si>
  <si>
    <t>CG191012s</t>
  </si>
  <si>
    <t>CG191006s</t>
  </si>
  <si>
    <t>CG191113s</t>
  </si>
  <si>
    <t>CG191103s</t>
  </si>
  <si>
    <t>CG191114s</t>
  </si>
  <si>
    <t>CG191104s</t>
  </si>
  <si>
    <t>CG191209s</t>
  </si>
  <si>
    <t>CG191204s</t>
  </si>
  <si>
    <t>CG191201s</t>
  </si>
  <si>
    <t>CG191211s</t>
  </si>
  <si>
    <t>CG191309s</t>
  </si>
  <si>
    <t>CG191314s</t>
  </si>
  <si>
    <t>CG191304s</t>
  </si>
  <si>
    <t>GD191413s</t>
  </si>
  <si>
    <t>GD191418s</t>
  </si>
  <si>
    <t>GD191402s</t>
  </si>
  <si>
    <t>GD191416s</t>
  </si>
  <si>
    <t>GD191409s</t>
  </si>
  <si>
    <t>GD191408s</t>
  </si>
  <si>
    <t>GD191502s</t>
  </si>
  <si>
    <t>GD191511s</t>
  </si>
  <si>
    <t>GD191504s</t>
  </si>
  <si>
    <t>GD191507s</t>
  </si>
  <si>
    <t>GD191516s</t>
  </si>
  <si>
    <t>GD191508s</t>
  </si>
  <si>
    <t>GD191602s</t>
  </si>
  <si>
    <t>GD191619s</t>
  </si>
  <si>
    <t>GD191616s</t>
  </si>
  <si>
    <t>GD191611s</t>
  </si>
  <si>
    <t>GD191604s</t>
  </si>
  <si>
    <t>GD191609s</t>
  </si>
  <si>
    <t>ODE192115s</t>
  </si>
  <si>
    <t>ODE192119s</t>
  </si>
  <si>
    <t>ODE192104s</t>
  </si>
  <si>
    <t>ODE192125s</t>
  </si>
  <si>
    <t>ODE192126s</t>
  </si>
  <si>
    <t>ODE192127s</t>
  </si>
  <si>
    <t>ODE192128s</t>
  </si>
  <si>
    <t>ODE192215s</t>
  </si>
  <si>
    <t>ODE192204s</t>
  </si>
  <si>
    <t>ODE192218s</t>
  </si>
  <si>
    <t>ODE192209s</t>
  </si>
  <si>
    <t>ODE192225s</t>
  </si>
  <si>
    <t>ODE192229s</t>
  </si>
  <si>
    <t>ODE192201s</t>
  </si>
  <si>
    <t>ODE192326s</t>
  </si>
  <si>
    <t>ODE192310s</t>
  </si>
  <si>
    <t>ODE192304s</t>
  </si>
  <si>
    <t>ODE192327s</t>
  </si>
  <si>
    <t>ODE192306s</t>
  </si>
  <si>
    <t>ODE191515s</t>
  </si>
  <si>
    <t>ODE191512s</t>
  </si>
  <si>
    <t>ODE191509s</t>
  </si>
  <si>
    <t>ODE191505s</t>
  </si>
  <si>
    <t>ODE190203s</t>
  </si>
  <si>
    <t>ODE190212s</t>
  </si>
  <si>
    <t>ODE190215s</t>
  </si>
  <si>
    <t>ODE190213s</t>
  </si>
  <si>
    <t>ODE191915s</t>
  </si>
  <si>
    <t>ODE191911s</t>
  </si>
  <si>
    <t>ODE191908s</t>
  </si>
  <si>
    <t>ODE190609s</t>
  </si>
  <si>
    <t>ODE190610s</t>
  </si>
  <si>
    <t>ODE190803s</t>
  </si>
  <si>
    <t>ODE191210s</t>
  </si>
  <si>
    <t>ODE191212s</t>
  </si>
  <si>
    <t>ODE191213s</t>
  </si>
  <si>
    <t>ODE191202s</t>
  </si>
  <si>
    <t>ODE190518s</t>
  </si>
  <si>
    <t>ODE190512s</t>
  </si>
  <si>
    <t>ODE190515s</t>
  </si>
  <si>
    <t>ODE190503s</t>
  </si>
  <si>
    <t>ODE191010s</t>
  </si>
  <si>
    <t>ODE191008s</t>
  </si>
  <si>
    <t>ODE191006s</t>
  </si>
  <si>
    <t>ODE191015s</t>
  </si>
  <si>
    <t>ODE190302s</t>
  </si>
  <si>
    <t>ODE190312s</t>
  </si>
  <si>
    <t>ODE190315s</t>
  </si>
  <si>
    <t>ODE190313s</t>
  </si>
  <si>
    <t>ODE191705s</t>
  </si>
  <si>
    <t>ODE191710s</t>
  </si>
  <si>
    <t>ODE191713s</t>
  </si>
  <si>
    <t>ODE191708s</t>
  </si>
  <si>
    <t>ODE192008s</t>
  </si>
  <si>
    <t>ODE192009s</t>
  </si>
  <si>
    <t>ODE192005s</t>
  </si>
  <si>
    <t>ODE192015s</t>
  </si>
  <si>
    <t>ODE190708s</t>
  </si>
  <si>
    <t>ODE190712s</t>
  </si>
  <si>
    <t>ODE190705s</t>
  </si>
  <si>
    <t>ODE190713s</t>
  </si>
  <si>
    <t>ODE190109s</t>
  </si>
  <si>
    <t>ODE190115s</t>
  </si>
  <si>
    <t>ODE190102s</t>
  </si>
  <si>
    <t>ODE190112s</t>
  </si>
  <si>
    <t>ODE191112s</t>
  </si>
  <si>
    <t>ODE191108s</t>
  </si>
  <si>
    <t>ODE191107s</t>
  </si>
  <si>
    <t>ODE191115s</t>
  </si>
  <si>
    <t>ODE191815s</t>
  </si>
  <si>
    <t>ODE191802s</t>
  </si>
  <si>
    <t>ODE191809s</t>
  </si>
  <si>
    <t>ODE191805s</t>
  </si>
  <si>
    <t>ODE191618s</t>
  </si>
  <si>
    <t>ODE191602s</t>
  </si>
  <si>
    <t>ODE191605s</t>
  </si>
  <si>
    <t>ODE191615s</t>
  </si>
  <si>
    <t>ODE191401s</t>
  </si>
  <si>
    <t>ODE191412s</t>
  </si>
  <si>
    <t>ODE191415s</t>
  </si>
  <si>
    <t>ODE191418s</t>
  </si>
  <si>
    <t>ODE190910s</t>
  </si>
  <si>
    <t>ODE190909s</t>
  </si>
  <si>
    <t>BLS200208s</t>
  </si>
  <si>
    <t>BLS200203s</t>
  </si>
  <si>
    <t>BLS200209s</t>
  </si>
  <si>
    <t>BLS200214s</t>
  </si>
  <si>
    <t>BLS201204s</t>
  </si>
  <si>
    <t>BLS201205s</t>
  </si>
  <si>
    <t>BLS201201s</t>
  </si>
  <si>
    <t>BLS201207s</t>
  </si>
  <si>
    <t>BLS200401s</t>
  </si>
  <si>
    <t>BLS200414s</t>
  </si>
  <si>
    <t>BLS200410s</t>
  </si>
  <si>
    <t>BLS200406s</t>
  </si>
  <si>
    <t>BLS200105s</t>
  </si>
  <si>
    <t>BLS200114s</t>
  </si>
  <si>
    <t>BLS200110s</t>
  </si>
  <si>
    <t>BLS200504s</t>
  </si>
  <si>
    <t>BLS200501s</t>
  </si>
  <si>
    <t>BLS200513s</t>
  </si>
  <si>
    <t>BLS200502s</t>
  </si>
  <si>
    <t>BLS200515s</t>
  </si>
  <si>
    <t>BLS200506s</t>
  </si>
  <si>
    <t>BLS201008s</t>
  </si>
  <si>
    <t>BLS201013s</t>
  </si>
  <si>
    <t>BLS201002s</t>
  </si>
  <si>
    <t>BLS201014s</t>
  </si>
  <si>
    <t>BLS201015s</t>
  </si>
  <si>
    <t>BLS201102s</t>
  </si>
  <si>
    <t>BLS201107s</t>
  </si>
  <si>
    <t>BLS201104s</t>
  </si>
  <si>
    <t>BLS201110s</t>
  </si>
  <si>
    <t>BLS200908s</t>
  </si>
  <si>
    <t>BLS200904s</t>
  </si>
  <si>
    <t>BLS200915s</t>
  </si>
  <si>
    <t>BLS200705s</t>
  </si>
  <si>
    <t>BLS200711s</t>
  </si>
  <si>
    <t>BLS200803s</t>
  </si>
  <si>
    <t>BLS200802s</t>
  </si>
  <si>
    <t>BLS200812s</t>
  </si>
  <si>
    <t>BLS200805s</t>
  </si>
  <si>
    <t>BLS200809s</t>
  </si>
  <si>
    <t>BLS200806s</t>
  </si>
  <si>
    <t>BLS200314s</t>
  </si>
  <si>
    <t>BLS200315s</t>
  </si>
  <si>
    <t>BLS200304s</t>
  </si>
  <si>
    <t>BLS200601s</t>
  </si>
  <si>
    <t>BLS200606s</t>
  </si>
  <si>
    <t>BLD201506s</t>
  </si>
  <si>
    <t>BLD201502s</t>
  </si>
  <si>
    <t>BLD201507s</t>
  </si>
  <si>
    <t>BLD201509s</t>
  </si>
  <si>
    <t>BLD201514s</t>
  </si>
  <si>
    <t>BLD201512s</t>
  </si>
  <si>
    <t>BLD201314s</t>
  </si>
  <si>
    <t>BLD201302s</t>
  </si>
  <si>
    <t>BLD201306s</t>
  </si>
  <si>
    <t>BLD201312s</t>
  </si>
  <si>
    <t>BLD201307s</t>
  </si>
  <si>
    <t>BLD201309s</t>
  </si>
  <si>
    <t>BLD201402s</t>
  </si>
  <si>
    <t>BLD201407s</t>
  </si>
  <si>
    <t>BLD201409s</t>
  </si>
  <si>
    <t>BLD201406s</t>
  </si>
  <si>
    <t>BLD201412s</t>
  </si>
  <si>
    <t>BLD201414s</t>
  </si>
  <si>
    <t>SAU210106s</t>
  </si>
  <si>
    <t>SAU210114s</t>
  </si>
  <si>
    <t>SAU210112s</t>
  </si>
  <si>
    <t>SAU210104s</t>
  </si>
  <si>
    <t>SAU210204s</t>
  </si>
  <si>
    <t>SAU210203s</t>
  </si>
  <si>
    <t>SAU210207s</t>
  </si>
  <si>
    <t>SAU210209s</t>
  </si>
  <si>
    <t>SAU210214s</t>
  </si>
  <si>
    <t>SAU210210s</t>
  </si>
  <si>
    <t>SAU210205s</t>
  </si>
  <si>
    <t>SAU210402s</t>
  </si>
  <si>
    <t>SAU210403s</t>
  </si>
  <si>
    <t>SAU210401s</t>
  </si>
  <si>
    <t>SAU210404s</t>
  </si>
  <si>
    <t>SAU210507s</t>
  </si>
  <si>
    <t>SAU210503s</t>
  </si>
  <si>
    <t>SAU210501s</t>
  </si>
  <si>
    <t>SAU210511s</t>
  </si>
  <si>
    <t>SAU210514s</t>
  </si>
  <si>
    <t>SAU210612s</t>
  </si>
  <si>
    <t>SAU210613s</t>
  </si>
  <si>
    <t>SAU210603s</t>
  </si>
  <si>
    <t>SAU210604s</t>
  </si>
  <si>
    <t>SAU210607s</t>
  </si>
  <si>
    <t>SAU210308s</t>
  </si>
  <si>
    <t>SAU210311s</t>
  </si>
  <si>
    <t>SAU210314s</t>
  </si>
  <si>
    <t>SAU210303s</t>
  </si>
  <si>
    <t>SAU210711s</t>
  </si>
  <si>
    <t>SAU210704s</t>
  </si>
  <si>
    <t>SAU210707s</t>
  </si>
  <si>
    <t>SAU210702s</t>
  </si>
  <si>
    <t>SAU210802s</t>
  </si>
  <si>
    <t>SAU210907s</t>
  </si>
  <si>
    <t>SAU210902s</t>
  </si>
  <si>
    <t>SAU210904s</t>
  </si>
  <si>
    <t>SAU210915s</t>
  </si>
  <si>
    <t>SAU210917s</t>
  </si>
  <si>
    <t>SAUD211012s</t>
  </si>
  <si>
    <t>SAUD211017s</t>
  </si>
  <si>
    <t>SAUD211006s</t>
  </si>
  <si>
    <t>SAUD211115s</t>
  </si>
  <si>
    <t>SAUD211015s</t>
  </si>
  <si>
    <t>SAUD211112s</t>
  </si>
  <si>
    <t>SAUD211116s</t>
  </si>
  <si>
    <t>SAUD211107s</t>
  </si>
  <si>
    <t>SAUD211216s</t>
  </si>
  <si>
    <t>SAUD211217s</t>
  </si>
  <si>
    <t>SAUD211215s</t>
  </si>
  <si>
    <t>SAUD211317s</t>
  </si>
  <si>
    <t>SAUD211315s</t>
  </si>
  <si>
    <t>SAUD211307s</t>
  </si>
  <si>
    <t>SAUD211304s</t>
  </si>
  <si>
    <t>SAUD211417s</t>
  </si>
  <si>
    <t>SAUD211415s</t>
  </si>
  <si>
    <t>SAUD211407s</t>
  </si>
  <si>
    <t>SAUD211408s</t>
  </si>
  <si>
    <t>SAUD211516s</t>
  </si>
  <si>
    <t>SAUD211504s</t>
  </si>
  <si>
    <t>SAUD211615s</t>
  </si>
  <si>
    <t>SAUD211607s</t>
  </si>
  <si>
    <t>SAUD211604s</t>
  </si>
  <si>
    <t>SAUD211606s</t>
  </si>
  <si>
    <t>SAUD211608s</t>
  </si>
  <si>
    <t>SAUD211610s</t>
  </si>
  <si>
    <t>SAUD211613s</t>
  </si>
  <si>
    <t>SAUD211601s</t>
  </si>
  <si>
    <t>SPI230130s</t>
  </si>
  <si>
    <t>SPI230102s</t>
  </si>
  <si>
    <t>SPI230106s</t>
  </si>
  <si>
    <t>SPI230123s</t>
  </si>
  <si>
    <t>SPI230125s</t>
  </si>
  <si>
    <t>SPI230126s</t>
  </si>
  <si>
    <t>SPI230133s</t>
  </si>
  <si>
    <t>SPI230206s</t>
  </si>
  <si>
    <t>SPI230221s</t>
  </si>
  <si>
    <t>SPI230226s</t>
  </si>
  <si>
    <t>SPI230230s</t>
  </si>
  <si>
    <t>SPI230307s</t>
  </si>
  <si>
    <t>SPI230312s</t>
  </si>
  <si>
    <t>SPI230325s</t>
  </si>
  <si>
    <t>SPI230326s</t>
  </si>
  <si>
    <t>SPI230425s</t>
  </si>
  <si>
    <t>SPI230426s</t>
  </si>
  <si>
    <t>SPI230411s</t>
  </si>
  <si>
    <t>SPI230412s</t>
  </si>
  <si>
    <t>SPI230421s</t>
  </si>
  <si>
    <t>SPI230423s</t>
  </si>
  <si>
    <t>SPI230407s</t>
  </si>
  <si>
    <t>SPI230402s</t>
  </si>
  <si>
    <t>SPI230406s</t>
  </si>
  <si>
    <t>SPI230433s</t>
  </si>
  <si>
    <t>SPI230430s</t>
  </si>
  <si>
    <t>SPID230525s</t>
  </si>
  <si>
    <t>SPID230530s</t>
  </si>
  <si>
    <t>SPID230611s</t>
  </si>
  <si>
    <t>SPID230633s</t>
  </si>
  <si>
    <t>SPID230623s</t>
  </si>
  <si>
    <t>SPID230725s</t>
  </si>
  <si>
    <t>SPID230730s</t>
  </si>
  <si>
    <t>SPID230721s</t>
  </si>
  <si>
    <t>SPID230723s</t>
  </si>
  <si>
    <t>SPID230826s</t>
  </si>
  <si>
    <t>SPID230806s</t>
  </si>
  <si>
    <t>+33169907200</t>
  </si>
  <si>
    <t>Scandinavian Wallpaper &amp; Décor</t>
  </si>
  <si>
    <t>AnnLouise Lollo Jansen</t>
  </si>
  <si>
    <t>Director / Creative Director / Business owner</t>
  </si>
  <si>
    <t>376d Oxford Street</t>
  </si>
  <si>
    <t>Mount Hawthorn</t>
  </si>
  <si>
    <t>WA 6016</t>
  </si>
  <si>
    <t>website</t>
  </si>
  <si>
    <t>www.wallpaperdecor.com.au</t>
  </si>
  <si>
    <t>lollo@wallpaperdecor.com.au</t>
  </si>
  <si>
    <t>+61434 923 363</t>
  </si>
  <si>
    <t>Oceania</t>
  </si>
  <si>
    <t>Sales</t>
  </si>
  <si>
    <t>WA 6017</t>
  </si>
  <si>
    <t>+61434 923 364</t>
  </si>
  <si>
    <t>sales@wallpaperdecor.com.au</t>
  </si>
  <si>
    <t>info@harvizo.be</t>
  </si>
  <si>
    <t>www.harvizo.be</t>
  </si>
  <si>
    <t>Comment</t>
  </si>
  <si>
    <t>showroom BtoB - on Monday only</t>
  </si>
  <si>
    <t>+32 477 26 09 11</t>
  </si>
  <si>
    <t>Fix tel</t>
  </si>
  <si>
    <t>+32 2 646 50 10</t>
  </si>
  <si>
    <t>Belgique</t>
  </si>
  <si>
    <t>Rue Benoitstraat 36</t>
  </si>
  <si>
    <t>Bruxelles</t>
  </si>
  <si>
    <t>Paola Prieto M.</t>
  </si>
  <si>
    <t>Assistant</t>
  </si>
  <si>
    <t>Pedro de Villagra 2374</t>
  </si>
  <si>
    <t>Vitacura, Santiago</t>
  </si>
  <si>
    <t>Chili</t>
  </si>
  <si>
    <t>South America</t>
  </si>
  <si>
    <t>+56 2 28401611</t>
  </si>
  <si>
    <t>ventas@casagarda.cl</t>
  </si>
  <si>
    <t>www.casagarda.cl</t>
  </si>
  <si>
    <t>Logo of TdV on website</t>
  </si>
  <si>
    <t>Yes</t>
  </si>
  <si>
    <t>no</t>
  </si>
  <si>
    <t xml:space="preserve">Prix achat </t>
  </si>
  <si>
    <t>prix Allemagne</t>
  </si>
  <si>
    <t>Prix Japon</t>
  </si>
  <si>
    <t>client</t>
  </si>
  <si>
    <t>date</t>
  </si>
  <si>
    <t>ref 01</t>
  </si>
  <si>
    <t>ref 02</t>
  </si>
  <si>
    <t>ref 03</t>
  </si>
  <si>
    <t>ref 04</t>
  </si>
  <si>
    <t>ref 05</t>
  </si>
  <si>
    <t>ref 06</t>
  </si>
  <si>
    <t>ref 07</t>
  </si>
  <si>
    <t>ref 08</t>
  </si>
  <si>
    <t>ref 09</t>
  </si>
  <si>
    <t>ref 10</t>
  </si>
  <si>
    <t xml:space="preserve">Référence commande client </t>
  </si>
  <si>
    <t>Référence devis</t>
  </si>
  <si>
    <t>Custom</t>
  </si>
  <si>
    <t>TNT track number</t>
  </si>
  <si>
    <t>num article</t>
  </si>
  <si>
    <t>prix Montecolino roomlot  (2019)</t>
  </si>
  <si>
    <t>prix Montecolino stock (by 6) (2019)</t>
  </si>
  <si>
    <t>Prix SOFRO roomlot (2019)</t>
  </si>
  <si>
    <t>Prix SOFRO box by 12 (2019)</t>
  </si>
  <si>
    <t>oui</t>
  </si>
  <si>
    <t>non</t>
  </si>
  <si>
    <t>numéro de commande</t>
  </si>
  <si>
    <t>Ref 01</t>
  </si>
  <si>
    <t>Ref 02</t>
  </si>
  <si>
    <t>Ref 03</t>
  </si>
  <si>
    <t>Ref 04</t>
  </si>
  <si>
    <t>Ref 05</t>
  </si>
  <si>
    <t>Ref 06</t>
  </si>
  <si>
    <t>Ref 07</t>
  </si>
  <si>
    <t>Ref 08</t>
  </si>
  <si>
    <t>Ref 09</t>
  </si>
  <si>
    <t>Ref 10</t>
  </si>
  <si>
    <t>Ref client</t>
  </si>
  <si>
    <t xml:space="preserve">Devis </t>
  </si>
  <si>
    <t>prix d'achat</t>
  </si>
  <si>
    <t>prix de vente</t>
  </si>
  <si>
    <t>transport facturé</t>
  </si>
  <si>
    <t>cout transport réel</t>
  </si>
  <si>
    <t>prix Ref 01</t>
  </si>
  <si>
    <t>nombre ref 01</t>
  </si>
  <si>
    <t>ristourne ref 01</t>
  </si>
  <si>
    <t>nombre ref 02</t>
  </si>
  <si>
    <t>ristourne ref 02</t>
  </si>
  <si>
    <t>prix Ref 02</t>
  </si>
  <si>
    <t>nombre ref 03</t>
  </si>
  <si>
    <t>prix Ref 03</t>
  </si>
  <si>
    <t>ristourne ref 03</t>
  </si>
  <si>
    <t>nombre ref 04</t>
  </si>
  <si>
    <t>prix Ref 04</t>
  </si>
  <si>
    <t>ristourne ref 04</t>
  </si>
  <si>
    <t>nombre ref 05</t>
  </si>
  <si>
    <t>prix Ref 05</t>
  </si>
  <si>
    <t>ristourne ref 05</t>
  </si>
  <si>
    <t>nombre ref 06</t>
  </si>
  <si>
    <t>prix Ref 06</t>
  </si>
  <si>
    <t>ristourne ref 06</t>
  </si>
  <si>
    <t>nombre ref 07</t>
  </si>
  <si>
    <t>prix Ref 07</t>
  </si>
  <si>
    <t>ristourne ref 07</t>
  </si>
  <si>
    <t>nombre ref 08</t>
  </si>
  <si>
    <t>prix Ref 08</t>
  </si>
  <si>
    <t>ristourne ref 08</t>
  </si>
  <si>
    <t>nombre ref 09</t>
  </si>
  <si>
    <t>prix Ref 09</t>
  </si>
  <si>
    <t>ristourne ref 09</t>
  </si>
  <si>
    <t>nombre ref 10</t>
  </si>
  <si>
    <t>prix Ref 10</t>
  </si>
  <si>
    <t>ristourne ref 10</t>
  </si>
  <si>
    <t>showroom</t>
  </si>
  <si>
    <t>Showroom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</si>
</sst>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164" formatCode="dd/mm/yyyy"/>
    <numFmt numFmtId="165" formatCode="d\ mmm\ yyyy"/>
    <numFmt numFmtId="166" formatCode="[$€-2]\ 0.00"/>
    <numFmt numFmtId="167" formatCode="[$€-2]\ #,##0.00"/>
    <numFmt numFmtId="168" formatCode="dd\.mm\.yyyy\ hh:mm"/>
    <numFmt numFmtId="169" formatCode="[$€-2]\ 0.0"/>
    <numFmt numFmtId="170" formatCode="#,##0.00\ &quot;€&quot;"/>
    <numFmt numFmtId="171" formatCode="#,##0.00\ &quot;€&quot;;[Red]#,##0.00\ &quot;€&quot;"/>
    <numFmt numFmtId="172" formatCode="_-* #,##0.00\ [$€-80C]_-;\-* #,##0.00\ [$€-80C]_-;_-* &quot;-&quot;??\ [$€-80C]_-;_-@_-"/>
  </numFmts>
  <fonts count="68">
    <font>
      <sz val="10"/>
      <color indexed="8"/>
      <name val="Helvetica Neue"/>
    </font>
    <font>
      <sz val="12"/>
      <color indexed="8"/>
      <name val="Helvetica Neue"/>
      <family val="2"/>
    </font>
    <font>
      <b/>
      <sz val="10"/>
      <color indexed="8"/>
      <name val="Helvetica Neue"/>
      <family val="2"/>
    </font>
    <font>
      <sz val="11"/>
      <color indexed="8"/>
      <name val="Helvetica Neue"/>
      <family val="2"/>
    </font>
    <font>
      <sz val="10"/>
      <color indexed="24"/>
      <name val="Helvetica Neue"/>
      <family val="2"/>
    </font>
    <font>
      <sz val="12"/>
      <color indexed="8"/>
      <name val="Times"/>
      <family val="1"/>
    </font>
    <font>
      <sz val="10"/>
      <color indexed="8"/>
      <name val="Helvetica"/>
      <family val="2"/>
    </font>
    <font>
      <sz val="9"/>
      <color indexed="27"/>
      <name val="Arial"/>
      <family val="2"/>
    </font>
    <font>
      <sz val="10"/>
      <color indexed="28"/>
      <name val="Helvetica Neue"/>
      <family val="2"/>
    </font>
    <font>
      <sz val="9"/>
      <color indexed="8"/>
      <name val="Helvetica Neue"/>
      <family val="2"/>
    </font>
    <font>
      <b/>
      <sz val="9"/>
      <color indexed="8"/>
      <name val="Helvetica Neue"/>
      <family val="2"/>
    </font>
    <font>
      <u/>
      <sz val="12"/>
      <color indexed="31"/>
      <name val="Arial"/>
      <family val="2"/>
    </font>
    <font>
      <u/>
      <sz val="9"/>
      <color indexed="8"/>
      <name val="Helvetica Neue"/>
      <family val="2"/>
    </font>
    <font>
      <u/>
      <sz val="10"/>
      <color indexed="31"/>
      <name val="Helvetica Neue"/>
      <family val="2"/>
    </font>
    <font>
      <sz val="10"/>
      <color indexed="8"/>
      <name val="Calibri"/>
      <family val="2"/>
    </font>
    <font>
      <sz val="11"/>
      <color indexed="8"/>
      <name val="Calibri"/>
      <family val="2"/>
    </font>
    <font>
      <sz val="11"/>
      <color indexed="8"/>
      <name val="DIN Neuzeit Grotesk Std Light"/>
    </font>
    <font>
      <sz val="10"/>
      <color indexed="8"/>
      <name val="Helvetica"/>
      <family val="2"/>
    </font>
    <font>
      <sz val="14"/>
      <color indexed="8"/>
      <name val="Calibri"/>
      <family val="2"/>
    </font>
    <font>
      <sz val="16"/>
      <color indexed="8"/>
      <name val="Helvetica Neue"/>
      <family val="2"/>
    </font>
    <font>
      <sz val="10"/>
      <color indexed="37"/>
      <name val="Helvetica Neue"/>
      <family val="2"/>
    </font>
    <font>
      <b/>
      <sz val="8"/>
      <color indexed="39"/>
      <name val="Helvetica Neue"/>
      <family val="2"/>
    </font>
    <font>
      <sz val="11"/>
      <color rgb="FF000000"/>
      <name val="Helvetica Neue"/>
      <family val="2"/>
    </font>
    <font>
      <sz val="10"/>
      <color indexed="8"/>
      <name val="Helvetica Neue"/>
      <family val="2"/>
    </font>
    <font>
      <b/>
      <sz val="10"/>
      <color indexed="8"/>
      <name val="Helvetica Neue"/>
      <family val="2"/>
    </font>
    <font>
      <b/>
      <sz val="11"/>
      <color indexed="8"/>
      <name val="Arial"/>
      <family val="2"/>
    </font>
    <font>
      <sz val="9"/>
      <color indexed="8"/>
      <name val="Helvetica Neue"/>
      <family val="2"/>
    </font>
    <font>
      <sz val="12"/>
      <color rgb="FF000000"/>
      <name val="ArialMT"/>
    </font>
    <font>
      <sz val="11"/>
      <color indexed="8"/>
      <name val="Helvetica"/>
      <family val="2"/>
    </font>
    <font>
      <u/>
      <sz val="10"/>
      <color theme="10"/>
      <name val="Helvetica Neue"/>
      <family val="2"/>
    </font>
    <font>
      <sz val="10"/>
      <color rgb="FF000000"/>
      <name val="Helvetica Neue"/>
      <family val="2"/>
    </font>
    <font>
      <b/>
      <sz val="10"/>
      <color rgb="FF000000"/>
      <name val="Helvetica Neue"/>
      <family val="2"/>
    </font>
    <font>
      <sz val="10"/>
      <color rgb="FF000000"/>
      <name val="Helvetica Neue"/>
      <family val="2"/>
    </font>
    <font>
      <sz val="14"/>
      <color rgb="FF1A1A1A"/>
      <name val="Helvetica"/>
      <family val="2"/>
    </font>
    <font>
      <sz val="14"/>
      <color rgb="FF1A1A1A"/>
      <name val="Inherit"/>
    </font>
    <font>
      <u/>
      <sz val="10"/>
      <color theme="10"/>
      <name val="Helvetica Neue"/>
      <family val="2"/>
    </font>
    <font>
      <b/>
      <sz val="10"/>
      <color rgb="FF000000"/>
      <name val="Helvetica Neue"/>
      <family val="2"/>
    </font>
    <font>
      <sz val="14"/>
      <color rgb="FF444444"/>
      <name val="Verdana"/>
      <family val="2"/>
    </font>
    <font>
      <sz val="14"/>
      <color indexed="8"/>
      <name val="Arial"/>
      <family val="2"/>
    </font>
    <font>
      <sz val="14"/>
      <color rgb="FF1D2129"/>
      <name val="Arial"/>
      <family val="2"/>
    </font>
    <font>
      <sz val="12"/>
      <color rgb="FF000000"/>
      <name val="Arial"/>
      <family val="2"/>
    </font>
    <font>
      <sz val="12"/>
      <color rgb="FF666666"/>
      <name val="Arial"/>
      <family val="2"/>
    </font>
    <font>
      <sz val="10"/>
      <color rgb="FF000000"/>
      <name val="Verdana"/>
      <family val="2"/>
    </font>
    <font>
      <sz val="11"/>
      <color indexed="8"/>
      <name val="Arial"/>
      <family val="2"/>
    </font>
    <font>
      <sz val="9"/>
      <color indexed="8"/>
      <name val="Helvetica"/>
      <family val="2"/>
    </font>
    <font>
      <sz val="10"/>
      <color rgb="FF000000"/>
      <name val="Arial"/>
      <family val="2"/>
    </font>
    <font>
      <sz val="10"/>
      <color rgb="FF000000"/>
      <name val="Helvetica"/>
      <family val="2"/>
    </font>
    <font>
      <sz val="10"/>
      <color indexed="8"/>
      <name val="Helvetica"/>
      <family val="2"/>
    </font>
    <font>
      <sz val="10"/>
      <color rgb="FF6C7C88"/>
      <name val="Helvetica Neue"/>
      <family val="2"/>
      <scheme val="major"/>
    </font>
    <font>
      <sz val="12"/>
      <color rgb="FF1A1A1A"/>
      <name val="Helvetica"/>
      <family val="2"/>
    </font>
    <font>
      <sz val="10"/>
      <color rgb="FF000000"/>
      <name val="Tahoma"/>
      <family val="2"/>
    </font>
    <font>
      <b/>
      <sz val="10"/>
      <color rgb="FF000000"/>
      <name val="Tahoma"/>
      <family val="2"/>
    </font>
    <font>
      <sz val="10"/>
      <color rgb="FF1A1A1A"/>
      <name val="Helvetica"/>
      <family val="2"/>
    </font>
    <font>
      <sz val="10"/>
      <color rgb="FF1F497D"/>
      <name val="Calibri"/>
      <family val="2"/>
    </font>
    <font>
      <sz val="10"/>
      <color rgb="FF1A1A1A"/>
      <name val="Inherit"/>
    </font>
    <font>
      <sz val="10"/>
      <color rgb="FF000000"/>
      <name val="Calibri"/>
      <family val="2"/>
    </font>
    <font>
      <b/>
      <sz val="11"/>
      <color rgb="FF538135"/>
      <name val="Calibri"/>
      <family val="2"/>
    </font>
    <font>
      <sz val="15"/>
      <color rgb="FF404040"/>
      <name val="Century Gothic"/>
      <family val="1"/>
    </font>
    <font>
      <sz val="10"/>
      <color rgb="FF404040"/>
      <name val="Helvetica Neue"/>
      <family val="2"/>
      <scheme val="major"/>
    </font>
    <font>
      <sz val="10"/>
      <color rgb="FF404040"/>
      <name val="Century Gothic"/>
      <family val="1"/>
    </font>
    <font>
      <sz val="10"/>
      <color rgb="FF444444"/>
      <name val="Verdana"/>
      <family val="2"/>
    </font>
    <font>
      <sz val="10"/>
      <color rgb="FFFF0000"/>
      <name val="Helvetica Neue"/>
      <family val="2"/>
    </font>
    <font>
      <b/>
      <sz val="10"/>
      <color rgb="FFFF0000"/>
      <name val="Helvetica Neue"/>
      <family val="2"/>
    </font>
    <font>
      <sz val="8"/>
      <name val="Helvetica Neue"/>
      <family val="2"/>
    </font>
    <font>
      <sz val="10"/>
      <color rgb="FF333F48"/>
      <name val="Arial"/>
      <family val="2"/>
    </font>
    <font>
      <b/>
      <sz val="11"/>
      <color theme="0"/>
      <name val="Helvetica Neue"/>
      <family val="2"/>
      <scheme val="minor"/>
    </font>
    <font>
      <sz val="10"/>
      <color indexed="8"/>
      <name val="Helvetica Neue"/>
    </font>
    <font>
      <b/>
      <sz val="12"/>
      <color indexed="8"/>
      <name val="Goudy Old Style"/>
      <family val="1"/>
    </font>
  </fonts>
  <fills count="30">
    <fill>
      <patternFill patternType="none"/>
    </fill>
    <fill>
      <patternFill patternType="gray125"/>
    </fill>
    <fill>
      <patternFill patternType="solid">
        <fgColor indexed="9"/>
        <bgColor auto="1"/>
      </patternFill>
    </fill>
    <fill>
      <patternFill patternType="solid">
        <fgColor indexed="14"/>
        <bgColor auto="1"/>
      </patternFill>
    </fill>
    <fill>
      <patternFill patternType="solid">
        <fgColor indexed="25"/>
        <bgColor auto="1"/>
      </patternFill>
    </fill>
    <fill>
      <patternFill patternType="solid">
        <fgColor indexed="26"/>
        <bgColor auto="1"/>
      </patternFill>
    </fill>
    <fill>
      <patternFill patternType="solid">
        <fgColor indexed="32"/>
        <bgColor auto="1"/>
      </patternFill>
    </fill>
    <fill>
      <patternFill patternType="solid">
        <fgColor indexed="35"/>
        <bgColor auto="1"/>
      </patternFill>
    </fill>
    <fill>
      <patternFill patternType="solid">
        <fgColor indexed="36"/>
        <bgColor auto="1"/>
      </patternFill>
    </fill>
    <fill>
      <patternFill patternType="solid">
        <fgColor indexed="38"/>
        <bgColor auto="1"/>
      </patternFill>
    </fill>
    <fill>
      <patternFill patternType="solid">
        <fgColor indexed="40"/>
        <bgColor auto="1"/>
      </patternFill>
    </fill>
    <fill>
      <patternFill patternType="solid">
        <fgColor rgb="FFBDC0BF"/>
        <bgColor rgb="FF000000"/>
      </patternFill>
    </fill>
    <fill>
      <patternFill patternType="solid">
        <fgColor theme="8" tint="0.79998168889431442"/>
        <bgColor indexed="64"/>
      </patternFill>
    </fill>
    <fill>
      <patternFill patternType="solid">
        <fgColor theme="4" tint="0.59999389629810485"/>
        <bgColor indexed="64"/>
      </patternFill>
    </fill>
    <fill>
      <patternFill patternType="solid">
        <fgColor theme="5" tint="0.79998168889431442"/>
        <bgColor indexed="64"/>
      </patternFill>
    </fill>
    <fill>
      <patternFill patternType="solid">
        <fgColor theme="6" tint="0.59999389629810485"/>
        <bgColor indexed="64"/>
      </patternFill>
    </fill>
    <fill>
      <patternFill patternType="solid">
        <fgColor theme="8" tint="0.59999389629810485"/>
        <bgColor indexed="64"/>
      </patternFill>
    </fill>
    <fill>
      <patternFill patternType="solid">
        <fgColor theme="7" tint="0.59999389629810485"/>
        <bgColor indexed="64"/>
      </patternFill>
    </fill>
    <fill>
      <patternFill patternType="solid">
        <fgColor theme="0" tint="-0.14999847407452621"/>
        <bgColor indexed="64"/>
      </patternFill>
    </fill>
    <fill>
      <patternFill patternType="solid">
        <fgColor theme="7" tint="0.79998168889431442"/>
        <bgColor indexed="64"/>
      </patternFill>
    </fill>
    <fill>
      <patternFill patternType="solid">
        <fgColor theme="9" tint="0.59999389629810485"/>
        <bgColor indexed="64"/>
      </patternFill>
    </fill>
    <fill>
      <patternFill patternType="solid">
        <fgColor theme="3" tint="0.39997558519241921"/>
        <bgColor indexed="64"/>
      </patternFill>
    </fill>
    <fill>
      <patternFill patternType="solid">
        <fgColor theme="9" tint="0.79998168889431442"/>
        <bgColor indexed="64"/>
      </patternFill>
    </fill>
    <fill>
      <patternFill patternType="solid">
        <fgColor theme="6" tint="0.79998168889431442"/>
        <bgColor indexed="64"/>
      </patternFill>
    </fill>
    <fill>
      <patternFill patternType="solid">
        <fgColor theme="4" tint="0.79998168889431442"/>
        <bgColor indexed="64"/>
      </patternFill>
    </fill>
    <fill>
      <patternFill patternType="solid">
        <fgColor rgb="FFFF0000"/>
        <bgColor indexed="64"/>
      </patternFill>
    </fill>
    <fill>
      <patternFill patternType="solid">
        <fgColor theme="6" tint="0.39997558519241921"/>
        <bgColor indexed="64"/>
      </patternFill>
    </fill>
    <fill>
      <patternFill patternType="solid">
        <fgColor theme="2"/>
        <bgColor indexed="64"/>
      </patternFill>
    </fill>
    <fill>
      <patternFill patternType="solid">
        <fgColor theme="0"/>
        <bgColor indexed="64"/>
      </patternFill>
    </fill>
    <fill>
      <patternFill patternType="solid">
        <fgColor rgb="FFDDF4FF"/>
        <bgColor indexed="64"/>
      </patternFill>
    </fill>
  </fills>
  <borders count="245">
    <border>
      <left/>
      <right/>
      <top/>
      <bottom/>
      <diagonal/>
    </border>
    <border>
      <left style="thin">
        <color indexed="10"/>
      </left>
      <right style="thin">
        <color indexed="10"/>
      </right>
      <top style="thin">
        <color indexed="10"/>
      </top>
      <bottom style="thin">
        <color indexed="10"/>
      </bottom>
      <diagonal/>
    </border>
    <border>
      <left style="thin">
        <color indexed="10"/>
      </left>
      <right style="thin">
        <color indexed="8"/>
      </right>
      <top style="thin">
        <color indexed="10"/>
      </top>
      <bottom style="thin">
        <color indexed="10"/>
      </bottom>
      <diagonal/>
    </border>
    <border>
      <left style="thin">
        <color indexed="11"/>
      </left>
      <right style="thin">
        <color indexed="10"/>
      </right>
      <top style="thin">
        <color indexed="10"/>
      </top>
      <bottom style="thin">
        <color indexed="10"/>
      </bottom>
      <diagonal/>
    </border>
    <border>
      <left style="thin">
        <color indexed="8"/>
      </left>
      <right style="thin">
        <color indexed="8"/>
      </right>
      <top style="thin">
        <color indexed="10"/>
      </top>
      <bottom style="thin">
        <color indexed="10"/>
      </bottom>
      <diagonal/>
    </border>
    <border>
      <left style="thin">
        <color indexed="8"/>
      </left>
      <right style="thin">
        <color indexed="10"/>
      </right>
      <top style="thin">
        <color indexed="10"/>
      </top>
      <bottom style="thin">
        <color indexed="10"/>
      </bottom>
      <diagonal/>
    </border>
    <border>
      <left style="thin">
        <color indexed="10"/>
      </left>
      <right style="thin">
        <color indexed="10"/>
      </right>
      <top style="thin">
        <color indexed="10"/>
      </top>
      <bottom style="thin">
        <color indexed="12"/>
      </bottom>
      <diagonal/>
    </border>
    <border>
      <left style="thin">
        <color indexed="10"/>
      </left>
      <right style="thin">
        <color indexed="8"/>
      </right>
      <top style="thin">
        <color indexed="10"/>
      </top>
      <bottom style="thin">
        <color indexed="12"/>
      </bottom>
      <diagonal/>
    </border>
    <border>
      <left style="thin">
        <color indexed="11"/>
      </left>
      <right style="thin">
        <color indexed="10"/>
      </right>
      <top style="thin">
        <color indexed="10"/>
      </top>
      <bottom style="thin">
        <color indexed="12"/>
      </bottom>
      <diagonal/>
    </border>
    <border>
      <left style="thin">
        <color indexed="8"/>
      </left>
      <right style="thin">
        <color indexed="8"/>
      </right>
      <top style="thin">
        <color indexed="10"/>
      </top>
      <bottom style="thin">
        <color indexed="12"/>
      </bottom>
      <diagonal/>
    </border>
    <border>
      <left style="thin">
        <color indexed="8"/>
      </left>
      <right style="thin">
        <color indexed="10"/>
      </right>
      <top style="thin">
        <color indexed="10"/>
      </top>
      <bottom style="thin">
        <color indexed="12"/>
      </bottom>
      <diagonal/>
    </border>
    <border>
      <left style="thin">
        <color indexed="10"/>
      </left>
      <right style="thin">
        <color indexed="12"/>
      </right>
      <top style="thin">
        <color indexed="12"/>
      </top>
      <bottom style="thin">
        <color indexed="10"/>
      </bottom>
      <diagonal/>
    </border>
    <border>
      <left style="thin">
        <color indexed="12"/>
      </left>
      <right style="thin">
        <color indexed="10"/>
      </right>
      <top style="thin">
        <color indexed="12"/>
      </top>
      <bottom style="thin">
        <color indexed="10"/>
      </bottom>
      <diagonal/>
    </border>
    <border>
      <left style="thin">
        <color indexed="10"/>
      </left>
      <right style="thin">
        <color indexed="10"/>
      </right>
      <top style="thin">
        <color indexed="12"/>
      </top>
      <bottom style="thin">
        <color indexed="10"/>
      </bottom>
      <diagonal/>
    </border>
    <border>
      <left style="thin">
        <color indexed="10"/>
      </left>
      <right style="thin">
        <color indexed="8"/>
      </right>
      <top style="thin">
        <color indexed="12"/>
      </top>
      <bottom style="thin">
        <color indexed="10"/>
      </bottom>
      <diagonal/>
    </border>
    <border>
      <left style="thin">
        <color indexed="11"/>
      </left>
      <right style="thin">
        <color indexed="10"/>
      </right>
      <top style="thin">
        <color indexed="12"/>
      </top>
      <bottom style="thin">
        <color indexed="10"/>
      </bottom>
      <diagonal/>
    </border>
    <border>
      <left style="thin">
        <color indexed="8"/>
      </left>
      <right style="thin">
        <color indexed="8"/>
      </right>
      <top style="thin">
        <color indexed="12"/>
      </top>
      <bottom style="thin">
        <color indexed="10"/>
      </bottom>
      <diagonal/>
    </border>
    <border>
      <left style="thin">
        <color indexed="8"/>
      </left>
      <right style="thin">
        <color indexed="10"/>
      </right>
      <top style="thin">
        <color indexed="12"/>
      </top>
      <bottom style="thin">
        <color indexed="10"/>
      </bottom>
      <diagonal/>
    </border>
    <border>
      <left style="thin">
        <color indexed="10"/>
      </left>
      <right style="thin">
        <color indexed="12"/>
      </right>
      <top style="thin">
        <color indexed="10"/>
      </top>
      <bottom style="thin">
        <color indexed="10"/>
      </bottom>
      <diagonal/>
    </border>
    <border>
      <left style="thin">
        <color indexed="12"/>
      </left>
      <right style="thin">
        <color indexed="10"/>
      </right>
      <top style="thin">
        <color indexed="10"/>
      </top>
      <bottom style="thin">
        <color indexed="10"/>
      </bottom>
      <diagonal/>
    </border>
    <border>
      <left style="thin">
        <color indexed="10"/>
      </left>
      <right style="thin">
        <color indexed="11"/>
      </right>
      <top style="thin">
        <color indexed="10"/>
      </top>
      <bottom style="thin">
        <color indexed="10"/>
      </bottom>
      <diagonal/>
    </border>
    <border>
      <left style="thin">
        <color indexed="10"/>
      </left>
      <right style="thin">
        <color indexed="12"/>
      </right>
      <top style="thin">
        <color indexed="10"/>
      </top>
      <bottom style="thick">
        <color indexed="8"/>
      </bottom>
      <diagonal/>
    </border>
    <border>
      <left style="thin">
        <color indexed="12"/>
      </left>
      <right style="thin">
        <color indexed="10"/>
      </right>
      <top style="thin">
        <color indexed="10"/>
      </top>
      <bottom style="thick">
        <color indexed="8"/>
      </bottom>
      <diagonal/>
    </border>
    <border>
      <left style="thin">
        <color indexed="10"/>
      </left>
      <right style="thin">
        <color indexed="10"/>
      </right>
      <top style="thin">
        <color indexed="10"/>
      </top>
      <bottom style="thick">
        <color indexed="8"/>
      </bottom>
      <diagonal/>
    </border>
    <border>
      <left style="thin">
        <color indexed="10"/>
      </left>
      <right style="thin">
        <color indexed="8"/>
      </right>
      <top style="thin">
        <color indexed="10"/>
      </top>
      <bottom style="thick">
        <color indexed="8"/>
      </bottom>
      <diagonal/>
    </border>
    <border>
      <left style="thin">
        <color indexed="11"/>
      </left>
      <right style="thin">
        <color indexed="10"/>
      </right>
      <top style="thin">
        <color indexed="10"/>
      </top>
      <bottom style="thick">
        <color indexed="8"/>
      </bottom>
      <diagonal/>
    </border>
    <border>
      <left style="thin">
        <color indexed="8"/>
      </left>
      <right style="thin">
        <color indexed="8"/>
      </right>
      <top style="thin">
        <color indexed="10"/>
      </top>
      <bottom style="thick">
        <color indexed="8"/>
      </bottom>
      <diagonal/>
    </border>
    <border>
      <left style="thin">
        <color indexed="8"/>
      </left>
      <right style="thin">
        <color indexed="10"/>
      </right>
      <top style="thin">
        <color indexed="10"/>
      </top>
      <bottom style="thick">
        <color indexed="8"/>
      </bottom>
      <diagonal/>
    </border>
    <border>
      <left style="thin">
        <color indexed="10"/>
      </left>
      <right style="thin">
        <color indexed="12"/>
      </right>
      <top style="thick">
        <color indexed="8"/>
      </top>
      <bottom style="thin">
        <color indexed="10"/>
      </bottom>
      <diagonal/>
    </border>
    <border>
      <left style="thin">
        <color indexed="12"/>
      </left>
      <right style="thin">
        <color indexed="10"/>
      </right>
      <top style="thick">
        <color indexed="8"/>
      </top>
      <bottom style="thin">
        <color indexed="10"/>
      </bottom>
      <diagonal/>
    </border>
    <border>
      <left style="thin">
        <color indexed="10"/>
      </left>
      <right style="thin">
        <color indexed="10"/>
      </right>
      <top style="thick">
        <color indexed="8"/>
      </top>
      <bottom style="thin">
        <color indexed="10"/>
      </bottom>
      <diagonal/>
    </border>
    <border>
      <left style="thin">
        <color indexed="10"/>
      </left>
      <right style="thin">
        <color indexed="8"/>
      </right>
      <top style="thick">
        <color indexed="8"/>
      </top>
      <bottom style="thin">
        <color indexed="10"/>
      </bottom>
      <diagonal/>
    </border>
    <border>
      <left style="thin">
        <color indexed="11"/>
      </left>
      <right style="thin">
        <color indexed="10"/>
      </right>
      <top style="thick">
        <color indexed="8"/>
      </top>
      <bottom style="thin">
        <color indexed="10"/>
      </bottom>
      <diagonal/>
    </border>
    <border>
      <left style="thin">
        <color indexed="8"/>
      </left>
      <right style="thin">
        <color indexed="8"/>
      </right>
      <top style="thick">
        <color indexed="8"/>
      </top>
      <bottom style="thin">
        <color indexed="10"/>
      </bottom>
      <diagonal/>
    </border>
    <border>
      <left style="thin">
        <color indexed="8"/>
      </left>
      <right style="thin">
        <color indexed="10"/>
      </right>
      <top style="thick">
        <color indexed="8"/>
      </top>
      <bottom style="thin">
        <color indexed="10"/>
      </bottom>
      <diagonal/>
    </border>
    <border>
      <left style="thin">
        <color indexed="10"/>
      </left>
      <right style="thin">
        <color indexed="10"/>
      </right>
      <top style="thick">
        <color indexed="8"/>
      </top>
      <bottom style="thin">
        <color indexed="8"/>
      </bottom>
      <diagonal/>
    </border>
    <border>
      <left style="thin">
        <color indexed="10"/>
      </left>
      <right style="thin">
        <color indexed="10"/>
      </right>
      <top style="thin">
        <color indexed="8"/>
      </top>
      <bottom style="thin">
        <color indexed="8"/>
      </bottom>
      <diagonal/>
    </border>
    <border>
      <left style="thin">
        <color indexed="10"/>
      </left>
      <right style="thin">
        <color indexed="10"/>
      </right>
      <top style="thin">
        <color indexed="8"/>
      </top>
      <bottom style="thin">
        <color indexed="10"/>
      </bottom>
      <diagonal/>
    </border>
    <border>
      <left style="thin">
        <color indexed="10"/>
      </left>
      <right style="thin">
        <color indexed="10"/>
      </right>
      <top style="thin">
        <color indexed="10"/>
      </top>
      <bottom style="thin">
        <color indexed="11"/>
      </bottom>
      <diagonal/>
    </border>
    <border>
      <left style="thin">
        <color indexed="10"/>
      </left>
      <right style="thin">
        <color indexed="10"/>
      </right>
      <top style="thin">
        <color indexed="11"/>
      </top>
      <bottom style="thin">
        <color indexed="10"/>
      </bottom>
      <diagonal/>
    </border>
    <border>
      <left style="thin">
        <color indexed="10"/>
      </left>
      <right style="thin">
        <color indexed="10"/>
      </right>
      <top style="thin">
        <color indexed="11"/>
      </top>
      <bottom style="thin">
        <color indexed="11"/>
      </bottom>
      <diagonal/>
    </border>
    <border>
      <left style="thin">
        <color indexed="32"/>
      </left>
      <right style="thin">
        <color indexed="8"/>
      </right>
      <top style="thin">
        <color indexed="32"/>
      </top>
      <bottom style="thin">
        <color indexed="8"/>
      </bottom>
      <diagonal/>
    </border>
    <border>
      <left style="thin">
        <color indexed="8"/>
      </left>
      <right style="thin">
        <color indexed="8"/>
      </right>
      <top style="thin">
        <color indexed="32"/>
      </top>
      <bottom style="thin">
        <color indexed="8"/>
      </bottom>
      <diagonal/>
    </border>
    <border>
      <left style="thin">
        <color indexed="8"/>
      </left>
      <right style="thin">
        <color indexed="32"/>
      </right>
      <top style="thin">
        <color indexed="32"/>
      </top>
      <bottom style="thin">
        <color indexed="8"/>
      </bottom>
      <diagonal/>
    </border>
    <border>
      <left style="thin">
        <color indexed="32"/>
      </left>
      <right style="thin">
        <color indexed="11"/>
      </right>
      <top style="thin">
        <color indexed="11"/>
      </top>
      <bottom style="thin">
        <color indexed="11"/>
      </bottom>
      <diagonal/>
    </border>
    <border>
      <left style="thin">
        <color indexed="11"/>
      </left>
      <right style="thin">
        <color indexed="11"/>
      </right>
      <top style="thin">
        <color indexed="11"/>
      </top>
      <bottom style="thin">
        <color indexed="11"/>
      </bottom>
      <diagonal/>
    </border>
    <border>
      <left style="thin">
        <color indexed="32"/>
      </left>
      <right style="thin">
        <color indexed="8"/>
      </right>
      <top style="thin">
        <color indexed="8"/>
      </top>
      <bottom style="thin">
        <color indexed="8"/>
      </bottom>
      <diagonal/>
    </border>
    <border>
      <left style="thin">
        <color indexed="8"/>
      </left>
      <right style="thin">
        <color indexed="8"/>
      </right>
      <top style="thin">
        <color indexed="8"/>
      </top>
      <bottom style="thin">
        <color indexed="8"/>
      </bottom>
      <diagonal/>
    </border>
    <border>
      <left style="thin">
        <color indexed="8"/>
      </left>
      <right style="thin">
        <color indexed="32"/>
      </right>
      <top style="thin">
        <color indexed="8"/>
      </top>
      <bottom style="thin">
        <color indexed="8"/>
      </bottom>
      <diagonal/>
    </border>
    <border>
      <left style="thin">
        <color indexed="32"/>
      </left>
      <right style="thin">
        <color indexed="8"/>
      </right>
      <top style="thin">
        <color indexed="8"/>
      </top>
      <bottom style="thin">
        <color indexed="13"/>
      </bottom>
      <diagonal/>
    </border>
    <border>
      <left style="thin">
        <color indexed="32"/>
      </left>
      <right style="thin">
        <color indexed="8"/>
      </right>
      <top style="thin">
        <color indexed="13"/>
      </top>
      <bottom style="thin">
        <color indexed="8"/>
      </bottom>
      <diagonal/>
    </border>
    <border>
      <left style="thin">
        <color indexed="32"/>
      </left>
      <right style="thin">
        <color indexed="8"/>
      </right>
      <top style="thin">
        <color indexed="8"/>
      </top>
      <bottom style="thin">
        <color indexed="33"/>
      </bottom>
      <diagonal/>
    </border>
    <border>
      <left style="thin">
        <color indexed="8"/>
      </left>
      <right style="thin">
        <color indexed="8"/>
      </right>
      <top style="thin">
        <color indexed="8"/>
      </top>
      <bottom style="thin">
        <color indexed="33"/>
      </bottom>
      <diagonal/>
    </border>
    <border>
      <left style="thin">
        <color indexed="8"/>
      </left>
      <right style="thin">
        <color indexed="32"/>
      </right>
      <top style="thin">
        <color indexed="8"/>
      </top>
      <bottom style="thin">
        <color indexed="33"/>
      </bottom>
      <diagonal/>
    </border>
    <border>
      <left style="thin">
        <color indexed="32"/>
      </left>
      <right style="thin">
        <color indexed="34"/>
      </right>
      <top style="thin">
        <color indexed="33"/>
      </top>
      <bottom style="thin">
        <color indexed="33"/>
      </bottom>
      <diagonal/>
    </border>
    <border>
      <left style="thin">
        <color indexed="34"/>
      </left>
      <right style="thin">
        <color indexed="8"/>
      </right>
      <top style="thin">
        <color indexed="8"/>
      </top>
      <bottom style="thin">
        <color indexed="8"/>
      </bottom>
      <diagonal/>
    </border>
    <border>
      <left style="thin">
        <color indexed="8"/>
      </left>
      <right style="thin">
        <color indexed="34"/>
      </right>
      <top style="thin">
        <color indexed="8"/>
      </top>
      <bottom style="thin">
        <color indexed="8"/>
      </bottom>
      <diagonal/>
    </border>
    <border>
      <left style="thin">
        <color indexed="34"/>
      </left>
      <right style="thin">
        <color indexed="33"/>
      </right>
      <top style="thin">
        <color indexed="33"/>
      </top>
      <bottom style="thin">
        <color indexed="33"/>
      </bottom>
      <diagonal/>
    </border>
    <border>
      <left style="thin">
        <color indexed="33"/>
      </left>
      <right style="thin">
        <color indexed="32"/>
      </right>
      <top style="thin">
        <color indexed="33"/>
      </top>
      <bottom style="thin">
        <color indexed="33"/>
      </bottom>
      <diagonal/>
    </border>
    <border>
      <left style="thin">
        <color indexed="32"/>
      </left>
      <right style="thin">
        <color indexed="8"/>
      </right>
      <top style="thin">
        <color indexed="33"/>
      </top>
      <bottom style="thin">
        <color indexed="8"/>
      </bottom>
      <diagonal/>
    </border>
    <border>
      <left style="thin">
        <color indexed="8"/>
      </left>
      <right style="thin">
        <color indexed="8"/>
      </right>
      <top style="thin">
        <color indexed="33"/>
      </top>
      <bottom style="thin">
        <color indexed="8"/>
      </bottom>
      <diagonal/>
    </border>
    <border>
      <left style="thin">
        <color indexed="8"/>
      </left>
      <right style="thin">
        <color indexed="32"/>
      </right>
      <top style="thin">
        <color indexed="33"/>
      </top>
      <bottom style="thin">
        <color indexed="8"/>
      </bottom>
      <diagonal/>
    </border>
    <border>
      <left style="thin">
        <color indexed="32"/>
      </left>
      <right style="thin">
        <color indexed="8"/>
      </right>
      <top style="thin">
        <color indexed="8"/>
      </top>
      <bottom style="thin">
        <color indexed="32"/>
      </bottom>
      <diagonal/>
    </border>
    <border>
      <left style="thin">
        <color indexed="8"/>
      </left>
      <right style="thin">
        <color indexed="8"/>
      </right>
      <top style="thin">
        <color indexed="8"/>
      </top>
      <bottom style="thin">
        <color indexed="32"/>
      </bottom>
      <diagonal/>
    </border>
    <border>
      <left style="thin">
        <color indexed="8"/>
      </left>
      <right style="thin">
        <color indexed="32"/>
      </right>
      <top style="thin">
        <color indexed="8"/>
      </top>
      <bottom style="thin">
        <color indexed="32"/>
      </bottom>
      <diagonal/>
    </border>
    <border>
      <left style="thin">
        <color indexed="10"/>
      </left>
      <right style="thin">
        <color indexed="12"/>
      </right>
      <top style="thin">
        <color indexed="10"/>
      </top>
      <bottom/>
      <diagonal/>
    </border>
    <border>
      <left style="thin">
        <color indexed="12"/>
      </left>
      <right style="thin">
        <color indexed="10"/>
      </right>
      <top style="thin">
        <color indexed="10"/>
      </top>
      <bottom/>
      <diagonal/>
    </border>
    <border>
      <left style="thin">
        <color indexed="10"/>
      </left>
      <right style="thin">
        <color indexed="10"/>
      </right>
      <top style="thin">
        <color indexed="10"/>
      </top>
      <bottom/>
      <diagonal/>
    </border>
    <border>
      <left style="thin">
        <color indexed="10"/>
      </left>
      <right style="thin">
        <color indexed="8"/>
      </right>
      <top style="thin">
        <color indexed="10"/>
      </top>
      <bottom/>
      <diagonal/>
    </border>
    <border>
      <left style="thin">
        <color indexed="11"/>
      </left>
      <right style="thin">
        <color indexed="10"/>
      </right>
      <top style="thin">
        <color indexed="10"/>
      </top>
      <bottom/>
      <diagonal/>
    </border>
    <border>
      <left style="thin">
        <color indexed="8"/>
      </left>
      <right style="thin">
        <color indexed="8"/>
      </right>
      <top style="thin">
        <color indexed="10"/>
      </top>
      <bottom/>
      <diagonal/>
    </border>
    <border>
      <left style="thin">
        <color indexed="8"/>
      </left>
      <right style="thin">
        <color indexed="10"/>
      </right>
      <top style="thin">
        <color indexed="10"/>
      </top>
      <bottom/>
      <diagonal/>
    </border>
    <border>
      <left/>
      <right/>
      <top style="medium">
        <color indexed="64"/>
      </top>
      <bottom/>
      <diagonal/>
    </border>
    <border>
      <left/>
      <right style="thin">
        <color indexed="10"/>
      </right>
      <top style="thin">
        <color indexed="10"/>
      </top>
      <bottom style="thin">
        <color indexed="10"/>
      </bottom>
      <diagonal/>
    </border>
    <border>
      <left style="thin">
        <color indexed="64"/>
      </left>
      <right style="thin">
        <color indexed="10"/>
      </right>
      <top style="thin">
        <color indexed="10"/>
      </top>
      <bottom style="thin">
        <color indexed="10"/>
      </bottom>
      <diagonal/>
    </border>
    <border>
      <left style="medium">
        <color indexed="64"/>
      </left>
      <right style="thin">
        <color indexed="64"/>
      </right>
      <top style="thin">
        <color indexed="64"/>
      </top>
      <bottom style="thin">
        <color indexed="64"/>
      </bottom>
      <diagonal/>
    </border>
    <border>
      <left/>
      <right/>
      <top style="thin">
        <color indexed="10"/>
      </top>
      <bottom style="thin">
        <color indexed="10"/>
      </bottom>
      <diagonal/>
    </border>
    <border>
      <left/>
      <right/>
      <top style="thin">
        <color indexed="10"/>
      </top>
      <bottom style="thin">
        <color indexed="12"/>
      </bottom>
      <diagonal/>
    </border>
    <border>
      <left/>
      <right/>
      <top style="thin">
        <color indexed="12"/>
      </top>
      <bottom style="thin">
        <color indexed="10"/>
      </bottom>
      <diagonal/>
    </border>
    <border>
      <left/>
      <right/>
      <top style="thin">
        <color indexed="10"/>
      </top>
      <bottom style="thick">
        <color indexed="8"/>
      </bottom>
      <diagonal/>
    </border>
    <border>
      <left/>
      <right/>
      <top style="thick">
        <color indexed="8"/>
      </top>
      <bottom style="thin">
        <color indexed="10"/>
      </bottom>
      <diagonal/>
    </border>
    <border>
      <left/>
      <right/>
      <top style="thin">
        <color indexed="10"/>
      </top>
      <bottom/>
      <diagonal/>
    </border>
    <border>
      <left style="thin">
        <color rgb="FFA5A5A5"/>
      </left>
      <right style="thin">
        <color rgb="FFA5A5A5"/>
      </right>
      <top style="thin">
        <color rgb="FFA5A5A5"/>
      </top>
      <bottom style="thin">
        <color rgb="FF3F3F3F"/>
      </bottom>
      <diagonal/>
    </border>
    <border>
      <left style="thin">
        <color rgb="FFA5A5A5"/>
      </left>
      <right style="thin">
        <color rgb="FFA5A5A5"/>
      </right>
      <top/>
      <bottom style="thin">
        <color rgb="FFA5A5A5"/>
      </bottom>
      <diagonal/>
    </border>
    <border>
      <left style="thin">
        <color rgb="FFA5A5A5"/>
      </left>
      <right style="thin">
        <color rgb="FFA5A5A5"/>
      </right>
      <top/>
      <bottom style="thick">
        <color rgb="FF000000"/>
      </bottom>
      <diagonal/>
    </border>
    <border>
      <left style="thin">
        <color rgb="FFA5A5A5"/>
      </left>
      <right style="thin">
        <color rgb="FFA5A5A5"/>
      </right>
      <top/>
      <bottom/>
      <diagonal/>
    </border>
    <border>
      <left style="thin">
        <color rgb="FFA5A5A5"/>
      </left>
      <right style="thin">
        <color rgb="FFA5A5A5"/>
      </right>
      <top style="thin">
        <color rgb="FFA5A5A5"/>
      </top>
      <bottom style="thin">
        <color rgb="FFA5A5A5"/>
      </bottom>
      <diagonal/>
    </border>
    <border>
      <left style="thin">
        <color rgb="FFA5A5A5"/>
      </left>
      <right style="thin">
        <color rgb="FFA5A5A5"/>
      </right>
      <top style="thin">
        <color rgb="FF3F3F3F"/>
      </top>
      <bottom style="thin">
        <color rgb="FFA5A5A5"/>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8"/>
      </left>
      <right style="thin">
        <color indexed="10"/>
      </right>
      <top/>
      <bottom style="thin">
        <color indexed="10"/>
      </bottom>
      <diagonal/>
    </border>
    <border>
      <left style="thin">
        <color indexed="10"/>
      </left>
      <right style="thin">
        <color indexed="8"/>
      </right>
      <top/>
      <bottom style="thin">
        <color indexed="10"/>
      </bottom>
      <diagonal/>
    </border>
    <border>
      <left style="thin">
        <color indexed="64"/>
      </left>
      <right style="thin">
        <color indexed="64"/>
      </right>
      <top style="thin">
        <color indexed="64"/>
      </top>
      <bottom style="medium">
        <color indexed="64"/>
      </bottom>
      <diagonal/>
    </border>
    <border>
      <left style="thin">
        <color indexed="10"/>
      </left>
      <right style="thin">
        <color indexed="10"/>
      </right>
      <top style="thin">
        <color indexed="10"/>
      </top>
      <bottom style="medium">
        <color indexed="64"/>
      </bottom>
      <diagonal/>
    </border>
    <border>
      <left style="thin">
        <color indexed="8"/>
      </left>
      <right style="thin">
        <color indexed="10"/>
      </right>
      <top style="thin">
        <color indexed="10"/>
      </top>
      <bottom style="medium">
        <color indexed="64"/>
      </bottom>
      <diagonal/>
    </border>
    <border>
      <left style="thin">
        <color indexed="10"/>
      </left>
      <right style="thin">
        <color indexed="8"/>
      </right>
      <top style="thin">
        <color indexed="10"/>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8"/>
      </left>
      <right style="thin">
        <color indexed="10"/>
      </right>
      <top style="medium">
        <color indexed="64"/>
      </top>
      <bottom style="medium">
        <color indexed="64"/>
      </bottom>
      <diagonal/>
    </border>
    <border>
      <left style="thin">
        <color indexed="10"/>
      </left>
      <right style="thin">
        <color indexed="8"/>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style="thin">
        <color indexed="64"/>
      </bottom>
      <diagonal/>
    </border>
    <border>
      <left/>
      <right style="thin">
        <color indexed="10"/>
      </right>
      <top/>
      <bottom style="thin">
        <color indexed="10"/>
      </bottom>
      <diagonal/>
    </border>
    <border>
      <left style="thin">
        <color indexed="10"/>
      </left>
      <right style="thin">
        <color indexed="10"/>
      </right>
      <top/>
      <bottom style="thin">
        <color indexed="10"/>
      </bottom>
      <diagonal/>
    </border>
    <border>
      <left style="thin">
        <color indexed="11"/>
      </left>
      <right style="thin">
        <color indexed="10"/>
      </right>
      <top/>
      <bottom style="thin">
        <color indexed="10"/>
      </bottom>
      <diagonal/>
    </border>
    <border>
      <left/>
      <right/>
      <top/>
      <bottom style="thin">
        <color indexed="10"/>
      </bottom>
      <diagonal/>
    </border>
    <border>
      <left style="thin">
        <color indexed="8"/>
      </left>
      <right style="thin">
        <color indexed="8"/>
      </right>
      <top/>
      <bottom style="thin">
        <color indexed="10"/>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10"/>
      </left>
      <right style="thin">
        <color indexed="12"/>
      </right>
      <top/>
      <bottom style="thin">
        <color indexed="10"/>
      </bottom>
      <diagonal/>
    </border>
    <border>
      <left style="thin">
        <color indexed="12"/>
      </left>
      <right style="thin">
        <color indexed="10"/>
      </right>
      <top/>
      <bottom style="thin">
        <color indexed="10"/>
      </bottom>
      <diagonal/>
    </border>
    <border>
      <left style="thin">
        <color indexed="10"/>
      </left>
      <right/>
      <top style="thin">
        <color indexed="10"/>
      </top>
      <bottom/>
      <diagonal/>
    </border>
    <border>
      <left/>
      <right style="thin">
        <color indexed="11"/>
      </right>
      <top style="thin">
        <color indexed="10"/>
      </top>
      <bottom style="thin">
        <color indexed="10"/>
      </bottom>
      <diagonal/>
    </border>
    <border>
      <left style="thin">
        <color indexed="10"/>
      </left>
      <right/>
      <top/>
      <bottom style="thin">
        <color indexed="10"/>
      </bottom>
      <diagonal/>
    </border>
    <border>
      <left style="thin">
        <color indexed="10"/>
      </left>
      <right/>
      <top style="thin">
        <color indexed="10"/>
      </top>
      <bottom style="thin">
        <color indexed="10"/>
      </bottom>
      <diagonal/>
    </border>
    <border>
      <left style="thin">
        <color indexed="10"/>
      </left>
      <right/>
      <top style="thin">
        <color indexed="10"/>
      </top>
      <bottom style="thick">
        <color indexed="8"/>
      </bottom>
      <diagonal/>
    </border>
    <border>
      <left style="thin">
        <color indexed="10"/>
      </left>
      <right/>
      <top style="thick">
        <color indexed="8"/>
      </top>
      <bottom style="thin">
        <color indexed="10"/>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top/>
      <bottom style="thin">
        <color indexed="64"/>
      </bottom>
      <diagonal/>
    </border>
    <border>
      <left/>
      <right style="thin">
        <color indexed="11"/>
      </right>
      <top style="thin">
        <color indexed="10"/>
      </top>
      <bottom style="thin">
        <color indexed="13"/>
      </bottom>
      <diagonal/>
    </border>
    <border>
      <left/>
      <right style="thin">
        <color indexed="11"/>
      </right>
      <top style="thin">
        <color indexed="13"/>
      </top>
      <bottom style="thin">
        <color indexed="10"/>
      </bottom>
      <diagonal/>
    </border>
    <border>
      <left/>
      <right style="thin">
        <color indexed="11"/>
      </right>
      <top style="thin">
        <color indexed="10"/>
      </top>
      <bottom style="thick">
        <color indexed="8"/>
      </bottom>
      <diagonal/>
    </border>
    <border>
      <left/>
      <right style="thin">
        <color indexed="11"/>
      </right>
      <top style="thick">
        <color indexed="8"/>
      </top>
      <bottom style="thin">
        <color indexed="10"/>
      </bottom>
      <diagonal/>
    </border>
    <border>
      <left/>
      <right style="thin">
        <color indexed="11"/>
      </right>
      <top style="thin">
        <color indexed="10"/>
      </top>
      <bottom/>
      <diagonal/>
    </border>
    <border>
      <left/>
      <right style="thin">
        <color indexed="11"/>
      </right>
      <top/>
      <bottom style="thin">
        <color indexed="10"/>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right style="thin">
        <color indexed="64"/>
      </right>
      <top style="medium">
        <color indexed="64"/>
      </top>
      <bottom style="medium">
        <color indexed="64"/>
      </bottom>
      <diagonal/>
    </border>
    <border>
      <left/>
      <right style="thin">
        <color indexed="64"/>
      </right>
      <top/>
      <bottom style="thin">
        <color indexed="64"/>
      </bottom>
      <diagonal/>
    </border>
    <border>
      <left style="thin">
        <color indexed="10"/>
      </left>
      <right style="medium">
        <color auto="1"/>
      </right>
      <top style="thin">
        <color indexed="10"/>
      </top>
      <bottom/>
      <diagonal/>
    </border>
    <border>
      <left/>
      <right style="medium">
        <color auto="1"/>
      </right>
      <top/>
      <bottom/>
      <diagonal/>
    </border>
    <border>
      <left style="thin">
        <color indexed="10"/>
      </left>
      <right style="medium">
        <color auto="1"/>
      </right>
      <top/>
      <bottom style="thin">
        <color indexed="10"/>
      </bottom>
      <diagonal/>
    </border>
    <border>
      <left style="thin">
        <color indexed="10"/>
      </left>
      <right style="medium">
        <color auto="1"/>
      </right>
      <top style="thin">
        <color indexed="10"/>
      </top>
      <bottom style="thin">
        <color indexed="10"/>
      </bottom>
      <diagonal/>
    </border>
    <border>
      <left style="thin">
        <color indexed="10"/>
      </left>
      <right style="medium">
        <color auto="1"/>
      </right>
      <top style="thin">
        <color indexed="10"/>
      </top>
      <bottom style="thick">
        <color indexed="8"/>
      </bottom>
      <diagonal/>
    </border>
    <border>
      <left style="thin">
        <color indexed="10"/>
      </left>
      <right style="medium">
        <color auto="1"/>
      </right>
      <top style="thick">
        <color indexed="8"/>
      </top>
      <bottom style="thin">
        <color indexed="10"/>
      </bottom>
      <diagonal/>
    </border>
    <border>
      <left style="thin">
        <color indexed="64"/>
      </left>
      <right style="medium">
        <color auto="1"/>
      </right>
      <top style="thin">
        <color indexed="64"/>
      </top>
      <bottom style="thin">
        <color indexed="64"/>
      </bottom>
      <diagonal/>
    </border>
    <border>
      <left style="thin">
        <color indexed="64"/>
      </left>
      <right style="medium">
        <color auto="1"/>
      </right>
      <top style="thin">
        <color indexed="64"/>
      </top>
      <bottom style="medium">
        <color indexed="64"/>
      </bottom>
      <diagonal/>
    </border>
    <border>
      <left style="thin">
        <color indexed="64"/>
      </left>
      <right style="medium">
        <color auto="1"/>
      </right>
      <top/>
      <bottom style="thin">
        <color indexed="64"/>
      </bottom>
      <diagonal/>
    </border>
    <border>
      <left/>
      <right style="thin">
        <color indexed="11"/>
      </right>
      <top style="thin">
        <color indexed="10"/>
      </top>
      <bottom style="thin">
        <color indexed="12"/>
      </bottom>
      <diagonal/>
    </border>
    <border>
      <left/>
      <right style="thin">
        <color indexed="11"/>
      </right>
      <top style="thin">
        <color indexed="12"/>
      </top>
      <bottom style="thin">
        <color indexed="10"/>
      </bottom>
      <diagonal/>
    </border>
    <border>
      <left style="thin">
        <color indexed="10"/>
      </left>
      <right style="medium">
        <color auto="1"/>
      </right>
      <top style="thin">
        <color indexed="10"/>
      </top>
      <bottom style="thin">
        <color indexed="12"/>
      </bottom>
      <diagonal/>
    </border>
    <border>
      <left style="thin">
        <color indexed="10"/>
      </left>
      <right style="medium">
        <color auto="1"/>
      </right>
      <top style="thin">
        <color indexed="12"/>
      </top>
      <bottom style="thin">
        <color indexed="10"/>
      </bottom>
      <diagonal/>
    </border>
    <border>
      <left style="thin">
        <color indexed="10"/>
      </left>
      <right/>
      <top style="thin">
        <color indexed="10"/>
      </top>
      <bottom style="thin">
        <color indexed="12"/>
      </bottom>
      <diagonal/>
    </border>
    <border>
      <left style="thin">
        <color indexed="10"/>
      </left>
      <right/>
      <top style="thin">
        <color indexed="12"/>
      </top>
      <bottom style="thin">
        <color indexed="10"/>
      </bottom>
      <diagonal/>
    </border>
    <border>
      <left style="medium">
        <color indexed="64"/>
      </left>
      <right style="hair">
        <color indexed="64"/>
      </right>
      <top style="medium">
        <color indexed="64"/>
      </top>
      <bottom style="medium">
        <color indexed="64"/>
      </bottom>
      <diagonal/>
    </border>
    <border>
      <left style="hair">
        <color indexed="64"/>
      </left>
      <right style="hair">
        <color indexed="64"/>
      </right>
      <top style="medium">
        <color indexed="64"/>
      </top>
      <bottom style="medium">
        <color indexed="64"/>
      </bottom>
      <diagonal/>
    </border>
    <border>
      <left/>
      <right style="thin">
        <color indexed="8"/>
      </right>
      <top style="thin">
        <color indexed="10"/>
      </top>
      <bottom style="thin">
        <color indexed="12"/>
      </bottom>
      <diagonal/>
    </border>
    <border>
      <left/>
      <right style="thin">
        <color indexed="18"/>
      </right>
      <top/>
      <bottom style="thin">
        <color indexed="13"/>
      </bottom>
      <diagonal/>
    </border>
    <border>
      <left style="thin">
        <color indexed="18"/>
      </left>
      <right style="thin">
        <color indexed="10"/>
      </right>
      <top/>
      <bottom style="thin">
        <color indexed="10"/>
      </bottom>
      <diagonal/>
    </border>
    <border>
      <left style="medium">
        <color indexed="64"/>
      </left>
      <right/>
      <top style="medium">
        <color indexed="64"/>
      </top>
      <bottom style="thin">
        <color indexed="10"/>
      </bottom>
      <diagonal/>
    </border>
    <border>
      <left/>
      <right/>
      <top style="medium">
        <color indexed="64"/>
      </top>
      <bottom style="thin">
        <color indexed="10"/>
      </bottom>
      <diagonal/>
    </border>
    <border>
      <left/>
      <right style="medium">
        <color indexed="64"/>
      </right>
      <top style="medium">
        <color indexed="64"/>
      </top>
      <bottom style="thin">
        <color indexed="10"/>
      </bottom>
      <diagonal/>
    </border>
    <border>
      <left style="thin">
        <color indexed="11"/>
      </left>
      <right style="thin">
        <color indexed="10"/>
      </right>
      <top style="thin">
        <color indexed="10"/>
      </top>
      <bottom style="medium">
        <color indexed="64"/>
      </bottom>
      <diagonal/>
    </border>
    <border>
      <left style="thin">
        <color indexed="8"/>
      </left>
      <right style="hair">
        <color auto="1"/>
      </right>
      <top style="thin">
        <color indexed="10"/>
      </top>
      <bottom/>
      <diagonal/>
    </border>
    <border>
      <left style="hair">
        <color auto="1"/>
      </left>
      <right style="hair">
        <color auto="1"/>
      </right>
      <top style="thin">
        <color indexed="10"/>
      </top>
      <bottom/>
      <diagonal/>
    </border>
    <border>
      <left style="hair">
        <color auto="1"/>
      </left>
      <right style="medium">
        <color auto="1"/>
      </right>
      <top style="thin">
        <color indexed="10"/>
      </top>
      <bottom/>
      <diagonal/>
    </border>
    <border>
      <left style="thin">
        <color indexed="64"/>
      </left>
      <right style="hair">
        <color auto="1"/>
      </right>
      <top style="thin">
        <color indexed="64"/>
      </top>
      <bottom style="thin">
        <color indexed="64"/>
      </bottom>
      <diagonal/>
    </border>
    <border>
      <left style="hair">
        <color auto="1"/>
      </left>
      <right style="hair">
        <color auto="1"/>
      </right>
      <top style="thin">
        <color indexed="64"/>
      </top>
      <bottom style="thin">
        <color indexed="64"/>
      </bottom>
      <diagonal/>
    </border>
    <border>
      <left style="medium">
        <color auto="1"/>
      </left>
      <right style="hair">
        <color auto="1"/>
      </right>
      <top/>
      <bottom style="thin">
        <color indexed="12"/>
      </bottom>
      <diagonal/>
    </border>
    <border>
      <left style="hair">
        <color auto="1"/>
      </left>
      <right style="hair">
        <color auto="1"/>
      </right>
      <top/>
      <bottom style="thin">
        <color indexed="12"/>
      </bottom>
      <diagonal/>
    </border>
    <border>
      <left style="hair">
        <color auto="1"/>
      </left>
      <right style="hair">
        <color auto="1"/>
      </right>
      <top/>
      <bottom/>
      <diagonal/>
    </border>
    <border>
      <left style="medium">
        <color auto="1"/>
      </left>
      <right style="hair">
        <color auto="1"/>
      </right>
      <top style="thin">
        <color indexed="10"/>
      </top>
      <bottom style="thin">
        <color indexed="10"/>
      </bottom>
      <diagonal/>
    </border>
    <border>
      <left style="hair">
        <color auto="1"/>
      </left>
      <right style="hair">
        <color auto="1"/>
      </right>
      <top style="thin">
        <color indexed="10"/>
      </top>
      <bottom style="thin">
        <color indexed="10"/>
      </bottom>
      <diagonal/>
    </border>
    <border>
      <left style="hair">
        <color auto="1"/>
      </left>
      <right style="hair">
        <color auto="1"/>
      </right>
      <top/>
      <bottom style="thin">
        <color indexed="10"/>
      </bottom>
      <diagonal/>
    </border>
    <border>
      <left style="medium">
        <color auto="1"/>
      </left>
      <right style="hair">
        <color auto="1"/>
      </right>
      <top/>
      <bottom/>
      <diagonal/>
    </border>
    <border>
      <left style="medium">
        <color auto="1"/>
      </left>
      <right style="hair">
        <color auto="1"/>
      </right>
      <top/>
      <bottom style="thin">
        <color indexed="10"/>
      </bottom>
      <diagonal/>
    </border>
    <border>
      <left style="medium">
        <color indexed="64"/>
      </left>
      <right style="hair">
        <color auto="1"/>
      </right>
      <top style="thin">
        <color indexed="64"/>
      </top>
      <bottom style="thin">
        <color indexed="64"/>
      </bottom>
      <diagonal/>
    </border>
    <border>
      <left/>
      <right style="dashed">
        <color auto="1"/>
      </right>
      <top/>
      <bottom/>
      <diagonal/>
    </border>
    <border>
      <left/>
      <right style="hair">
        <color auto="1"/>
      </right>
      <top/>
      <bottom style="thin">
        <color indexed="12"/>
      </bottom>
      <diagonal/>
    </border>
    <border>
      <left/>
      <right style="hair">
        <color auto="1"/>
      </right>
      <top style="thin">
        <color indexed="10"/>
      </top>
      <bottom style="thin">
        <color indexed="10"/>
      </bottom>
      <diagonal/>
    </border>
    <border>
      <left/>
      <right style="hair">
        <color auto="1"/>
      </right>
      <top/>
      <bottom/>
      <diagonal/>
    </border>
    <border>
      <left/>
      <right style="hair">
        <color indexed="64"/>
      </right>
      <top style="medium">
        <color indexed="64"/>
      </top>
      <bottom style="medium">
        <color indexed="64"/>
      </bottom>
      <diagonal/>
    </border>
    <border>
      <left/>
      <right style="hair">
        <color auto="1"/>
      </right>
      <top/>
      <bottom style="thin">
        <color indexed="10"/>
      </bottom>
      <diagonal/>
    </border>
    <border>
      <left/>
      <right style="hair">
        <color auto="1"/>
      </right>
      <top style="thin">
        <color indexed="64"/>
      </top>
      <bottom style="thin">
        <color indexed="64"/>
      </bottom>
      <diagonal/>
    </border>
    <border>
      <left/>
      <right style="thin">
        <color indexed="11"/>
      </right>
      <top style="thin">
        <color indexed="10"/>
      </top>
      <bottom style="medium">
        <color indexed="64"/>
      </bottom>
      <diagonal/>
    </border>
    <border>
      <left style="hair">
        <color auto="1"/>
      </left>
      <right style="dashed">
        <color auto="1"/>
      </right>
      <top style="thin">
        <color indexed="64"/>
      </top>
      <bottom style="thin">
        <color indexed="64"/>
      </bottom>
      <diagonal/>
    </border>
    <border>
      <left style="hair">
        <color auto="1"/>
      </left>
      <right style="dashed">
        <color auto="1"/>
      </right>
      <top/>
      <bottom style="thin">
        <color indexed="12"/>
      </bottom>
      <diagonal/>
    </border>
    <border>
      <left style="hair">
        <color auto="1"/>
      </left>
      <right style="dashed">
        <color auto="1"/>
      </right>
      <top style="thin">
        <color indexed="10"/>
      </top>
      <bottom style="thin">
        <color indexed="10"/>
      </bottom>
      <diagonal/>
    </border>
    <border>
      <left style="hair">
        <color auto="1"/>
      </left>
      <right style="dashed">
        <color auto="1"/>
      </right>
      <top/>
      <bottom/>
      <diagonal/>
    </border>
    <border>
      <left style="hair">
        <color auto="1"/>
      </left>
      <right style="dashed">
        <color auto="1"/>
      </right>
      <top/>
      <bottom style="thin">
        <color indexed="10"/>
      </bottom>
      <diagonal/>
    </border>
    <border>
      <left/>
      <right style="dashed">
        <color auto="1"/>
      </right>
      <top style="thin">
        <color indexed="64"/>
      </top>
      <bottom style="thin">
        <color indexed="64"/>
      </bottom>
      <diagonal/>
    </border>
    <border>
      <left/>
      <right style="dashed">
        <color auto="1"/>
      </right>
      <top/>
      <bottom style="thin">
        <color indexed="10"/>
      </bottom>
      <diagonal/>
    </border>
    <border>
      <left/>
      <right style="dashed">
        <color auto="1"/>
      </right>
      <top style="thin">
        <color indexed="10"/>
      </top>
      <bottom style="thin">
        <color indexed="10"/>
      </bottom>
      <diagonal/>
    </border>
    <border>
      <left/>
      <right style="dashed">
        <color auto="1"/>
      </right>
      <top style="medium">
        <color indexed="64"/>
      </top>
      <bottom style="medium">
        <color indexed="64"/>
      </bottom>
      <diagonal/>
    </border>
    <border>
      <left style="medium">
        <color auto="1"/>
      </left>
      <right style="hair">
        <color auto="1"/>
      </right>
      <top style="medium">
        <color indexed="64"/>
      </top>
      <bottom style="thin">
        <color indexed="10"/>
      </bottom>
      <diagonal/>
    </border>
    <border>
      <left style="hair">
        <color auto="1"/>
      </left>
      <right style="hair">
        <color auto="1"/>
      </right>
      <top style="medium">
        <color indexed="64"/>
      </top>
      <bottom style="thin">
        <color indexed="10"/>
      </bottom>
      <diagonal/>
    </border>
    <border>
      <left style="hair">
        <color auto="1"/>
      </left>
      <right style="dashed">
        <color auto="1"/>
      </right>
      <top style="medium">
        <color indexed="64"/>
      </top>
      <bottom style="thin">
        <color indexed="10"/>
      </bottom>
      <diagonal/>
    </border>
    <border>
      <left/>
      <right/>
      <top/>
      <bottom style="thin">
        <color indexed="12"/>
      </bottom>
      <diagonal/>
    </border>
    <border>
      <left/>
      <right/>
      <top style="thin">
        <color indexed="64"/>
      </top>
      <bottom style="thin">
        <color indexed="64"/>
      </bottom>
      <diagonal/>
    </border>
    <border>
      <left style="medium">
        <color indexed="64"/>
      </left>
      <right style="dashed">
        <color auto="1"/>
      </right>
      <top style="medium">
        <color indexed="64"/>
      </top>
      <bottom style="medium">
        <color indexed="64"/>
      </bottom>
      <diagonal/>
    </border>
    <border>
      <left style="medium">
        <color auto="1"/>
      </left>
      <right style="hair">
        <color auto="1"/>
      </right>
      <top style="thin">
        <color indexed="12"/>
      </top>
      <bottom style="hair">
        <color indexed="64"/>
      </bottom>
      <diagonal/>
    </border>
    <border>
      <left style="hair">
        <color auto="1"/>
      </left>
      <right style="hair">
        <color auto="1"/>
      </right>
      <top style="thin">
        <color indexed="12"/>
      </top>
      <bottom style="hair">
        <color indexed="64"/>
      </bottom>
      <diagonal/>
    </border>
    <border>
      <left style="hair">
        <color auto="1"/>
      </left>
      <right style="dashed">
        <color indexed="64"/>
      </right>
      <top style="thin">
        <color indexed="12"/>
      </top>
      <bottom style="hair">
        <color indexed="64"/>
      </bottom>
      <diagonal/>
    </border>
    <border>
      <left style="medium">
        <color auto="1"/>
      </left>
      <right style="hair">
        <color auto="1"/>
      </right>
      <top style="hair">
        <color indexed="64"/>
      </top>
      <bottom style="hair">
        <color indexed="64"/>
      </bottom>
      <diagonal/>
    </border>
    <border>
      <left style="hair">
        <color auto="1"/>
      </left>
      <right style="hair">
        <color auto="1"/>
      </right>
      <top style="hair">
        <color indexed="64"/>
      </top>
      <bottom style="hair">
        <color indexed="64"/>
      </bottom>
      <diagonal/>
    </border>
    <border>
      <left style="hair">
        <color auto="1"/>
      </left>
      <right style="dashed">
        <color indexed="64"/>
      </right>
      <top style="hair">
        <color indexed="64"/>
      </top>
      <bottom style="hair">
        <color indexed="64"/>
      </bottom>
      <diagonal/>
    </border>
    <border>
      <left style="medium">
        <color auto="1"/>
      </left>
      <right style="hair">
        <color auto="1"/>
      </right>
      <top style="hair">
        <color indexed="64"/>
      </top>
      <bottom style="medium">
        <color indexed="64"/>
      </bottom>
      <diagonal/>
    </border>
    <border>
      <left style="hair">
        <color auto="1"/>
      </left>
      <right style="hair">
        <color auto="1"/>
      </right>
      <top style="hair">
        <color indexed="64"/>
      </top>
      <bottom style="medium">
        <color indexed="64"/>
      </bottom>
      <diagonal/>
    </border>
    <border>
      <left style="hair">
        <color auto="1"/>
      </left>
      <right style="dashed">
        <color indexed="64"/>
      </right>
      <top style="hair">
        <color indexed="64"/>
      </top>
      <bottom style="medium">
        <color indexed="64"/>
      </bottom>
      <diagonal/>
    </border>
    <border>
      <left/>
      <right style="hair">
        <color auto="1"/>
      </right>
      <top style="thin">
        <color indexed="12"/>
      </top>
      <bottom style="hair">
        <color indexed="64"/>
      </bottom>
      <diagonal/>
    </border>
    <border>
      <left style="hair">
        <color auto="1"/>
      </left>
      <right style="hair">
        <color auto="1"/>
      </right>
      <top/>
      <bottom style="hair">
        <color indexed="64"/>
      </bottom>
      <diagonal/>
    </border>
    <border>
      <left style="hair">
        <color auto="1"/>
      </left>
      <right style="dashed">
        <color indexed="64"/>
      </right>
      <top/>
      <bottom style="hair">
        <color indexed="64"/>
      </bottom>
      <diagonal/>
    </border>
    <border>
      <left/>
      <right style="hair">
        <color auto="1"/>
      </right>
      <top style="hair">
        <color indexed="64"/>
      </top>
      <bottom style="hair">
        <color indexed="64"/>
      </bottom>
      <diagonal/>
    </border>
    <border>
      <left/>
      <right style="hair">
        <color auto="1"/>
      </right>
      <top style="hair">
        <color indexed="64"/>
      </top>
      <bottom style="medium">
        <color indexed="64"/>
      </bottom>
      <diagonal/>
    </border>
    <border>
      <left/>
      <right style="hair">
        <color auto="1"/>
      </right>
      <top/>
      <bottom style="hair">
        <color indexed="64"/>
      </bottom>
      <diagonal/>
    </border>
    <border>
      <left/>
      <right style="dashed">
        <color indexed="64"/>
      </right>
      <top/>
      <bottom style="hair">
        <color indexed="64"/>
      </bottom>
      <diagonal/>
    </border>
    <border>
      <left/>
      <right style="dashed">
        <color indexed="64"/>
      </right>
      <top style="hair">
        <color indexed="64"/>
      </top>
      <bottom style="hair">
        <color indexed="64"/>
      </bottom>
      <diagonal/>
    </border>
    <border>
      <left/>
      <right style="dashed">
        <color indexed="64"/>
      </right>
      <top style="hair">
        <color indexed="64"/>
      </top>
      <bottom style="medium">
        <color indexed="64"/>
      </bottom>
      <diagonal/>
    </border>
    <border>
      <left style="medium">
        <color auto="1"/>
      </left>
      <right style="hair">
        <color indexed="8"/>
      </right>
      <top style="thick">
        <color indexed="8"/>
      </top>
      <bottom style="hair">
        <color indexed="8"/>
      </bottom>
      <diagonal/>
    </border>
    <border>
      <left style="hair">
        <color indexed="8"/>
      </left>
      <right style="hair">
        <color indexed="8"/>
      </right>
      <top style="thick">
        <color indexed="8"/>
      </top>
      <bottom style="hair">
        <color indexed="8"/>
      </bottom>
      <diagonal/>
    </border>
    <border>
      <left style="hair">
        <color indexed="8"/>
      </left>
      <right style="dashed">
        <color indexed="8"/>
      </right>
      <top style="thick">
        <color indexed="8"/>
      </top>
      <bottom style="hair">
        <color indexed="8"/>
      </bottom>
      <diagonal/>
    </border>
    <border>
      <left style="medium">
        <color auto="1"/>
      </left>
      <right style="hair">
        <color indexed="8"/>
      </right>
      <top style="hair">
        <color indexed="8"/>
      </top>
      <bottom style="hair">
        <color indexed="8"/>
      </bottom>
      <diagonal/>
    </border>
    <border>
      <left style="hair">
        <color indexed="8"/>
      </left>
      <right style="hair">
        <color indexed="8"/>
      </right>
      <top style="hair">
        <color indexed="8"/>
      </top>
      <bottom style="hair">
        <color indexed="8"/>
      </bottom>
      <diagonal/>
    </border>
    <border>
      <left style="hair">
        <color indexed="8"/>
      </left>
      <right style="dashed">
        <color indexed="8"/>
      </right>
      <top style="hair">
        <color indexed="8"/>
      </top>
      <bottom style="hair">
        <color indexed="8"/>
      </bottom>
      <diagonal/>
    </border>
    <border>
      <left/>
      <right style="hair">
        <color indexed="8"/>
      </right>
      <top style="thick">
        <color indexed="8"/>
      </top>
      <bottom style="hair">
        <color indexed="8"/>
      </bottom>
      <diagonal/>
    </border>
    <border>
      <left/>
      <right style="hair">
        <color indexed="8"/>
      </right>
      <top style="hair">
        <color indexed="8"/>
      </top>
      <bottom style="hair">
        <color indexed="8"/>
      </bottom>
      <diagonal/>
    </border>
    <border>
      <left/>
      <right style="dashed">
        <color indexed="8"/>
      </right>
      <top style="thick">
        <color indexed="8"/>
      </top>
      <bottom style="hair">
        <color indexed="8"/>
      </bottom>
      <diagonal/>
    </border>
    <border>
      <left/>
      <right style="dashed">
        <color indexed="8"/>
      </right>
      <top style="hair">
        <color indexed="8"/>
      </top>
      <bottom style="hair">
        <color indexed="8"/>
      </bottom>
      <diagonal/>
    </border>
    <border>
      <left style="hair">
        <color indexed="64"/>
      </left>
      <right/>
      <top style="medium">
        <color indexed="64"/>
      </top>
      <bottom style="medium">
        <color indexed="64"/>
      </bottom>
      <diagonal/>
    </border>
    <border>
      <left style="hair">
        <color indexed="8"/>
      </left>
      <right style="hair">
        <color indexed="8"/>
      </right>
      <top/>
      <bottom style="hair">
        <color indexed="8"/>
      </bottom>
      <diagonal/>
    </border>
    <border>
      <left style="hair">
        <color indexed="8"/>
      </left>
      <right style="dashed">
        <color indexed="8"/>
      </right>
      <top/>
      <bottom style="hair">
        <color indexed="8"/>
      </bottom>
      <diagonal/>
    </border>
    <border>
      <left/>
      <right style="dashed">
        <color indexed="8"/>
      </right>
      <top/>
      <bottom style="hair">
        <color indexed="8"/>
      </bottom>
      <diagonal/>
    </border>
    <border>
      <left style="medium">
        <color auto="1"/>
      </left>
      <right style="hair">
        <color indexed="8"/>
      </right>
      <top style="hair">
        <color indexed="8"/>
      </top>
      <bottom style="hair">
        <color auto="1"/>
      </bottom>
      <diagonal/>
    </border>
    <border>
      <left style="hair">
        <color indexed="8"/>
      </left>
      <right style="hair">
        <color indexed="8"/>
      </right>
      <top style="hair">
        <color indexed="8"/>
      </top>
      <bottom style="hair">
        <color auto="1"/>
      </bottom>
      <diagonal/>
    </border>
    <border>
      <left style="hair">
        <color indexed="8"/>
      </left>
      <right style="dashed">
        <color indexed="8"/>
      </right>
      <top style="hair">
        <color indexed="8"/>
      </top>
      <bottom style="hair">
        <color auto="1"/>
      </bottom>
      <diagonal/>
    </border>
    <border>
      <left/>
      <right style="hair">
        <color indexed="8"/>
      </right>
      <top style="hair">
        <color indexed="8"/>
      </top>
      <bottom style="hair">
        <color auto="1"/>
      </bottom>
      <diagonal/>
    </border>
    <border>
      <left/>
      <right style="dashed">
        <color indexed="8"/>
      </right>
      <top style="hair">
        <color indexed="8"/>
      </top>
      <bottom style="hair">
        <color auto="1"/>
      </bottom>
      <diagonal/>
    </border>
    <border>
      <left/>
      <right/>
      <top style="thin">
        <color indexed="10"/>
      </top>
      <bottom style="hair">
        <color auto="1"/>
      </bottom>
      <diagonal/>
    </border>
    <border>
      <left/>
      <right/>
      <top style="thin">
        <color indexed="64"/>
      </top>
      <bottom/>
      <diagonal/>
    </border>
    <border>
      <left style="hair">
        <color auto="1"/>
      </left>
      <right/>
      <top style="thin">
        <color indexed="10"/>
      </top>
      <bottom/>
      <diagonal/>
    </border>
    <border>
      <left style="thin">
        <color indexed="10"/>
      </left>
      <right/>
      <top style="thin">
        <color indexed="10"/>
      </top>
      <bottom style="medium">
        <color indexed="64"/>
      </bottom>
      <diagonal/>
    </border>
    <border>
      <left style="thin">
        <color indexed="64"/>
      </left>
      <right/>
      <top style="medium">
        <color indexed="64"/>
      </top>
      <bottom style="medium">
        <color indexed="64"/>
      </bottom>
      <diagonal/>
    </border>
    <border>
      <left style="thin">
        <color indexed="10"/>
      </left>
      <right/>
      <top style="medium">
        <color indexed="64"/>
      </top>
      <bottom style="medium">
        <color indexed="64"/>
      </bottom>
      <diagonal/>
    </border>
    <border>
      <left/>
      <right style="thin">
        <color indexed="8"/>
      </right>
      <top style="thin">
        <color indexed="12"/>
      </top>
      <bottom style="thin">
        <color indexed="10"/>
      </bottom>
      <diagonal/>
    </border>
    <border>
      <left/>
      <right style="thin">
        <color indexed="8"/>
      </right>
      <top style="thin">
        <color indexed="10"/>
      </top>
      <bottom style="thin">
        <color indexed="10"/>
      </bottom>
      <diagonal/>
    </border>
    <border>
      <left/>
      <right style="thin">
        <color indexed="8"/>
      </right>
      <top style="thin">
        <color indexed="10"/>
      </top>
      <bottom style="thick">
        <color indexed="8"/>
      </bottom>
      <diagonal/>
    </border>
    <border>
      <left/>
      <right style="thin">
        <color indexed="8"/>
      </right>
      <top style="thick">
        <color indexed="8"/>
      </top>
      <bottom style="thin">
        <color indexed="10"/>
      </bottom>
      <diagonal/>
    </border>
    <border>
      <left/>
      <right style="thin">
        <color indexed="8"/>
      </right>
      <top style="thin">
        <color indexed="10"/>
      </top>
      <bottom/>
      <diagonal/>
    </border>
    <border>
      <left/>
      <right style="thin">
        <color indexed="8"/>
      </right>
      <top/>
      <bottom style="thin">
        <color indexed="10"/>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dashed">
        <color auto="1"/>
      </left>
      <right/>
      <top style="thin">
        <color indexed="64"/>
      </top>
      <bottom style="thin">
        <color indexed="64"/>
      </bottom>
      <diagonal/>
    </border>
    <border>
      <left/>
      <right/>
      <top/>
      <bottom style="thin">
        <color indexed="64"/>
      </bottom>
      <diagonal/>
    </border>
  </borders>
  <cellStyleXfs count="3">
    <xf numFmtId="0" fontId="0" fillId="0" borderId="0" applyNumberFormat="0" applyFill="0" applyBorder="0" applyProtection="0">
      <alignment vertical="top" wrapText="1"/>
    </xf>
    <xf numFmtId="0" fontId="29" fillId="0" borderId="0" applyNumberFormat="0" applyFill="0" applyBorder="0" applyAlignment="0" applyProtection="0">
      <alignment vertical="top" wrapText="1"/>
    </xf>
    <xf numFmtId="9" fontId="66" fillId="0" borderId="0" applyFont="0" applyFill="0" applyBorder="0" applyAlignment="0" applyProtection="0"/>
  </cellStyleXfs>
  <cellXfs count="941">
    <xf numFmtId="0" fontId="0" fillId="0" borderId="0" xfId="0" applyFont="1" applyAlignment="1">
      <alignment vertical="top" wrapText="1"/>
    </xf>
    <xf numFmtId="0" fontId="0" fillId="0" borderId="0" xfId="0" applyNumberFormat="1" applyFont="1" applyAlignment="1">
      <alignment vertical="top" wrapText="1"/>
    </xf>
    <xf numFmtId="0" fontId="2" fillId="2" borderId="1" xfId="0" applyFont="1" applyFill="1" applyBorder="1" applyAlignment="1">
      <alignment vertical="top" wrapText="1"/>
    </xf>
    <xf numFmtId="49" fontId="2" fillId="2" borderId="4" xfId="0" applyNumberFormat="1" applyFont="1" applyFill="1" applyBorder="1" applyAlignment="1">
      <alignment horizontal="center" vertical="top" wrapText="1"/>
    </xf>
    <xf numFmtId="49" fontId="2" fillId="2" borderId="6" xfId="0" applyNumberFormat="1" applyFont="1" applyFill="1" applyBorder="1" applyAlignment="1">
      <alignment vertical="top" wrapText="1"/>
    </xf>
    <xf numFmtId="49" fontId="2" fillId="2" borderId="7" xfId="0" applyNumberFormat="1" applyFont="1" applyFill="1" applyBorder="1" applyAlignment="1">
      <alignment vertical="top" wrapText="1"/>
    </xf>
    <xf numFmtId="49" fontId="2" fillId="2" borderId="8" xfId="0" applyNumberFormat="1" applyFont="1" applyFill="1" applyBorder="1" applyAlignment="1">
      <alignment vertical="top" wrapText="1"/>
    </xf>
    <xf numFmtId="49" fontId="2" fillId="2" borderId="9" xfId="0" applyNumberFormat="1" applyFont="1" applyFill="1" applyBorder="1" applyAlignment="1">
      <alignment vertical="top" wrapText="1"/>
    </xf>
    <xf numFmtId="49" fontId="2" fillId="2" borderId="10" xfId="0" applyNumberFormat="1" applyFont="1" applyFill="1" applyBorder="1" applyAlignment="1">
      <alignment vertical="top" wrapText="1"/>
    </xf>
    <xf numFmtId="49" fontId="2" fillId="2" borderId="6" xfId="0" applyNumberFormat="1" applyFont="1" applyFill="1" applyBorder="1" applyAlignment="1">
      <alignment horizontal="right" vertical="top" wrapText="1"/>
    </xf>
    <xf numFmtId="164" fontId="0" fillId="0" borderId="12" xfId="0" applyNumberFormat="1" applyFont="1" applyBorder="1" applyAlignment="1">
      <alignment vertical="top" wrapText="1"/>
    </xf>
    <xf numFmtId="49" fontId="0" fillId="0" borderId="13" xfId="0" applyNumberFormat="1" applyFont="1" applyBorder="1" applyAlignment="1">
      <alignment vertical="top" wrapText="1"/>
    </xf>
    <xf numFmtId="49" fontId="0" fillId="0" borderId="15" xfId="0" applyNumberFormat="1" applyFont="1" applyBorder="1" applyAlignment="1">
      <alignment horizontal="left" vertical="top" wrapText="1"/>
    </xf>
    <xf numFmtId="0" fontId="0" fillId="0" borderId="14" xfId="0" applyNumberFormat="1" applyFont="1" applyBorder="1" applyAlignment="1">
      <alignment horizontal="center" vertical="top" wrapText="1"/>
    </xf>
    <xf numFmtId="49" fontId="0" fillId="0" borderId="16" xfId="0" applyNumberFormat="1" applyFont="1" applyBorder="1" applyAlignment="1">
      <alignment vertical="top" wrapText="1"/>
    </xf>
    <xf numFmtId="49" fontId="0" fillId="0" borderId="17" xfId="0" applyNumberFormat="1" applyFont="1" applyBorder="1" applyAlignment="1">
      <alignment vertical="top" wrapText="1"/>
    </xf>
    <xf numFmtId="0" fontId="0" fillId="0" borderId="13" xfId="0" applyNumberFormat="1" applyFont="1" applyBorder="1" applyAlignment="1">
      <alignment horizontal="right" vertical="top" wrapText="1"/>
    </xf>
    <xf numFmtId="165" fontId="0" fillId="0" borderId="14" xfId="0" applyNumberFormat="1" applyFont="1" applyBorder="1" applyAlignment="1">
      <alignment vertical="top" wrapText="1"/>
    </xf>
    <xf numFmtId="0" fontId="0" fillId="0" borderId="14" xfId="0" applyFont="1" applyBorder="1" applyAlignment="1">
      <alignment vertical="top" wrapText="1"/>
    </xf>
    <xf numFmtId="166" fontId="0" fillId="0" borderId="13" xfId="0" applyNumberFormat="1" applyFont="1" applyBorder="1" applyAlignment="1">
      <alignment vertical="top" wrapText="1"/>
    </xf>
    <xf numFmtId="1" fontId="0" fillId="0" borderId="13" xfId="0" applyNumberFormat="1" applyFont="1" applyBorder="1" applyAlignment="1">
      <alignment vertical="top" wrapText="1"/>
    </xf>
    <xf numFmtId="0" fontId="0" fillId="0" borderId="13" xfId="0" applyNumberFormat="1" applyFont="1" applyBorder="1" applyAlignment="1">
      <alignment horizontal="center" vertical="top" wrapText="1"/>
    </xf>
    <xf numFmtId="0" fontId="0" fillId="0" borderId="13" xfId="0" applyFont="1" applyBorder="1" applyAlignment="1">
      <alignment vertical="top" wrapText="1"/>
    </xf>
    <xf numFmtId="166" fontId="0" fillId="0" borderId="14" xfId="0" applyNumberFormat="1" applyFont="1" applyBorder="1" applyAlignment="1">
      <alignment vertical="top" wrapText="1"/>
    </xf>
    <xf numFmtId="166" fontId="0" fillId="0" borderId="16" xfId="0" applyNumberFormat="1" applyFont="1" applyBorder="1" applyAlignment="1">
      <alignment vertical="top" wrapText="1"/>
    </xf>
    <xf numFmtId="164" fontId="0" fillId="0" borderId="19" xfId="0" applyNumberFormat="1" applyFont="1" applyBorder="1" applyAlignment="1">
      <alignment vertical="top" wrapText="1"/>
    </xf>
    <xf numFmtId="49" fontId="0" fillId="0" borderId="1" xfId="0" applyNumberFormat="1" applyFont="1" applyBorder="1" applyAlignment="1">
      <alignment vertical="top" wrapText="1"/>
    </xf>
    <xf numFmtId="49" fontId="0" fillId="0" borderId="2" xfId="0" applyNumberFormat="1" applyFont="1" applyBorder="1" applyAlignment="1">
      <alignment vertical="top" wrapText="1"/>
    </xf>
    <xf numFmtId="49" fontId="0" fillId="0" borderId="3" xfId="0" applyNumberFormat="1" applyFont="1" applyBorder="1" applyAlignment="1">
      <alignment horizontal="left" vertical="top" wrapText="1"/>
    </xf>
    <xf numFmtId="49" fontId="0" fillId="0" borderId="2" xfId="0" applyNumberFormat="1" applyFont="1" applyBorder="1" applyAlignment="1">
      <alignment horizontal="center" vertical="top" wrapText="1"/>
    </xf>
    <xf numFmtId="49" fontId="0" fillId="0" borderId="4" xfId="0" applyNumberFormat="1" applyFont="1" applyBorder="1" applyAlignment="1">
      <alignment vertical="top" wrapText="1"/>
    </xf>
    <xf numFmtId="49" fontId="0" fillId="0" borderId="5" xfId="0" applyNumberFormat="1" applyFont="1" applyBorder="1" applyAlignment="1">
      <alignment vertical="top" wrapText="1"/>
    </xf>
    <xf numFmtId="49" fontId="0" fillId="0" borderId="1" xfId="0" applyNumberFormat="1" applyFont="1" applyBorder="1" applyAlignment="1">
      <alignment horizontal="right" vertical="top" wrapText="1"/>
    </xf>
    <xf numFmtId="165" fontId="0" fillId="0" borderId="2" xfId="0" applyNumberFormat="1" applyFont="1" applyBorder="1" applyAlignment="1">
      <alignment vertical="top" wrapText="1"/>
    </xf>
    <xf numFmtId="0" fontId="0" fillId="0" borderId="2" xfId="0" applyFont="1" applyBorder="1" applyAlignment="1">
      <alignment vertical="top" wrapText="1"/>
    </xf>
    <xf numFmtId="0" fontId="0" fillId="0" borderId="3" xfId="0" applyFont="1" applyBorder="1" applyAlignment="1">
      <alignment vertical="top" wrapText="1"/>
    </xf>
    <xf numFmtId="166" fontId="0" fillId="0" borderId="1" xfId="0" applyNumberFormat="1" applyFont="1" applyBorder="1" applyAlignment="1">
      <alignment vertical="top" wrapText="1"/>
    </xf>
    <xf numFmtId="167" fontId="0" fillId="0" borderId="1" xfId="0" applyNumberFormat="1" applyFont="1" applyBorder="1" applyAlignment="1">
      <alignment horizontal="right" vertical="top" wrapText="1"/>
    </xf>
    <xf numFmtId="0" fontId="0" fillId="0" borderId="1" xfId="0" applyNumberFormat="1" applyFont="1" applyBorder="1" applyAlignment="1">
      <alignment vertical="top" wrapText="1"/>
    </xf>
    <xf numFmtId="49" fontId="0" fillId="0" borderId="1" xfId="0" applyNumberFormat="1" applyFont="1" applyBorder="1" applyAlignment="1">
      <alignment horizontal="center" vertical="top" wrapText="1"/>
    </xf>
    <xf numFmtId="0" fontId="0" fillId="0" borderId="1" xfId="0" applyFont="1" applyBorder="1" applyAlignment="1">
      <alignment vertical="top" wrapText="1"/>
    </xf>
    <xf numFmtId="166" fontId="0" fillId="0" borderId="2" xfId="0" applyNumberFormat="1" applyFont="1" applyBorder="1" applyAlignment="1">
      <alignment vertical="top" wrapText="1"/>
    </xf>
    <xf numFmtId="166" fontId="0" fillId="0" borderId="4" xfId="0" applyNumberFormat="1" applyFont="1" applyBorder="1" applyAlignment="1">
      <alignment vertical="top" wrapText="1"/>
    </xf>
    <xf numFmtId="0" fontId="0" fillId="0" borderId="3" xfId="0" applyFont="1" applyBorder="1" applyAlignment="1">
      <alignment horizontal="left" vertical="top" wrapText="1"/>
    </xf>
    <xf numFmtId="0" fontId="0" fillId="0" borderId="1" xfId="0" applyNumberFormat="1" applyFont="1" applyBorder="1" applyAlignment="1">
      <alignment horizontal="right" vertical="top" wrapText="1"/>
    </xf>
    <xf numFmtId="0" fontId="0" fillId="0" borderId="5" xfId="0" applyFont="1" applyBorder="1" applyAlignment="1">
      <alignment vertical="top" wrapText="1"/>
    </xf>
    <xf numFmtId="0" fontId="0" fillId="0" borderId="1" xfId="0" applyNumberFormat="1" applyFont="1" applyBorder="1" applyAlignment="1">
      <alignment horizontal="center" vertical="top" wrapText="1"/>
    </xf>
    <xf numFmtId="0" fontId="0" fillId="0" borderId="3" xfId="0" applyNumberFormat="1" applyFont="1" applyBorder="1" applyAlignment="1">
      <alignment horizontal="left" vertical="top" wrapText="1"/>
    </xf>
    <xf numFmtId="49" fontId="0" fillId="0" borderId="3" xfId="0" applyNumberFormat="1" applyFont="1" applyBorder="1" applyAlignment="1">
      <alignment vertical="top" wrapText="1"/>
    </xf>
    <xf numFmtId="0" fontId="0" fillId="0" borderId="2" xfId="0" applyNumberFormat="1" applyFont="1" applyBorder="1" applyAlignment="1">
      <alignment horizontal="center" vertical="top" wrapText="1"/>
    </xf>
    <xf numFmtId="0" fontId="0" fillId="0" borderId="1" xfId="0" applyFont="1" applyBorder="1" applyAlignment="1">
      <alignment horizontal="right" vertical="top" wrapText="1"/>
    </xf>
    <xf numFmtId="0" fontId="0" fillId="0" borderId="3" xfId="0" applyNumberFormat="1" applyFont="1" applyBorder="1" applyAlignment="1">
      <alignment vertical="top" wrapText="1"/>
    </xf>
    <xf numFmtId="49" fontId="0" fillId="4" borderId="1" xfId="0" applyNumberFormat="1" applyFont="1" applyFill="1" applyBorder="1" applyAlignment="1">
      <alignment horizontal="right" vertical="top" wrapText="1"/>
    </xf>
    <xf numFmtId="0" fontId="0" fillId="0" borderId="1" xfId="0" applyFont="1" applyBorder="1" applyAlignment="1">
      <alignment horizontal="center" vertical="top" wrapText="1"/>
    </xf>
    <xf numFmtId="0" fontId="0" fillId="0" borderId="2" xfId="0" applyFont="1" applyBorder="1" applyAlignment="1">
      <alignment horizontal="center" vertical="top" wrapText="1"/>
    </xf>
    <xf numFmtId="164" fontId="0" fillId="0" borderId="22" xfId="0" applyNumberFormat="1" applyFont="1" applyBorder="1" applyAlignment="1">
      <alignment vertical="top" wrapText="1"/>
    </xf>
    <xf numFmtId="49" fontId="0" fillId="0" borderId="23" xfId="0" applyNumberFormat="1" applyFont="1" applyBorder="1" applyAlignment="1">
      <alignment vertical="top" wrapText="1"/>
    </xf>
    <xf numFmtId="49" fontId="0" fillId="0" borderId="24" xfId="0" applyNumberFormat="1" applyFont="1" applyBorder="1" applyAlignment="1">
      <alignment vertical="top" wrapText="1"/>
    </xf>
    <xf numFmtId="49" fontId="0" fillId="0" borderId="25" xfId="0" applyNumberFormat="1" applyFont="1" applyBorder="1" applyAlignment="1">
      <alignment vertical="top" wrapText="1"/>
    </xf>
    <xf numFmtId="49" fontId="0" fillId="0" borderId="24" xfId="0" applyNumberFormat="1" applyFont="1" applyBorder="1" applyAlignment="1">
      <alignment horizontal="center" vertical="top" wrapText="1"/>
    </xf>
    <xf numFmtId="49" fontId="0" fillId="0" borderId="26" xfId="0" applyNumberFormat="1" applyFont="1" applyBorder="1" applyAlignment="1">
      <alignment vertical="top" wrapText="1"/>
    </xf>
    <xf numFmtId="49" fontId="0" fillId="0" borderId="27" xfId="0" applyNumberFormat="1" applyFont="1" applyBorder="1" applyAlignment="1">
      <alignment vertical="top" wrapText="1"/>
    </xf>
    <xf numFmtId="49" fontId="0" fillId="0" borderId="23" xfId="0" applyNumberFormat="1" applyFont="1" applyBorder="1" applyAlignment="1">
      <alignment horizontal="right" vertical="top" wrapText="1"/>
    </xf>
    <xf numFmtId="166" fontId="0" fillId="0" borderId="23" xfId="0" applyNumberFormat="1" applyFont="1" applyBorder="1" applyAlignment="1">
      <alignment vertical="top" wrapText="1"/>
    </xf>
    <xf numFmtId="167" fontId="0" fillId="0" borderId="23" xfId="0" applyNumberFormat="1" applyFont="1" applyBorder="1" applyAlignment="1">
      <alignment horizontal="right" vertical="top" wrapText="1"/>
    </xf>
    <xf numFmtId="0" fontId="0" fillId="0" borderId="23" xfId="0" applyFont="1" applyBorder="1" applyAlignment="1">
      <alignment vertical="top" wrapText="1"/>
    </xf>
    <xf numFmtId="0" fontId="0" fillId="0" borderId="23" xfId="0" applyNumberFormat="1" applyFont="1" applyBorder="1" applyAlignment="1">
      <alignment horizontal="center" vertical="top" wrapText="1"/>
    </xf>
    <xf numFmtId="166" fontId="0" fillId="0" borderId="24" xfId="0" applyNumberFormat="1" applyFont="1" applyBorder="1" applyAlignment="1">
      <alignment vertical="top" wrapText="1"/>
    </xf>
    <xf numFmtId="166" fontId="0" fillId="0" borderId="26" xfId="0" applyNumberFormat="1" applyFont="1" applyBorder="1" applyAlignment="1">
      <alignment vertical="top" wrapText="1"/>
    </xf>
    <xf numFmtId="164" fontId="0" fillId="0" borderId="29" xfId="0" applyNumberFormat="1" applyFont="1" applyBorder="1" applyAlignment="1">
      <alignment vertical="top" wrapText="1"/>
    </xf>
    <xf numFmtId="49" fontId="0" fillId="0" borderId="30" xfId="0" applyNumberFormat="1" applyFont="1" applyBorder="1" applyAlignment="1">
      <alignment vertical="top" wrapText="1"/>
    </xf>
    <xf numFmtId="49" fontId="0" fillId="0" borderId="31" xfId="0" applyNumberFormat="1" applyFont="1" applyBorder="1" applyAlignment="1">
      <alignment vertical="top" wrapText="1"/>
    </xf>
    <xf numFmtId="49" fontId="0" fillId="0" borderId="32" xfId="0" applyNumberFormat="1" applyFont="1" applyBorder="1" applyAlignment="1">
      <alignment vertical="top" wrapText="1"/>
    </xf>
    <xf numFmtId="0" fontId="0" fillId="0" borderId="31" xfId="0" applyNumberFormat="1" applyFont="1" applyBorder="1" applyAlignment="1">
      <alignment horizontal="center" vertical="top" wrapText="1"/>
    </xf>
    <xf numFmtId="49" fontId="0" fillId="0" borderId="33" xfId="0" applyNumberFormat="1" applyFont="1" applyBorder="1" applyAlignment="1">
      <alignment vertical="top" wrapText="1"/>
    </xf>
    <xf numFmtId="49" fontId="0" fillId="0" borderId="34" xfId="0" applyNumberFormat="1" applyFont="1" applyBorder="1" applyAlignment="1">
      <alignment vertical="top" wrapText="1"/>
    </xf>
    <xf numFmtId="0" fontId="0" fillId="0" borderId="35" xfId="0" applyNumberFormat="1" applyFont="1" applyBorder="1" applyAlignment="1">
      <alignment horizontal="right" vertical="top" wrapText="1"/>
    </xf>
    <xf numFmtId="166" fontId="0" fillId="0" borderId="30" xfId="0" applyNumberFormat="1" applyFont="1" applyBorder="1" applyAlignment="1">
      <alignment vertical="top" wrapText="1"/>
    </xf>
    <xf numFmtId="167" fontId="0" fillId="0" borderId="30" xfId="0" applyNumberFormat="1" applyFont="1" applyBorder="1" applyAlignment="1">
      <alignment horizontal="right" vertical="top" wrapText="1"/>
    </xf>
    <xf numFmtId="0" fontId="0" fillId="0" borderId="30" xfId="0" applyFont="1" applyBorder="1" applyAlignment="1">
      <alignment vertical="top" wrapText="1"/>
    </xf>
    <xf numFmtId="0" fontId="0" fillId="0" borderId="30" xfId="0" applyNumberFormat="1" applyFont="1" applyBorder="1" applyAlignment="1">
      <alignment horizontal="center" vertical="top" wrapText="1"/>
    </xf>
    <xf numFmtId="166" fontId="0" fillId="0" borderId="31" xfId="0" applyNumberFormat="1" applyFont="1" applyBorder="1" applyAlignment="1">
      <alignment vertical="top" wrapText="1"/>
    </xf>
    <xf numFmtId="166" fontId="0" fillId="0" borderId="33" xfId="0" applyNumberFormat="1" applyFont="1" applyBorder="1" applyAlignment="1">
      <alignment vertical="top" wrapText="1"/>
    </xf>
    <xf numFmtId="0" fontId="0" fillId="0" borderId="36" xfId="0" applyNumberFormat="1" applyFont="1" applyBorder="1" applyAlignment="1">
      <alignment horizontal="right" vertical="top" wrapText="1"/>
    </xf>
    <xf numFmtId="0" fontId="0" fillId="0" borderId="37" xfId="0" applyNumberFormat="1" applyFont="1" applyBorder="1" applyAlignment="1">
      <alignment horizontal="right" vertical="top" wrapText="1"/>
    </xf>
    <xf numFmtId="49" fontId="0" fillId="5" borderId="1" xfId="0" applyNumberFormat="1" applyFont="1" applyFill="1" applyBorder="1" applyAlignment="1">
      <alignment vertical="top" wrapText="1"/>
    </xf>
    <xf numFmtId="0" fontId="6" fillId="0" borderId="1" xfId="0" applyNumberFormat="1" applyFont="1" applyBorder="1" applyAlignment="1">
      <alignment horizontal="left" vertical="top" wrapText="1" readingOrder="1"/>
    </xf>
    <xf numFmtId="0" fontId="7" fillId="0" borderId="1" xfId="0" applyNumberFormat="1" applyFont="1" applyBorder="1" applyAlignment="1">
      <alignment vertical="top" wrapText="1" readingOrder="1"/>
    </xf>
    <xf numFmtId="0" fontId="6" fillId="0" borderId="1" xfId="0" applyNumberFormat="1" applyFont="1" applyBorder="1" applyAlignment="1">
      <alignment vertical="top" wrapText="1" readingOrder="1"/>
    </xf>
    <xf numFmtId="49" fontId="0" fillId="0" borderId="30" xfId="0" applyNumberFormat="1" applyFont="1" applyBorder="1" applyAlignment="1">
      <alignment horizontal="right" vertical="top" wrapText="1"/>
    </xf>
    <xf numFmtId="49" fontId="0" fillId="0" borderId="38" xfId="0" applyNumberFormat="1" applyFont="1" applyBorder="1" applyAlignment="1">
      <alignment horizontal="right" vertical="top" wrapText="1"/>
    </xf>
    <xf numFmtId="0" fontId="0" fillId="0" borderId="39" xfId="0" applyNumberFormat="1" applyFont="1" applyBorder="1" applyAlignment="1">
      <alignment horizontal="right" vertical="top" wrapText="1"/>
    </xf>
    <xf numFmtId="49" fontId="8" fillId="0" borderId="5" xfId="0" applyNumberFormat="1" applyFont="1" applyBorder="1" applyAlignment="1">
      <alignment vertical="top" wrapText="1"/>
    </xf>
    <xf numFmtId="0" fontId="0" fillId="0" borderId="40" xfId="0" applyNumberFormat="1" applyFont="1" applyBorder="1" applyAlignment="1">
      <alignment horizontal="right" vertical="top" wrapText="1"/>
    </xf>
    <xf numFmtId="166" fontId="0" fillId="0" borderId="1" xfId="0" applyNumberFormat="1" applyFont="1" applyBorder="1" applyAlignment="1">
      <alignment horizontal="center" vertical="top" wrapText="1"/>
    </xf>
    <xf numFmtId="0" fontId="0" fillId="0" borderId="19" xfId="0" applyFont="1" applyBorder="1" applyAlignment="1">
      <alignment vertical="top" wrapText="1"/>
    </xf>
    <xf numFmtId="49" fontId="0" fillId="0" borderId="1" xfId="0" applyNumberFormat="1" applyFont="1" applyBorder="1" applyAlignment="1">
      <alignment vertical="top"/>
    </xf>
    <xf numFmtId="0" fontId="0" fillId="0" borderId="1" xfId="0" applyFont="1" applyBorder="1" applyAlignment="1">
      <alignment vertical="top"/>
    </xf>
    <xf numFmtId="0" fontId="2" fillId="2" borderId="6" xfId="0" applyFont="1" applyFill="1" applyBorder="1" applyAlignment="1">
      <alignment vertical="top" wrapText="1"/>
    </xf>
    <xf numFmtId="49" fontId="2" fillId="3" borderId="11" xfId="0" applyNumberFormat="1" applyFont="1" applyFill="1" applyBorder="1" applyAlignment="1">
      <alignment vertical="top" wrapText="1"/>
    </xf>
    <xf numFmtId="0" fontId="0" fillId="0" borderId="13" xfId="0" applyNumberFormat="1" applyFont="1" applyBorder="1" applyAlignment="1">
      <alignment vertical="top" wrapText="1"/>
    </xf>
    <xf numFmtId="49" fontId="2" fillId="3" borderId="18" xfId="0" applyNumberFormat="1" applyFont="1" applyFill="1" applyBorder="1" applyAlignment="1">
      <alignment vertical="top" wrapText="1"/>
    </xf>
    <xf numFmtId="166" fontId="0" fillId="0" borderId="19" xfId="0" applyNumberFormat="1" applyFont="1" applyBorder="1" applyAlignment="1">
      <alignment vertical="top" wrapText="1"/>
    </xf>
    <xf numFmtId="0" fontId="2" fillId="3" borderId="18" xfId="0" applyFont="1" applyFill="1" applyBorder="1" applyAlignment="1">
      <alignment vertical="top" wrapText="1"/>
    </xf>
    <xf numFmtId="0" fontId="9" fillId="0" borderId="0" xfId="0" applyNumberFormat="1" applyFont="1" applyAlignment="1">
      <alignment vertical="top" wrapText="1"/>
    </xf>
    <xf numFmtId="0" fontId="10" fillId="2" borderId="6" xfId="0" applyFont="1" applyFill="1" applyBorder="1" applyAlignment="1">
      <alignment vertical="top" wrapText="1"/>
    </xf>
    <xf numFmtId="49" fontId="10" fillId="2" borderId="6" xfId="0" applyNumberFormat="1" applyFont="1" applyFill="1" applyBorder="1" applyAlignment="1">
      <alignment vertical="top" wrapText="1"/>
    </xf>
    <xf numFmtId="49" fontId="10" fillId="3" borderId="11" xfId="0" applyNumberFormat="1" applyFont="1" applyFill="1" applyBorder="1" applyAlignment="1">
      <alignment vertical="top" wrapText="1"/>
    </xf>
    <xf numFmtId="49" fontId="9" fillId="0" borderId="12" xfId="0" applyNumberFormat="1" applyFont="1" applyBorder="1" applyAlignment="1">
      <alignment vertical="top" wrapText="1"/>
    </xf>
    <xf numFmtId="49" fontId="9" fillId="0" borderId="13" xfId="0" applyNumberFormat="1" applyFont="1" applyBorder="1" applyAlignment="1">
      <alignment vertical="top" wrapText="1"/>
    </xf>
    <xf numFmtId="0" fontId="9" fillId="0" borderId="13" xfId="0" applyFont="1" applyBorder="1" applyAlignment="1">
      <alignment vertical="top" wrapText="1"/>
    </xf>
    <xf numFmtId="49" fontId="10" fillId="3" borderId="18" xfId="0" applyNumberFormat="1" applyFont="1" applyFill="1" applyBorder="1" applyAlignment="1">
      <alignment vertical="top" wrapText="1"/>
    </xf>
    <xf numFmtId="49" fontId="9" fillId="0" borderId="19" xfId="0" applyNumberFormat="1" applyFont="1" applyBorder="1" applyAlignment="1">
      <alignment vertical="top" wrapText="1"/>
    </xf>
    <xf numFmtId="49" fontId="9" fillId="0" borderId="1" xfId="0" applyNumberFormat="1" applyFont="1" applyBorder="1" applyAlignment="1">
      <alignment vertical="top" wrapText="1"/>
    </xf>
    <xf numFmtId="49" fontId="9" fillId="0" borderId="20" xfId="0" applyNumberFormat="1" applyFont="1" applyBorder="1" applyAlignment="1">
      <alignment vertical="top" wrapText="1"/>
    </xf>
    <xf numFmtId="49" fontId="9" fillId="0" borderId="3" xfId="0" applyNumberFormat="1" applyFont="1" applyBorder="1" applyAlignment="1">
      <alignment vertical="top" wrapText="1"/>
    </xf>
    <xf numFmtId="0" fontId="9" fillId="0" borderId="1" xfId="0" applyFont="1" applyBorder="1" applyAlignment="1">
      <alignment vertical="top" wrapText="1"/>
    </xf>
    <xf numFmtId="0" fontId="9" fillId="0" borderId="19" xfId="0" applyFont="1" applyBorder="1" applyAlignment="1">
      <alignment vertical="top" wrapText="1"/>
    </xf>
    <xf numFmtId="0" fontId="0" fillId="0" borderId="0" xfId="0" applyNumberFormat="1" applyFont="1" applyAlignment="1">
      <alignment vertical="top" wrapText="1"/>
    </xf>
    <xf numFmtId="166" fontId="0" fillId="0" borderId="12" xfId="0" applyNumberFormat="1" applyFont="1" applyBorder="1" applyAlignment="1">
      <alignment vertical="top" wrapText="1"/>
    </xf>
    <xf numFmtId="0" fontId="0" fillId="0" borderId="0" xfId="0" applyNumberFormat="1" applyFont="1" applyAlignment="1">
      <alignment vertical="top" wrapText="1"/>
    </xf>
    <xf numFmtId="0" fontId="0" fillId="0" borderId="0" xfId="0" applyNumberFormat="1" applyFont="1" applyAlignment="1">
      <alignment vertical="top" wrapText="1"/>
    </xf>
    <xf numFmtId="0" fontId="0" fillId="0" borderId="0" xfId="0" applyNumberFormat="1" applyFont="1" applyAlignment="1">
      <alignment vertical="top" wrapText="1"/>
    </xf>
    <xf numFmtId="0" fontId="0" fillId="0" borderId="0" xfId="0" applyNumberFormat="1" applyFont="1" applyAlignment="1">
      <alignment vertical="top" wrapText="1"/>
    </xf>
    <xf numFmtId="0" fontId="0" fillId="0" borderId="0" xfId="0" applyNumberFormat="1" applyFont="1" applyAlignment="1">
      <alignment vertical="top" wrapText="1"/>
    </xf>
    <xf numFmtId="49" fontId="0" fillId="6" borderId="41" xfId="0" applyNumberFormat="1" applyFont="1" applyFill="1" applyBorder="1" applyAlignment="1">
      <alignment vertical="top" wrapText="1"/>
    </xf>
    <xf numFmtId="49" fontId="0" fillId="6" borderId="42" xfId="0" applyNumberFormat="1" applyFont="1" applyFill="1" applyBorder="1" applyAlignment="1">
      <alignment vertical="top" wrapText="1"/>
    </xf>
    <xf numFmtId="49" fontId="0" fillId="6" borderId="43" xfId="0" applyNumberFormat="1" applyFont="1" applyFill="1" applyBorder="1" applyAlignment="1">
      <alignment vertical="top" wrapText="1"/>
    </xf>
    <xf numFmtId="49" fontId="2" fillId="2" borderId="44" xfId="0" applyNumberFormat="1" applyFont="1" applyFill="1" applyBorder="1" applyAlignment="1">
      <alignment vertical="top" wrapText="1"/>
    </xf>
    <xf numFmtId="49" fontId="2" fillId="2" borderId="45" xfId="0" applyNumberFormat="1" applyFont="1" applyFill="1" applyBorder="1" applyAlignment="1">
      <alignment vertical="top" wrapText="1"/>
    </xf>
    <xf numFmtId="0" fontId="2" fillId="2" borderId="45" xfId="0" applyFont="1" applyFill="1" applyBorder="1" applyAlignment="1">
      <alignment vertical="top" wrapText="1"/>
    </xf>
    <xf numFmtId="49" fontId="14" fillId="6" borderId="46" xfId="0" applyNumberFormat="1" applyFont="1" applyFill="1" applyBorder="1" applyAlignment="1">
      <alignment horizontal="center"/>
    </xf>
    <xf numFmtId="49" fontId="0" fillId="6" borderId="47" xfId="0" applyNumberFormat="1" applyFont="1" applyFill="1" applyBorder="1" applyAlignment="1">
      <alignment vertical="top" wrapText="1"/>
    </xf>
    <xf numFmtId="49" fontId="14" fillId="6" borderId="47" xfId="0" applyNumberFormat="1" applyFont="1" applyFill="1" applyBorder="1" applyAlignment="1">
      <alignment horizontal="center"/>
    </xf>
    <xf numFmtId="49" fontId="0" fillId="6" borderId="48" xfId="0" applyNumberFormat="1" applyFont="1" applyFill="1" applyBorder="1" applyAlignment="1">
      <alignment vertical="top" wrapText="1"/>
    </xf>
    <xf numFmtId="0" fontId="0" fillId="0" borderId="44" xfId="0" applyFont="1" applyBorder="1" applyAlignment="1">
      <alignment vertical="top" wrapText="1"/>
    </xf>
    <xf numFmtId="0" fontId="0" fillId="0" borderId="45" xfId="0" applyFont="1" applyBorder="1" applyAlignment="1">
      <alignment vertical="top" wrapText="1"/>
    </xf>
    <xf numFmtId="49" fontId="15" fillId="6" borderId="46" xfId="0" applyNumberFormat="1" applyFont="1" applyFill="1" applyBorder="1" applyAlignment="1">
      <alignment horizontal="center"/>
    </xf>
    <xf numFmtId="49" fontId="15" fillId="6" borderId="47" xfId="0" applyNumberFormat="1" applyFont="1" applyFill="1" applyBorder="1" applyAlignment="1">
      <alignment horizontal="center"/>
    </xf>
    <xf numFmtId="49" fontId="15" fillId="6" borderId="48" xfId="0" applyNumberFormat="1" applyFont="1" applyFill="1" applyBorder="1" applyAlignment="1">
      <alignment horizontal="center"/>
    </xf>
    <xf numFmtId="49" fontId="16" fillId="6" borderId="46" xfId="0" applyNumberFormat="1" applyFont="1" applyFill="1" applyBorder="1" applyAlignment="1">
      <alignment horizontal="center" vertical="center" wrapText="1"/>
    </xf>
    <xf numFmtId="49" fontId="16" fillId="6" borderId="47" xfId="0" applyNumberFormat="1" applyFont="1" applyFill="1" applyBorder="1" applyAlignment="1">
      <alignment horizontal="center" vertical="center" wrapText="1"/>
    </xf>
    <xf numFmtId="49" fontId="16" fillId="6" borderId="48" xfId="0" applyNumberFormat="1" applyFont="1" applyFill="1" applyBorder="1" applyAlignment="1">
      <alignment horizontal="center" vertical="center" wrapText="1"/>
    </xf>
    <xf numFmtId="49" fontId="15" fillId="6" borderId="49" xfId="0" applyNumberFormat="1" applyFont="1" applyFill="1" applyBorder="1" applyAlignment="1">
      <alignment horizontal="center"/>
    </xf>
    <xf numFmtId="49" fontId="15" fillId="6" borderId="50" xfId="0" applyNumberFormat="1" applyFont="1" applyFill="1" applyBorder="1" applyAlignment="1">
      <alignment horizontal="center"/>
    </xf>
    <xf numFmtId="49" fontId="15" fillId="6" borderId="51" xfId="0" applyNumberFormat="1" applyFont="1" applyFill="1" applyBorder="1" applyAlignment="1">
      <alignment horizontal="center"/>
    </xf>
    <xf numFmtId="49" fontId="15" fillId="6" borderId="52" xfId="0" applyNumberFormat="1" applyFont="1" applyFill="1" applyBorder="1" applyAlignment="1">
      <alignment horizontal="center"/>
    </xf>
    <xf numFmtId="49" fontId="15" fillId="6" borderId="53" xfId="0" applyNumberFormat="1" applyFont="1" applyFill="1" applyBorder="1" applyAlignment="1">
      <alignment horizontal="center"/>
    </xf>
    <xf numFmtId="49" fontId="17" fillId="6" borderId="54" xfId="0" applyNumberFormat="1" applyFont="1" applyFill="1" applyBorder="1" applyAlignment="1">
      <alignment vertical="top" wrapText="1"/>
    </xf>
    <xf numFmtId="49" fontId="0" fillId="6" borderId="55" xfId="0" applyNumberFormat="1" applyFont="1" applyFill="1" applyBorder="1" applyAlignment="1">
      <alignment vertical="top" wrapText="1"/>
    </xf>
    <xf numFmtId="49" fontId="0" fillId="6" borderId="56" xfId="0" applyNumberFormat="1" applyFont="1" applyFill="1" applyBorder="1" applyAlignment="1">
      <alignment vertical="top" wrapText="1"/>
    </xf>
    <xf numFmtId="49" fontId="17" fillId="6" borderId="57" xfId="0" applyNumberFormat="1" applyFont="1" applyFill="1" applyBorder="1" applyAlignment="1">
      <alignment vertical="top" wrapText="1"/>
    </xf>
    <xf numFmtId="49" fontId="0" fillId="6" borderId="58" xfId="0" applyNumberFormat="1" applyFont="1" applyFill="1" applyBorder="1" applyAlignment="1">
      <alignment vertical="top" wrapText="1"/>
    </xf>
    <xf numFmtId="49" fontId="0" fillId="6" borderId="59" xfId="0" applyNumberFormat="1" applyFont="1" applyFill="1" applyBorder="1" applyAlignment="1">
      <alignment vertical="top" wrapText="1"/>
    </xf>
    <xf numFmtId="49" fontId="0" fillId="6" borderId="60" xfId="0" applyNumberFormat="1" applyFont="1" applyFill="1" applyBorder="1" applyAlignment="1">
      <alignment vertical="top" wrapText="1"/>
    </xf>
    <xf numFmtId="49" fontId="0" fillId="6" borderId="61" xfId="0" applyNumberFormat="1" applyFont="1" applyFill="1" applyBorder="1" applyAlignment="1">
      <alignment vertical="top" wrapText="1"/>
    </xf>
    <xf numFmtId="49" fontId="0" fillId="6" borderId="46" xfId="0" applyNumberFormat="1" applyFont="1" applyFill="1" applyBorder="1" applyAlignment="1">
      <alignment vertical="top" wrapText="1"/>
    </xf>
    <xf numFmtId="49" fontId="0" fillId="6" borderId="62" xfId="0" applyNumberFormat="1" applyFont="1" applyFill="1" applyBorder="1" applyAlignment="1">
      <alignment vertical="top" wrapText="1"/>
    </xf>
    <xf numFmtId="49" fontId="0" fillId="6" borderId="63" xfId="0" applyNumberFormat="1" applyFont="1" applyFill="1" applyBorder="1" applyAlignment="1">
      <alignment vertical="top" wrapText="1"/>
    </xf>
    <xf numFmtId="49" fontId="0" fillId="6" borderId="64" xfId="0" applyNumberFormat="1" applyFont="1" applyFill="1" applyBorder="1" applyAlignment="1">
      <alignment vertical="top" wrapText="1"/>
    </xf>
    <xf numFmtId="0" fontId="0" fillId="0" borderId="0" xfId="0" applyNumberFormat="1" applyFont="1" applyAlignment="1">
      <alignment vertical="top" wrapText="1"/>
    </xf>
    <xf numFmtId="49" fontId="0" fillId="0" borderId="12" xfId="0" applyNumberFormat="1" applyFont="1" applyBorder="1" applyAlignment="1">
      <alignment vertical="top" wrapText="1"/>
    </xf>
    <xf numFmtId="49" fontId="0" fillId="0" borderId="13" xfId="0" applyNumberFormat="1" applyFont="1" applyBorder="1" applyAlignment="1">
      <alignment horizontal="right" vertical="top" wrapText="1"/>
    </xf>
    <xf numFmtId="49" fontId="2" fillId="7" borderId="18" xfId="0" applyNumberFormat="1" applyFont="1" applyFill="1" applyBorder="1" applyAlignment="1">
      <alignment vertical="top" wrapText="1"/>
    </xf>
    <xf numFmtId="49" fontId="0" fillId="0" borderId="19" xfId="0" applyNumberFormat="1" applyFont="1" applyBorder="1" applyAlignment="1">
      <alignment vertical="top" wrapText="1"/>
    </xf>
    <xf numFmtId="0" fontId="2" fillId="3" borderId="21" xfId="0" applyFont="1" applyFill="1" applyBorder="1" applyAlignment="1">
      <alignment vertical="top" wrapText="1"/>
    </xf>
    <xf numFmtId="0" fontId="0" fillId="0" borderId="22" xfId="0" applyFont="1" applyBorder="1" applyAlignment="1">
      <alignment vertical="top" wrapText="1"/>
    </xf>
    <xf numFmtId="0" fontId="2" fillId="3" borderId="28" xfId="0" applyFont="1" applyFill="1" applyBorder="1" applyAlignment="1">
      <alignment vertical="top" wrapText="1"/>
    </xf>
    <xf numFmtId="0" fontId="0" fillId="0" borderId="29" xfId="0" applyFont="1" applyBorder="1" applyAlignment="1">
      <alignment vertical="top" wrapText="1"/>
    </xf>
    <xf numFmtId="0" fontId="0" fillId="8" borderId="30" xfId="0" applyNumberFormat="1" applyFont="1" applyFill="1" applyBorder="1" applyAlignment="1">
      <alignment vertical="top" wrapText="1"/>
    </xf>
    <xf numFmtId="0" fontId="15" fillId="0" borderId="0" xfId="0" applyNumberFormat="1" applyFont="1" applyAlignment="1"/>
    <xf numFmtId="0" fontId="15" fillId="2" borderId="6" xfId="0" applyFont="1" applyFill="1" applyBorder="1" applyAlignment="1"/>
    <xf numFmtId="49" fontId="15" fillId="2" borderId="6" xfId="0" applyNumberFormat="1" applyFont="1" applyFill="1" applyBorder="1" applyAlignment="1"/>
    <xf numFmtId="49" fontId="15" fillId="2" borderId="6" xfId="0" applyNumberFormat="1" applyFont="1" applyFill="1" applyBorder="1" applyAlignment="1">
      <alignment wrapText="1"/>
    </xf>
    <xf numFmtId="0" fontId="15" fillId="2" borderId="6" xfId="0" applyNumberFormat="1" applyFont="1" applyFill="1" applyBorder="1" applyAlignment="1"/>
    <xf numFmtId="49" fontId="15" fillId="3" borderId="11" xfId="0" applyNumberFormat="1" applyFont="1" applyFill="1" applyBorder="1" applyAlignment="1"/>
    <xf numFmtId="0" fontId="15" fillId="0" borderId="12" xfId="0" applyNumberFormat="1" applyFont="1" applyBorder="1" applyAlignment="1">
      <alignment horizontal="center"/>
    </xf>
    <xf numFmtId="0" fontId="15" fillId="0" borderId="13" xfId="0" applyNumberFormat="1" applyFont="1" applyBorder="1" applyAlignment="1">
      <alignment horizontal="center"/>
    </xf>
    <xf numFmtId="166" fontId="15" fillId="0" borderId="13" xfId="0" applyNumberFormat="1" applyFont="1" applyBorder="1" applyAlignment="1">
      <alignment horizontal="right"/>
    </xf>
    <xf numFmtId="0" fontId="15" fillId="0" borderId="13" xfId="0" applyNumberFormat="1" applyFont="1" applyBorder="1" applyAlignment="1">
      <alignment horizontal="right"/>
    </xf>
    <xf numFmtId="168" fontId="15" fillId="0" borderId="13" xfId="0" applyNumberFormat="1" applyFont="1" applyBorder="1" applyAlignment="1">
      <alignment horizontal="right"/>
    </xf>
    <xf numFmtId="0" fontId="15" fillId="0" borderId="13" xfId="0" applyFont="1" applyBorder="1" applyAlignment="1">
      <alignment wrapText="1"/>
    </xf>
    <xf numFmtId="0" fontId="15" fillId="0" borderId="13" xfId="0" applyFont="1" applyBorder="1" applyAlignment="1"/>
    <xf numFmtId="0" fontId="15" fillId="0" borderId="13" xfId="0" applyNumberFormat="1" applyFont="1" applyBorder="1" applyAlignment="1"/>
    <xf numFmtId="169" fontId="15" fillId="0" borderId="13" xfId="0" applyNumberFormat="1" applyFont="1" applyBorder="1" applyAlignment="1"/>
    <xf numFmtId="49" fontId="15" fillId="0" borderId="13" xfId="0" applyNumberFormat="1" applyFont="1" applyBorder="1" applyAlignment="1"/>
    <xf numFmtId="49" fontId="15" fillId="3" borderId="18" xfId="0" applyNumberFormat="1" applyFont="1" applyFill="1" applyBorder="1" applyAlignment="1"/>
    <xf numFmtId="0" fontId="15" fillId="0" borderId="19" xfId="0" applyNumberFormat="1" applyFont="1" applyBorder="1" applyAlignment="1">
      <alignment horizontal="center"/>
    </xf>
    <xf numFmtId="0" fontId="15" fillId="0" borderId="1" xfId="0" applyNumberFormat="1" applyFont="1" applyBorder="1" applyAlignment="1">
      <alignment horizontal="center"/>
    </xf>
    <xf numFmtId="0" fontId="15" fillId="0" borderId="1" xfId="0" applyFont="1" applyBorder="1" applyAlignment="1">
      <alignment horizontal="center"/>
    </xf>
    <xf numFmtId="166" fontId="15" fillId="0" borderId="1" xfId="0" applyNumberFormat="1" applyFont="1" applyBorder="1" applyAlignment="1">
      <alignment horizontal="right"/>
    </xf>
    <xf numFmtId="0" fontId="15" fillId="0" borderId="1" xfId="0" applyNumberFormat="1" applyFont="1" applyBorder="1" applyAlignment="1">
      <alignment horizontal="right"/>
    </xf>
    <xf numFmtId="168" fontId="15" fillId="0" borderId="1" xfId="0" applyNumberFormat="1" applyFont="1" applyBorder="1" applyAlignment="1">
      <alignment horizontal="right"/>
    </xf>
    <xf numFmtId="0" fontId="15" fillId="0" borderId="1" xfId="0" applyFont="1" applyBorder="1" applyAlignment="1">
      <alignment wrapText="1"/>
    </xf>
    <xf numFmtId="0" fontId="15" fillId="0" borderId="1" xfId="0" applyFont="1" applyBorder="1" applyAlignment="1"/>
    <xf numFmtId="0" fontId="15" fillId="0" borderId="1" xfId="0" applyNumberFormat="1" applyFont="1" applyBorder="1" applyAlignment="1"/>
    <xf numFmtId="169" fontId="15" fillId="0" borderId="1" xfId="0" applyNumberFormat="1" applyFont="1" applyBorder="1" applyAlignment="1"/>
    <xf numFmtId="49" fontId="15" fillId="0" borderId="1" xfId="0" applyNumberFormat="1" applyFont="1" applyBorder="1" applyAlignment="1"/>
    <xf numFmtId="49" fontId="15" fillId="0" borderId="1" xfId="0" applyNumberFormat="1" applyFont="1" applyBorder="1" applyAlignment="1">
      <alignment wrapText="1"/>
    </xf>
    <xf numFmtId="49" fontId="14" fillId="0" borderId="1" xfId="0" applyNumberFormat="1" applyFont="1" applyBorder="1" applyAlignment="1">
      <alignment wrapText="1"/>
    </xf>
    <xf numFmtId="0" fontId="15" fillId="3" borderId="18" xfId="0" applyFont="1" applyFill="1" applyBorder="1" applyAlignment="1"/>
    <xf numFmtId="0" fontId="15" fillId="0" borderId="19" xfId="0" applyFont="1" applyBorder="1" applyAlignment="1">
      <alignment horizontal="center"/>
    </xf>
    <xf numFmtId="49" fontId="15" fillId="3" borderId="21" xfId="0" applyNumberFormat="1" applyFont="1" applyFill="1" applyBorder="1" applyAlignment="1"/>
    <xf numFmtId="0" fontId="15" fillId="0" borderId="22" xfId="0" applyNumberFormat="1" applyFont="1" applyBorder="1" applyAlignment="1">
      <alignment horizontal="center"/>
    </xf>
    <xf numFmtId="0" fontId="15" fillId="0" borderId="23" xfId="0" applyNumberFormat="1" applyFont="1" applyBorder="1" applyAlignment="1">
      <alignment horizontal="center"/>
    </xf>
    <xf numFmtId="166" fontId="15" fillId="0" borderId="23" xfId="0" applyNumberFormat="1" applyFont="1" applyBorder="1" applyAlignment="1">
      <alignment horizontal="right"/>
    </xf>
    <xf numFmtId="0" fontId="15" fillId="0" borderId="23" xfId="0" applyNumberFormat="1" applyFont="1" applyBorder="1" applyAlignment="1">
      <alignment horizontal="right"/>
    </xf>
    <xf numFmtId="168" fontId="15" fillId="0" borderId="23" xfId="0" applyNumberFormat="1" applyFont="1" applyBorder="1" applyAlignment="1">
      <alignment horizontal="right"/>
    </xf>
    <xf numFmtId="0" fontId="15" fillId="0" borderId="23" xfId="0" applyFont="1" applyBorder="1" applyAlignment="1">
      <alignment wrapText="1"/>
    </xf>
    <xf numFmtId="0" fontId="15" fillId="0" borderId="23" xfId="0" applyFont="1" applyBorder="1" applyAlignment="1"/>
    <xf numFmtId="0" fontId="15" fillId="0" borderId="23" xfId="0" applyNumberFormat="1" applyFont="1" applyBorder="1" applyAlignment="1"/>
    <xf numFmtId="169" fontId="15" fillId="0" borderId="23" xfId="0" applyNumberFormat="1" applyFont="1" applyBorder="1" applyAlignment="1"/>
    <xf numFmtId="49" fontId="15" fillId="0" borderId="23" xfId="0" applyNumberFormat="1" applyFont="1" applyBorder="1" applyAlignment="1"/>
    <xf numFmtId="49" fontId="15" fillId="3" borderId="28" xfId="0" applyNumberFormat="1" applyFont="1" applyFill="1" applyBorder="1" applyAlignment="1">
      <alignment horizontal="right"/>
    </xf>
    <xf numFmtId="0" fontId="15" fillId="0" borderId="29" xfId="0" applyNumberFormat="1" applyFont="1" applyBorder="1" applyAlignment="1">
      <alignment horizontal="center"/>
    </xf>
    <xf numFmtId="0" fontId="15" fillId="0" borderId="30" xfId="0" applyNumberFormat="1" applyFont="1" applyBorder="1" applyAlignment="1">
      <alignment horizontal="center"/>
    </xf>
    <xf numFmtId="0" fontId="15" fillId="0" borderId="30" xfId="0" applyFont="1" applyBorder="1" applyAlignment="1">
      <alignment horizontal="left"/>
    </xf>
    <xf numFmtId="166" fontId="15" fillId="0" borderId="30" xfId="0" applyNumberFormat="1" applyFont="1" applyBorder="1" applyAlignment="1">
      <alignment horizontal="left"/>
    </xf>
    <xf numFmtId="49" fontId="15" fillId="0" borderId="30" xfId="0" applyNumberFormat="1" applyFont="1" applyBorder="1" applyAlignment="1">
      <alignment wrapText="1"/>
    </xf>
    <xf numFmtId="0" fontId="15" fillId="0" borderId="30" xfId="0" applyFont="1" applyBorder="1" applyAlignment="1"/>
    <xf numFmtId="169" fontId="15" fillId="0" borderId="30" xfId="0" applyNumberFormat="1" applyFont="1" applyBorder="1" applyAlignment="1"/>
    <xf numFmtId="0" fontId="0" fillId="0" borderId="0" xfId="0" applyNumberFormat="1" applyFont="1" applyAlignment="1">
      <alignment vertical="top" wrapText="1"/>
    </xf>
    <xf numFmtId="0" fontId="20" fillId="3" borderId="11" xfId="0" applyNumberFormat="1" applyFont="1" applyFill="1" applyBorder="1" applyAlignment="1">
      <alignment horizontal="center" vertical="center" wrapText="1" readingOrder="1"/>
    </xf>
    <xf numFmtId="49" fontId="20" fillId="0" borderId="12" xfId="0" applyNumberFormat="1" applyFont="1" applyBorder="1" applyAlignment="1">
      <alignment horizontal="left" vertical="center" wrapText="1" readingOrder="1"/>
    </xf>
    <xf numFmtId="0" fontId="0" fillId="0" borderId="13" xfId="0" applyFont="1" applyBorder="1" applyAlignment="1">
      <alignment horizontal="left" vertical="center" wrapText="1"/>
    </xf>
    <xf numFmtId="49" fontId="0" fillId="0" borderId="13" xfId="0" applyNumberFormat="1" applyFont="1" applyBorder="1" applyAlignment="1">
      <alignment horizontal="left" vertical="center" wrapText="1"/>
    </xf>
    <xf numFmtId="49" fontId="20" fillId="0" borderId="13" xfId="0" applyNumberFormat="1" applyFont="1" applyBorder="1" applyAlignment="1">
      <alignment horizontal="left" vertical="center" wrapText="1" readingOrder="1"/>
    </xf>
    <xf numFmtId="0" fontId="20" fillId="3" borderId="18" xfId="0" applyNumberFormat="1" applyFont="1" applyFill="1" applyBorder="1" applyAlignment="1">
      <alignment horizontal="center" vertical="center" wrapText="1" readingOrder="1"/>
    </xf>
    <xf numFmtId="49" fontId="20" fillId="0" borderId="19" xfId="0" applyNumberFormat="1" applyFont="1" applyBorder="1" applyAlignment="1">
      <alignment horizontal="left" vertical="center" wrapText="1" readingOrder="1"/>
    </xf>
    <xf numFmtId="49" fontId="0" fillId="0" borderId="1" xfId="0" applyNumberFormat="1" applyFont="1" applyBorder="1" applyAlignment="1">
      <alignment horizontal="left" vertical="center" wrapText="1"/>
    </xf>
    <xf numFmtId="49" fontId="0" fillId="9" borderId="1" xfId="0" applyNumberFormat="1" applyFont="1" applyFill="1" applyBorder="1" applyAlignment="1">
      <alignment horizontal="left" vertical="center" wrapText="1"/>
    </xf>
    <xf numFmtId="0" fontId="0" fillId="0" borderId="1" xfId="0" applyFont="1" applyBorder="1" applyAlignment="1">
      <alignment horizontal="left" vertical="center" wrapText="1"/>
    </xf>
    <xf numFmtId="0" fontId="0" fillId="3" borderId="18" xfId="0" applyNumberFormat="1" applyFont="1" applyFill="1" applyBorder="1" applyAlignment="1">
      <alignment horizontal="center" vertical="center" wrapText="1" readingOrder="1"/>
    </xf>
    <xf numFmtId="49" fontId="0" fillId="0" borderId="19" xfId="0" applyNumberFormat="1" applyFont="1" applyBorder="1" applyAlignment="1">
      <alignment horizontal="left" vertical="center" wrapText="1" readingOrder="1"/>
    </xf>
    <xf numFmtId="49" fontId="0" fillId="0" borderId="1" xfId="0" applyNumberFormat="1" applyFont="1" applyBorder="1" applyAlignment="1">
      <alignment horizontal="left" vertical="center" wrapText="1" readingOrder="1"/>
    </xf>
    <xf numFmtId="49" fontId="20" fillId="0" borderId="1" xfId="0" applyNumberFormat="1" applyFont="1" applyBorder="1" applyAlignment="1">
      <alignment horizontal="left" vertical="center" wrapText="1" readingOrder="1"/>
    </xf>
    <xf numFmtId="49" fontId="21" fillId="0" borderId="1" xfId="0" applyNumberFormat="1" applyFont="1" applyBorder="1" applyAlignment="1">
      <alignment vertical="center" wrapText="1" readingOrder="1"/>
    </xf>
    <xf numFmtId="49" fontId="0" fillId="10" borderId="1" xfId="0" applyNumberFormat="1" applyFont="1" applyFill="1" applyBorder="1" applyAlignment="1">
      <alignment horizontal="left" vertical="center" wrapText="1"/>
    </xf>
    <xf numFmtId="0" fontId="0" fillId="0" borderId="0" xfId="0" applyNumberFormat="1" applyFont="1" applyAlignment="1">
      <alignment vertical="top"/>
    </xf>
    <xf numFmtId="0" fontId="2" fillId="2" borderId="6" xfId="0" applyFont="1" applyFill="1" applyBorder="1" applyAlignment="1">
      <alignment vertical="top"/>
    </xf>
    <xf numFmtId="0" fontId="2" fillId="3" borderId="11" xfId="0" applyFont="1" applyFill="1" applyBorder="1" applyAlignment="1">
      <alignment vertical="top"/>
    </xf>
    <xf numFmtId="0" fontId="0" fillId="0" borderId="12" xfId="0" applyFont="1" applyBorder="1" applyAlignment="1">
      <alignment vertical="top"/>
    </xf>
    <xf numFmtId="0" fontId="0" fillId="0" borderId="13" xfId="0" applyFont="1" applyBorder="1" applyAlignment="1">
      <alignment vertical="top"/>
    </xf>
    <xf numFmtId="49" fontId="2" fillId="3" borderId="18" xfId="0" applyNumberFormat="1" applyFont="1" applyFill="1" applyBorder="1" applyAlignment="1">
      <alignment vertical="top"/>
    </xf>
    <xf numFmtId="0" fontId="0" fillId="0" borderId="19" xfId="0" applyFont="1" applyBorder="1" applyAlignment="1">
      <alignment vertical="top"/>
    </xf>
    <xf numFmtId="0" fontId="2" fillId="3" borderId="18" xfId="0" applyFont="1" applyFill="1" applyBorder="1" applyAlignment="1">
      <alignment vertical="top"/>
    </xf>
    <xf numFmtId="49" fontId="0" fillId="0" borderId="19" xfId="0" applyNumberFormat="1" applyFont="1" applyBorder="1" applyAlignment="1">
      <alignment vertical="top"/>
    </xf>
    <xf numFmtId="0" fontId="0" fillId="0" borderId="1" xfId="0" applyNumberFormat="1" applyFont="1" applyBorder="1" applyAlignment="1">
      <alignment vertical="top"/>
    </xf>
    <xf numFmtId="0" fontId="0" fillId="0" borderId="1" xfId="0" applyFont="1" applyBorder="1" applyAlignment="1">
      <alignment vertical="top" wrapText="1"/>
    </xf>
    <xf numFmtId="14" fontId="0" fillId="0" borderId="19" xfId="0" applyNumberFormat="1" applyFont="1" applyBorder="1" applyAlignment="1">
      <alignment vertical="top" wrapText="1"/>
    </xf>
    <xf numFmtId="14" fontId="0" fillId="0" borderId="0" xfId="0" applyNumberFormat="1" applyFont="1" applyAlignment="1">
      <alignment vertical="top" wrapText="1"/>
    </xf>
    <xf numFmtId="49" fontId="24" fillId="3" borderId="18" xfId="0" applyNumberFormat="1" applyFont="1" applyFill="1" applyBorder="1" applyAlignment="1">
      <alignment vertical="top" wrapText="1"/>
    </xf>
    <xf numFmtId="49" fontId="23" fillId="0" borderId="1" xfId="0" applyNumberFormat="1" applyFont="1" applyBorder="1" applyAlignment="1">
      <alignment vertical="top" wrapText="1"/>
    </xf>
    <xf numFmtId="0" fontId="23" fillId="0" borderId="3" xfId="0" applyFont="1" applyBorder="1" applyAlignment="1">
      <alignment vertical="top" wrapText="1"/>
    </xf>
    <xf numFmtId="0" fontId="23" fillId="0" borderId="2" xfId="0" applyFont="1" applyBorder="1" applyAlignment="1">
      <alignment horizontal="center" vertical="top" wrapText="1"/>
    </xf>
    <xf numFmtId="49" fontId="23" fillId="0" borderId="4" xfId="0" applyNumberFormat="1" applyFont="1" applyBorder="1" applyAlignment="1">
      <alignment vertical="top" wrapText="1"/>
    </xf>
    <xf numFmtId="49" fontId="23" fillId="0" borderId="5" xfId="0" applyNumberFormat="1" applyFont="1" applyBorder="1" applyAlignment="1">
      <alignment vertical="top" wrapText="1"/>
    </xf>
    <xf numFmtId="0" fontId="23" fillId="0" borderId="5" xfId="0" applyFont="1" applyBorder="1" applyAlignment="1">
      <alignment vertical="top" wrapText="1"/>
    </xf>
    <xf numFmtId="0" fontId="23" fillId="0" borderId="1" xfId="0" applyFont="1" applyBorder="1" applyAlignment="1">
      <alignment vertical="top" wrapText="1"/>
    </xf>
    <xf numFmtId="49" fontId="23" fillId="0" borderId="1" xfId="0" applyNumberFormat="1" applyFont="1" applyBorder="1" applyAlignment="1">
      <alignment horizontal="center" vertical="top" wrapText="1"/>
    </xf>
    <xf numFmtId="49" fontId="23" fillId="0" borderId="3" xfId="0" applyNumberFormat="1" applyFont="1" applyBorder="1" applyAlignment="1">
      <alignment vertical="top" wrapText="1"/>
    </xf>
    <xf numFmtId="49" fontId="23" fillId="0" borderId="2" xfId="0" applyNumberFormat="1" applyFont="1" applyBorder="1" applyAlignment="1">
      <alignment horizontal="center" vertical="top" wrapText="1"/>
    </xf>
    <xf numFmtId="0" fontId="25" fillId="0" borderId="0" xfId="0" applyFont="1" applyAlignment="1">
      <alignment vertical="top" wrapText="1"/>
    </xf>
    <xf numFmtId="0" fontId="26" fillId="0" borderId="19" xfId="0" applyFont="1" applyBorder="1" applyAlignment="1">
      <alignment vertical="top" wrapText="1"/>
    </xf>
    <xf numFmtId="0" fontId="26" fillId="0" borderId="1" xfId="0" applyFont="1" applyBorder="1" applyAlignment="1">
      <alignment vertical="top" wrapText="1"/>
    </xf>
    <xf numFmtId="0" fontId="27" fillId="0" borderId="0" xfId="0" applyFont="1" applyAlignment="1">
      <alignment vertical="top" wrapText="1"/>
    </xf>
    <xf numFmtId="0" fontId="0" fillId="0" borderId="1" xfId="0" applyFont="1" applyBorder="1" applyAlignment="1">
      <alignment vertical="top" wrapText="1"/>
    </xf>
    <xf numFmtId="14" fontId="0" fillId="0" borderId="66" xfId="0" applyNumberFormat="1" applyFont="1" applyBorder="1" applyAlignment="1">
      <alignment vertical="top" wrapText="1"/>
    </xf>
    <xf numFmtId="49" fontId="23" fillId="0" borderId="67" xfId="0" applyNumberFormat="1" applyFont="1" applyBorder="1" applyAlignment="1">
      <alignment vertical="top" wrapText="1"/>
    </xf>
    <xf numFmtId="0" fontId="0" fillId="0" borderId="69" xfId="0" applyFont="1" applyBorder="1" applyAlignment="1">
      <alignment vertical="top" wrapText="1"/>
    </xf>
    <xf numFmtId="0" fontId="0" fillId="0" borderId="68" xfId="0" applyFont="1" applyBorder="1" applyAlignment="1">
      <alignment horizontal="center" vertical="top" wrapText="1"/>
    </xf>
    <xf numFmtId="49" fontId="0" fillId="0" borderId="70" xfId="0" applyNumberFormat="1" applyFont="1" applyBorder="1" applyAlignment="1">
      <alignment vertical="top" wrapText="1"/>
    </xf>
    <xf numFmtId="49" fontId="0" fillId="0" borderId="71" xfId="0" applyNumberFormat="1" applyFont="1" applyBorder="1" applyAlignment="1">
      <alignment vertical="top" wrapText="1"/>
    </xf>
    <xf numFmtId="0" fontId="0" fillId="0" borderId="67" xfId="0" applyFont="1" applyBorder="1" applyAlignment="1">
      <alignment horizontal="right" vertical="top" wrapText="1"/>
    </xf>
    <xf numFmtId="165" fontId="0" fillId="0" borderId="68" xfId="0" applyNumberFormat="1" applyFont="1" applyBorder="1" applyAlignment="1">
      <alignment vertical="top" wrapText="1"/>
    </xf>
    <xf numFmtId="0" fontId="23" fillId="0" borderId="71" xfId="0" applyFont="1" applyBorder="1" applyAlignment="1">
      <alignment vertical="top" wrapText="1"/>
    </xf>
    <xf numFmtId="0" fontId="23" fillId="0" borderId="67" xfId="0" applyFont="1" applyBorder="1" applyAlignment="1">
      <alignment vertical="top" wrapText="1"/>
    </xf>
    <xf numFmtId="49" fontId="23" fillId="0" borderId="71" xfId="0" applyNumberFormat="1" applyFont="1" applyBorder="1" applyAlignment="1">
      <alignment vertical="top" wrapText="1"/>
    </xf>
    <xf numFmtId="166" fontId="0" fillId="0" borderId="67" xfId="0" applyNumberFormat="1" applyFont="1" applyBorder="1" applyAlignment="1">
      <alignment vertical="top" wrapText="1"/>
    </xf>
    <xf numFmtId="49" fontId="0" fillId="0" borderId="67" xfId="0" applyNumberFormat="1" applyFont="1" applyBorder="1" applyAlignment="1">
      <alignment vertical="top" wrapText="1"/>
    </xf>
    <xf numFmtId="167" fontId="0" fillId="0" borderId="67" xfId="0" applyNumberFormat="1" applyFont="1" applyBorder="1" applyAlignment="1">
      <alignment horizontal="right" vertical="top" wrapText="1"/>
    </xf>
    <xf numFmtId="0" fontId="0" fillId="0" borderId="67" xfId="0" applyNumberFormat="1" applyFont="1" applyBorder="1" applyAlignment="1">
      <alignment vertical="top" wrapText="1"/>
    </xf>
    <xf numFmtId="49" fontId="0" fillId="0" borderId="67" xfId="0" applyNumberFormat="1" applyFont="1" applyBorder="1" applyAlignment="1">
      <alignment horizontal="center" vertical="top" wrapText="1"/>
    </xf>
    <xf numFmtId="166" fontId="0" fillId="0" borderId="68" xfId="0" applyNumberFormat="1" applyFont="1" applyBorder="1" applyAlignment="1">
      <alignment vertical="top" wrapText="1"/>
    </xf>
    <xf numFmtId="166" fontId="0" fillId="0" borderId="70" xfId="0" applyNumberFormat="1" applyFont="1" applyBorder="1" applyAlignment="1">
      <alignment vertical="top" wrapText="1"/>
    </xf>
    <xf numFmtId="0" fontId="0" fillId="0" borderId="72" xfId="0" applyNumberFormat="1" applyFont="1" applyBorder="1" applyAlignment="1">
      <alignment vertical="top" wrapText="1"/>
    </xf>
    <xf numFmtId="0" fontId="0" fillId="0" borderId="72" xfId="0" applyFont="1" applyBorder="1" applyAlignment="1">
      <alignment vertical="top" wrapText="1"/>
    </xf>
    <xf numFmtId="0" fontId="28" fillId="0" borderId="0" xfId="0" applyFont="1" applyAlignment="1">
      <alignment vertical="top" wrapText="1"/>
    </xf>
    <xf numFmtId="0" fontId="0" fillId="0" borderId="1" xfId="0" applyFont="1" applyBorder="1" applyAlignment="1">
      <alignment vertical="top" wrapText="1"/>
    </xf>
    <xf numFmtId="49" fontId="2" fillId="2" borderId="77" xfId="0" applyNumberFormat="1" applyFont="1" applyFill="1" applyBorder="1" applyAlignment="1">
      <alignment vertical="top" wrapText="1"/>
    </xf>
    <xf numFmtId="0" fontId="0" fillId="0" borderId="76" xfId="0" applyFont="1" applyBorder="1" applyAlignment="1">
      <alignment vertical="top" wrapText="1"/>
    </xf>
    <xf numFmtId="49" fontId="0" fillId="0" borderId="76" xfId="0" applyNumberFormat="1" applyFont="1" applyBorder="1" applyAlignment="1">
      <alignment vertical="top" wrapText="1"/>
    </xf>
    <xf numFmtId="49" fontId="0" fillId="0" borderId="80" xfId="0" applyNumberFormat="1" applyFont="1" applyBorder="1" applyAlignment="1">
      <alignment vertical="top" wrapText="1"/>
    </xf>
    <xf numFmtId="49" fontId="23" fillId="0" borderId="76" xfId="0" applyNumberFormat="1" applyFont="1" applyBorder="1" applyAlignment="1">
      <alignment vertical="top" wrapText="1"/>
    </xf>
    <xf numFmtId="0" fontId="23" fillId="0" borderId="76" xfId="0" applyFont="1" applyBorder="1" applyAlignment="1">
      <alignment vertical="top" wrapText="1"/>
    </xf>
    <xf numFmtId="0" fontId="0" fillId="0" borderId="81" xfId="0" applyFont="1" applyBorder="1" applyAlignment="1">
      <alignment vertical="top" wrapText="1"/>
    </xf>
    <xf numFmtId="14" fontId="0" fillId="0" borderId="76" xfId="0" applyNumberFormat="1" applyFont="1" applyBorder="1" applyAlignment="1">
      <alignment vertical="top" wrapText="1"/>
    </xf>
    <xf numFmtId="14" fontId="0" fillId="0" borderId="2" xfId="0" applyNumberFormat="1" applyFont="1" applyBorder="1" applyAlignment="1">
      <alignment horizontal="right" vertical="top" wrapText="1"/>
    </xf>
    <xf numFmtId="14" fontId="0" fillId="0" borderId="81" xfId="0" applyNumberFormat="1" applyFont="1" applyBorder="1" applyAlignment="1">
      <alignment vertical="top" wrapText="1"/>
    </xf>
    <xf numFmtId="49" fontId="31" fillId="11" borderId="82" xfId="0" applyNumberFormat="1" applyFont="1" applyFill="1" applyBorder="1" applyAlignment="1">
      <alignment vertical="top" wrapText="1"/>
    </xf>
    <xf numFmtId="0" fontId="30" fillId="0" borderId="83" xfId="0" applyFont="1" applyBorder="1" applyAlignment="1">
      <alignment vertical="top" wrapText="1"/>
    </xf>
    <xf numFmtId="0" fontId="30" fillId="0" borderId="84" xfId="0" applyFont="1" applyBorder="1" applyAlignment="1">
      <alignment vertical="top" wrapText="1"/>
    </xf>
    <xf numFmtId="0" fontId="2" fillId="3" borderId="65" xfId="0" applyFont="1" applyFill="1" applyBorder="1" applyAlignment="1">
      <alignment vertical="top" wrapText="1"/>
    </xf>
    <xf numFmtId="0" fontId="0" fillId="0" borderId="66" xfId="0" applyFont="1" applyBorder="1" applyAlignment="1">
      <alignment vertical="top" wrapText="1"/>
    </xf>
    <xf numFmtId="0" fontId="0" fillId="0" borderId="67" xfId="0" applyFont="1" applyBorder="1" applyAlignment="1">
      <alignment vertical="top" wrapText="1"/>
    </xf>
    <xf numFmtId="49" fontId="0" fillId="0" borderId="67" xfId="0" applyNumberFormat="1" applyFont="1" applyBorder="1" applyAlignment="1">
      <alignment horizontal="right" vertical="top" wrapText="1"/>
    </xf>
    <xf numFmtId="0" fontId="30" fillId="0" borderId="85" xfId="0" applyFont="1" applyBorder="1" applyAlignment="1">
      <alignment vertical="top" wrapText="1"/>
    </xf>
    <xf numFmtId="0" fontId="29" fillId="0" borderId="1" xfId="1" applyBorder="1" applyAlignment="1">
      <alignment vertical="top" wrapText="1"/>
    </xf>
    <xf numFmtId="0" fontId="29" fillId="0" borderId="0" xfId="1" applyAlignment="1">
      <alignment vertical="top" wrapText="1"/>
    </xf>
    <xf numFmtId="0" fontId="34" fillId="0" borderId="0" xfId="0" applyFont="1" applyAlignment="1">
      <alignment vertical="top" wrapText="1"/>
    </xf>
    <xf numFmtId="0" fontId="35" fillId="0" borderId="0" xfId="1" applyFont="1" applyAlignment="1">
      <alignment vertical="top" wrapText="1"/>
    </xf>
    <xf numFmtId="49" fontId="36" fillId="11" borderId="82" xfId="0" applyNumberFormat="1" applyFont="1" applyFill="1" applyBorder="1" applyAlignment="1">
      <alignment vertical="top" wrapText="1"/>
    </xf>
    <xf numFmtId="0" fontId="33" fillId="0" borderId="0" xfId="0" applyFont="1" applyAlignment="1">
      <alignment vertical="top" wrapText="1"/>
    </xf>
    <xf numFmtId="49" fontId="23" fillId="0" borderId="19" xfId="0" applyNumberFormat="1" applyFont="1" applyBorder="1" applyAlignment="1">
      <alignment vertical="top" wrapText="1"/>
    </xf>
    <xf numFmtId="0" fontId="32" fillId="0" borderId="83" xfId="0" applyFont="1" applyBorder="1" applyAlignment="1">
      <alignment vertical="top" wrapText="1"/>
    </xf>
    <xf numFmtId="0" fontId="37" fillId="0" borderId="0" xfId="0" applyFont="1" applyAlignment="1">
      <alignment vertical="top" wrapText="1"/>
    </xf>
    <xf numFmtId="0" fontId="24" fillId="3" borderId="65" xfId="0" applyFont="1" applyFill="1" applyBorder="1" applyAlignment="1">
      <alignment vertical="top" wrapText="1"/>
    </xf>
    <xf numFmtId="0" fontId="23" fillId="0" borderId="66" xfId="0" applyFont="1" applyBorder="1" applyAlignment="1">
      <alignment vertical="top" wrapText="1"/>
    </xf>
    <xf numFmtId="0" fontId="29" fillId="0" borderId="67" xfId="1" applyBorder="1" applyAlignment="1">
      <alignment vertical="top" wrapText="1"/>
    </xf>
    <xf numFmtId="0" fontId="38" fillId="0" borderId="0" xfId="0" applyFont="1" applyAlignment="1">
      <alignment vertical="top" wrapText="1"/>
    </xf>
    <xf numFmtId="0" fontId="35" fillId="0" borderId="67" xfId="1" applyFont="1" applyBorder="1" applyAlignment="1">
      <alignment vertical="top" wrapText="1"/>
    </xf>
    <xf numFmtId="0" fontId="39" fillId="0" borderId="0" xfId="0" applyFont="1" applyAlignment="1">
      <alignment vertical="top" wrapText="1"/>
    </xf>
    <xf numFmtId="0" fontId="40" fillId="0" borderId="0" xfId="0" applyFont="1" applyAlignment="1">
      <alignment vertical="top" wrapText="1"/>
    </xf>
    <xf numFmtId="0" fontId="41" fillId="0" borderId="0" xfId="0" applyFont="1" applyAlignment="1">
      <alignment vertical="top" wrapText="1"/>
    </xf>
    <xf numFmtId="0" fontId="42" fillId="0" borderId="0" xfId="0" applyFont="1" applyAlignment="1">
      <alignment vertical="top" wrapText="1"/>
    </xf>
    <xf numFmtId="49" fontId="0" fillId="0" borderId="0" xfId="0" applyNumberFormat="1" applyFont="1" applyAlignment="1">
      <alignment vertical="top" wrapText="1"/>
    </xf>
    <xf numFmtId="49" fontId="30" fillId="0" borderId="83" xfId="0" applyNumberFormat="1" applyFont="1" applyBorder="1" applyAlignment="1">
      <alignment vertical="top" wrapText="1"/>
    </xf>
    <xf numFmtId="49" fontId="33" fillId="0" borderId="0" xfId="0" applyNumberFormat="1" applyFont="1" applyAlignment="1">
      <alignment vertical="top" wrapText="1"/>
    </xf>
    <xf numFmtId="49" fontId="37" fillId="0" borderId="0" xfId="0" applyNumberFormat="1" applyFont="1" applyAlignment="1">
      <alignment vertical="top" wrapText="1"/>
    </xf>
    <xf numFmtId="49" fontId="29" fillId="0" borderId="0" xfId="1" applyNumberFormat="1" applyAlignment="1">
      <alignment vertical="top" wrapText="1"/>
    </xf>
    <xf numFmtId="49" fontId="39" fillId="0" borderId="0" xfId="0" applyNumberFormat="1" applyFont="1" applyAlignment="1">
      <alignment vertical="top" wrapText="1"/>
    </xf>
    <xf numFmtId="49" fontId="41" fillId="0" borderId="0" xfId="0" applyNumberFormat="1" applyFont="1" applyAlignment="1">
      <alignment vertical="top" wrapText="1"/>
    </xf>
    <xf numFmtId="49" fontId="42" fillId="0" borderId="0" xfId="0" applyNumberFormat="1" applyFont="1" applyAlignment="1">
      <alignment vertical="top" wrapText="1"/>
    </xf>
    <xf numFmtId="49" fontId="40" fillId="0" borderId="0" xfId="0" applyNumberFormat="1" applyFont="1" applyAlignment="1">
      <alignment vertical="top" wrapText="1"/>
    </xf>
    <xf numFmtId="49" fontId="34" fillId="0" borderId="0" xfId="0" applyNumberFormat="1" applyFont="1" applyAlignment="1">
      <alignment vertical="top" wrapText="1"/>
    </xf>
    <xf numFmtId="49" fontId="38" fillId="0" borderId="0" xfId="0" applyNumberFormat="1" applyFont="1" applyAlignment="1">
      <alignment vertical="top" wrapText="1"/>
    </xf>
    <xf numFmtId="49" fontId="30" fillId="0" borderId="84" xfId="0" applyNumberFormat="1" applyFont="1" applyBorder="1" applyAlignment="1">
      <alignment vertical="top" wrapText="1"/>
    </xf>
    <xf numFmtId="49" fontId="32" fillId="0" borderId="83" xfId="0" applyNumberFormat="1" applyFont="1" applyBorder="1" applyAlignment="1">
      <alignment vertical="top" wrapText="1"/>
    </xf>
    <xf numFmtId="0" fontId="32" fillId="0" borderId="85" xfId="0" applyFont="1" applyBorder="1" applyAlignment="1">
      <alignment vertical="top" wrapText="1"/>
    </xf>
    <xf numFmtId="49" fontId="35" fillId="0" borderId="0" xfId="1" applyNumberFormat="1" applyFont="1" applyAlignment="1">
      <alignment vertical="top" wrapText="1"/>
    </xf>
    <xf numFmtId="49" fontId="24" fillId="2" borderId="6" xfId="0" applyNumberFormat="1" applyFont="1" applyFill="1" applyBorder="1" applyAlignment="1">
      <alignment vertical="top" wrapText="1"/>
    </xf>
    <xf numFmtId="0" fontId="43" fillId="0" borderId="0" xfId="0" applyFont="1" applyAlignment="1">
      <alignment vertical="top" wrapText="1"/>
    </xf>
    <xf numFmtId="0" fontId="23" fillId="0" borderId="19" xfId="0" applyFont="1" applyBorder="1" applyAlignment="1">
      <alignment vertical="top" wrapText="1"/>
    </xf>
    <xf numFmtId="0" fontId="44" fillId="0" borderId="0" xfId="0" applyFont="1" applyAlignment="1">
      <alignment vertical="top" wrapText="1"/>
    </xf>
    <xf numFmtId="0" fontId="29" fillId="0" borderId="13" xfId="1" applyBorder="1" applyAlignment="1">
      <alignment vertical="top" wrapText="1"/>
    </xf>
    <xf numFmtId="0" fontId="29" fillId="0" borderId="0" xfId="1" applyNumberFormat="1" applyAlignment="1">
      <alignment vertical="top" wrapText="1"/>
    </xf>
    <xf numFmtId="0" fontId="24" fillId="3" borderId="18" xfId="0" applyFont="1" applyFill="1" applyBorder="1" applyAlignment="1">
      <alignment vertical="top" wrapText="1"/>
    </xf>
    <xf numFmtId="49" fontId="2" fillId="3" borderId="65" xfId="0" applyNumberFormat="1" applyFont="1" applyFill="1" applyBorder="1" applyAlignment="1">
      <alignment vertical="top" wrapText="1"/>
    </xf>
    <xf numFmtId="49" fontId="0" fillId="0" borderId="66" xfId="0" applyNumberFormat="1" applyFont="1" applyBorder="1" applyAlignment="1">
      <alignment vertical="top" wrapText="1"/>
    </xf>
    <xf numFmtId="49" fontId="44" fillId="0" borderId="0" xfId="0" applyNumberFormat="1" applyFont="1" applyAlignment="1">
      <alignment vertical="top" wrapText="1"/>
    </xf>
    <xf numFmtId="0" fontId="0" fillId="0" borderId="1" xfId="0" applyFont="1" applyBorder="1" applyAlignment="1">
      <alignment vertical="top" wrapText="1"/>
    </xf>
    <xf numFmtId="0" fontId="45" fillId="0" borderId="0" xfId="0" applyFont="1" applyAlignment="1">
      <alignment vertical="top" wrapText="1"/>
    </xf>
    <xf numFmtId="0" fontId="30" fillId="0" borderId="0" xfId="0" applyFont="1" applyBorder="1" applyAlignment="1">
      <alignment vertical="top" wrapText="1"/>
    </xf>
    <xf numFmtId="49" fontId="2" fillId="2" borderId="6" xfId="0" applyNumberFormat="1" applyFont="1" applyFill="1" applyBorder="1" applyAlignment="1">
      <alignment horizontal="left" vertical="top" wrapText="1"/>
    </xf>
    <xf numFmtId="49" fontId="24" fillId="2" borderId="6" xfId="0" applyNumberFormat="1" applyFont="1" applyFill="1" applyBorder="1" applyAlignment="1">
      <alignment horizontal="left" vertical="top" wrapText="1"/>
    </xf>
    <xf numFmtId="49" fontId="0" fillId="0" borderId="13" xfId="0" applyNumberFormat="1" applyFont="1" applyBorder="1" applyAlignment="1">
      <alignment horizontal="left" vertical="top" wrapText="1"/>
    </xf>
    <xf numFmtId="49" fontId="0" fillId="0" borderId="1" xfId="0" applyNumberFormat="1" applyFont="1" applyBorder="1" applyAlignment="1">
      <alignment horizontal="left" vertical="top" wrapText="1"/>
    </xf>
    <xf numFmtId="0" fontId="0" fillId="0" borderId="1" xfId="0" applyFont="1" applyBorder="1" applyAlignment="1">
      <alignment horizontal="left" vertical="top" wrapText="1"/>
    </xf>
    <xf numFmtId="49" fontId="0" fillId="0" borderId="67" xfId="0" applyNumberFormat="1" applyFont="1" applyBorder="1" applyAlignment="1">
      <alignment horizontal="left" vertical="top" wrapText="1"/>
    </xf>
    <xf numFmtId="0" fontId="0" fillId="0" borderId="67" xfId="0" applyFont="1" applyBorder="1" applyAlignment="1">
      <alignment horizontal="left" vertical="top" wrapText="1"/>
    </xf>
    <xf numFmtId="0" fontId="23" fillId="0" borderId="67" xfId="0" applyFont="1" applyBorder="1" applyAlignment="1">
      <alignment horizontal="left" vertical="top" wrapText="1"/>
    </xf>
    <xf numFmtId="0" fontId="0" fillId="0" borderId="23" xfId="0" applyFont="1" applyBorder="1" applyAlignment="1">
      <alignment horizontal="left" vertical="top" wrapText="1"/>
    </xf>
    <xf numFmtId="49" fontId="0" fillId="0" borderId="23" xfId="0" applyNumberFormat="1" applyFont="1" applyBorder="1" applyAlignment="1">
      <alignment horizontal="left" vertical="top" wrapText="1"/>
    </xf>
    <xf numFmtId="49" fontId="0" fillId="0" borderId="30" xfId="0" applyNumberFormat="1" applyFont="1" applyBorder="1" applyAlignment="1">
      <alignment horizontal="left" vertical="top" wrapText="1"/>
    </xf>
    <xf numFmtId="0" fontId="0" fillId="0" borderId="30" xfId="0" applyFont="1" applyBorder="1" applyAlignment="1">
      <alignment horizontal="left" vertical="top" wrapText="1"/>
    </xf>
    <xf numFmtId="0" fontId="0" fillId="0" borderId="0" xfId="0" applyFont="1" applyAlignment="1">
      <alignment horizontal="left" vertical="top" wrapText="1"/>
    </xf>
    <xf numFmtId="49" fontId="2" fillId="2" borderId="6" xfId="0" applyNumberFormat="1" applyFont="1" applyFill="1" applyBorder="1" applyAlignment="1">
      <alignment horizontal="center" vertical="top" wrapText="1"/>
    </xf>
    <xf numFmtId="0" fontId="23" fillId="0" borderId="67" xfId="0" applyFont="1" applyBorder="1" applyAlignment="1">
      <alignment horizontal="center" vertical="top" wrapText="1"/>
    </xf>
    <xf numFmtId="0" fontId="0" fillId="0" borderId="23" xfId="0" applyFont="1" applyBorder="1" applyAlignment="1">
      <alignment horizontal="center" vertical="top" wrapText="1"/>
    </xf>
    <xf numFmtId="0" fontId="0" fillId="8" borderId="30" xfId="0" applyNumberFormat="1" applyFont="1" applyFill="1" applyBorder="1" applyAlignment="1">
      <alignment horizontal="center" vertical="top" wrapText="1"/>
    </xf>
    <xf numFmtId="0" fontId="0" fillId="0" borderId="0" xfId="0" applyFont="1" applyAlignment="1">
      <alignment horizontal="center" vertical="top" wrapText="1"/>
    </xf>
    <xf numFmtId="49" fontId="2" fillId="7" borderId="65" xfId="0" applyNumberFormat="1" applyFont="1" applyFill="1" applyBorder="1" applyAlignment="1">
      <alignment vertical="top" wrapText="1"/>
    </xf>
    <xf numFmtId="0" fontId="27" fillId="0" borderId="19" xfId="0" applyFont="1" applyBorder="1" applyAlignment="1">
      <alignment vertical="top" wrapText="1"/>
    </xf>
    <xf numFmtId="0" fontId="23" fillId="0" borderId="0" xfId="0" applyFont="1" applyBorder="1" applyAlignment="1">
      <alignment vertical="top" wrapText="1"/>
    </xf>
    <xf numFmtId="0" fontId="0" fillId="0" borderId="67" xfId="0" applyNumberFormat="1" applyFont="1" applyBorder="1" applyAlignment="1">
      <alignment horizontal="center" vertical="top" wrapText="1"/>
    </xf>
    <xf numFmtId="0" fontId="23" fillId="0" borderId="1" xfId="0" applyFont="1" applyBorder="1" applyAlignment="1">
      <alignment horizontal="center" vertical="top" wrapText="1"/>
    </xf>
    <xf numFmtId="0" fontId="0" fillId="0" borderId="67" xfId="0" applyNumberFormat="1" applyFont="1" applyBorder="1" applyAlignment="1">
      <alignment horizontal="left" vertical="top" wrapText="1"/>
    </xf>
    <xf numFmtId="0" fontId="29" fillId="0" borderId="0" xfId="1" applyBorder="1" applyAlignment="1">
      <alignment vertical="top" wrapText="1"/>
    </xf>
    <xf numFmtId="0" fontId="35" fillId="0" borderId="0" xfId="1" applyFont="1" applyBorder="1" applyAlignment="1">
      <alignment vertical="top" wrapText="1"/>
    </xf>
    <xf numFmtId="0" fontId="35" fillId="0" borderId="1" xfId="1" applyFont="1" applyBorder="1" applyAlignment="1">
      <alignment vertical="top" wrapText="1"/>
    </xf>
    <xf numFmtId="0" fontId="42" fillId="0" borderId="83" xfId="0" applyFont="1" applyBorder="1" applyAlignment="1">
      <alignment vertical="top" wrapText="1"/>
    </xf>
    <xf numFmtId="0" fontId="32" fillId="0" borderId="0" xfId="0" applyFont="1" applyBorder="1" applyAlignment="1">
      <alignment vertical="top" wrapText="1"/>
    </xf>
    <xf numFmtId="0" fontId="34" fillId="0" borderId="83" xfId="0" applyFont="1" applyBorder="1" applyAlignment="1">
      <alignment vertical="top" wrapText="1"/>
    </xf>
    <xf numFmtId="0" fontId="35" fillId="0" borderId="83" xfId="1" applyFont="1" applyBorder="1" applyAlignment="1">
      <alignment vertical="top" wrapText="1"/>
    </xf>
    <xf numFmtId="0" fontId="0" fillId="0" borderId="83" xfId="0" applyNumberFormat="1" applyFont="1" applyBorder="1" applyAlignment="1">
      <alignment vertical="top" wrapText="1"/>
    </xf>
    <xf numFmtId="0" fontId="44" fillId="0" borderId="83" xfId="0" applyFont="1" applyBorder="1" applyAlignment="1">
      <alignment vertical="top" wrapText="1"/>
    </xf>
    <xf numFmtId="49" fontId="37" fillId="0" borderId="83" xfId="0" applyNumberFormat="1" applyFont="1" applyBorder="1" applyAlignment="1">
      <alignment vertical="top" wrapText="1"/>
    </xf>
    <xf numFmtId="49" fontId="32" fillId="0" borderId="0" xfId="0" applyNumberFormat="1" applyFont="1" applyBorder="1" applyAlignment="1">
      <alignment vertical="top" wrapText="1"/>
    </xf>
    <xf numFmtId="49" fontId="30" fillId="0" borderId="0" xfId="0" applyNumberFormat="1" applyFont="1" applyBorder="1" applyAlignment="1">
      <alignment vertical="top" wrapText="1"/>
    </xf>
    <xf numFmtId="49" fontId="29" fillId="0" borderId="83" xfId="1" applyNumberFormat="1" applyBorder="1" applyAlignment="1">
      <alignment vertical="top" wrapText="1"/>
    </xf>
    <xf numFmtId="49" fontId="42" fillId="0" borderId="83" xfId="0" applyNumberFormat="1" applyFont="1" applyBorder="1" applyAlignment="1">
      <alignment vertical="top" wrapText="1"/>
    </xf>
    <xf numFmtId="49" fontId="39" fillId="0" borderId="83" xfId="0" applyNumberFormat="1" applyFont="1" applyBorder="1" applyAlignment="1">
      <alignment vertical="top" wrapText="1"/>
    </xf>
    <xf numFmtId="49" fontId="35" fillId="0" borderId="83" xfId="1" applyNumberFormat="1" applyFont="1" applyBorder="1" applyAlignment="1">
      <alignment vertical="top" wrapText="1"/>
    </xf>
    <xf numFmtId="49" fontId="41" fillId="0" borderId="83" xfId="0" applyNumberFormat="1" applyFont="1" applyBorder="1" applyAlignment="1">
      <alignment vertical="top" wrapText="1"/>
    </xf>
    <xf numFmtId="0" fontId="37" fillId="0" borderId="83" xfId="0" applyFont="1" applyBorder="1" applyAlignment="1">
      <alignment vertical="top" wrapText="1"/>
    </xf>
    <xf numFmtId="0" fontId="29" fillId="0" borderId="83" xfId="1" applyBorder="1" applyAlignment="1">
      <alignment vertical="top" wrapText="1"/>
    </xf>
    <xf numFmtId="0" fontId="39" fillId="0" borderId="83" xfId="0" applyFont="1" applyBorder="1" applyAlignment="1">
      <alignment vertical="top" wrapText="1"/>
    </xf>
    <xf numFmtId="0" fontId="41" fillId="0" borderId="83" xfId="0" applyFont="1" applyBorder="1" applyAlignment="1">
      <alignment vertical="top" wrapText="1"/>
    </xf>
    <xf numFmtId="49" fontId="23" fillId="0" borderId="67" xfId="0" applyNumberFormat="1" applyFont="1" applyBorder="1" applyAlignment="1">
      <alignment horizontal="left" vertical="top" wrapText="1"/>
    </xf>
    <xf numFmtId="0" fontId="23" fillId="0" borderId="1" xfId="0" applyFont="1" applyBorder="1" applyAlignment="1">
      <alignment horizontal="right" vertical="top" wrapText="1"/>
    </xf>
    <xf numFmtId="0" fontId="23" fillId="0" borderId="1" xfId="0" applyFont="1" applyBorder="1" applyAlignment="1">
      <alignment horizontal="left" vertical="top" wrapText="1"/>
    </xf>
    <xf numFmtId="49" fontId="23" fillId="0" borderId="1" xfId="0" applyNumberFormat="1" applyFont="1" applyBorder="1" applyAlignment="1">
      <alignment horizontal="left" vertical="top" wrapText="1"/>
    </xf>
    <xf numFmtId="49" fontId="0" fillId="12" borderId="1" xfId="0" applyNumberFormat="1" applyFont="1" applyFill="1" applyBorder="1" applyAlignment="1">
      <alignment horizontal="left" vertical="top" wrapText="1"/>
    </xf>
    <xf numFmtId="0" fontId="0" fillId="12" borderId="1" xfId="0" applyFont="1" applyFill="1" applyBorder="1" applyAlignment="1">
      <alignment horizontal="left" vertical="top" wrapText="1"/>
    </xf>
    <xf numFmtId="49" fontId="0" fillId="12" borderId="13" xfId="0" applyNumberFormat="1" applyFont="1" applyFill="1" applyBorder="1" applyAlignment="1">
      <alignment horizontal="left" vertical="top" wrapText="1"/>
    </xf>
    <xf numFmtId="0" fontId="0" fillId="12" borderId="1" xfId="0" applyNumberFormat="1" applyFont="1" applyFill="1" applyBorder="1" applyAlignment="1">
      <alignment horizontal="center" vertical="top" wrapText="1"/>
    </xf>
    <xf numFmtId="49" fontId="32" fillId="0" borderId="86" xfId="0" applyNumberFormat="1" applyFont="1" applyBorder="1" applyAlignment="1">
      <alignment horizontal="left" vertical="top" wrapText="1"/>
    </xf>
    <xf numFmtId="0" fontId="46" fillId="0" borderId="0" xfId="0" applyFont="1" applyAlignment="1">
      <alignment vertical="top" wrapText="1"/>
    </xf>
    <xf numFmtId="0" fontId="47" fillId="0" borderId="0" xfId="0" applyFont="1" applyAlignment="1">
      <alignment vertical="top" wrapText="1"/>
    </xf>
    <xf numFmtId="0" fontId="48" fillId="0" borderId="0" xfId="0" applyFont="1" applyAlignment="1">
      <alignment vertical="top" wrapText="1"/>
    </xf>
    <xf numFmtId="0" fontId="23" fillId="0" borderId="0" xfId="0" applyNumberFormat="1" applyFont="1" applyAlignment="1">
      <alignment vertical="top" wrapText="1"/>
    </xf>
    <xf numFmtId="0" fontId="49" fillId="0" borderId="83" xfId="0" applyFont="1" applyBorder="1" applyAlignment="1">
      <alignment vertical="top" wrapText="1"/>
    </xf>
    <xf numFmtId="0" fontId="2" fillId="0" borderId="0" xfId="0" applyNumberFormat="1" applyFont="1" applyAlignment="1">
      <alignment vertical="top" wrapText="1"/>
    </xf>
    <xf numFmtId="49" fontId="2" fillId="13" borderId="18" xfId="0" applyNumberFormat="1" applyFont="1" applyFill="1" applyBorder="1" applyAlignment="1">
      <alignment vertical="top" wrapText="1"/>
    </xf>
    <xf numFmtId="0" fontId="2" fillId="13" borderId="18" xfId="0" applyFont="1" applyFill="1" applyBorder="1" applyAlignment="1">
      <alignment vertical="top" wrapText="1"/>
    </xf>
    <xf numFmtId="0" fontId="24" fillId="13" borderId="18" xfId="0" applyFont="1" applyFill="1" applyBorder="1" applyAlignment="1">
      <alignment vertical="top" wrapText="1"/>
    </xf>
    <xf numFmtId="49" fontId="52" fillId="0" borderId="0" xfId="0" applyNumberFormat="1" applyFont="1" applyAlignment="1">
      <alignment vertical="top" wrapText="1"/>
    </xf>
    <xf numFmtId="0" fontId="53" fillId="0" borderId="0" xfId="0" applyFont="1" applyAlignment="1">
      <alignment vertical="top" wrapText="1"/>
    </xf>
    <xf numFmtId="0" fontId="29" fillId="0" borderId="0" xfId="1" applyFont="1" applyAlignment="1">
      <alignment vertical="top" wrapText="1"/>
    </xf>
    <xf numFmtId="49" fontId="54" fillId="0" borderId="83" xfId="0" applyNumberFormat="1" applyFont="1" applyBorder="1" applyAlignment="1">
      <alignment vertical="top" wrapText="1"/>
    </xf>
    <xf numFmtId="49" fontId="30" fillId="0" borderId="86" xfId="0" applyNumberFormat="1" applyFont="1" applyBorder="1" applyAlignment="1">
      <alignment horizontal="left" vertical="top" wrapText="1"/>
    </xf>
    <xf numFmtId="0" fontId="55" fillId="0" borderId="0" xfId="0" applyFont="1" applyAlignment="1">
      <alignment vertical="top" wrapText="1"/>
    </xf>
    <xf numFmtId="0" fontId="56" fillId="0" borderId="0" xfId="0" applyFont="1" applyAlignment="1">
      <alignment vertical="top" wrapText="1"/>
    </xf>
    <xf numFmtId="0" fontId="57" fillId="0" borderId="0" xfId="0" applyFont="1" applyAlignment="1">
      <alignment vertical="top" wrapText="1"/>
    </xf>
    <xf numFmtId="0" fontId="58" fillId="0" borderId="0" xfId="0" applyFont="1" applyAlignment="1">
      <alignment vertical="top" wrapText="1"/>
    </xf>
    <xf numFmtId="0" fontId="23" fillId="0" borderId="0" xfId="0" applyFont="1" applyAlignment="1">
      <alignment vertical="top" wrapText="1"/>
    </xf>
    <xf numFmtId="0" fontId="6" fillId="0" borderId="0" xfId="0" applyFont="1" applyAlignment="1">
      <alignment vertical="top" wrapText="1"/>
    </xf>
    <xf numFmtId="0" fontId="23" fillId="0" borderId="13" xfId="0" applyFont="1" applyBorder="1" applyAlignment="1">
      <alignment horizontal="left" vertical="top" wrapText="1"/>
    </xf>
    <xf numFmtId="0" fontId="30" fillId="0" borderId="87" xfId="0" applyFont="1" applyBorder="1" applyAlignment="1">
      <alignment horizontal="left" vertical="top" wrapText="1"/>
    </xf>
    <xf numFmtId="0" fontId="30" fillId="0" borderId="86" xfId="0" applyFont="1" applyBorder="1" applyAlignment="1">
      <alignment horizontal="left" vertical="top" wrapText="1"/>
    </xf>
    <xf numFmtId="0" fontId="0" fillId="13" borderId="1" xfId="0" applyFont="1" applyFill="1" applyBorder="1" applyAlignment="1">
      <alignment horizontal="left" vertical="top" wrapText="1"/>
    </xf>
    <xf numFmtId="0" fontId="59" fillId="0" borderId="0" xfId="0" applyFont="1" applyAlignment="1">
      <alignment vertical="top" wrapText="1"/>
    </xf>
    <xf numFmtId="49" fontId="60" fillId="0" borderId="83" xfId="0" applyNumberFormat="1" applyFont="1" applyBorder="1" applyAlignment="1">
      <alignment vertical="top" wrapText="1"/>
    </xf>
    <xf numFmtId="49" fontId="23" fillId="14" borderId="19" xfId="0" applyNumberFormat="1" applyFont="1" applyFill="1" applyBorder="1" applyAlignment="1">
      <alignment vertical="top" wrapText="1"/>
    </xf>
    <xf numFmtId="49" fontId="0" fillId="14" borderId="19" xfId="0" applyNumberFormat="1" applyFont="1" applyFill="1" applyBorder="1" applyAlignment="1">
      <alignment vertical="top" wrapText="1"/>
    </xf>
    <xf numFmtId="0" fontId="55" fillId="14" borderId="0" xfId="0" applyFont="1" applyFill="1" applyAlignment="1">
      <alignment vertical="top" wrapText="1"/>
    </xf>
    <xf numFmtId="0" fontId="0" fillId="0" borderId="1" xfId="0" applyFont="1" applyBorder="1" applyAlignment="1">
      <alignment vertical="top" wrapText="1"/>
    </xf>
    <xf numFmtId="0" fontId="23" fillId="0" borderId="68" xfId="0" applyFont="1" applyBorder="1" applyAlignment="1">
      <alignment horizontal="center" vertical="top" wrapText="1"/>
    </xf>
    <xf numFmtId="0" fontId="23" fillId="0" borderId="69" xfId="0" applyFont="1" applyBorder="1" applyAlignment="1">
      <alignment vertical="top" wrapText="1"/>
    </xf>
    <xf numFmtId="14" fontId="0" fillId="0" borderId="88" xfId="0" applyNumberFormat="1" applyFont="1" applyBorder="1" applyAlignment="1">
      <alignment vertical="top" wrapText="1"/>
    </xf>
    <xf numFmtId="49" fontId="23" fillId="0" borderId="88" xfId="0" applyNumberFormat="1" applyFont="1" applyBorder="1" applyAlignment="1">
      <alignment vertical="top" wrapText="1"/>
    </xf>
    <xf numFmtId="0" fontId="23" fillId="0" borderId="88" xfId="0" applyFont="1" applyBorder="1" applyAlignment="1">
      <alignment vertical="top" wrapText="1"/>
    </xf>
    <xf numFmtId="0" fontId="0" fillId="0" borderId="88" xfId="0" applyFont="1" applyBorder="1" applyAlignment="1">
      <alignment vertical="top" wrapText="1"/>
    </xf>
    <xf numFmtId="0" fontId="23" fillId="0" borderId="88" xfId="0" applyFont="1" applyBorder="1" applyAlignment="1">
      <alignment horizontal="center" vertical="top" wrapText="1"/>
    </xf>
    <xf numFmtId="49" fontId="0" fillId="0" borderId="88" xfId="0" applyNumberFormat="1" applyFont="1" applyBorder="1" applyAlignment="1">
      <alignment vertical="top" wrapText="1"/>
    </xf>
    <xf numFmtId="0" fontId="0" fillId="0" borderId="88" xfId="0" applyFont="1" applyBorder="1" applyAlignment="1">
      <alignment horizontal="right" vertical="top" wrapText="1"/>
    </xf>
    <xf numFmtId="165" fontId="0" fillId="0" borderId="88" xfId="0" applyNumberFormat="1" applyFont="1" applyBorder="1" applyAlignment="1">
      <alignment vertical="top" wrapText="1"/>
    </xf>
    <xf numFmtId="166" fontId="0" fillId="0" borderId="88" xfId="0" applyNumberFormat="1" applyFont="1" applyBorder="1" applyAlignment="1">
      <alignment vertical="top" wrapText="1"/>
    </xf>
    <xf numFmtId="0" fontId="0" fillId="0" borderId="88" xfId="0" applyNumberFormat="1" applyFont="1" applyBorder="1" applyAlignment="1">
      <alignment vertical="top" wrapText="1"/>
    </xf>
    <xf numFmtId="49" fontId="0" fillId="0" borderId="88" xfId="0" applyNumberFormat="1" applyFont="1" applyBorder="1" applyAlignment="1">
      <alignment horizontal="center" vertical="top" wrapText="1"/>
    </xf>
    <xf numFmtId="49" fontId="32" fillId="0" borderId="0" xfId="0" applyNumberFormat="1" applyFont="1" applyBorder="1" applyAlignment="1">
      <alignment horizontal="left" vertical="top" wrapText="1"/>
    </xf>
    <xf numFmtId="0" fontId="30" fillId="0" borderId="0" xfId="0" applyFont="1" applyBorder="1" applyAlignment="1">
      <alignment horizontal="left" vertical="top" wrapText="1"/>
    </xf>
    <xf numFmtId="49" fontId="23" fillId="0" borderId="88" xfId="0" applyNumberFormat="1" applyFont="1" applyBorder="1" applyAlignment="1">
      <alignment horizontal="center" vertical="top" wrapText="1"/>
    </xf>
    <xf numFmtId="0" fontId="2" fillId="15" borderId="18" xfId="0" applyNumberFormat="1" applyFont="1" applyFill="1" applyBorder="1" applyAlignment="1">
      <alignment vertical="top" wrapText="1"/>
    </xf>
    <xf numFmtId="0" fontId="2" fillId="15" borderId="11" xfId="0" applyNumberFormat="1" applyFont="1" applyFill="1" applyBorder="1" applyAlignment="1">
      <alignment vertical="top" wrapText="1"/>
    </xf>
    <xf numFmtId="0" fontId="2" fillId="15" borderId="75" xfId="0" applyNumberFormat="1" applyFont="1" applyFill="1" applyBorder="1" applyAlignment="1">
      <alignment vertical="top" wrapText="1"/>
    </xf>
    <xf numFmtId="0" fontId="2" fillId="15" borderId="88" xfId="0" applyNumberFormat="1" applyFont="1" applyFill="1" applyBorder="1" applyAlignment="1">
      <alignment vertical="top" wrapText="1"/>
    </xf>
    <xf numFmtId="14" fontId="0" fillId="0" borderId="89" xfId="0" applyNumberFormat="1" applyFont="1" applyBorder="1" applyAlignment="1">
      <alignment vertical="top" wrapText="1"/>
    </xf>
    <xf numFmtId="49" fontId="23" fillId="0" borderId="89" xfId="0" applyNumberFormat="1" applyFont="1" applyBorder="1" applyAlignment="1">
      <alignment vertical="top" wrapText="1"/>
    </xf>
    <xf numFmtId="0" fontId="23" fillId="0" borderId="89" xfId="0" applyFont="1" applyBorder="1" applyAlignment="1">
      <alignment vertical="top" wrapText="1"/>
    </xf>
    <xf numFmtId="0" fontId="0" fillId="0" borderId="89" xfId="0" applyFont="1" applyBorder="1" applyAlignment="1">
      <alignment vertical="top" wrapText="1"/>
    </xf>
    <xf numFmtId="0" fontId="23" fillId="0" borderId="89" xfId="0" applyFont="1" applyBorder="1" applyAlignment="1">
      <alignment horizontal="center" vertical="top" wrapText="1"/>
    </xf>
    <xf numFmtId="49" fontId="0" fillId="0" borderId="89" xfId="0" applyNumberFormat="1" applyFont="1" applyBorder="1" applyAlignment="1">
      <alignment vertical="top" wrapText="1"/>
    </xf>
    <xf numFmtId="0" fontId="0" fillId="0" borderId="89" xfId="0" applyFont="1" applyBorder="1" applyAlignment="1">
      <alignment horizontal="right" vertical="top" wrapText="1"/>
    </xf>
    <xf numFmtId="165" fontId="0" fillId="0" borderId="89" xfId="0" applyNumberFormat="1" applyFont="1" applyBorder="1" applyAlignment="1">
      <alignment vertical="top" wrapText="1"/>
    </xf>
    <xf numFmtId="166" fontId="0" fillId="0" borderId="89" xfId="0" applyNumberFormat="1" applyFont="1" applyBorder="1" applyAlignment="1">
      <alignment vertical="top" wrapText="1"/>
    </xf>
    <xf numFmtId="0" fontId="0" fillId="0" borderId="89" xfId="0" applyNumberFormat="1" applyFont="1" applyBorder="1" applyAlignment="1">
      <alignment vertical="top" wrapText="1"/>
    </xf>
    <xf numFmtId="49" fontId="0" fillId="0" borderId="89" xfId="0" applyNumberFormat="1" applyFont="1" applyBorder="1" applyAlignment="1">
      <alignment horizontal="center" vertical="top" wrapText="1"/>
    </xf>
    <xf numFmtId="49" fontId="0" fillId="0" borderId="90" xfId="0" applyNumberFormat="1" applyFont="1" applyBorder="1" applyAlignment="1">
      <alignment vertical="top" wrapText="1"/>
    </xf>
    <xf numFmtId="166" fontId="0" fillId="0" borderId="91" xfId="0" applyNumberFormat="1" applyFont="1" applyBorder="1" applyAlignment="1">
      <alignment vertical="top" wrapText="1"/>
    </xf>
    <xf numFmtId="49" fontId="23" fillId="0" borderId="92" xfId="0" applyNumberFormat="1" applyFont="1" applyBorder="1" applyAlignment="1">
      <alignment vertical="top" wrapText="1"/>
    </xf>
    <xf numFmtId="0" fontId="23" fillId="0" borderId="92" xfId="0" applyFont="1" applyBorder="1" applyAlignment="1">
      <alignment vertical="top" wrapText="1"/>
    </xf>
    <xf numFmtId="0" fontId="0" fillId="0" borderId="92" xfId="0" applyFont="1" applyBorder="1" applyAlignment="1">
      <alignment vertical="top" wrapText="1"/>
    </xf>
    <xf numFmtId="0" fontId="23" fillId="0" borderId="92" xfId="0" applyFont="1" applyBorder="1" applyAlignment="1">
      <alignment horizontal="center" vertical="top" wrapText="1"/>
    </xf>
    <xf numFmtId="49" fontId="0" fillId="0" borderId="92" xfId="0" applyNumberFormat="1" applyFont="1" applyBorder="1" applyAlignment="1">
      <alignment vertical="top" wrapText="1"/>
    </xf>
    <xf numFmtId="0" fontId="0" fillId="0" borderId="92" xfId="0" applyFont="1" applyBorder="1" applyAlignment="1">
      <alignment horizontal="right" vertical="top" wrapText="1"/>
    </xf>
    <xf numFmtId="165" fontId="0" fillId="0" borderId="92" xfId="0" applyNumberFormat="1" applyFont="1" applyBorder="1" applyAlignment="1">
      <alignment vertical="top" wrapText="1"/>
    </xf>
    <xf numFmtId="166" fontId="0" fillId="0" borderId="92" xfId="0" applyNumberFormat="1" applyFont="1" applyBorder="1" applyAlignment="1">
      <alignment vertical="top" wrapText="1"/>
    </xf>
    <xf numFmtId="0" fontId="0" fillId="0" borderId="92" xfId="0" applyNumberFormat="1" applyFont="1" applyBorder="1" applyAlignment="1">
      <alignment vertical="top" wrapText="1"/>
    </xf>
    <xf numFmtId="49" fontId="0" fillId="0" borderId="92" xfId="0" applyNumberFormat="1" applyFont="1" applyBorder="1" applyAlignment="1">
      <alignment horizontal="center" vertical="top" wrapText="1"/>
    </xf>
    <xf numFmtId="49" fontId="0" fillId="0" borderId="94" xfId="0" applyNumberFormat="1" applyFont="1" applyBorder="1" applyAlignment="1">
      <alignment vertical="top" wrapText="1"/>
    </xf>
    <xf numFmtId="166" fontId="0" fillId="0" borderId="95" xfId="0" applyNumberFormat="1" applyFont="1" applyBorder="1" applyAlignment="1">
      <alignment vertical="top" wrapText="1"/>
    </xf>
    <xf numFmtId="0" fontId="2" fillId="17" borderId="88" xfId="0" applyNumberFormat="1" applyFont="1" applyFill="1" applyBorder="1" applyAlignment="1">
      <alignment vertical="top" wrapText="1"/>
    </xf>
    <xf numFmtId="0" fontId="2" fillId="16" borderId="88" xfId="0" applyNumberFormat="1" applyFont="1" applyFill="1" applyBorder="1" applyAlignment="1">
      <alignment vertical="top" wrapText="1"/>
    </xf>
    <xf numFmtId="0" fontId="23" fillId="15" borderId="28" xfId="0" applyNumberFormat="1" applyFont="1" applyFill="1" applyBorder="1" applyAlignment="1">
      <alignment vertical="top" wrapText="1"/>
    </xf>
    <xf numFmtId="0" fontId="23" fillId="15" borderId="18" xfId="0" applyNumberFormat="1" applyFont="1" applyFill="1" applyBorder="1" applyAlignment="1">
      <alignment vertical="top" wrapText="1"/>
    </xf>
    <xf numFmtId="0" fontId="23" fillId="17" borderId="18" xfId="0" applyNumberFormat="1" applyFont="1" applyFill="1" applyBorder="1" applyAlignment="1">
      <alignment vertical="top" wrapText="1"/>
    </xf>
    <xf numFmtId="0" fontId="23" fillId="15" borderId="65" xfId="0" applyNumberFormat="1" applyFont="1" applyFill="1" applyBorder="1" applyAlignment="1">
      <alignment vertical="top" wrapText="1"/>
    </xf>
    <xf numFmtId="0" fontId="2" fillId="15" borderId="101" xfId="0" applyNumberFormat="1" applyFont="1" applyFill="1" applyBorder="1" applyAlignment="1">
      <alignment vertical="top" wrapText="1"/>
    </xf>
    <xf numFmtId="0" fontId="0" fillId="0" borderId="104" xfId="0" applyFont="1" applyBorder="1" applyAlignment="1">
      <alignment vertical="top" wrapText="1"/>
    </xf>
    <xf numFmtId="14" fontId="0" fillId="0" borderId="105" xfId="0" applyNumberFormat="1" applyFont="1" applyBorder="1" applyAlignment="1">
      <alignment vertical="top" wrapText="1"/>
    </xf>
    <xf numFmtId="0" fontId="0" fillId="0" borderId="91" xfId="0" applyFont="1" applyBorder="1" applyAlignment="1">
      <alignment horizontal="center" vertical="top" wrapText="1"/>
    </xf>
    <xf numFmtId="49" fontId="0" fillId="0" borderId="106" xfId="0" applyNumberFormat="1" applyFont="1" applyBorder="1" applyAlignment="1">
      <alignment vertical="top" wrapText="1"/>
    </xf>
    <xf numFmtId="0" fontId="0" fillId="0" borderId="103" xfId="0" applyFont="1" applyBorder="1" applyAlignment="1">
      <alignment horizontal="right" vertical="top" wrapText="1"/>
    </xf>
    <xf numFmtId="165" fontId="0" fillId="0" borderId="91" xfId="0" applyNumberFormat="1" applyFont="1" applyBorder="1" applyAlignment="1">
      <alignment vertical="top" wrapText="1"/>
    </xf>
    <xf numFmtId="0" fontId="23" fillId="0" borderId="90" xfId="0" applyFont="1" applyBorder="1" applyAlignment="1">
      <alignment vertical="top" wrapText="1"/>
    </xf>
    <xf numFmtId="0" fontId="23" fillId="0" borderId="103" xfId="0" applyFont="1" applyBorder="1" applyAlignment="1">
      <alignment vertical="top" wrapText="1"/>
    </xf>
    <xf numFmtId="166" fontId="0" fillId="0" borderId="103" xfId="0" applyNumberFormat="1" applyFont="1" applyBorder="1" applyAlignment="1">
      <alignment vertical="top" wrapText="1"/>
    </xf>
    <xf numFmtId="49" fontId="0" fillId="0" borderId="103" xfId="0" applyNumberFormat="1" applyFont="1" applyBorder="1" applyAlignment="1">
      <alignment vertical="top" wrapText="1"/>
    </xf>
    <xf numFmtId="167" fontId="0" fillId="0" borderId="103" xfId="0" applyNumberFormat="1" applyFont="1" applyBorder="1" applyAlignment="1">
      <alignment horizontal="right" vertical="top" wrapText="1"/>
    </xf>
    <xf numFmtId="0" fontId="0" fillId="0" borderId="103" xfId="0" applyNumberFormat="1" applyFont="1" applyBorder="1" applyAlignment="1">
      <alignment vertical="top" wrapText="1"/>
    </xf>
    <xf numFmtId="49" fontId="0" fillId="0" borderId="103" xfId="0" applyNumberFormat="1" applyFont="1" applyBorder="1" applyAlignment="1">
      <alignment horizontal="center" vertical="top" wrapText="1"/>
    </xf>
    <xf numFmtId="166" fontId="0" fillId="0" borderId="106" xfId="0" applyNumberFormat="1" applyFont="1" applyBorder="1" applyAlignment="1">
      <alignment vertical="top" wrapText="1"/>
    </xf>
    <xf numFmtId="164" fontId="0" fillId="0" borderId="66" xfId="0" applyNumberFormat="1" applyFont="1" applyBorder="1" applyAlignment="1">
      <alignment vertical="top" wrapText="1"/>
    </xf>
    <xf numFmtId="49" fontId="0" fillId="0" borderId="69" xfId="0" applyNumberFormat="1" applyFont="1" applyBorder="1" applyAlignment="1">
      <alignment vertical="top" wrapText="1"/>
    </xf>
    <xf numFmtId="0" fontId="0" fillId="0" borderId="68" xfId="0" applyNumberFormat="1" applyFont="1" applyBorder="1" applyAlignment="1">
      <alignment horizontal="center" vertical="top" wrapText="1"/>
    </xf>
    <xf numFmtId="0" fontId="0" fillId="0" borderId="67" xfId="0" applyNumberFormat="1" applyFont="1" applyBorder="1" applyAlignment="1">
      <alignment horizontal="right" vertical="top" wrapText="1"/>
    </xf>
    <xf numFmtId="0" fontId="0" fillId="0" borderId="69" xfId="0" applyNumberFormat="1" applyFont="1" applyBorder="1" applyAlignment="1">
      <alignment vertical="top" wrapText="1"/>
    </xf>
    <xf numFmtId="0" fontId="23" fillId="15" borderId="109" xfId="0" applyNumberFormat="1" applyFont="1" applyFill="1" applyBorder="1" applyAlignment="1">
      <alignment vertical="top" wrapText="1"/>
    </xf>
    <xf numFmtId="164" fontId="0" fillId="0" borderId="110" xfId="0" applyNumberFormat="1" applyFont="1" applyBorder="1" applyAlignment="1">
      <alignment vertical="top" wrapText="1"/>
    </xf>
    <xf numFmtId="49" fontId="0" fillId="0" borderId="104" xfId="0" applyNumberFormat="1" applyFont="1" applyBorder="1" applyAlignment="1">
      <alignment vertical="top" wrapText="1"/>
    </xf>
    <xf numFmtId="49" fontId="0" fillId="0" borderId="105" xfId="0" applyNumberFormat="1" applyFont="1" applyBorder="1" applyAlignment="1">
      <alignment vertical="top" wrapText="1"/>
    </xf>
    <xf numFmtId="49" fontId="0" fillId="0" borderId="91" xfId="0" applyNumberFormat="1" applyFont="1" applyBorder="1" applyAlignment="1">
      <alignment horizontal="center" vertical="top" wrapText="1"/>
    </xf>
    <xf numFmtId="49" fontId="0" fillId="0" borderId="103" xfId="0" applyNumberFormat="1" applyFont="1" applyBorder="1" applyAlignment="1">
      <alignment horizontal="right" vertical="top" wrapText="1"/>
    </xf>
    <xf numFmtId="0" fontId="23" fillId="0" borderId="88" xfId="0" applyNumberFormat="1" applyFont="1" applyBorder="1" applyAlignment="1">
      <alignment vertical="top" wrapText="1"/>
    </xf>
    <xf numFmtId="49" fontId="0" fillId="0" borderId="114" xfId="0" applyNumberFormat="1" applyFont="1" applyBorder="1" applyAlignment="1">
      <alignment vertical="top" wrapText="1"/>
    </xf>
    <xf numFmtId="0" fontId="0" fillId="0" borderId="117" xfId="0" applyNumberFormat="1" applyFont="1" applyBorder="1" applyAlignment="1">
      <alignment vertical="top" wrapText="1"/>
    </xf>
    <xf numFmtId="49" fontId="2" fillId="2" borderId="120" xfId="0" applyNumberFormat="1" applyFont="1" applyFill="1" applyBorder="1" applyAlignment="1">
      <alignment vertical="top" wrapText="1"/>
    </xf>
    <xf numFmtId="49" fontId="0" fillId="0" borderId="121" xfId="0" applyNumberFormat="1" applyFont="1" applyBorder="1" applyAlignment="1">
      <alignment vertical="top" wrapText="1"/>
    </xf>
    <xf numFmtId="49" fontId="0" fillId="0" borderId="112" xfId="0" applyNumberFormat="1" applyFont="1" applyBorder="1" applyAlignment="1">
      <alignment vertical="top" wrapText="1"/>
    </xf>
    <xf numFmtId="49" fontId="0" fillId="0" borderId="122" xfId="0" applyNumberFormat="1" applyFont="1" applyBorder="1" applyAlignment="1">
      <alignment vertical="top" wrapText="1"/>
    </xf>
    <xf numFmtId="49" fontId="0" fillId="0" borderId="123" xfId="0" applyNumberFormat="1" applyFont="1" applyBorder="1" applyAlignment="1">
      <alignment vertical="top" wrapText="1"/>
    </xf>
    <xf numFmtId="49" fontId="0" fillId="0" borderId="124" xfId="0" applyNumberFormat="1" applyFont="1" applyBorder="1" applyAlignment="1">
      <alignment vertical="top" wrapText="1"/>
    </xf>
    <xf numFmtId="49" fontId="0" fillId="0" borderId="125" xfId="0" applyNumberFormat="1" applyFont="1" applyBorder="1" applyAlignment="1">
      <alignment vertical="top" wrapText="1"/>
    </xf>
    <xf numFmtId="49" fontId="23" fillId="0" borderId="112" xfId="0" applyNumberFormat="1" applyFont="1" applyBorder="1" applyAlignment="1">
      <alignment vertical="top" wrapText="1"/>
    </xf>
    <xf numFmtId="49" fontId="23" fillId="0" borderId="124" xfId="0" applyNumberFormat="1" applyFont="1" applyBorder="1" applyAlignment="1">
      <alignment vertical="top" wrapText="1"/>
    </xf>
    <xf numFmtId="49" fontId="23" fillId="0" borderId="125" xfId="0" applyNumberFormat="1" applyFont="1" applyBorder="1" applyAlignment="1">
      <alignment vertical="top" wrapText="1"/>
    </xf>
    <xf numFmtId="49" fontId="23" fillId="0" borderId="126" xfId="0" applyNumberFormat="1" applyFont="1" applyBorder="1" applyAlignment="1">
      <alignment vertical="top" wrapText="1"/>
    </xf>
    <xf numFmtId="49" fontId="23" fillId="0" borderId="127" xfId="0" applyNumberFormat="1" applyFont="1" applyBorder="1" applyAlignment="1">
      <alignment vertical="top" wrapText="1"/>
    </xf>
    <xf numFmtId="49" fontId="23" fillId="0" borderId="129" xfId="0" applyNumberFormat="1" applyFont="1" applyBorder="1" applyAlignment="1">
      <alignment vertical="top" wrapText="1"/>
    </xf>
    <xf numFmtId="0" fontId="0" fillId="0" borderId="126" xfId="0" applyNumberFormat="1" applyFont="1" applyBorder="1" applyAlignment="1">
      <alignment vertical="top" wrapText="1"/>
    </xf>
    <xf numFmtId="0" fontId="23" fillId="0" borderId="126" xfId="0" applyNumberFormat="1" applyFont="1" applyBorder="1" applyAlignment="1">
      <alignment vertical="top" wrapText="1"/>
    </xf>
    <xf numFmtId="49" fontId="0" fillId="0" borderId="132" xfId="0" applyNumberFormat="1" applyFont="1" applyBorder="1" applyAlignment="1">
      <alignment vertical="top" wrapText="1"/>
    </xf>
    <xf numFmtId="49" fontId="0" fillId="0" borderId="133" xfId="0" applyNumberFormat="1" applyFont="1" applyBorder="1" applyAlignment="1">
      <alignment vertical="top" wrapText="1"/>
    </xf>
    <xf numFmtId="49" fontId="0" fillId="0" borderId="134" xfId="0" applyNumberFormat="1" applyFont="1" applyBorder="1" applyAlignment="1">
      <alignment vertical="top" wrapText="1"/>
    </xf>
    <xf numFmtId="0" fontId="0" fillId="0" borderId="131" xfId="0" applyNumberFormat="1" applyFont="1" applyBorder="1" applyAlignment="1">
      <alignment vertical="top" wrapText="1"/>
    </xf>
    <xf numFmtId="49" fontId="0" fillId="0" borderId="135" xfId="0" applyNumberFormat="1" applyFont="1" applyBorder="1" applyAlignment="1">
      <alignment vertical="top" wrapText="1"/>
    </xf>
    <xf numFmtId="49" fontId="0" fillId="0" borderId="130" xfId="0" applyNumberFormat="1" applyFont="1" applyBorder="1" applyAlignment="1">
      <alignment vertical="top" wrapText="1"/>
    </xf>
    <xf numFmtId="0" fontId="0" fillId="0" borderId="136" xfId="0" applyNumberFormat="1" applyFont="1" applyBorder="1" applyAlignment="1">
      <alignment vertical="top" wrapText="1"/>
    </xf>
    <xf numFmtId="0" fontId="23" fillId="0" borderId="136" xfId="0" applyNumberFormat="1" applyFont="1" applyBorder="1" applyAlignment="1">
      <alignment vertical="top" wrapText="1"/>
    </xf>
    <xf numFmtId="0" fontId="2" fillId="2" borderId="112" xfId="0" applyFont="1" applyFill="1" applyBorder="1" applyAlignment="1">
      <alignment horizontal="center" vertical="top" wrapText="1"/>
    </xf>
    <xf numFmtId="49" fontId="2" fillId="2" borderId="139" xfId="0" applyNumberFormat="1" applyFont="1" applyFill="1" applyBorder="1" applyAlignment="1">
      <alignment vertical="top" wrapText="1"/>
    </xf>
    <xf numFmtId="49" fontId="0" fillId="0" borderId="140" xfId="0" applyNumberFormat="1" applyFont="1" applyBorder="1" applyAlignment="1">
      <alignment horizontal="left" vertical="top" wrapText="1"/>
    </xf>
    <xf numFmtId="49" fontId="0" fillId="0" borderId="112" xfId="0" applyNumberFormat="1" applyFont="1" applyBorder="1" applyAlignment="1">
      <alignment horizontal="left" vertical="top" wrapText="1"/>
    </xf>
    <xf numFmtId="0" fontId="0" fillId="0" borderId="112" xfId="0" applyFont="1" applyBorder="1" applyAlignment="1">
      <alignment vertical="top" wrapText="1"/>
    </xf>
    <xf numFmtId="0" fontId="23" fillId="0" borderId="112" xfId="0" applyFont="1" applyBorder="1" applyAlignment="1">
      <alignment vertical="top" wrapText="1"/>
    </xf>
    <xf numFmtId="0" fontId="23" fillId="0" borderId="124" xfId="0" applyFont="1" applyBorder="1" applyAlignment="1">
      <alignment vertical="top" wrapText="1"/>
    </xf>
    <xf numFmtId="0" fontId="23" fillId="0" borderId="126" xfId="0" applyFont="1" applyBorder="1" applyAlignment="1">
      <alignment vertical="top" wrapText="1"/>
    </xf>
    <xf numFmtId="0" fontId="23" fillId="0" borderId="129" xfId="0" applyFont="1" applyBorder="1" applyAlignment="1">
      <alignment vertical="top" wrapText="1"/>
    </xf>
    <xf numFmtId="49" fontId="2" fillId="2" borderId="141" xfId="0" applyNumberFormat="1" applyFont="1" applyFill="1" applyBorder="1" applyAlignment="1">
      <alignment vertical="top" wrapText="1"/>
    </xf>
    <xf numFmtId="49" fontId="0" fillId="0" borderId="142" xfId="0" applyNumberFormat="1" applyFont="1" applyBorder="1" applyAlignment="1">
      <alignment vertical="top" wrapText="1"/>
    </xf>
    <xf numFmtId="0" fontId="0" fillId="0" borderId="133" xfId="0" applyFont="1" applyBorder="1" applyAlignment="1">
      <alignment vertical="top" wrapText="1"/>
    </xf>
    <xf numFmtId="0" fontId="23" fillId="0" borderId="133" xfId="0" applyFont="1" applyBorder="1" applyAlignment="1">
      <alignment vertical="top" wrapText="1"/>
    </xf>
    <xf numFmtId="0" fontId="23" fillId="0" borderId="130" xfId="0" applyFont="1" applyBorder="1" applyAlignment="1">
      <alignment vertical="top" wrapText="1"/>
    </xf>
    <xf numFmtId="0" fontId="23" fillId="0" borderId="136" xfId="0" applyFont="1" applyBorder="1" applyAlignment="1">
      <alignment vertical="top" wrapText="1"/>
    </xf>
    <xf numFmtId="0" fontId="23" fillId="0" borderId="138" xfId="0" applyFont="1" applyBorder="1" applyAlignment="1">
      <alignment vertical="top" wrapText="1"/>
    </xf>
    <xf numFmtId="0" fontId="2" fillId="2" borderId="114" xfId="0" applyFont="1" applyFill="1" applyBorder="1" applyAlignment="1">
      <alignment horizontal="center" vertical="top" wrapText="1"/>
    </xf>
    <xf numFmtId="49" fontId="2" fillId="2" borderId="143" xfId="0" applyNumberFormat="1" applyFont="1" applyFill="1" applyBorder="1" applyAlignment="1">
      <alignment vertical="top" wrapText="1"/>
    </xf>
    <xf numFmtId="0" fontId="0" fillId="0" borderId="144" xfId="0" applyFont="1" applyBorder="1" applyAlignment="1">
      <alignment vertical="top" wrapText="1"/>
    </xf>
    <xf numFmtId="0" fontId="0" fillId="0" borderId="114" xfId="0" applyFont="1" applyBorder="1" applyAlignment="1">
      <alignment vertical="top" wrapText="1"/>
    </xf>
    <xf numFmtId="0" fontId="0" fillId="0" borderId="115" xfId="0" applyFont="1" applyBorder="1" applyAlignment="1">
      <alignment vertical="top" wrapText="1"/>
    </xf>
    <xf numFmtId="0" fontId="0" fillId="0" borderId="116" xfId="0" applyFont="1" applyBorder="1" applyAlignment="1">
      <alignment vertical="top" wrapText="1"/>
    </xf>
    <xf numFmtId="0" fontId="0" fillId="5" borderId="114" xfId="0" applyFont="1" applyFill="1" applyBorder="1" applyAlignment="1">
      <alignment vertical="top" wrapText="1"/>
    </xf>
    <xf numFmtId="0" fontId="0" fillId="0" borderId="111" xfId="0" applyFont="1" applyBorder="1" applyAlignment="1">
      <alignment vertical="top" wrapText="1"/>
    </xf>
    <xf numFmtId="0" fontId="0" fillId="0" borderId="113" xfId="0" applyFont="1" applyBorder="1" applyAlignment="1">
      <alignment vertical="top" wrapText="1"/>
    </xf>
    <xf numFmtId="0" fontId="0" fillId="0" borderId="114" xfId="0" applyNumberFormat="1" applyFont="1" applyBorder="1" applyAlignment="1">
      <alignment vertical="top" wrapText="1"/>
    </xf>
    <xf numFmtId="0" fontId="23" fillId="0" borderId="114" xfId="0" applyFont="1" applyBorder="1" applyAlignment="1">
      <alignment vertical="top" wrapText="1"/>
    </xf>
    <xf numFmtId="0" fontId="0" fillId="0" borderId="117" xfId="0" applyFont="1" applyBorder="1" applyAlignment="1">
      <alignment vertical="top" wrapText="1"/>
    </xf>
    <xf numFmtId="0" fontId="23" fillId="0" borderId="117" xfId="0" applyFont="1" applyBorder="1" applyAlignment="1">
      <alignment vertical="top" wrapText="1"/>
    </xf>
    <xf numFmtId="0" fontId="0" fillId="0" borderId="118" xfId="0" applyFont="1" applyBorder="1" applyAlignment="1">
      <alignment vertical="top" wrapText="1"/>
    </xf>
    <xf numFmtId="0" fontId="0" fillId="0" borderId="119" xfId="0" applyFont="1" applyBorder="1" applyAlignment="1">
      <alignment vertical="top" wrapText="1"/>
    </xf>
    <xf numFmtId="0" fontId="23" fillId="0" borderId="1" xfId="0" applyNumberFormat="1" applyFont="1" applyBorder="1" applyAlignment="1">
      <alignment horizontal="center" vertical="top" wrapText="1"/>
    </xf>
    <xf numFmtId="49" fontId="2" fillId="2" borderId="147" xfId="0" applyNumberFormat="1" applyFont="1" applyFill="1" applyBorder="1" applyAlignment="1">
      <alignment vertical="top" wrapText="1"/>
    </xf>
    <xf numFmtId="49" fontId="0" fillId="0" borderId="148" xfId="0" applyNumberFormat="1" applyFont="1" applyBorder="1" applyAlignment="1">
      <alignment vertical="top" wrapText="1"/>
    </xf>
    <xf numFmtId="0" fontId="0" fillId="0" borderId="149" xfId="0" applyNumberFormat="1" applyFont="1" applyBorder="1" applyAlignment="1">
      <alignment vertical="top" wrapText="1"/>
    </xf>
    <xf numFmtId="49" fontId="2" fillId="2" borderId="153" xfId="0" applyNumberFormat="1" applyFont="1" applyFill="1" applyBorder="1" applyAlignment="1">
      <alignment vertical="top" wrapText="1"/>
    </xf>
    <xf numFmtId="49" fontId="2" fillId="2" borderId="93" xfId="0" applyNumberFormat="1" applyFont="1" applyFill="1" applyBorder="1" applyAlignment="1">
      <alignment vertical="top" wrapText="1"/>
    </xf>
    <xf numFmtId="49" fontId="2" fillId="2" borderId="93" xfId="0" applyNumberFormat="1" applyFont="1" applyFill="1" applyBorder="1" applyAlignment="1">
      <alignment horizontal="right" vertical="top" wrapText="1"/>
    </xf>
    <xf numFmtId="49" fontId="2" fillId="2" borderId="159" xfId="0" applyNumberFormat="1" applyFont="1" applyFill="1" applyBorder="1" applyAlignment="1">
      <alignment vertical="top" wrapText="1"/>
    </xf>
    <xf numFmtId="49" fontId="2" fillId="2" borderId="160" xfId="0" applyNumberFormat="1" applyFont="1" applyFill="1" applyBorder="1" applyAlignment="1">
      <alignment vertical="top" wrapText="1"/>
    </xf>
    <xf numFmtId="49" fontId="2" fillId="2" borderId="161" xfId="0" applyNumberFormat="1" applyFont="1" applyFill="1" applyBorder="1" applyAlignment="1">
      <alignment vertical="top" wrapText="1"/>
    </xf>
    <xf numFmtId="0" fontId="0" fillId="0" borderId="165" xfId="0" applyNumberFormat="1" applyFont="1" applyBorder="1" applyAlignment="1">
      <alignment vertical="top" wrapText="1"/>
    </xf>
    <xf numFmtId="0" fontId="0" fillId="0" borderId="161" xfId="0" applyNumberFormat="1" applyFont="1" applyBorder="1" applyAlignment="1">
      <alignment vertical="top" wrapText="1"/>
    </xf>
    <xf numFmtId="0" fontId="0" fillId="0" borderId="166" xfId="0" applyNumberFormat="1" applyFont="1" applyBorder="1" applyAlignment="1">
      <alignment vertical="top" wrapText="1"/>
    </xf>
    <xf numFmtId="0" fontId="0" fillId="0" borderId="164" xfId="0" applyNumberFormat="1" applyFont="1" applyBorder="1" applyAlignment="1">
      <alignment vertical="top" wrapText="1"/>
    </xf>
    <xf numFmtId="0" fontId="23" fillId="0" borderId="163" xfId="0" applyNumberFormat="1" applyFont="1" applyBorder="1" applyAlignment="1">
      <alignment vertical="top" wrapText="1"/>
    </xf>
    <xf numFmtId="0" fontId="23" fillId="0" borderId="162" xfId="0" applyNumberFormat="1" applyFont="1" applyBorder="1" applyAlignment="1">
      <alignment vertical="top" wrapText="1"/>
    </xf>
    <xf numFmtId="0" fontId="23" fillId="0" borderId="167" xfId="0" applyNumberFormat="1" applyFont="1" applyBorder="1" applyAlignment="1">
      <alignment vertical="top" wrapText="1"/>
    </xf>
    <xf numFmtId="0" fontId="23" fillId="0" borderId="158" xfId="0" applyNumberFormat="1" applyFont="1" applyBorder="1" applyAlignment="1">
      <alignment vertical="top" wrapText="1"/>
    </xf>
    <xf numFmtId="0" fontId="0" fillId="0" borderId="167" xfId="0" applyNumberFormat="1" applyFont="1" applyBorder="1" applyAlignment="1">
      <alignment vertical="top" wrapText="1"/>
    </xf>
    <xf numFmtId="0" fontId="0" fillId="0" borderId="158" xfId="0" applyNumberFormat="1" applyFont="1" applyBorder="1" applyAlignment="1">
      <alignment vertical="top" wrapText="1"/>
    </xf>
    <xf numFmtId="49" fontId="2" fillId="2" borderId="169" xfId="0" applyNumberFormat="1" applyFont="1" applyFill="1" applyBorder="1" applyAlignment="1">
      <alignment vertical="top" wrapText="1"/>
    </xf>
    <xf numFmtId="0" fontId="0" fillId="0" borderId="171" xfId="0" applyNumberFormat="1" applyFont="1" applyBorder="1" applyAlignment="1">
      <alignment vertical="top" wrapText="1"/>
    </xf>
    <xf numFmtId="0" fontId="0" fillId="0" borderId="173" xfId="0" applyNumberFormat="1" applyFont="1" applyBorder="1" applyAlignment="1">
      <alignment vertical="top" wrapText="1"/>
    </xf>
    <xf numFmtId="0" fontId="23" fillId="0" borderId="170" xfId="0" applyNumberFormat="1" applyFont="1" applyBorder="1" applyAlignment="1">
      <alignment vertical="top" wrapText="1"/>
    </xf>
    <xf numFmtId="0" fontId="23" fillId="0" borderId="174" xfId="0" applyNumberFormat="1" applyFont="1" applyBorder="1" applyAlignment="1">
      <alignment vertical="top" wrapText="1"/>
    </xf>
    <xf numFmtId="0" fontId="0" fillId="0" borderId="174" xfId="0" applyNumberFormat="1" applyFont="1" applyBorder="1" applyAlignment="1">
      <alignment vertical="top" wrapText="1"/>
    </xf>
    <xf numFmtId="49" fontId="2" fillId="2" borderId="171" xfId="0" applyNumberFormat="1" applyFont="1" applyFill="1" applyBorder="1" applyAlignment="1">
      <alignment vertical="top" wrapText="1"/>
    </xf>
    <xf numFmtId="49" fontId="2" fillId="2" borderId="175" xfId="0" applyNumberFormat="1" applyFont="1" applyFill="1" applyBorder="1" applyAlignment="1">
      <alignment vertical="top" wrapText="1"/>
    </xf>
    <xf numFmtId="49" fontId="2" fillId="2" borderId="177" xfId="0" applyNumberFormat="1" applyFont="1" applyFill="1" applyBorder="1" applyAlignment="1">
      <alignment vertical="top" wrapText="1"/>
    </xf>
    <xf numFmtId="0" fontId="0" fillId="0" borderId="179" xfId="0" applyNumberFormat="1" applyFont="1" applyBorder="1" applyAlignment="1">
      <alignment vertical="top" wrapText="1"/>
    </xf>
    <xf numFmtId="0" fontId="0" fillId="0" borderId="180" xfId="0" applyNumberFormat="1" applyFont="1" applyBorder="1" applyAlignment="1">
      <alignment vertical="top" wrapText="1"/>
    </xf>
    <xf numFmtId="0" fontId="23" fillId="0" borderId="178" xfId="0" applyNumberFormat="1" applyFont="1" applyBorder="1" applyAlignment="1">
      <alignment vertical="top" wrapText="1"/>
    </xf>
    <xf numFmtId="0" fontId="23" fillId="0" borderId="176" xfId="0" applyNumberFormat="1" applyFont="1" applyBorder="1" applyAlignment="1">
      <alignment vertical="top" wrapText="1"/>
    </xf>
    <xf numFmtId="0" fontId="0" fillId="0" borderId="176" xfId="0" applyNumberFormat="1" applyFont="1" applyBorder="1" applyAlignment="1">
      <alignment vertical="top" wrapText="1"/>
    </xf>
    <xf numFmtId="49" fontId="2" fillId="2" borderId="179" xfId="0" applyNumberFormat="1" applyFont="1" applyFill="1" applyBorder="1" applyAlignment="1">
      <alignment vertical="top" wrapText="1"/>
    </xf>
    <xf numFmtId="49" fontId="2" fillId="2" borderId="168" xfId="0" applyNumberFormat="1" applyFont="1" applyFill="1" applyBorder="1" applyAlignment="1">
      <alignment vertical="top" wrapText="1"/>
    </xf>
    <xf numFmtId="0" fontId="0" fillId="0" borderId="168" xfId="0" applyNumberFormat="1" applyFont="1" applyBorder="1" applyAlignment="1">
      <alignment vertical="top" wrapText="1"/>
    </xf>
    <xf numFmtId="0" fontId="0" fillId="0" borderId="182" xfId="0" applyNumberFormat="1" applyFont="1" applyBorder="1" applyAlignment="1">
      <alignment vertical="top" wrapText="1"/>
    </xf>
    <xf numFmtId="0" fontId="23" fillId="0" borderId="183" xfId="0" applyNumberFormat="1" applyFont="1" applyBorder="1" applyAlignment="1">
      <alignment vertical="top" wrapText="1"/>
    </xf>
    <xf numFmtId="0" fontId="0" fillId="0" borderId="181" xfId="0" applyNumberFormat="1" applyFont="1" applyBorder="1" applyAlignment="1">
      <alignment vertical="top" wrapText="1"/>
    </xf>
    <xf numFmtId="14" fontId="23" fillId="0" borderId="88" xfId="0" applyNumberFormat="1" applyFont="1" applyBorder="1" applyAlignment="1">
      <alignment vertical="top" wrapText="1"/>
    </xf>
    <xf numFmtId="170" fontId="0" fillId="0" borderId="88" xfId="0" applyNumberFormat="1" applyFont="1" applyBorder="1" applyAlignment="1">
      <alignment vertical="top" wrapText="1"/>
    </xf>
    <xf numFmtId="0" fontId="23" fillId="0" borderId="185" xfId="0" applyNumberFormat="1" applyFont="1" applyBorder="1" applyAlignment="1">
      <alignment vertical="top" wrapText="1"/>
    </xf>
    <xf numFmtId="0" fontId="23" fillId="0" borderId="186" xfId="0" applyNumberFormat="1" applyFont="1" applyBorder="1" applyAlignment="1">
      <alignment vertical="top" wrapText="1"/>
    </xf>
    <xf numFmtId="0" fontId="23" fillId="0" borderId="187" xfId="0" applyNumberFormat="1" applyFont="1" applyBorder="1" applyAlignment="1">
      <alignment vertical="top" wrapText="1"/>
    </xf>
    <xf numFmtId="0" fontId="23" fillId="20" borderId="3" xfId="0" applyFont="1" applyFill="1" applyBorder="1" applyAlignment="1">
      <alignment vertical="top" wrapText="1"/>
    </xf>
    <xf numFmtId="0" fontId="2" fillId="2" borderId="81" xfId="0" applyFont="1" applyFill="1" applyBorder="1" applyAlignment="1">
      <alignment horizontal="center" vertical="top" wrapText="1"/>
    </xf>
    <xf numFmtId="49" fontId="2" fillId="2" borderId="0" xfId="0" applyNumberFormat="1" applyFont="1" applyFill="1" applyBorder="1" applyAlignment="1">
      <alignment vertical="top" wrapText="1"/>
    </xf>
    <xf numFmtId="49" fontId="2" fillId="2" borderId="188" xfId="0" applyNumberFormat="1" applyFont="1" applyFill="1" applyBorder="1" applyAlignment="1">
      <alignment vertical="top" wrapText="1"/>
    </xf>
    <xf numFmtId="0" fontId="0" fillId="0" borderId="78" xfId="0" applyFont="1" applyBorder="1" applyAlignment="1">
      <alignment vertical="top" wrapText="1"/>
    </xf>
    <xf numFmtId="0" fontId="0" fillId="0" borderId="79" xfId="0" applyFont="1" applyBorder="1" applyAlignment="1">
      <alignment vertical="top" wrapText="1"/>
    </xf>
    <xf numFmtId="0" fontId="0" fillId="0" borderId="80" xfId="0" applyFont="1" applyBorder="1" applyAlignment="1">
      <alignment vertical="top" wrapText="1"/>
    </xf>
    <xf numFmtId="0" fontId="0" fillId="5" borderId="76" xfId="0" applyFont="1" applyFill="1" applyBorder="1" applyAlignment="1">
      <alignment vertical="top" wrapText="1"/>
    </xf>
    <xf numFmtId="0" fontId="0" fillId="0" borderId="105" xfId="0" applyFont="1" applyBorder="1" applyAlignment="1">
      <alignment vertical="top" wrapText="1"/>
    </xf>
    <xf numFmtId="0" fontId="0" fillId="0" borderId="76" xfId="0" applyNumberFormat="1" applyFont="1" applyBorder="1" applyAlignment="1">
      <alignment vertical="top" wrapText="1"/>
    </xf>
    <xf numFmtId="0" fontId="0" fillId="0" borderId="0" xfId="0" applyFont="1" applyBorder="1" applyAlignment="1">
      <alignment vertical="top" wrapText="1"/>
    </xf>
    <xf numFmtId="0" fontId="23" fillId="0" borderId="189" xfId="0" applyFont="1" applyBorder="1" applyAlignment="1">
      <alignment vertical="top" wrapText="1"/>
    </xf>
    <xf numFmtId="0" fontId="0" fillId="0" borderId="189" xfId="0" applyFont="1" applyBorder="1" applyAlignment="1">
      <alignment vertical="top" wrapText="1"/>
    </xf>
    <xf numFmtId="0" fontId="0" fillId="0" borderId="189" xfId="0" applyNumberFormat="1" applyFont="1" applyBorder="1" applyAlignment="1">
      <alignment vertical="top" wrapText="1"/>
    </xf>
    <xf numFmtId="0" fontId="23" fillId="21" borderId="96" xfId="0" applyNumberFormat="1" applyFont="1" applyFill="1" applyBorder="1" applyAlignment="1">
      <alignment vertical="center" wrapText="1"/>
    </xf>
    <xf numFmtId="14" fontId="2" fillId="21" borderId="97" xfId="0" applyNumberFormat="1" applyFont="1" applyFill="1" applyBorder="1" applyAlignment="1">
      <alignment vertical="center" wrapText="1"/>
    </xf>
    <xf numFmtId="167" fontId="2" fillId="21" borderId="97" xfId="0" applyNumberFormat="1" applyFont="1" applyFill="1" applyBorder="1" applyAlignment="1">
      <alignment vertical="center" wrapText="1"/>
    </xf>
    <xf numFmtId="49" fontId="23" fillId="21" borderId="97" xfId="0" applyNumberFormat="1" applyFont="1" applyFill="1" applyBorder="1" applyAlignment="1">
      <alignment vertical="center" wrapText="1"/>
    </xf>
    <xf numFmtId="0" fontId="23" fillId="21" borderId="100" xfId="0" applyFont="1" applyFill="1" applyBorder="1" applyAlignment="1">
      <alignment vertical="center" wrapText="1"/>
    </xf>
    <xf numFmtId="0" fontId="23" fillId="21" borderId="128" xfId="0" applyFont="1" applyFill="1" applyBorder="1" applyAlignment="1">
      <alignment vertical="center" wrapText="1"/>
    </xf>
    <xf numFmtId="0" fontId="0" fillId="21" borderId="97" xfId="0" applyFont="1" applyFill="1" applyBorder="1" applyAlignment="1">
      <alignment vertical="center" wrapText="1"/>
    </xf>
    <xf numFmtId="0" fontId="23" fillId="21" borderId="97" xfId="0" applyFont="1" applyFill="1" applyBorder="1" applyAlignment="1">
      <alignment horizontal="center" vertical="center" wrapText="1"/>
    </xf>
    <xf numFmtId="49" fontId="0" fillId="21" borderId="97" xfId="0" applyNumberFormat="1" applyFont="1" applyFill="1" applyBorder="1" applyAlignment="1">
      <alignment vertical="center" wrapText="1"/>
    </xf>
    <xf numFmtId="0" fontId="0" fillId="21" borderId="97" xfId="0" applyFont="1" applyFill="1" applyBorder="1" applyAlignment="1">
      <alignment horizontal="right" vertical="center" wrapText="1"/>
    </xf>
    <xf numFmtId="165" fontId="0" fillId="21" borderId="97" xfId="0" applyNumberFormat="1" applyFont="1" applyFill="1" applyBorder="1" applyAlignment="1">
      <alignment vertical="center" wrapText="1"/>
    </xf>
    <xf numFmtId="0" fontId="23" fillId="21" borderId="97" xfId="0" applyFont="1" applyFill="1" applyBorder="1" applyAlignment="1">
      <alignment vertical="center" wrapText="1"/>
    </xf>
    <xf numFmtId="0" fontId="0" fillId="21" borderId="100" xfId="0" applyFont="1" applyFill="1" applyBorder="1" applyAlignment="1">
      <alignment vertical="center" wrapText="1"/>
    </xf>
    <xf numFmtId="0" fontId="0" fillId="21" borderId="107" xfId="0" applyFont="1" applyFill="1" applyBorder="1" applyAlignment="1">
      <alignment vertical="center" wrapText="1"/>
    </xf>
    <xf numFmtId="0" fontId="23" fillId="21" borderId="128" xfId="0" applyNumberFormat="1" applyFont="1" applyFill="1" applyBorder="1" applyAlignment="1">
      <alignment vertical="center" wrapText="1"/>
    </xf>
    <xf numFmtId="0" fontId="23" fillId="21" borderId="97" xfId="0" applyNumberFormat="1" applyFont="1" applyFill="1" applyBorder="1" applyAlignment="1">
      <alignment vertical="center" wrapText="1"/>
    </xf>
    <xf numFmtId="166" fontId="0" fillId="21" borderId="97" xfId="0" applyNumberFormat="1" applyFont="1" applyFill="1" applyBorder="1" applyAlignment="1">
      <alignment vertical="center" wrapText="1"/>
    </xf>
    <xf numFmtId="0" fontId="0" fillId="21" borderId="97" xfId="0" applyNumberFormat="1" applyFont="1" applyFill="1" applyBorder="1" applyAlignment="1">
      <alignment vertical="center" wrapText="1"/>
    </xf>
    <xf numFmtId="167" fontId="0" fillId="21" borderId="97" xfId="0" applyNumberFormat="1" applyFont="1" applyFill="1" applyBorder="1" applyAlignment="1">
      <alignment vertical="center" wrapText="1"/>
    </xf>
    <xf numFmtId="0" fontId="0" fillId="21" borderId="97" xfId="0" applyNumberFormat="1" applyFont="1" applyFill="1" applyBorder="1" applyAlignment="1">
      <alignment horizontal="center" vertical="center" wrapText="1"/>
    </xf>
    <xf numFmtId="0" fontId="23" fillId="21" borderId="98" xfId="0" applyNumberFormat="1" applyFont="1" applyFill="1" applyBorder="1" applyAlignment="1">
      <alignment vertical="center" wrapText="1"/>
    </xf>
    <xf numFmtId="166" fontId="0" fillId="21" borderId="99" xfId="0" applyNumberFormat="1" applyFont="1" applyFill="1" applyBorder="1" applyAlignment="1">
      <alignment vertical="center" wrapText="1"/>
    </xf>
    <xf numFmtId="166" fontId="0" fillId="21" borderId="100" xfId="0" applyNumberFormat="1" applyFont="1" applyFill="1" applyBorder="1" applyAlignment="1">
      <alignment vertical="center" wrapText="1"/>
    </xf>
    <xf numFmtId="0" fontId="0" fillId="21" borderId="0" xfId="0" applyNumberFormat="1" applyFont="1" applyFill="1" applyAlignment="1">
      <alignment vertical="center" wrapText="1"/>
    </xf>
    <xf numFmtId="0" fontId="0" fillId="21" borderId="0" xfId="0" applyFont="1" applyFill="1" applyAlignment="1">
      <alignment vertical="center" wrapText="1"/>
    </xf>
    <xf numFmtId="0" fontId="0" fillId="18" borderId="107" xfId="0" applyNumberFormat="1" applyFont="1" applyFill="1" applyBorder="1" applyAlignment="1">
      <alignment vertical="center" wrapText="1"/>
    </xf>
    <xf numFmtId="0" fontId="0" fillId="18" borderId="108" xfId="0" applyNumberFormat="1" applyFont="1" applyFill="1" applyBorder="1" applyAlignment="1">
      <alignment vertical="center" wrapText="1"/>
    </xf>
    <xf numFmtId="0" fontId="0" fillId="18" borderId="0" xfId="0" applyNumberFormat="1" applyFont="1" applyFill="1" applyAlignment="1">
      <alignment vertical="center" wrapText="1"/>
    </xf>
    <xf numFmtId="0" fontId="0" fillId="18" borderId="0" xfId="0" applyFont="1" applyFill="1" applyAlignment="1">
      <alignment vertical="center" wrapText="1"/>
    </xf>
    <xf numFmtId="167" fontId="0" fillId="18" borderId="107" xfId="0" applyNumberFormat="1" applyFont="1" applyFill="1" applyBorder="1" applyAlignment="1">
      <alignment vertical="center" wrapText="1"/>
    </xf>
    <xf numFmtId="0" fontId="23" fillId="18" borderId="107" xfId="0" applyNumberFormat="1" applyFont="1" applyFill="1" applyBorder="1" applyAlignment="1">
      <alignment vertical="center" wrapText="1"/>
    </xf>
    <xf numFmtId="166" fontId="0" fillId="18" borderId="107" xfId="0" applyNumberFormat="1" applyFont="1" applyFill="1" applyBorder="1" applyAlignment="1">
      <alignment vertical="center" wrapText="1"/>
    </xf>
    <xf numFmtId="49" fontId="2" fillId="12" borderId="181" xfId="0" applyNumberFormat="1" applyFont="1" applyFill="1" applyBorder="1" applyAlignment="1">
      <alignment horizontal="center" vertical="center" wrapText="1"/>
    </xf>
    <xf numFmtId="0" fontId="23" fillId="24" borderId="172" xfId="0" applyNumberFormat="1" applyFont="1" applyFill="1" applyBorder="1" applyAlignment="1">
      <alignment vertical="center" wrapText="1"/>
    </xf>
    <xf numFmtId="0" fontId="23" fillId="14" borderId="172" xfId="0" applyNumberFormat="1" applyFont="1" applyFill="1" applyBorder="1" applyAlignment="1">
      <alignment vertical="center" wrapText="1"/>
    </xf>
    <xf numFmtId="0" fontId="23" fillId="23" borderId="172" xfId="0" applyNumberFormat="1" applyFont="1" applyFill="1" applyBorder="1" applyAlignment="1">
      <alignment vertical="center" wrapText="1"/>
    </xf>
    <xf numFmtId="0" fontId="23" fillId="19" borderId="172" xfId="0" applyNumberFormat="1" applyFont="1" applyFill="1" applyBorder="1" applyAlignment="1">
      <alignment vertical="center" wrapText="1"/>
    </xf>
    <xf numFmtId="0" fontId="23" fillId="22" borderId="172" xfId="0" applyNumberFormat="1" applyFont="1" applyFill="1" applyBorder="1" applyAlignment="1">
      <alignment vertical="center" wrapText="1"/>
    </xf>
    <xf numFmtId="0" fontId="23" fillId="22" borderId="184" xfId="0" applyNumberFormat="1" applyFont="1" applyFill="1" applyBorder="1" applyAlignment="1">
      <alignment vertical="center" wrapText="1"/>
    </xf>
    <xf numFmtId="0" fontId="23" fillId="19" borderId="184" xfId="0" applyNumberFormat="1" applyFont="1" applyFill="1" applyBorder="1" applyAlignment="1">
      <alignment vertical="center" wrapText="1"/>
    </xf>
    <xf numFmtId="0" fontId="23" fillId="23" borderId="184" xfId="0" applyNumberFormat="1" applyFont="1" applyFill="1" applyBorder="1" applyAlignment="1">
      <alignment vertical="center" wrapText="1"/>
    </xf>
    <xf numFmtId="0" fontId="23" fillId="14" borderId="184" xfId="0" applyNumberFormat="1" applyFont="1" applyFill="1" applyBorder="1" applyAlignment="1">
      <alignment vertical="center" wrapText="1"/>
    </xf>
    <xf numFmtId="0" fontId="23" fillId="24" borderId="184" xfId="0" applyNumberFormat="1" applyFont="1" applyFill="1" applyBorder="1" applyAlignment="1">
      <alignment vertical="center" wrapText="1"/>
    </xf>
    <xf numFmtId="0" fontId="2" fillId="19" borderId="184" xfId="0" applyNumberFormat="1" applyFont="1" applyFill="1" applyBorder="1" applyAlignment="1">
      <alignment vertical="center" wrapText="1"/>
    </xf>
    <xf numFmtId="0" fontId="2" fillId="23" borderId="184" xfId="0" applyNumberFormat="1" applyFont="1" applyFill="1" applyBorder="1" applyAlignment="1">
      <alignment vertical="center" wrapText="1"/>
    </xf>
    <xf numFmtId="0" fontId="2" fillId="14" borderId="184" xfId="0" applyNumberFormat="1" applyFont="1" applyFill="1" applyBorder="1" applyAlignment="1">
      <alignment vertical="center" wrapText="1"/>
    </xf>
    <xf numFmtId="0" fontId="2" fillId="24" borderId="184" xfId="0" applyNumberFormat="1" applyFont="1" applyFill="1" applyBorder="1" applyAlignment="1">
      <alignment vertical="center" wrapText="1"/>
    </xf>
    <xf numFmtId="0" fontId="2" fillId="12" borderId="184" xfId="0" applyNumberFormat="1" applyFont="1" applyFill="1" applyBorder="1" applyAlignment="1">
      <alignment vertical="center" wrapText="1"/>
    </xf>
    <xf numFmtId="0" fontId="2" fillId="22" borderId="172" xfId="0" applyNumberFormat="1" applyFont="1" applyFill="1" applyBorder="1" applyAlignment="1">
      <alignment vertical="center" wrapText="1"/>
    </xf>
    <xf numFmtId="0" fontId="2" fillId="19" borderId="172" xfId="0" applyNumberFormat="1" applyFont="1" applyFill="1" applyBorder="1" applyAlignment="1">
      <alignment vertical="center" wrapText="1"/>
    </xf>
    <xf numFmtId="0" fontId="2" fillId="23" borderId="172" xfId="0" applyNumberFormat="1" applyFont="1" applyFill="1" applyBorder="1" applyAlignment="1">
      <alignment vertical="center" wrapText="1"/>
    </xf>
    <xf numFmtId="0" fontId="2" fillId="14" borderId="172" xfId="0" applyNumberFormat="1" applyFont="1" applyFill="1" applyBorder="1" applyAlignment="1">
      <alignment vertical="center" wrapText="1"/>
    </xf>
    <xf numFmtId="0" fontId="2" fillId="24" borderId="172" xfId="0" applyNumberFormat="1" applyFont="1" applyFill="1" applyBorder="1" applyAlignment="1">
      <alignment vertical="center" wrapText="1"/>
    </xf>
    <xf numFmtId="0" fontId="2" fillId="12" borderId="172" xfId="0" applyNumberFormat="1" applyFont="1" applyFill="1" applyBorder="1" applyAlignment="1">
      <alignment vertical="center" wrapText="1"/>
    </xf>
    <xf numFmtId="0" fontId="2" fillId="22" borderId="190" xfId="0" applyNumberFormat="1" applyFont="1" applyFill="1" applyBorder="1" applyAlignment="1">
      <alignment vertical="center" wrapText="1"/>
    </xf>
    <xf numFmtId="49" fontId="23" fillId="0" borderId="133" xfId="0" applyNumberFormat="1" applyFont="1" applyBorder="1" applyAlignment="1">
      <alignment vertical="top" wrapText="1"/>
    </xf>
    <xf numFmtId="14" fontId="0" fillId="0" borderId="102" xfId="0" applyNumberFormat="1" applyFont="1" applyFill="1" applyBorder="1" applyAlignment="1">
      <alignment vertical="top" wrapText="1"/>
    </xf>
    <xf numFmtId="49" fontId="23" fillId="0" borderId="103" xfId="0" applyNumberFormat="1" applyFont="1" applyFill="1" applyBorder="1" applyAlignment="1">
      <alignment vertical="top" wrapText="1"/>
    </xf>
    <xf numFmtId="0" fontId="23" fillId="0" borderId="132" xfId="0" applyFont="1" applyFill="1" applyBorder="1" applyAlignment="1">
      <alignment vertical="top" wrapText="1"/>
    </xf>
    <xf numFmtId="0" fontId="23" fillId="0" borderId="125" xfId="0" applyFont="1" applyFill="1" applyBorder="1" applyAlignment="1">
      <alignment vertical="top" wrapText="1"/>
    </xf>
    <xf numFmtId="14" fontId="0" fillId="0" borderId="73" xfId="0" applyNumberFormat="1" applyFont="1" applyFill="1" applyBorder="1" applyAlignment="1">
      <alignment vertical="top" wrapText="1"/>
    </xf>
    <xf numFmtId="49" fontId="23" fillId="0" borderId="1" xfId="0" applyNumberFormat="1" applyFont="1" applyFill="1" applyBorder="1" applyAlignment="1">
      <alignment vertical="top" wrapText="1"/>
    </xf>
    <xf numFmtId="0" fontId="23" fillId="0" borderId="133" xfId="0" applyFont="1" applyFill="1" applyBorder="1" applyAlignment="1">
      <alignment vertical="top" wrapText="1"/>
    </xf>
    <xf numFmtId="0" fontId="23" fillId="0" borderId="112" xfId="0" applyFont="1" applyFill="1" applyBorder="1" applyAlignment="1">
      <alignment vertical="top" wrapText="1"/>
    </xf>
    <xf numFmtId="14" fontId="0" fillId="0" borderId="74" xfId="0" applyNumberFormat="1" applyFont="1" applyFill="1" applyBorder="1" applyAlignment="1">
      <alignment vertical="top" wrapText="1"/>
    </xf>
    <xf numFmtId="14" fontId="0" fillId="0" borderId="88" xfId="0" applyNumberFormat="1" applyFont="1" applyFill="1" applyBorder="1" applyAlignment="1">
      <alignment vertical="top" wrapText="1"/>
    </xf>
    <xf numFmtId="49" fontId="23" fillId="0" borderId="88" xfId="0" applyNumberFormat="1" applyFont="1" applyFill="1" applyBorder="1" applyAlignment="1">
      <alignment vertical="top" wrapText="1"/>
    </xf>
    <xf numFmtId="0" fontId="23" fillId="0" borderId="136" xfId="0" applyFont="1" applyFill="1" applyBorder="1" applyAlignment="1">
      <alignment vertical="top" wrapText="1"/>
    </xf>
    <xf numFmtId="0" fontId="23" fillId="0" borderId="126" xfId="0" applyFont="1" applyFill="1" applyBorder="1" applyAlignment="1">
      <alignment vertical="top" wrapText="1"/>
    </xf>
    <xf numFmtId="14" fontId="0" fillId="0" borderId="92" xfId="0" applyNumberFormat="1" applyFont="1" applyFill="1" applyBorder="1" applyAlignment="1">
      <alignment vertical="top" wrapText="1"/>
    </xf>
    <xf numFmtId="49" fontId="23" fillId="0" borderId="92" xfId="0" applyNumberFormat="1" applyFont="1" applyFill="1" applyBorder="1" applyAlignment="1">
      <alignment vertical="top" wrapText="1"/>
    </xf>
    <xf numFmtId="0" fontId="23" fillId="0" borderId="137" xfId="0" applyFont="1" applyFill="1" applyBorder="1" applyAlignment="1">
      <alignment vertical="top" wrapText="1"/>
    </xf>
    <xf numFmtId="0" fontId="23" fillId="0" borderId="127" xfId="0" applyFont="1" applyFill="1" applyBorder="1" applyAlignment="1">
      <alignment vertical="top" wrapText="1"/>
    </xf>
    <xf numFmtId="0" fontId="23" fillId="0" borderId="67" xfId="0" applyFont="1" applyBorder="1" applyAlignment="1">
      <alignment horizontal="right" vertical="top" wrapText="1"/>
    </xf>
    <xf numFmtId="0" fontId="23" fillId="0" borderId="81" xfId="0" applyFont="1" applyBorder="1" applyAlignment="1">
      <alignment vertical="top" wrapText="1"/>
    </xf>
    <xf numFmtId="49" fontId="23" fillId="0" borderId="70" xfId="0" applyNumberFormat="1" applyFont="1" applyBorder="1" applyAlignment="1">
      <alignment vertical="top" wrapText="1"/>
    </xf>
    <xf numFmtId="0" fontId="23" fillId="0" borderId="191" xfId="0" applyNumberFormat="1" applyFont="1" applyBorder="1" applyAlignment="1">
      <alignment vertical="top" wrapText="1"/>
    </xf>
    <xf numFmtId="0" fontId="23" fillId="0" borderId="192" xfId="0" applyNumberFormat="1" applyFont="1" applyBorder="1" applyAlignment="1">
      <alignment vertical="top" wrapText="1"/>
    </xf>
    <xf numFmtId="0" fontId="23" fillId="0" borderId="193" xfId="0" applyNumberFormat="1" applyFont="1" applyBorder="1" applyAlignment="1">
      <alignment vertical="top" wrapText="1"/>
    </xf>
    <xf numFmtId="0" fontId="23" fillId="0" borderId="194" xfId="0" applyNumberFormat="1" applyFont="1" applyBorder="1" applyAlignment="1">
      <alignment vertical="top" wrapText="1"/>
    </xf>
    <xf numFmtId="0" fontId="23" fillId="0" borderId="195" xfId="0" applyNumberFormat="1" applyFont="1" applyBorder="1" applyAlignment="1">
      <alignment vertical="top" wrapText="1"/>
    </xf>
    <xf numFmtId="0" fontId="23" fillId="0" borderId="196" xfId="0" applyNumberFormat="1" applyFont="1" applyBorder="1" applyAlignment="1">
      <alignment vertical="top" wrapText="1"/>
    </xf>
    <xf numFmtId="0" fontId="23" fillId="0" borderId="197" xfId="0" applyNumberFormat="1" applyFont="1" applyBorder="1" applyAlignment="1">
      <alignment vertical="top" wrapText="1"/>
    </xf>
    <xf numFmtId="0" fontId="23" fillId="0" borderId="198" xfId="0" applyNumberFormat="1" applyFont="1" applyBorder="1" applyAlignment="1">
      <alignment vertical="top" wrapText="1"/>
    </xf>
    <xf numFmtId="0" fontId="23" fillId="0" borderId="199" xfId="0" applyNumberFormat="1" applyFont="1" applyBorder="1" applyAlignment="1">
      <alignment vertical="top" wrapText="1"/>
    </xf>
    <xf numFmtId="0" fontId="23" fillId="0" borderId="200" xfId="0" applyNumberFormat="1" applyFont="1" applyBorder="1" applyAlignment="1">
      <alignment vertical="top" wrapText="1"/>
    </xf>
    <xf numFmtId="0" fontId="23" fillId="0" borderId="201" xfId="0" applyNumberFormat="1" applyFont="1" applyBorder="1" applyAlignment="1">
      <alignment vertical="top" wrapText="1"/>
    </xf>
    <xf numFmtId="0" fontId="23" fillId="0" borderId="202" xfId="0" applyNumberFormat="1" applyFont="1" applyBorder="1" applyAlignment="1">
      <alignment vertical="top" wrapText="1"/>
    </xf>
    <xf numFmtId="0" fontId="23" fillId="0" borderId="203" xfId="0" applyNumberFormat="1" applyFont="1" applyBorder="1" applyAlignment="1">
      <alignment vertical="top" wrapText="1"/>
    </xf>
    <xf numFmtId="0" fontId="23" fillId="0" borderId="204" xfId="0" applyNumberFormat="1" applyFont="1" applyBorder="1" applyAlignment="1">
      <alignment vertical="top" wrapText="1"/>
    </xf>
    <xf numFmtId="0" fontId="23" fillId="0" borderId="205" xfId="0" applyNumberFormat="1" applyFont="1" applyBorder="1" applyAlignment="1">
      <alignment vertical="top" wrapText="1"/>
    </xf>
    <xf numFmtId="0" fontId="0" fillId="0" borderId="201" xfId="0" applyNumberFormat="1" applyFont="1" applyBorder="1" applyAlignment="1">
      <alignment vertical="top" wrapText="1"/>
    </xf>
    <xf numFmtId="0" fontId="0" fillId="0" borderId="202" xfId="0" applyNumberFormat="1" applyFont="1" applyBorder="1" applyAlignment="1">
      <alignment vertical="top" wrapText="1"/>
    </xf>
    <xf numFmtId="0" fontId="0" fillId="0" borderId="195" xfId="0" applyNumberFormat="1" applyFont="1" applyBorder="1" applyAlignment="1">
      <alignment vertical="top" wrapText="1"/>
    </xf>
    <xf numFmtId="0" fontId="0" fillId="0" borderId="196" xfId="0" applyNumberFormat="1" applyFont="1" applyBorder="1" applyAlignment="1">
      <alignment vertical="top" wrapText="1"/>
    </xf>
    <xf numFmtId="0" fontId="0" fillId="0" borderId="198" xfId="0" applyNumberFormat="1" applyFont="1" applyBorder="1" applyAlignment="1">
      <alignment vertical="top" wrapText="1"/>
    </xf>
    <xf numFmtId="0" fontId="0" fillId="0" borderId="199" xfId="0" applyNumberFormat="1" applyFont="1" applyBorder="1" applyAlignment="1">
      <alignment vertical="top" wrapText="1"/>
    </xf>
    <xf numFmtId="0" fontId="0" fillId="0" borderId="205" xfId="0" applyNumberFormat="1" applyFont="1" applyBorder="1" applyAlignment="1">
      <alignment vertical="top" wrapText="1"/>
    </xf>
    <xf numFmtId="0" fontId="0" fillId="0" borderId="203" xfId="0" applyNumberFormat="1" applyFont="1" applyBorder="1" applyAlignment="1">
      <alignment vertical="top" wrapText="1"/>
    </xf>
    <xf numFmtId="0" fontId="0" fillId="0" borderId="204" xfId="0" applyNumberFormat="1" applyFont="1" applyBorder="1" applyAlignment="1">
      <alignment vertical="top" wrapText="1"/>
    </xf>
    <xf numFmtId="0" fontId="0" fillId="0" borderId="206" xfId="0" applyNumberFormat="1" applyFont="1" applyBorder="1" applyAlignment="1">
      <alignment vertical="top" wrapText="1"/>
    </xf>
    <xf numFmtId="0" fontId="0" fillId="0" borderId="207" xfId="0" applyNumberFormat="1" applyFont="1" applyBorder="1" applyAlignment="1">
      <alignment vertical="top" wrapText="1"/>
    </xf>
    <xf numFmtId="0" fontId="0" fillId="0" borderId="208" xfId="0" applyNumberFormat="1" applyFont="1" applyBorder="1" applyAlignment="1">
      <alignment vertical="top" wrapText="1"/>
    </xf>
    <xf numFmtId="49" fontId="23" fillId="0" borderId="78" xfId="0" applyNumberFormat="1" applyFont="1" applyBorder="1" applyAlignment="1">
      <alignment horizontal="left" vertical="top" wrapText="1"/>
    </xf>
    <xf numFmtId="0" fontId="2" fillId="16" borderId="18" xfId="0" applyNumberFormat="1" applyFont="1" applyFill="1" applyBorder="1" applyAlignment="1">
      <alignment vertical="top" wrapText="1"/>
    </xf>
    <xf numFmtId="49" fontId="2" fillId="12" borderId="0" xfId="0" applyNumberFormat="1" applyFont="1" applyFill="1" applyBorder="1" applyAlignment="1">
      <alignment horizontal="center" vertical="center" wrapText="1"/>
    </xf>
    <xf numFmtId="0" fontId="0" fillId="0" borderId="0" xfId="0" applyNumberFormat="1" applyFont="1" applyBorder="1" applyAlignment="1">
      <alignment vertical="top" wrapText="1"/>
    </xf>
    <xf numFmtId="0" fontId="2" fillId="12" borderId="107" xfId="0" applyNumberFormat="1" applyFont="1" applyFill="1" applyBorder="1" applyAlignment="1">
      <alignment vertical="center" wrapText="1"/>
    </xf>
    <xf numFmtId="0" fontId="0" fillId="0" borderId="105" xfId="0" applyNumberFormat="1" applyFont="1" applyBorder="1" applyAlignment="1">
      <alignment vertical="top" wrapText="1"/>
    </xf>
    <xf numFmtId="0" fontId="23" fillId="0" borderId="105" xfId="0" applyNumberFormat="1" applyFont="1" applyBorder="1" applyAlignment="1">
      <alignment vertical="top" wrapText="1"/>
    </xf>
    <xf numFmtId="0" fontId="23" fillId="0" borderId="76" xfId="0" applyNumberFormat="1" applyFont="1" applyBorder="1" applyAlignment="1">
      <alignment vertical="top" wrapText="1"/>
    </xf>
    <xf numFmtId="0" fontId="23" fillId="0" borderId="0" xfId="0" applyNumberFormat="1" applyFont="1" applyBorder="1" applyAlignment="1">
      <alignment vertical="top" wrapText="1"/>
    </xf>
    <xf numFmtId="0" fontId="23" fillId="0" borderId="189" xfId="0" applyNumberFormat="1" applyFont="1" applyBorder="1" applyAlignment="1">
      <alignment vertical="top" wrapText="1"/>
    </xf>
    <xf numFmtId="0" fontId="23" fillId="0" borderId="13" xfId="0" applyFont="1" applyBorder="1" applyAlignment="1">
      <alignment vertical="top" wrapText="1"/>
    </xf>
    <xf numFmtId="49" fontId="23" fillId="3" borderId="2" xfId="0" applyNumberFormat="1" applyFont="1" applyFill="1" applyBorder="1" applyAlignment="1">
      <alignment vertical="top" wrapText="1"/>
    </xf>
    <xf numFmtId="0" fontId="23" fillId="0" borderId="1" xfId="0" applyNumberFormat="1" applyFont="1" applyBorder="1" applyAlignment="1">
      <alignment vertical="top" wrapText="1"/>
    </xf>
    <xf numFmtId="0" fontId="23" fillId="0" borderId="2" xfId="0" applyNumberFormat="1" applyFont="1" applyBorder="1" applyAlignment="1">
      <alignment vertical="top" wrapText="1"/>
    </xf>
    <xf numFmtId="170" fontId="23" fillId="0" borderId="2" xfId="0" applyNumberFormat="1" applyFont="1" applyBorder="1" applyAlignment="1">
      <alignment vertical="top" wrapText="1"/>
    </xf>
    <xf numFmtId="170" fontId="0" fillId="0" borderId="2" xfId="0" applyNumberFormat="1" applyFont="1" applyBorder="1" applyAlignment="1">
      <alignment vertical="top" wrapText="1"/>
    </xf>
    <xf numFmtId="0" fontId="23" fillId="0" borderId="23" xfId="0" applyFont="1" applyBorder="1" applyAlignment="1">
      <alignment vertical="top" wrapText="1"/>
    </xf>
    <xf numFmtId="0" fontId="23" fillId="0" borderId="209" xfId="0" applyNumberFormat="1" applyFont="1" applyBorder="1" applyAlignment="1">
      <alignment vertical="top" wrapText="1"/>
    </xf>
    <xf numFmtId="0" fontId="23" fillId="0" borderId="210" xfId="0" applyNumberFormat="1" applyFont="1" applyBorder="1" applyAlignment="1">
      <alignment vertical="top" wrapText="1"/>
    </xf>
    <xf numFmtId="0" fontId="23" fillId="0" borderId="211" xfId="0" applyNumberFormat="1" applyFont="1" applyBorder="1" applyAlignment="1">
      <alignment vertical="top" wrapText="1"/>
    </xf>
    <xf numFmtId="0" fontId="23" fillId="0" borderId="212" xfId="0" applyNumberFormat="1" applyFont="1" applyBorder="1" applyAlignment="1">
      <alignment vertical="top" wrapText="1"/>
    </xf>
    <xf numFmtId="0" fontId="23" fillId="0" borderId="213" xfId="0" applyNumberFormat="1" applyFont="1" applyBorder="1" applyAlignment="1">
      <alignment vertical="top" wrapText="1"/>
    </xf>
    <xf numFmtId="0" fontId="23" fillId="0" borderId="214" xfId="0" applyNumberFormat="1" applyFont="1" applyBorder="1" applyAlignment="1">
      <alignment vertical="top" wrapText="1"/>
    </xf>
    <xf numFmtId="0" fontId="23" fillId="0" borderId="215" xfId="0" applyNumberFormat="1" applyFont="1" applyBorder="1" applyAlignment="1">
      <alignment vertical="top" wrapText="1"/>
    </xf>
    <xf numFmtId="0" fontId="23" fillId="0" borderId="216" xfId="0" applyNumberFormat="1" applyFont="1" applyBorder="1" applyAlignment="1">
      <alignment vertical="top" wrapText="1"/>
    </xf>
    <xf numFmtId="0" fontId="0" fillId="0" borderId="210" xfId="0" applyNumberFormat="1" applyFont="1" applyBorder="1" applyAlignment="1">
      <alignment vertical="top" wrapText="1"/>
    </xf>
    <xf numFmtId="0" fontId="0" fillId="0" borderId="211" xfId="0" applyNumberFormat="1" applyFont="1" applyBorder="1" applyAlignment="1">
      <alignment vertical="top" wrapText="1"/>
    </xf>
    <xf numFmtId="0" fontId="0" fillId="0" borderId="213" xfId="0" applyNumberFormat="1" applyFont="1" applyBorder="1" applyAlignment="1">
      <alignment vertical="top" wrapText="1"/>
    </xf>
    <xf numFmtId="0" fontId="0" fillId="0" borderId="214" xfId="0" applyNumberFormat="1" applyFont="1" applyBorder="1" applyAlignment="1">
      <alignment vertical="top" wrapText="1"/>
    </xf>
    <xf numFmtId="0" fontId="0" fillId="0" borderId="217" xfId="0" applyNumberFormat="1" applyFont="1" applyBorder="1" applyAlignment="1">
      <alignment vertical="top" wrapText="1"/>
    </xf>
    <xf numFmtId="0" fontId="0" fillId="0" borderId="218" xfId="0" applyNumberFormat="1" applyFont="1" applyBorder="1" applyAlignment="1">
      <alignment vertical="top" wrapText="1"/>
    </xf>
    <xf numFmtId="0" fontId="23" fillId="18" borderId="145" xfId="0" applyNumberFormat="1" applyFont="1" applyFill="1" applyBorder="1" applyAlignment="1">
      <alignment vertical="center" wrapText="1"/>
    </xf>
    <xf numFmtId="170" fontId="2" fillId="18" borderId="146" xfId="0" applyNumberFormat="1" applyFont="1" applyFill="1" applyBorder="1" applyAlignment="1">
      <alignment vertical="center" wrapText="1"/>
    </xf>
    <xf numFmtId="167" fontId="0" fillId="18" borderId="146" xfId="0" applyNumberFormat="1" applyFont="1" applyFill="1" applyBorder="1" applyAlignment="1">
      <alignment vertical="center" wrapText="1"/>
    </xf>
    <xf numFmtId="0" fontId="0" fillId="18" borderId="146" xfId="0" applyNumberFormat="1" applyFont="1" applyFill="1" applyBorder="1" applyAlignment="1">
      <alignment vertical="center" wrapText="1"/>
    </xf>
    <xf numFmtId="0" fontId="0" fillId="18" borderId="219" xfId="0" applyNumberFormat="1" applyFont="1" applyFill="1" applyBorder="1" applyAlignment="1">
      <alignment vertical="center" wrapText="1"/>
    </xf>
    <xf numFmtId="0" fontId="23" fillId="0" borderId="3" xfId="0" applyNumberFormat="1" applyFont="1" applyBorder="1" applyAlignment="1">
      <alignment vertical="top" wrapText="1"/>
    </xf>
    <xf numFmtId="0" fontId="23" fillId="12" borderId="18" xfId="0" applyNumberFormat="1" applyFont="1" applyFill="1" applyBorder="1" applyAlignment="1">
      <alignment vertical="top" wrapText="1"/>
    </xf>
    <xf numFmtId="0" fontId="23" fillId="14" borderId="18" xfId="0" applyNumberFormat="1" applyFont="1" applyFill="1" applyBorder="1" applyAlignment="1">
      <alignment vertical="top" wrapText="1"/>
    </xf>
    <xf numFmtId="166" fontId="23" fillId="0" borderId="1" xfId="0" applyNumberFormat="1" applyFont="1" applyBorder="1" applyAlignment="1">
      <alignment vertical="top" wrapText="1"/>
    </xf>
    <xf numFmtId="170" fontId="0" fillId="0" borderId="89" xfId="0" applyNumberFormat="1" applyFont="1" applyBorder="1" applyAlignment="1">
      <alignment vertical="top" wrapText="1"/>
    </xf>
    <xf numFmtId="0" fontId="0" fillId="0" borderId="1" xfId="0" applyFont="1" applyBorder="1" applyAlignment="1">
      <alignment vertical="top" wrapText="1"/>
    </xf>
    <xf numFmtId="0" fontId="0" fillId="0" borderId="1" xfId="0" applyFont="1" applyBorder="1" applyAlignment="1">
      <alignment vertical="top" wrapText="1"/>
    </xf>
    <xf numFmtId="0" fontId="0" fillId="0" borderId="220" xfId="0" applyNumberFormat="1" applyFont="1" applyBorder="1" applyAlignment="1">
      <alignment vertical="top" wrapText="1"/>
    </xf>
    <xf numFmtId="0" fontId="0" fillId="0" borderId="221" xfId="0" applyNumberFormat="1" applyFont="1" applyBorder="1" applyAlignment="1">
      <alignment vertical="top" wrapText="1"/>
    </xf>
    <xf numFmtId="0" fontId="0" fillId="0" borderId="222" xfId="0" applyNumberFormat="1" applyFont="1" applyBorder="1" applyAlignment="1">
      <alignment vertical="top" wrapText="1"/>
    </xf>
    <xf numFmtId="0" fontId="23" fillId="0" borderId="223" xfId="0" applyNumberFormat="1" applyFont="1" applyBorder="1" applyAlignment="1">
      <alignment vertical="top" wrapText="1"/>
    </xf>
    <xf numFmtId="0" fontId="23" fillId="0" borderId="224" xfId="0" applyNumberFormat="1" applyFont="1" applyBorder="1" applyAlignment="1">
      <alignment vertical="top" wrapText="1"/>
    </xf>
    <xf numFmtId="0" fontId="23" fillId="0" borderId="225" xfId="0" applyNumberFormat="1" applyFont="1" applyBorder="1" applyAlignment="1">
      <alignment vertical="top" wrapText="1"/>
    </xf>
    <xf numFmtId="0" fontId="23" fillId="0" borderId="226" xfId="0" applyNumberFormat="1" applyFont="1" applyBorder="1" applyAlignment="1">
      <alignment vertical="top" wrapText="1"/>
    </xf>
    <xf numFmtId="0" fontId="0" fillId="0" borderId="224" xfId="0" applyNumberFormat="1" applyFont="1" applyBorder="1" applyAlignment="1">
      <alignment vertical="top" wrapText="1"/>
    </xf>
    <xf numFmtId="0" fontId="0" fillId="0" borderId="225" xfId="0" applyNumberFormat="1" applyFont="1" applyBorder="1" applyAlignment="1">
      <alignment vertical="top" wrapText="1"/>
    </xf>
    <xf numFmtId="0" fontId="0" fillId="0" borderId="227" xfId="0" applyNumberFormat="1" applyFont="1" applyBorder="1" applyAlignment="1">
      <alignment vertical="top" wrapText="1"/>
    </xf>
    <xf numFmtId="49" fontId="0" fillId="0" borderId="228" xfId="0" applyNumberFormat="1" applyFont="1" applyBorder="1" applyAlignment="1">
      <alignment vertical="top" wrapText="1"/>
    </xf>
    <xf numFmtId="0" fontId="29" fillId="0" borderId="83" xfId="1" applyFont="1" applyBorder="1" applyAlignment="1">
      <alignment vertical="top" wrapText="1"/>
    </xf>
    <xf numFmtId="0" fontId="23" fillId="0" borderId="32" xfId="0" applyFont="1" applyBorder="1" applyAlignment="1">
      <alignment vertical="top" wrapText="1"/>
    </xf>
    <xf numFmtId="170" fontId="23" fillId="0" borderId="88" xfId="0" applyNumberFormat="1" applyFont="1" applyBorder="1" applyAlignment="1">
      <alignment vertical="top" wrapText="1"/>
    </xf>
    <xf numFmtId="0" fontId="2" fillId="25" borderId="88" xfId="0" applyNumberFormat="1" applyFont="1" applyFill="1" applyBorder="1" applyAlignment="1">
      <alignment vertical="top" wrapText="1"/>
    </xf>
    <xf numFmtId="166" fontId="2" fillId="0" borderId="113" xfId="0" applyNumberFormat="1" applyFont="1" applyBorder="1" applyAlignment="1">
      <alignment vertical="top" wrapText="1"/>
    </xf>
    <xf numFmtId="166" fontId="2" fillId="0" borderId="114" xfId="0" applyNumberFormat="1" applyFont="1" applyBorder="1" applyAlignment="1">
      <alignment vertical="top" wrapText="1"/>
    </xf>
    <xf numFmtId="166" fontId="2" fillId="0" borderId="115" xfId="0" applyNumberFormat="1" applyFont="1" applyBorder="1" applyAlignment="1">
      <alignment vertical="top" wrapText="1"/>
    </xf>
    <xf numFmtId="166" fontId="2" fillId="0" borderId="116" xfId="0" applyNumberFormat="1" applyFont="1" applyBorder="1" applyAlignment="1">
      <alignment vertical="top" wrapText="1"/>
    </xf>
    <xf numFmtId="166" fontId="2" fillId="0" borderId="111" xfId="0" applyNumberFormat="1" applyFont="1" applyBorder="1" applyAlignment="1">
      <alignment vertical="top" wrapText="1"/>
    </xf>
    <xf numFmtId="0" fontId="2" fillId="0" borderId="0" xfId="0" applyFont="1" applyAlignment="1">
      <alignment vertical="top" wrapText="1"/>
    </xf>
    <xf numFmtId="170" fontId="0" fillId="0" borderId="0" xfId="0" applyNumberFormat="1" applyFont="1" applyAlignment="1">
      <alignment vertical="top" wrapText="1"/>
    </xf>
    <xf numFmtId="0" fontId="0" fillId="0" borderId="229" xfId="0" applyFont="1" applyBorder="1" applyAlignment="1">
      <alignment vertical="top" wrapText="1"/>
    </xf>
    <xf numFmtId="170" fontId="0" fillId="0" borderId="229" xfId="0" applyNumberFormat="1" applyFont="1" applyBorder="1" applyAlignment="1">
      <alignment vertical="top" wrapText="1"/>
    </xf>
    <xf numFmtId="0" fontId="2" fillId="0" borderId="0" xfId="0" applyFont="1" applyAlignment="1">
      <alignment horizontal="center" vertical="top" wrapText="1"/>
    </xf>
    <xf numFmtId="0" fontId="23" fillId="0" borderId="117" xfId="0" applyNumberFormat="1" applyFont="1" applyBorder="1" applyAlignment="1">
      <alignment vertical="top" wrapText="1"/>
    </xf>
    <xf numFmtId="166" fontId="23" fillId="18" borderId="107" xfId="0" applyNumberFormat="1" applyFont="1" applyFill="1" applyBorder="1" applyAlignment="1">
      <alignment vertical="center" wrapText="1"/>
    </xf>
    <xf numFmtId="0" fontId="2" fillId="18" borderId="146" xfId="0" applyNumberFormat="1" applyFont="1" applyFill="1" applyBorder="1" applyAlignment="1">
      <alignment vertical="center" wrapText="1"/>
    </xf>
    <xf numFmtId="0" fontId="23" fillId="18" borderId="146" xfId="0" applyNumberFormat="1" applyFont="1" applyFill="1" applyBorder="1" applyAlignment="1">
      <alignment vertical="center" wrapText="1"/>
    </xf>
    <xf numFmtId="167" fontId="62" fillId="18" borderId="146" xfId="0" applyNumberFormat="1" applyFont="1" applyFill="1" applyBorder="1" applyAlignment="1">
      <alignment vertical="center" wrapText="1"/>
    </xf>
    <xf numFmtId="0" fontId="2" fillId="15" borderId="92" xfId="0" applyNumberFormat="1" applyFont="1" applyFill="1" applyBorder="1" applyAlignment="1">
      <alignment vertical="top" wrapText="1"/>
    </xf>
    <xf numFmtId="49" fontId="2" fillId="2" borderId="231" xfId="0" applyNumberFormat="1" applyFont="1" applyFill="1" applyBorder="1" applyAlignment="1">
      <alignment vertical="top" wrapText="1"/>
    </xf>
    <xf numFmtId="167" fontId="0" fillId="21" borderId="232" xfId="0" applyNumberFormat="1" applyFont="1" applyFill="1" applyBorder="1" applyAlignment="1">
      <alignment vertical="center" wrapText="1"/>
    </xf>
    <xf numFmtId="166" fontId="2" fillId="0" borderId="231" xfId="0" applyNumberFormat="1" applyFont="1" applyBorder="1" applyAlignment="1">
      <alignment vertical="top" wrapText="1"/>
    </xf>
    <xf numFmtId="166" fontId="2" fillId="21" borderId="233" xfId="0" applyNumberFormat="1" applyFont="1" applyFill="1" applyBorder="1" applyAlignment="1">
      <alignment vertical="center" wrapText="1"/>
    </xf>
    <xf numFmtId="14" fontId="2" fillId="0" borderId="234" xfId="0" applyNumberFormat="1" applyFont="1" applyBorder="1" applyAlignment="1">
      <alignment vertical="top" wrapText="1"/>
    </xf>
    <xf numFmtId="14" fontId="2" fillId="0" borderId="235" xfId="0" applyNumberFormat="1" applyFont="1" applyBorder="1" applyAlignment="1">
      <alignment vertical="top" wrapText="1"/>
    </xf>
    <xf numFmtId="14" fontId="2" fillId="0" borderId="236" xfId="0" applyNumberFormat="1" applyFont="1" applyBorder="1" applyAlignment="1">
      <alignment vertical="top" wrapText="1"/>
    </xf>
    <xf numFmtId="14" fontId="2" fillId="0" borderId="237" xfId="0" applyNumberFormat="1" applyFont="1" applyBorder="1" applyAlignment="1">
      <alignment vertical="top" wrapText="1"/>
    </xf>
    <xf numFmtId="49" fontId="2" fillId="0" borderId="235" xfId="0" applyNumberFormat="1" applyFont="1" applyBorder="1" applyAlignment="1">
      <alignment vertical="top" wrapText="1"/>
    </xf>
    <xf numFmtId="14" fontId="2" fillId="0" borderId="238" xfId="0" applyNumberFormat="1" applyFont="1" applyBorder="1" applyAlignment="1">
      <alignment vertical="top" wrapText="1"/>
    </xf>
    <xf numFmtId="166" fontId="0" fillId="21" borderId="128" xfId="0" applyNumberFormat="1" applyFont="1" applyFill="1" applyBorder="1" applyAlignment="1">
      <alignment vertical="center" wrapText="1"/>
    </xf>
    <xf numFmtId="14" fontId="2" fillId="0" borderId="239" xfId="0" applyNumberFormat="1" applyFont="1" applyBorder="1" applyAlignment="1">
      <alignment vertical="top" wrapText="1"/>
    </xf>
    <xf numFmtId="14" fontId="31" fillId="0" borderId="126" xfId="0" applyNumberFormat="1" applyFont="1" applyBorder="1" applyAlignment="1">
      <alignment vertical="top" wrapText="1"/>
    </xf>
    <xf numFmtId="14" fontId="24" fillId="0" borderId="235" xfId="0" applyNumberFormat="1" applyFont="1" applyBorder="1" applyAlignment="1">
      <alignment vertical="top" wrapText="1"/>
    </xf>
    <xf numFmtId="14" fontId="2" fillId="0" borderId="126" xfId="0" applyNumberFormat="1" applyFont="1" applyBorder="1" applyAlignment="1">
      <alignment vertical="top" wrapText="1"/>
    </xf>
    <xf numFmtId="14" fontId="2" fillId="0" borderId="127" xfId="0" applyNumberFormat="1" applyFont="1" applyBorder="1" applyAlignment="1">
      <alignment vertical="top" wrapText="1"/>
    </xf>
    <xf numFmtId="0" fontId="2" fillId="21" borderId="128" xfId="0" applyNumberFormat="1" applyFont="1" applyFill="1" applyBorder="1" applyAlignment="1">
      <alignment vertical="center" wrapText="1"/>
    </xf>
    <xf numFmtId="14" fontId="2" fillId="0" borderId="129" xfId="0" applyNumberFormat="1" applyFont="1" applyBorder="1" applyAlignment="1">
      <alignment vertical="top" wrapText="1"/>
    </xf>
    <xf numFmtId="49" fontId="0" fillId="0" borderId="240" xfId="0" applyNumberFormat="1" applyFont="1" applyBorder="1" applyAlignment="1">
      <alignment vertical="top" wrapText="1"/>
    </xf>
    <xf numFmtId="0" fontId="0" fillId="0" borderId="240" xfId="0" applyFont="1" applyBorder="1" applyAlignment="1">
      <alignment vertical="center" wrapText="1"/>
    </xf>
    <xf numFmtId="49" fontId="2" fillId="2" borderId="240" xfId="0" applyNumberFormat="1" applyFont="1" applyFill="1" applyBorder="1" applyAlignment="1">
      <alignment vertical="top" wrapText="1"/>
    </xf>
    <xf numFmtId="166" fontId="2" fillId="0" borderId="240" xfId="0" applyNumberFormat="1" applyFont="1" applyBorder="1" applyAlignment="1">
      <alignment vertical="top" wrapText="1"/>
    </xf>
    <xf numFmtId="167" fontId="0" fillId="18" borderId="240" xfId="0" applyNumberFormat="1" applyFont="1" applyFill="1" applyBorder="1" applyAlignment="1">
      <alignment vertical="center" wrapText="1"/>
    </xf>
    <xf numFmtId="167" fontId="0" fillId="21" borderId="240" xfId="0" applyNumberFormat="1" applyFont="1" applyFill="1" applyBorder="1" applyAlignment="1">
      <alignment vertical="center" wrapText="1"/>
    </xf>
    <xf numFmtId="10" fontId="2" fillId="0" borderId="240" xfId="0" applyNumberFormat="1" applyFont="1" applyBorder="1" applyAlignment="1">
      <alignment vertical="top" wrapText="1"/>
    </xf>
    <xf numFmtId="10" fontId="31" fillId="0" borderId="240" xfId="0" applyNumberFormat="1" applyFont="1" applyBorder="1" applyAlignment="1">
      <alignment vertical="top" wrapText="1"/>
    </xf>
    <xf numFmtId="10" fontId="0" fillId="18" borderId="240" xfId="0" applyNumberFormat="1" applyFont="1" applyFill="1" applyBorder="1" applyAlignment="1">
      <alignment vertical="center" wrapText="1"/>
    </xf>
    <xf numFmtId="166" fontId="2" fillId="21" borderId="240" xfId="0" applyNumberFormat="1" applyFont="1" applyFill="1" applyBorder="1" applyAlignment="1">
      <alignment vertical="center" wrapText="1"/>
    </xf>
    <xf numFmtId="9" fontId="2" fillId="0" borderId="240" xfId="0" applyNumberFormat="1" applyFont="1" applyBorder="1" applyAlignment="1">
      <alignment vertical="top" wrapText="1"/>
    </xf>
    <xf numFmtId="0" fontId="0" fillId="0" borderId="240" xfId="0" applyNumberFormat="1" applyFont="1" applyBorder="1" applyAlignment="1">
      <alignment vertical="top" wrapText="1"/>
    </xf>
    <xf numFmtId="0" fontId="0" fillId="0" borderId="88" xfId="0" applyNumberFormat="1" applyFont="1" applyFill="1" applyBorder="1" applyAlignment="1">
      <alignment vertical="top" wrapText="1"/>
    </xf>
    <xf numFmtId="0" fontId="23" fillId="0" borderId="88" xfId="0" applyNumberFormat="1" applyFont="1" applyFill="1" applyBorder="1" applyAlignment="1">
      <alignment vertical="top" wrapText="1"/>
    </xf>
    <xf numFmtId="171" fontId="0" fillId="0" borderId="0" xfId="0" applyNumberFormat="1" applyFont="1" applyAlignment="1">
      <alignment vertical="top" wrapText="1"/>
    </xf>
    <xf numFmtId="10" fontId="0" fillId="0" borderId="0" xfId="0" applyNumberFormat="1" applyFont="1" applyAlignment="1">
      <alignment vertical="top" wrapText="1"/>
    </xf>
    <xf numFmtId="10" fontId="0" fillId="23" borderId="0" xfId="0" applyNumberFormat="1" applyFont="1" applyFill="1" applyAlignment="1">
      <alignment vertical="top" wrapText="1"/>
    </xf>
    <xf numFmtId="10" fontId="0" fillId="26" borderId="0" xfId="0" applyNumberFormat="1" applyFont="1" applyFill="1" applyAlignment="1">
      <alignment vertical="top" wrapText="1"/>
    </xf>
    <xf numFmtId="10" fontId="0" fillId="12" borderId="0" xfId="0" applyNumberFormat="1" applyFont="1" applyFill="1" applyAlignment="1">
      <alignment vertical="top" wrapText="1"/>
    </xf>
    <xf numFmtId="0" fontId="2" fillId="15" borderId="89" xfId="0" applyNumberFormat="1" applyFont="1" applyFill="1" applyBorder="1" applyAlignment="1">
      <alignment vertical="top" wrapText="1"/>
    </xf>
    <xf numFmtId="3" fontId="0" fillId="0" borderId="88" xfId="0" applyNumberFormat="1" applyFont="1" applyBorder="1" applyAlignment="1">
      <alignment vertical="top" wrapText="1"/>
    </xf>
    <xf numFmtId="49" fontId="0" fillId="0" borderId="242" xfId="0" applyNumberFormat="1" applyFont="1" applyBorder="1" applyAlignment="1">
      <alignment vertical="top" wrapText="1"/>
    </xf>
    <xf numFmtId="49" fontId="23" fillId="0" borderId="241" xfId="0" applyNumberFormat="1" applyFont="1" applyBorder="1" applyAlignment="1">
      <alignment vertical="top" wrapText="1"/>
    </xf>
    <xf numFmtId="0" fontId="64" fillId="0" borderId="0" xfId="0" applyFont="1" applyAlignment="1">
      <alignment vertical="top" wrapText="1"/>
    </xf>
    <xf numFmtId="0" fontId="65" fillId="25" borderId="241" xfId="0" applyFont="1" applyFill="1" applyBorder="1" applyAlignment="1">
      <alignment horizontal="center" vertical="center" wrapText="1"/>
    </xf>
    <xf numFmtId="49" fontId="23" fillId="0" borderId="0" xfId="0" applyNumberFormat="1" applyFont="1" applyAlignment="1">
      <alignment vertical="top" wrapText="1"/>
    </xf>
    <xf numFmtId="172" fontId="0" fillId="0" borderId="0" xfId="0" applyNumberFormat="1" applyFont="1" applyAlignment="1">
      <alignment vertical="top" wrapText="1"/>
    </xf>
    <xf numFmtId="2" fontId="0" fillId="0" borderId="0" xfId="0" applyNumberFormat="1" applyFont="1" applyAlignment="1">
      <alignment vertical="top" wrapText="1"/>
    </xf>
    <xf numFmtId="2" fontId="23" fillId="0" borderId="0" xfId="0" applyNumberFormat="1" applyFont="1" applyAlignment="1">
      <alignment vertical="top" wrapText="1"/>
    </xf>
    <xf numFmtId="1" fontId="23" fillId="0" borderId="0" xfId="0" applyNumberFormat="1" applyFont="1" applyAlignment="1">
      <alignment vertical="top" wrapText="1"/>
    </xf>
    <xf numFmtId="2" fontId="65" fillId="25" borderId="241" xfId="0" applyNumberFormat="1" applyFont="1" applyFill="1" applyBorder="1" applyAlignment="1">
      <alignment horizontal="center" vertical="center" wrapText="1"/>
    </xf>
    <xf numFmtId="0" fontId="0" fillId="27" borderId="0" xfId="0" applyFont="1" applyFill="1" applyAlignment="1">
      <alignment horizontal="center" vertical="top" wrapText="1"/>
    </xf>
    <xf numFmtId="1" fontId="65" fillId="25" borderId="241" xfId="0" applyNumberFormat="1" applyFont="1" applyFill="1" applyBorder="1" applyAlignment="1">
      <alignment horizontal="center" vertical="center" wrapText="1"/>
    </xf>
    <xf numFmtId="1" fontId="0" fillId="0" borderId="0" xfId="0" applyNumberFormat="1" applyFont="1" applyAlignment="1">
      <alignment vertical="top" wrapText="1"/>
    </xf>
    <xf numFmtId="0" fontId="23" fillId="0" borderId="0" xfId="0" applyFont="1" applyAlignment="1">
      <alignment horizontal="center" vertical="top" wrapText="1"/>
    </xf>
    <xf numFmtId="0" fontId="0" fillId="0" borderId="1" xfId="0" applyFont="1" applyBorder="1" applyAlignment="1">
      <alignment vertical="top" wrapText="1"/>
    </xf>
    <xf numFmtId="0" fontId="1" fillId="29" borderId="0" xfId="0" applyFont="1" applyFill="1" applyAlignment="1">
      <alignment vertical="top" wrapText="1"/>
    </xf>
    <xf numFmtId="0" fontId="1" fillId="29" borderId="0" xfId="0" applyFont="1" applyFill="1" applyBorder="1" applyAlignment="1">
      <alignment vertical="top" wrapText="1"/>
    </xf>
    <xf numFmtId="0" fontId="0" fillId="29" borderId="0" xfId="0" applyFont="1" applyFill="1" applyAlignment="1">
      <alignment vertical="top" wrapText="1"/>
    </xf>
    <xf numFmtId="0" fontId="1" fillId="28" borderId="244" xfId="0" applyFont="1" applyFill="1" applyBorder="1" applyAlignment="1" applyProtection="1">
      <alignment vertical="top" wrapText="1"/>
      <protection locked="0"/>
    </xf>
    <xf numFmtId="14" fontId="1" fillId="28" borderId="244" xfId="0" applyNumberFormat="1" applyFont="1" applyFill="1" applyBorder="1" applyAlignment="1" applyProtection="1">
      <alignment vertical="top" wrapText="1"/>
      <protection locked="0"/>
    </xf>
    <xf numFmtId="0" fontId="0" fillId="18" borderId="0" xfId="0" applyFont="1" applyFill="1" applyAlignment="1">
      <alignment horizontal="center" vertical="top" wrapText="1"/>
    </xf>
    <xf numFmtId="0" fontId="23" fillId="18" borderId="0" xfId="0" applyFont="1" applyFill="1" applyAlignment="1">
      <alignment vertical="top" wrapText="1"/>
    </xf>
    <xf numFmtId="0" fontId="0" fillId="18" borderId="0" xfId="0" applyFont="1" applyFill="1" applyAlignment="1">
      <alignment vertical="top" wrapText="1"/>
    </xf>
    <xf numFmtId="2" fontId="0" fillId="18" borderId="0" xfId="0" applyNumberFormat="1" applyFont="1" applyFill="1" applyAlignment="1">
      <alignment vertical="top" wrapText="1"/>
    </xf>
    <xf numFmtId="1" fontId="23" fillId="18" borderId="0" xfId="0" applyNumberFormat="1" applyFont="1" applyFill="1" applyAlignment="1">
      <alignment vertical="top" wrapText="1"/>
    </xf>
    <xf numFmtId="172" fontId="0" fillId="18" borderId="0" xfId="0" applyNumberFormat="1" applyFont="1" applyFill="1" applyAlignment="1">
      <alignment vertical="top" wrapText="1"/>
    </xf>
    <xf numFmtId="0" fontId="1" fillId="28" borderId="119" xfId="0" applyFont="1" applyFill="1" applyBorder="1" applyAlignment="1" applyProtection="1">
      <alignment vertical="top" wrapText="1"/>
      <protection locked="0"/>
    </xf>
    <xf numFmtId="9" fontId="1" fillId="28" borderId="119" xfId="2" applyFont="1" applyFill="1" applyBorder="1" applyAlignment="1" applyProtection="1">
      <alignment vertical="top" wrapText="1"/>
      <protection locked="0"/>
    </xf>
    <xf numFmtId="0" fontId="67" fillId="18" borderId="244" xfId="0" applyFont="1" applyFill="1" applyBorder="1" applyAlignment="1">
      <alignment vertical="top" wrapText="1"/>
    </xf>
    <xf numFmtId="0" fontId="67" fillId="29" borderId="0" xfId="0" applyFont="1" applyFill="1" applyAlignment="1">
      <alignment vertical="top" wrapText="1"/>
    </xf>
    <xf numFmtId="172" fontId="23" fillId="0" borderId="0" xfId="0" applyNumberFormat="1" applyFont="1" applyAlignment="1">
      <alignment vertical="top" wrapText="1"/>
    </xf>
    <xf numFmtId="14" fontId="23" fillId="0" borderId="0" xfId="0" applyNumberFormat="1" applyFont="1" applyAlignment="1">
      <alignment vertical="top" wrapText="1"/>
    </xf>
    <xf numFmtId="9" fontId="23" fillId="0" borderId="0" xfId="2" applyFont="1" applyAlignment="1">
      <alignment vertical="top" wrapText="1"/>
    </xf>
    <xf numFmtId="14" fontId="0" fillId="29" borderId="0" xfId="0" applyNumberFormat="1" applyFont="1" applyFill="1" applyAlignment="1">
      <alignment vertical="top" wrapText="1"/>
    </xf>
    <xf numFmtId="172" fontId="0" fillId="29" borderId="0" xfId="0" applyNumberFormat="1" applyFont="1" applyFill="1" applyAlignment="1">
      <alignment vertical="top" wrapText="1"/>
    </xf>
    <xf numFmtId="3" fontId="0" fillId="29" borderId="0" xfId="0" applyNumberFormat="1" applyFont="1" applyFill="1" applyAlignment="1">
      <alignment vertical="top" wrapText="1"/>
    </xf>
    <xf numFmtId="9" fontId="0" fillId="29" borderId="0" xfId="2" applyFont="1" applyFill="1" applyAlignment="1">
      <alignment vertical="top" wrapText="1"/>
    </xf>
    <xf numFmtId="49" fontId="23" fillId="0" borderId="19" xfId="0" applyNumberFormat="1" applyFont="1" applyFill="1" applyBorder="1" applyAlignment="1">
      <alignment vertical="top" wrapText="1"/>
    </xf>
    <xf numFmtId="49" fontId="0" fillId="0" borderId="19" xfId="0" applyNumberFormat="1" applyFont="1" applyFill="1" applyBorder="1" applyAlignment="1">
      <alignment vertical="top" wrapText="1"/>
    </xf>
    <xf numFmtId="2" fontId="23" fillId="0" borderId="0" xfId="2" applyNumberFormat="1" applyFont="1" applyAlignment="1">
      <alignment vertical="top" wrapText="1"/>
    </xf>
    <xf numFmtId="9" fontId="0" fillId="0" borderId="0" xfId="2" applyFont="1" applyAlignment="1">
      <alignment vertical="top" wrapText="1"/>
    </xf>
    <xf numFmtId="49" fontId="2" fillId="22" borderId="117" xfId="0" applyNumberFormat="1" applyFont="1" applyFill="1" applyBorder="1" applyAlignment="1">
      <alignment horizontal="center" vertical="center" wrapText="1"/>
    </xf>
    <xf numFmtId="49" fontId="2" fillId="22" borderId="189" xfId="0" applyNumberFormat="1" applyFont="1" applyFill="1" applyBorder="1" applyAlignment="1">
      <alignment horizontal="center" vertical="center" wrapText="1"/>
    </xf>
    <xf numFmtId="49" fontId="2" fillId="22" borderId="181" xfId="0" applyNumberFormat="1" applyFont="1" applyFill="1" applyBorder="1" applyAlignment="1">
      <alignment horizontal="center" vertical="center" wrapText="1"/>
    </xf>
    <xf numFmtId="49" fontId="2" fillId="19" borderId="243" xfId="0" applyNumberFormat="1" applyFont="1" applyFill="1" applyBorder="1" applyAlignment="1">
      <alignment horizontal="center" vertical="center" wrapText="1"/>
    </xf>
    <xf numFmtId="49" fontId="2" fillId="19" borderId="189" xfId="0" applyNumberFormat="1" applyFont="1" applyFill="1" applyBorder="1" applyAlignment="1">
      <alignment horizontal="center" vertical="center" wrapText="1"/>
    </xf>
    <xf numFmtId="49" fontId="2" fillId="19" borderId="181" xfId="0" applyNumberFormat="1" applyFont="1" applyFill="1" applyBorder="1" applyAlignment="1">
      <alignment horizontal="center" vertical="center" wrapText="1"/>
    </xf>
    <xf numFmtId="49" fontId="2" fillId="23" borderId="243" xfId="0" applyNumberFormat="1" applyFont="1" applyFill="1" applyBorder="1" applyAlignment="1">
      <alignment horizontal="center" vertical="center" wrapText="1"/>
    </xf>
    <xf numFmtId="49" fontId="2" fillId="23" borderId="189" xfId="0" applyNumberFormat="1" applyFont="1" applyFill="1" applyBorder="1" applyAlignment="1">
      <alignment horizontal="center" vertical="center" wrapText="1"/>
    </xf>
    <xf numFmtId="49" fontId="2" fillId="23" borderId="181" xfId="0" applyNumberFormat="1" applyFont="1" applyFill="1" applyBorder="1" applyAlignment="1">
      <alignment horizontal="center" vertical="center" wrapText="1"/>
    </xf>
    <xf numFmtId="49" fontId="2" fillId="14" borderId="243" xfId="0" applyNumberFormat="1" applyFont="1" applyFill="1" applyBorder="1" applyAlignment="1">
      <alignment horizontal="center" vertical="center" wrapText="1"/>
    </xf>
    <xf numFmtId="49" fontId="2" fillId="14" borderId="189" xfId="0" applyNumberFormat="1" applyFont="1" applyFill="1" applyBorder="1" applyAlignment="1">
      <alignment horizontal="center" vertical="center" wrapText="1"/>
    </xf>
    <xf numFmtId="49" fontId="2" fillId="14" borderId="181" xfId="0" applyNumberFormat="1" applyFont="1" applyFill="1" applyBorder="1" applyAlignment="1">
      <alignment horizontal="center" vertical="center" wrapText="1"/>
    </xf>
    <xf numFmtId="49" fontId="2" fillId="24" borderId="243" xfId="0" applyNumberFormat="1" applyFont="1" applyFill="1" applyBorder="1" applyAlignment="1">
      <alignment horizontal="center" vertical="center" wrapText="1"/>
    </xf>
    <xf numFmtId="49" fontId="2" fillId="24" borderId="189" xfId="0" applyNumberFormat="1" applyFont="1" applyFill="1" applyBorder="1" applyAlignment="1">
      <alignment horizontal="center" vertical="center" wrapText="1"/>
    </xf>
    <xf numFmtId="49" fontId="2" fillId="24" borderId="181" xfId="0" applyNumberFormat="1" applyFont="1" applyFill="1" applyBorder="1" applyAlignment="1">
      <alignment horizontal="center" vertical="center" wrapText="1"/>
    </xf>
    <xf numFmtId="49" fontId="2" fillId="22" borderId="157" xfId="0" applyNumberFormat="1" applyFont="1" applyFill="1" applyBorder="1" applyAlignment="1">
      <alignment horizontal="center" vertical="center" wrapText="1"/>
    </xf>
    <xf numFmtId="0" fontId="0" fillId="22" borderId="158" xfId="0" applyFont="1" applyFill="1" applyBorder="1" applyAlignment="1">
      <alignment horizontal="center" vertical="center" wrapText="1"/>
    </xf>
    <xf numFmtId="0" fontId="0" fillId="22" borderId="176" xfId="0" applyFont="1" applyFill="1" applyBorder="1" applyAlignment="1">
      <alignment horizontal="center" vertical="center" wrapText="1"/>
    </xf>
    <xf numFmtId="0" fontId="2" fillId="2" borderId="150" xfId="0" applyFont="1" applyFill="1" applyBorder="1" applyAlignment="1">
      <alignment vertical="center" wrapText="1"/>
    </xf>
    <xf numFmtId="0" fontId="0" fillId="0" borderId="151" xfId="0" applyFont="1" applyBorder="1" applyAlignment="1">
      <alignment vertical="center" wrapText="1"/>
    </xf>
    <xf numFmtId="0" fontId="0" fillId="0" borderId="152" xfId="0" applyFont="1" applyBorder="1" applyAlignment="1">
      <alignment vertical="center" wrapText="1"/>
    </xf>
    <xf numFmtId="49" fontId="2" fillId="2" borderId="154" xfId="0" applyNumberFormat="1" applyFont="1" applyFill="1" applyBorder="1" applyAlignment="1">
      <alignment horizontal="center" vertical="top" wrapText="1"/>
    </xf>
    <xf numFmtId="0" fontId="0" fillId="0" borderId="155" xfId="0" applyFont="1" applyBorder="1" applyAlignment="1">
      <alignment vertical="top" wrapText="1"/>
    </xf>
    <xf numFmtId="0" fontId="0" fillId="0" borderId="230" xfId="0" applyFont="1" applyBorder="1" applyAlignment="1">
      <alignment vertical="top" wrapText="1"/>
    </xf>
    <xf numFmtId="0" fontId="0" fillId="0" borderId="156" xfId="0" applyFont="1" applyBorder="1" applyAlignment="1">
      <alignment vertical="top" wrapText="1"/>
    </xf>
    <xf numFmtId="49" fontId="2" fillId="19" borderId="158" xfId="0" applyNumberFormat="1" applyFont="1" applyFill="1" applyBorder="1" applyAlignment="1">
      <alignment horizontal="center" vertical="center" wrapText="1"/>
    </xf>
    <xf numFmtId="0" fontId="0" fillId="19" borderId="158" xfId="0" applyFont="1" applyFill="1" applyBorder="1" applyAlignment="1">
      <alignment horizontal="center" vertical="center" wrapText="1"/>
    </xf>
    <xf numFmtId="0" fontId="0" fillId="19" borderId="176" xfId="0" applyFont="1" applyFill="1" applyBorder="1" applyAlignment="1">
      <alignment horizontal="center" vertical="center" wrapText="1"/>
    </xf>
    <xf numFmtId="49" fontId="2" fillId="23" borderId="158" xfId="0" applyNumberFormat="1" applyFont="1" applyFill="1" applyBorder="1" applyAlignment="1">
      <alignment horizontal="center" vertical="center" wrapText="1"/>
    </xf>
    <xf numFmtId="0" fontId="0" fillId="23" borderId="158" xfId="0" applyFont="1" applyFill="1" applyBorder="1" applyAlignment="1">
      <alignment horizontal="center" vertical="center" wrapText="1"/>
    </xf>
    <xf numFmtId="0" fontId="0" fillId="23" borderId="176" xfId="0" applyFont="1" applyFill="1" applyBorder="1" applyAlignment="1">
      <alignment horizontal="center" vertical="center" wrapText="1"/>
    </xf>
    <xf numFmtId="49" fontId="2" fillId="14" borderId="158" xfId="0" applyNumberFormat="1" applyFont="1" applyFill="1" applyBorder="1" applyAlignment="1">
      <alignment horizontal="center" vertical="center" wrapText="1"/>
    </xf>
    <xf numFmtId="0" fontId="0" fillId="14" borderId="158" xfId="0" applyFont="1" applyFill="1" applyBorder="1" applyAlignment="1">
      <alignment horizontal="center" vertical="center" wrapText="1"/>
    </xf>
    <xf numFmtId="0" fontId="0" fillId="14" borderId="176" xfId="0" applyFont="1" applyFill="1" applyBorder="1" applyAlignment="1">
      <alignment horizontal="center" vertical="center" wrapText="1"/>
    </xf>
    <xf numFmtId="49" fontId="2" fillId="24" borderId="158" xfId="0" applyNumberFormat="1" applyFont="1" applyFill="1" applyBorder="1" applyAlignment="1">
      <alignment horizontal="center" vertical="center" wrapText="1"/>
    </xf>
    <xf numFmtId="0" fontId="0" fillId="24" borderId="158" xfId="0" applyFont="1" applyFill="1" applyBorder="1" applyAlignment="1">
      <alignment horizontal="center" vertical="center" wrapText="1"/>
    </xf>
    <xf numFmtId="0" fontId="0" fillId="24" borderId="176" xfId="0" applyFont="1" applyFill="1" applyBorder="1" applyAlignment="1">
      <alignment horizontal="center" vertical="center" wrapText="1"/>
    </xf>
    <xf numFmtId="0" fontId="1" fillId="0" borderId="0" xfId="0" applyFont="1" applyAlignment="1">
      <alignment horizontal="center" vertical="center"/>
    </xf>
    <xf numFmtId="49" fontId="2" fillId="2" borderId="3" xfId="0" applyNumberFormat="1" applyFont="1" applyFill="1" applyBorder="1" applyAlignment="1">
      <alignment horizontal="center" vertical="top" wrapText="1"/>
    </xf>
    <xf numFmtId="0" fontId="2" fillId="2" borderId="1" xfId="0" applyFont="1" applyFill="1" applyBorder="1" applyAlignment="1">
      <alignment vertical="top" wrapText="1"/>
    </xf>
    <xf numFmtId="0" fontId="2" fillId="2" borderId="2" xfId="0" applyFont="1" applyFill="1" applyBorder="1" applyAlignment="1">
      <alignment vertical="top" wrapText="1"/>
    </xf>
    <xf numFmtId="49" fontId="2" fillId="2" borderId="5" xfId="0" applyNumberFormat="1" applyFont="1" applyFill="1" applyBorder="1" applyAlignment="1">
      <alignment horizontal="center" vertical="top" wrapText="1"/>
    </xf>
    <xf numFmtId="49" fontId="2" fillId="2" borderId="76" xfId="0" applyNumberFormat="1" applyFont="1" applyFill="1" applyBorder="1" applyAlignment="1">
      <alignment horizontal="center" vertical="top" wrapText="1"/>
    </xf>
    <xf numFmtId="49" fontId="2" fillId="2" borderId="1" xfId="0" applyNumberFormat="1" applyFont="1" applyFill="1" applyBorder="1" applyAlignment="1">
      <alignment horizontal="center" vertical="top" wrapText="1"/>
    </xf>
    <xf numFmtId="49" fontId="2" fillId="2" borderId="4" xfId="0" applyNumberFormat="1" applyFont="1" applyFill="1" applyBorder="1" applyAlignment="1">
      <alignment horizontal="center" vertical="top" wrapText="1"/>
    </xf>
    <xf numFmtId="0" fontId="2" fillId="2" borderId="4" xfId="0" applyFont="1" applyFill="1" applyBorder="1" applyAlignment="1">
      <alignment vertical="top" wrapText="1"/>
    </xf>
    <xf numFmtId="0" fontId="2" fillId="2" borderId="5" xfId="0" applyFont="1" applyFill="1" applyBorder="1" applyAlignment="1">
      <alignment vertical="top" wrapText="1"/>
    </xf>
    <xf numFmtId="0" fontId="18" fillId="0" borderId="0" xfId="0" applyFont="1" applyAlignment="1">
      <alignment horizontal="center" vertical="center"/>
    </xf>
    <xf numFmtId="0" fontId="3" fillId="0" borderId="0" xfId="0" applyFont="1" applyAlignment="1">
      <alignment horizontal="center" vertical="center"/>
    </xf>
    <xf numFmtId="0" fontId="19" fillId="0" borderId="0" xfId="0" applyFont="1" applyAlignment="1">
      <alignment horizontal="center" vertical="center"/>
    </xf>
    <xf numFmtId="49" fontId="0" fillId="0" borderId="1" xfId="0" applyNumberFormat="1" applyFont="1" applyBorder="1" applyAlignment="1">
      <alignment horizontal="left" vertical="center" wrapText="1"/>
    </xf>
    <xf numFmtId="0" fontId="0" fillId="0" borderId="1" xfId="0" applyFont="1" applyBorder="1" applyAlignment="1">
      <alignment vertical="top" wrapText="1"/>
    </xf>
    <xf numFmtId="49" fontId="0" fillId="9" borderId="1" xfId="0" applyNumberFormat="1" applyFont="1" applyFill="1" applyBorder="1" applyAlignment="1">
      <alignment horizontal="left" vertical="center" wrapText="1"/>
    </xf>
    <xf numFmtId="0" fontId="0" fillId="9" borderId="1" xfId="0" applyFont="1" applyFill="1" applyBorder="1" applyAlignment="1">
      <alignment horizontal="left" vertical="center" wrapText="1"/>
    </xf>
  </cellXfs>
  <cellStyles count="3">
    <cellStyle name="Lien hypertexte" xfId="1" builtinId="8"/>
    <cellStyle name="Normal" xfId="0" builtinId="0"/>
    <cellStyle name="Pourcentage" xfId="2" builtinId="5"/>
  </cellStyles>
  <dxfs count="63">
    <dxf>
      <font>
        <color rgb="FF9C0006"/>
      </font>
    </dxf>
    <dxf>
      <font>
        <color rgb="FF9C0006"/>
      </font>
      <fill>
        <patternFill>
          <bgColor rgb="FFFFC7CE"/>
        </patternFill>
      </fill>
    </dxf>
    <dxf>
      <font>
        <color rgb="FF000000"/>
      </font>
      <fill>
        <patternFill patternType="solid">
          <fgColor indexed="15"/>
          <bgColor indexed="19"/>
        </patternFill>
      </fill>
    </dxf>
    <dxf>
      <font>
        <color rgb="FFE32400"/>
      </font>
    </dxf>
    <dxf>
      <font>
        <color rgb="FFE32400"/>
      </font>
    </dxf>
    <dxf>
      <font>
        <color rgb="FFE32400"/>
      </font>
    </dxf>
    <dxf>
      <font>
        <color rgb="FF000000"/>
      </font>
      <fill>
        <patternFill patternType="solid">
          <fgColor indexed="15"/>
          <bgColor indexed="16"/>
        </patternFill>
      </fill>
    </dxf>
    <dxf>
      <font>
        <color rgb="FFE32400"/>
      </font>
    </dxf>
    <dxf>
      <font>
        <color rgb="FF000000"/>
      </font>
      <fill>
        <patternFill patternType="solid">
          <fgColor indexed="15"/>
          <bgColor indexed="23"/>
        </patternFill>
      </fill>
    </dxf>
    <dxf>
      <font>
        <color rgb="FF000000"/>
      </font>
      <fill>
        <patternFill patternType="solid">
          <fgColor indexed="15"/>
          <bgColor indexed="22"/>
        </patternFill>
      </fill>
    </dxf>
    <dxf>
      <font>
        <color rgb="FF000000"/>
      </font>
      <fill>
        <patternFill patternType="solid">
          <fgColor indexed="15"/>
          <bgColor indexed="19"/>
        </patternFill>
      </fill>
    </dxf>
    <dxf>
      <font>
        <color rgb="FF000000"/>
      </font>
      <fill>
        <patternFill patternType="solid">
          <fgColor indexed="15"/>
          <bgColor indexed="16"/>
        </patternFill>
      </fill>
    </dxf>
    <dxf>
      <font>
        <color rgb="FFE32400"/>
      </font>
    </dxf>
    <dxf>
      <font>
        <color rgb="FF000000"/>
      </font>
      <fill>
        <patternFill patternType="solid">
          <fgColor indexed="15"/>
          <bgColor indexed="16"/>
        </patternFill>
      </fill>
    </dxf>
    <dxf>
      <font>
        <color rgb="FF000000"/>
      </font>
      <fill>
        <patternFill patternType="solid">
          <fgColor indexed="15"/>
          <bgColor indexed="19"/>
        </patternFill>
      </fill>
    </dxf>
    <dxf>
      <font>
        <color rgb="FFE32400"/>
      </font>
    </dxf>
    <dxf>
      <font>
        <color rgb="FFE32400"/>
      </font>
    </dxf>
    <dxf>
      <font>
        <color rgb="FF000000"/>
      </font>
      <fill>
        <patternFill patternType="solid">
          <fgColor indexed="15"/>
          <bgColor indexed="22"/>
        </patternFill>
      </fill>
    </dxf>
    <dxf>
      <font>
        <color rgb="FF000000"/>
      </font>
      <fill>
        <patternFill patternType="solid">
          <fgColor indexed="15"/>
          <bgColor indexed="19"/>
        </patternFill>
      </fill>
    </dxf>
    <dxf>
      <font>
        <color rgb="FF000000"/>
      </font>
      <fill>
        <patternFill patternType="solid">
          <fgColor indexed="15"/>
          <bgColor indexed="16"/>
        </patternFill>
      </fill>
    </dxf>
    <dxf>
      <font>
        <color rgb="FF000000"/>
      </font>
      <fill>
        <patternFill patternType="solid">
          <fgColor indexed="15"/>
          <bgColor indexed="22"/>
        </patternFill>
      </fill>
    </dxf>
    <dxf>
      <font>
        <color rgb="FF000000"/>
      </font>
      <fill>
        <patternFill patternType="solid">
          <fgColor indexed="15"/>
          <bgColor indexed="19"/>
        </patternFill>
      </fill>
    </dxf>
    <dxf>
      <font>
        <color rgb="FFE32400"/>
      </font>
    </dxf>
    <dxf>
      <font>
        <color rgb="FF000000"/>
      </font>
      <fill>
        <patternFill patternType="solid">
          <fgColor indexed="15"/>
          <bgColor indexed="19"/>
        </patternFill>
      </fill>
    </dxf>
    <dxf>
      <font>
        <color rgb="FFE32400"/>
      </font>
    </dxf>
    <dxf>
      <font>
        <color rgb="FF000000"/>
      </font>
      <fill>
        <patternFill patternType="solid">
          <fgColor indexed="15"/>
          <bgColor indexed="23"/>
        </patternFill>
      </fill>
    </dxf>
    <dxf>
      <font>
        <color rgb="FF000000"/>
      </font>
      <fill>
        <patternFill patternType="solid">
          <fgColor indexed="15"/>
          <bgColor indexed="22"/>
        </patternFill>
      </fill>
    </dxf>
    <dxf>
      <font>
        <color rgb="FF000000"/>
      </font>
      <fill>
        <patternFill patternType="solid">
          <fgColor indexed="15"/>
          <bgColor indexed="19"/>
        </patternFill>
      </fill>
    </dxf>
    <dxf>
      <font>
        <color rgb="FF000000"/>
      </font>
      <fill>
        <patternFill patternType="solid">
          <fgColor indexed="15"/>
          <bgColor indexed="16"/>
        </patternFill>
      </fill>
    </dxf>
    <dxf>
      <font>
        <color rgb="FF000000"/>
      </font>
      <fill>
        <patternFill patternType="solid">
          <fgColor indexed="15"/>
          <bgColor indexed="23"/>
        </patternFill>
      </fill>
    </dxf>
    <dxf>
      <font>
        <color rgb="FF000000"/>
      </font>
      <fill>
        <patternFill patternType="solid">
          <fgColor indexed="15"/>
          <bgColor indexed="22"/>
        </patternFill>
      </fill>
    </dxf>
    <dxf>
      <font>
        <color rgb="FFE32400"/>
      </font>
    </dxf>
    <dxf>
      <font>
        <color rgb="FF000000"/>
      </font>
      <fill>
        <patternFill patternType="solid">
          <fgColor indexed="15"/>
          <bgColor indexed="19"/>
        </patternFill>
      </fill>
    </dxf>
    <dxf>
      <font>
        <color rgb="FF000000"/>
      </font>
      <fill>
        <patternFill patternType="solid">
          <fgColor indexed="15"/>
          <bgColor indexed="16"/>
        </patternFill>
      </fill>
    </dxf>
    <dxf>
      <font>
        <color rgb="FF000000"/>
      </font>
      <fill>
        <patternFill patternType="solid">
          <fgColor indexed="15"/>
          <bgColor indexed="23"/>
        </patternFill>
      </fill>
    </dxf>
    <dxf>
      <font>
        <color rgb="FF000000"/>
      </font>
      <fill>
        <patternFill patternType="solid">
          <fgColor indexed="15"/>
          <bgColor indexed="19"/>
        </patternFill>
      </fill>
    </dxf>
    <dxf>
      <font>
        <color rgb="FF000000"/>
      </font>
      <fill>
        <patternFill patternType="solid">
          <fgColor indexed="15"/>
          <bgColor indexed="16"/>
        </patternFill>
      </fill>
    </dxf>
    <dxf>
      <font>
        <color rgb="FF000000"/>
      </font>
      <fill>
        <patternFill patternType="solid">
          <fgColor indexed="15"/>
          <bgColor indexed="19"/>
        </patternFill>
      </fill>
    </dxf>
    <dxf>
      <font>
        <color rgb="FF000000"/>
      </font>
      <fill>
        <patternFill patternType="solid">
          <fgColor indexed="15"/>
          <bgColor indexed="19"/>
        </patternFill>
      </fill>
    </dxf>
    <dxf>
      <font>
        <color rgb="FF000000"/>
      </font>
      <fill>
        <patternFill patternType="solid">
          <fgColor indexed="15"/>
          <bgColor indexed="19"/>
        </patternFill>
      </fill>
    </dxf>
    <dxf>
      <font>
        <color rgb="FF000000"/>
      </font>
      <fill>
        <patternFill patternType="solid">
          <fgColor indexed="15"/>
          <bgColor indexed="23"/>
        </patternFill>
      </fill>
    </dxf>
    <dxf>
      <font>
        <color rgb="FF000000"/>
      </font>
      <fill>
        <patternFill patternType="solid">
          <fgColor indexed="15"/>
          <bgColor indexed="22"/>
        </patternFill>
      </fill>
    </dxf>
    <dxf>
      <font>
        <color rgb="FF000000"/>
      </font>
      <fill>
        <patternFill patternType="solid">
          <fgColor indexed="15"/>
          <bgColor indexed="19"/>
        </patternFill>
      </fill>
    </dxf>
    <dxf>
      <font>
        <color rgb="FF000000"/>
      </font>
      <fill>
        <patternFill patternType="solid">
          <fgColor indexed="15"/>
          <bgColor indexed="16"/>
        </patternFill>
      </fill>
    </dxf>
    <dxf>
      <font>
        <color rgb="FF000000"/>
      </font>
      <fill>
        <patternFill patternType="solid">
          <fgColor indexed="15"/>
          <bgColor indexed="22"/>
        </patternFill>
      </fill>
    </dxf>
    <dxf>
      <font>
        <color rgb="FF000000"/>
      </font>
      <fill>
        <patternFill patternType="solid">
          <fgColor indexed="15"/>
          <bgColor indexed="23"/>
        </patternFill>
      </fill>
    </dxf>
    <dxf>
      <font>
        <color rgb="FFE32400"/>
      </font>
    </dxf>
    <dxf>
      <font>
        <color rgb="FF000000"/>
      </font>
      <fill>
        <patternFill patternType="solid">
          <fgColor indexed="15"/>
          <bgColor indexed="22"/>
        </patternFill>
      </fill>
    </dxf>
    <dxf>
      <font>
        <color rgb="FF000000"/>
      </font>
      <fill>
        <patternFill patternType="solid">
          <fgColor indexed="15"/>
          <bgColor indexed="19"/>
        </patternFill>
      </fill>
    </dxf>
    <dxf>
      <font>
        <color rgb="FF000000"/>
      </font>
      <fill>
        <patternFill patternType="solid">
          <fgColor indexed="15"/>
          <bgColor indexed="23"/>
        </patternFill>
      </fill>
    </dxf>
    <dxf>
      <font>
        <color rgb="FFE32400"/>
      </font>
    </dxf>
    <dxf>
      <font>
        <color rgb="FF000000"/>
      </font>
      <fill>
        <patternFill patternType="solid">
          <fgColor indexed="15"/>
          <bgColor indexed="22"/>
        </patternFill>
      </fill>
    </dxf>
    <dxf>
      <font>
        <color rgb="FF000000"/>
      </font>
      <fill>
        <patternFill patternType="solid">
          <fgColor indexed="15"/>
          <bgColor indexed="19"/>
        </patternFill>
      </fill>
    </dxf>
    <dxf>
      <font>
        <color rgb="FF000000"/>
      </font>
      <fill>
        <patternFill patternType="solid">
          <fgColor indexed="15"/>
          <bgColor indexed="16"/>
        </patternFill>
      </fill>
    </dxf>
    <dxf>
      <font>
        <color rgb="FF000000"/>
      </font>
      <fill>
        <patternFill patternType="solid">
          <fgColor indexed="15"/>
          <bgColor indexed="23"/>
        </patternFill>
      </fill>
    </dxf>
    <dxf>
      <font>
        <color rgb="FF000000"/>
      </font>
      <fill>
        <patternFill patternType="solid">
          <fgColor indexed="15"/>
          <bgColor indexed="16"/>
        </patternFill>
      </fill>
    </dxf>
    <dxf>
      <font>
        <color rgb="FFE32400"/>
      </font>
    </dxf>
    <dxf>
      <font>
        <color rgb="FF000000"/>
      </font>
      <fill>
        <patternFill patternType="solid">
          <fgColor indexed="15"/>
          <bgColor indexed="23"/>
        </patternFill>
      </fill>
    </dxf>
    <dxf>
      <font>
        <color rgb="FF000000"/>
      </font>
      <fill>
        <patternFill patternType="solid">
          <fgColor indexed="15"/>
          <bgColor indexed="22"/>
        </patternFill>
      </fill>
    </dxf>
    <dxf>
      <font>
        <color rgb="FF669C35"/>
      </font>
    </dxf>
    <dxf>
      <font>
        <color rgb="FFE32400"/>
      </font>
    </dxf>
    <dxf>
      <font>
        <color rgb="FF000000"/>
      </font>
      <fill>
        <patternFill patternType="solid">
          <fgColor indexed="15"/>
          <bgColor indexed="19"/>
        </patternFill>
      </fill>
    </dxf>
    <dxf>
      <font>
        <color rgb="FF000000"/>
      </font>
      <fill>
        <patternFill patternType="solid">
          <fgColor indexed="15"/>
          <bgColor indexed="16"/>
        </patternFill>
      </fill>
    </dxf>
  </dxfs>
  <tableStyles count="0"/>
  <colors>
    <indexedColors>
      <rgbColor rgb="FF000000"/>
      <rgbColor rgb="FFFFFFFF"/>
      <rgbColor rgb="FFFF0000"/>
      <rgbColor rgb="FF00FF00"/>
      <rgbColor rgb="FF0000FF"/>
      <rgbColor rgb="FFFFFF00"/>
      <rgbColor rgb="FFFF00FF"/>
      <rgbColor rgb="FF00FFFF"/>
      <rgbColor rgb="FF000000"/>
      <rgbColor rgb="FFBDC0BF"/>
      <rgbColor rgb="FFA5A5A5"/>
      <rgbColor rgb="FFBFBFBF"/>
      <rgbColor rgb="FF3F3F3F"/>
      <rgbColor rgb="FFAAAAAA"/>
      <rgbColor rgb="FFDBDBDB"/>
      <rgbColor rgb="00000000"/>
      <rgbColor rgb="E5FFD38A"/>
      <rgbColor rgb="FFE1E1E1"/>
      <rgbColor rgb="FFE9E9E9"/>
      <rgbColor rgb="E5AFE489"/>
      <rgbColor rgb="FFE32400"/>
      <rgbColor rgb="FF669C35"/>
      <rgbColor rgb="E5FEBCB9"/>
      <rgbColor rgb="E598EFEA"/>
      <rgbColor rgb="FFFF40FF"/>
      <rgbColor rgb="FFFEFFFF"/>
      <rgbColor rgb="FFDFDFDF"/>
      <rgbColor rgb="FF333F47"/>
      <rgbColor rgb="FFFF2600"/>
      <rgbColor rgb="FFD5D5D5"/>
      <rgbColor rgb="FFE6E6E6"/>
      <rgbColor rgb="FF0067D9"/>
      <rgbColor rgb="FFD3D3D3"/>
      <rgbColor rgb="FFA5A5A5"/>
      <rgbColor rgb="FF3F3F3F"/>
      <rgbColor rgb="FF8AFC8A"/>
      <rgbColor rgb="FF60D836"/>
      <rgbColor rgb="FF454545"/>
      <rgbColor rgb="FFDCFDCC"/>
      <rgbColor rgb="FF333333"/>
      <rgbColor rgb="FFFF968C"/>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DDF4FF"/>
      <color rgb="FFA0C8DC"/>
      <color rgb="FF6D9F7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7</xdr:col>
      <xdr:colOff>215900</xdr:colOff>
      <xdr:row>5</xdr:row>
      <xdr:rowOff>12700</xdr:rowOff>
    </xdr:from>
    <xdr:to>
      <xdr:col>9</xdr:col>
      <xdr:colOff>190500</xdr:colOff>
      <xdr:row>5</xdr:row>
      <xdr:rowOff>165100</xdr:rowOff>
    </xdr:to>
    <xdr:pic>
      <xdr:nvPicPr>
        <xdr:cNvPr id="2" name="Image 1">
          <a:extLst>
            <a:ext uri="{FF2B5EF4-FFF2-40B4-BE49-F238E27FC236}">
              <a16:creationId xmlns:a16="http://schemas.microsoft.com/office/drawing/2014/main" id="{F133CFCE-BF28-8D42-87F0-77FEBFC837E0}"/>
            </a:ext>
          </a:extLst>
        </xdr:cNvPr>
        <xdr:cNvPicPr>
          <a:picLocks noChangeAspect="1"/>
        </xdr:cNvPicPr>
      </xdr:nvPicPr>
      <xdr:blipFill>
        <a:blip xmlns:r="http://schemas.openxmlformats.org/officeDocument/2006/relationships" r:embed="rId1"/>
        <a:stretch>
          <a:fillRect/>
        </a:stretch>
      </xdr:blipFill>
      <xdr:spPr>
        <a:xfrm>
          <a:off x="6121400" y="5384800"/>
          <a:ext cx="2032000" cy="152400"/>
        </a:xfrm>
        <a:prstGeom prst="rect">
          <a:avLst/>
        </a:prstGeom>
      </xdr:spPr>
    </xdr:pic>
    <xdr:clientData/>
  </xdr:twoCellAnchor>
  <xdr:oneCellAnchor>
    <xdr:from>
      <xdr:col>7</xdr:col>
      <xdr:colOff>444500</xdr:colOff>
      <xdr:row>7</xdr:row>
      <xdr:rowOff>203201</xdr:rowOff>
    </xdr:from>
    <xdr:ext cx="1536700" cy="287195"/>
    <xdr:sp macro="" textlink="">
      <xdr:nvSpPr>
        <xdr:cNvPr id="3" name="ZoneTexte 2">
          <a:extLst>
            <a:ext uri="{FF2B5EF4-FFF2-40B4-BE49-F238E27FC236}">
              <a16:creationId xmlns:a16="http://schemas.microsoft.com/office/drawing/2014/main" id="{61AAB7AA-F745-4041-AC39-D0015D9C893D}"/>
            </a:ext>
          </a:extLst>
        </xdr:cNvPr>
        <xdr:cNvSpPr txBox="1"/>
      </xdr:nvSpPr>
      <xdr:spPr>
        <a:xfrm>
          <a:off x="6350000" y="5994401"/>
          <a:ext cx="1536700" cy="287195"/>
        </a:xfrm>
        <a:prstGeom prst="rect">
          <a:avLst/>
        </a:prstGeom>
        <a:noFill/>
        <a:ln w="12700" cap="flat">
          <a:noFill/>
          <a:miter lim="400000"/>
        </a:ln>
        <a:effectLst/>
        <a:sp3d/>
      </xdr:spPr>
      <xdr:style>
        <a:lnRef idx="0">
          <a:scrgbClr r="0" g="0" b="0"/>
        </a:lnRef>
        <a:fillRef idx="0">
          <a:scrgbClr r="0" g="0" b="0"/>
        </a:fillRef>
        <a:effectRef idx="0">
          <a:scrgbClr r="0" g="0" b="0"/>
        </a:effectRef>
        <a:fontRef idx="none"/>
      </xdr:style>
      <xdr:txBody>
        <a:bodyPr rot="0" spcFirstLastPara="1" vertOverflow="clip" horzOverflow="clip" vert="horz" wrap="square" lIns="50800" tIns="50800" rIns="50800" bIns="50800" numCol="1" spcCol="38100" rtlCol="0" anchor="t">
          <a:spAutoFit/>
        </a:bodyPr>
        <a:lstStyle/>
        <a:p>
          <a:pPr marL="0" marR="0" indent="0" algn="l" defTabSz="457200" rtl="0" fontAlgn="auto" latinLnBrk="0" hangingPunct="0">
            <a:lnSpc>
              <a:spcPct val="100000"/>
            </a:lnSpc>
            <a:spcBef>
              <a:spcPts val="0"/>
            </a:spcBef>
            <a:spcAft>
              <a:spcPts val="0"/>
            </a:spcAft>
            <a:buClrTx/>
            <a:buSzTx/>
            <a:buFontTx/>
            <a:buNone/>
            <a:tabLst/>
          </a:pPr>
          <a:r>
            <a:rPr kumimoji="0" lang="fr-FR" sz="1200" b="0" i="0" u="none" strike="noStrike" cap="none" spc="0" normalizeH="0" baseline="0">
              <a:ln>
                <a:noFill/>
              </a:ln>
              <a:solidFill>
                <a:srgbClr val="000000"/>
              </a:solidFill>
              <a:effectLst/>
              <a:uFillTx/>
              <a:latin typeface="Goudy Old Style" panose="02020502050305020303" pitchFamily="18" charset="77"/>
              <a:ea typeface="+mn-ea"/>
              <a:cs typeface="Arial" panose="020B0604020202020204" pitchFamily="34" charset="0"/>
              <a:sym typeface="Helvetica Neue"/>
            </a:rPr>
            <a:t>Saisie de commande</a:t>
          </a:r>
        </a:p>
      </xdr:txBody>
    </xdr:sp>
    <xdr:clientData/>
  </xdr:oneCellAnchor>
  <xdr:twoCellAnchor>
    <xdr:from>
      <xdr:col>1</xdr:col>
      <xdr:colOff>342900</xdr:colOff>
      <xdr:row>1</xdr:row>
      <xdr:rowOff>609600</xdr:rowOff>
    </xdr:from>
    <xdr:to>
      <xdr:col>9</xdr:col>
      <xdr:colOff>774700</xdr:colOff>
      <xdr:row>30</xdr:row>
      <xdr:rowOff>12700</xdr:rowOff>
    </xdr:to>
    <xdr:sp macro="" textlink="">
      <xdr:nvSpPr>
        <xdr:cNvPr id="9" name="Rectangle : coins arrondis 8">
          <a:extLst>
            <a:ext uri="{FF2B5EF4-FFF2-40B4-BE49-F238E27FC236}">
              <a16:creationId xmlns:a16="http://schemas.microsoft.com/office/drawing/2014/main" id="{88156D59-0000-FF4E-BBFB-344AD694994A}"/>
            </a:ext>
          </a:extLst>
        </xdr:cNvPr>
        <xdr:cNvSpPr/>
      </xdr:nvSpPr>
      <xdr:spPr>
        <a:xfrm>
          <a:off x="1168400" y="1663700"/>
          <a:ext cx="8191500" cy="6718300"/>
        </a:xfrm>
        <a:prstGeom prst="roundRect">
          <a:avLst/>
        </a:prstGeom>
        <a:noFill/>
        <a:ln/>
      </xdr:spPr>
      <xdr:style>
        <a:lnRef idx="1">
          <a:schemeClr val="dk1"/>
        </a:lnRef>
        <a:fillRef idx="2">
          <a:schemeClr val="dk1"/>
        </a:fillRef>
        <a:effectRef idx="1">
          <a:schemeClr val="dk1"/>
        </a:effectRef>
        <a:fontRef idx="minor">
          <a:schemeClr val="dk1"/>
        </a:fontRef>
      </xdr:style>
      <xdr:txBody>
        <a:bodyPr rot="0" spcFirstLastPara="1" vertOverflow="overflow" horzOverflow="overflow" vert="horz" wrap="square" lIns="50800" tIns="50800" rIns="50800" bIns="50800" numCol="1" spcCol="38100" rtlCol="0" anchor="ctr">
          <a:noAutofit/>
        </a:bodyPr>
        <a:lstStyle/>
        <a:p>
          <a:pPr marL="0" marR="0" indent="0" algn="ctr" defTabSz="457200" rtl="0" fontAlgn="auto" latinLnBrk="0" hangingPunct="0">
            <a:lnSpc>
              <a:spcPct val="100000"/>
            </a:lnSpc>
            <a:spcBef>
              <a:spcPts val="0"/>
            </a:spcBef>
            <a:spcAft>
              <a:spcPts val="0"/>
            </a:spcAft>
            <a:buClrTx/>
            <a:buSzTx/>
            <a:buFontTx/>
            <a:buNone/>
            <a:tabLst/>
          </a:pPr>
          <a:endParaRPr kumimoji="0" lang="fr-FR" sz="1200" b="0" i="0" u="none" strike="noStrike" cap="none" spc="0" normalizeH="0" baseline="0">
            <a:ln>
              <a:noFill/>
            </a:ln>
            <a:solidFill>
              <a:srgbClr val="FFFFFF"/>
            </a:solidFill>
            <a:effectLst/>
            <a:uFillTx/>
            <a:latin typeface="+mn-lt"/>
            <a:ea typeface="+mn-ea"/>
            <a:cs typeface="+mn-cs"/>
            <a:sym typeface="Helvetica Neue"/>
          </a:endParaRPr>
        </a:p>
      </xdr:txBody>
    </xdr:sp>
    <xdr:clientData/>
  </xdr:twoCellAnchor>
  <xdr:twoCellAnchor>
    <xdr:from>
      <xdr:col>7</xdr:col>
      <xdr:colOff>215900</xdr:colOff>
      <xdr:row>24</xdr:row>
      <xdr:rowOff>113900</xdr:rowOff>
    </xdr:from>
    <xdr:to>
      <xdr:col>9</xdr:col>
      <xdr:colOff>152400</xdr:colOff>
      <xdr:row>26</xdr:row>
      <xdr:rowOff>129395</xdr:rowOff>
    </xdr:to>
    <xdr:sp macro="[0]!EnregistrerCommande" textlink="">
      <xdr:nvSpPr>
        <xdr:cNvPr id="10" name="Ellipse 9" descr="Nouveau">
          <a:extLst>
            <a:ext uri="{FF2B5EF4-FFF2-40B4-BE49-F238E27FC236}">
              <a16:creationId xmlns:a16="http://schemas.microsoft.com/office/drawing/2014/main" id="{BD9E9DD3-71F3-624B-9A39-55E1030ED50E}"/>
            </a:ext>
          </a:extLst>
        </xdr:cNvPr>
        <xdr:cNvSpPr/>
      </xdr:nvSpPr>
      <xdr:spPr>
        <a:xfrm>
          <a:off x="6743700" y="6006700"/>
          <a:ext cx="1993900" cy="434595"/>
        </a:xfrm>
        <a:prstGeom prst="ellipse">
          <a:avLst/>
        </a:prstGeom>
        <a:solidFill>
          <a:srgbClr val="6D9F77"/>
        </a:solidFill>
        <a:ln w="12700" cap="flat">
          <a:noFill/>
          <a:miter lim="400000"/>
        </a:ln>
        <a:effectLst/>
        <a:sp3d/>
      </xdr:spPr>
      <xdr:style>
        <a:lnRef idx="0">
          <a:scrgbClr r="0" g="0" b="0"/>
        </a:lnRef>
        <a:fillRef idx="0">
          <a:scrgbClr r="0" g="0" b="0"/>
        </a:fillRef>
        <a:effectRef idx="0">
          <a:scrgbClr r="0" g="0" b="0"/>
        </a:effectRef>
        <a:fontRef idx="none"/>
      </xdr:style>
      <xdr:txBody>
        <a:bodyPr rot="0" spcFirstLastPara="1" vertOverflow="overflow" horzOverflow="overflow" vert="horz" wrap="square" lIns="50800" tIns="50800" rIns="50800" bIns="50800" numCol="1" spcCol="38100" rtlCol="0" anchor="ctr">
          <a:spAutoFit/>
        </a:bodyPr>
        <a:lstStyle/>
        <a:p>
          <a:pPr marL="0" marR="0" indent="0" algn="ctr" defTabSz="457200" rtl="0" fontAlgn="auto" latinLnBrk="0" hangingPunct="0">
            <a:lnSpc>
              <a:spcPct val="100000"/>
            </a:lnSpc>
            <a:spcBef>
              <a:spcPts val="0"/>
            </a:spcBef>
            <a:spcAft>
              <a:spcPts val="0"/>
            </a:spcAft>
            <a:buClrTx/>
            <a:buSzTx/>
            <a:buFontTx/>
            <a:buNone/>
            <a:tabLst/>
          </a:pPr>
          <a:r>
            <a:rPr kumimoji="0" lang="fr-FR" sz="1400" b="1" i="0" u="none" strike="noStrike" cap="none" spc="0" normalizeH="0" baseline="0">
              <a:ln>
                <a:noFill/>
              </a:ln>
              <a:solidFill>
                <a:srgbClr val="FFFFFF"/>
              </a:solidFill>
              <a:effectLst/>
              <a:uFillTx/>
              <a:latin typeface="Arial" panose="020B0604020202020204" pitchFamily="34" charset="0"/>
              <a:ea typeface="+mn-ea"/>
              <a:cs typeface="Arial" panose="020B0604020202020204" pitchFamily="34" charset="0"/>
              <a:sym typeface="Helvetica Neue"/>
            </a:rPr>
            <a:t>Enregistrer</a:t>
          </a:r>
        </a:p>
      </xdr:txBody>
    </xdr:sp>
    <xdr:clientData/>
  </xdr:twoCellAnchor>
  <xdr:twoCellAnchor>
    <xdr:from>
      <xdr:col>7</xdr:col>
      <xdr:colOff>254000</xdr:colOff>
      <xdr:row>20</xdr:row>
      <xdr:rowOff>202800</xdr:rowOff>
    </xdr:from>
    <xdr:to>
      <xdr:col>9</xdr:col>
      <xdr:colOff>190500</xdr:colOff>
      <xdr:row>23</xdr:row>
      <xdr:rowOff>2395</xdr:rowOff>
    </xdr:to>
    <xdr:sp macro="[0]!NouveauFormulaire" textlink="">
      <xdr:nvSpPr>
        <xdr:cNvPr id="12" name="Ellipse 11" descr="Nouveau">
          <a:extLst>
            <a:ext uri="{FF2B5EF4-FFF2-40B4-BE49-F238E27FC236}">
              <a16:creationId xmlns:a16="http://schemas.microsoft.com/office/drawing/2014/main" id="{F38774FF-17EA-2A41-9AC1-7DF818DA36CC}"/>
            </a:ext>
          </a:extLst>
        </xdr:cNvPr>
        <xdr:cNvSpPr/>
      </xdr:nvSpPr>
      <xdr:spPr>
        <a:xfrm>
          <a:off x="6781800" y="5257400"/>
          <a:ext cx="1993900" cy="434595"/>
        </a:xfrm>
        <a:prstGeom prst="ellipse">
          <a:avLst/>
        </a:prstGeom>
        <a:solidFill>
          <a:schemeClr val="tx2">
            <a:lumMod val="60000"/>
            <a:lumOff val="40000"/>
          </a:schemeClr>
        </a:solidFill>
        <a:ln w="12700" cap="flat">
          <a:noFill/>
          <a:miter lim="400000"/>
        </a:ln>
        <a:effectLst/>
        <a:sp3d/>
      </xdr:spPr>
      <xdr:style>
        <a:lnRef idx="0">
          <a:scrgbClr r="0" g="0" b="0"/>
        </a:lnRef>
        <a:fillRef idx="0">
          <a:scrgbClr r="0" g="0" b="0"/>
        </a:fillRef>
        <a:effectRef idx="0">
          <a:scrgbClr r="0" g="0" b="0"/>
        </a:effectRef>
        <a:fontRef idx="none"/>
      </xdr:style>
      <xdr:txBody>
        <a:bodyPr rot="0" spcFirstLastPara="1" vertOverflow="overflow" horzOverflow="overflow" vert="horz" wrap="square" lIns="50800" tIns="50800" rIns="50800" bIns="50800" numCol="1" spcCol="38100" rtlCol="0" anchor="ctr">
          <a:spAutoFit/>
        </a:bodyPr>
        <a:lstStyle/>
        <a:p>
          <a:pPr marL="0" marR="0" indent="0" algn="ctr" defTabSz="457200" rtl="0" fontAlgn="auto" latinLnBrk="0" hangingPunct="0">
            <a:lnSpc>
              <a:spcPct val="100000"/>
            </a:lnSpc>
            <a:spcBef>
              <a:spcPts val="0"/>
            </a:spcBef>
            <a:spcAft>
              <a:spcPts val="0"/>
            </a:spcAft>
            <a:buClrTx/>
            <a:buSzTx/>
            <a:buFontTx/>
            <a:buNone/>
            <a:tabLst/>
          </a:pPr>
          <a:r>
            <a:rPr kumimoji="0" lang="fr-FR" sz="1400" b="1" i="0" u="none" strike="noStrike" cap="none" spc="0" normalizeH="0" baseline="0">
              <a:ln>
                <a:noFill/>
              </a:ln>
              <a:solidFill>
                <a:srgbClr val="FFFFFF"/>
              </a:solidFill>
              <a:effectLst/>
              <a:uFillTx/>
              <a:latin typeface="Arial" panose="020B0604020202020204" pitchFamily="34" charset="0"/>
              <a:ea typeface="+mn-ea"/>
              <a:cs typeface="Arial" panose="020B0604020202020204" pitchFamily="34" charset="0"/>
              <a:sym typeface="Helvetica Neue"/>
            </a:rPr>
            <a:t>Nouveau</a:t>
          </a:r>
        </a:p>
      </xdr:txBody>
    </xdr:sp>
    <xdr:clientData/>
  </xdr:twoCellAnchor>
  <xdr:twoCellAnchor>
    <xdr:from>
      <xdr:col>6</xdr:col>
      <xdr:colOff>520700</xdr:colOff>
      <xdr:row>3</xdr:row>
      <xdr:rowOff>25400</xdr:rowOff>
    </xdr:from>
    <xdr:to>
      <xdr:col>6</xdr:col>
      <xdr:colOff>520700</xdr:colOff>
      <xdr:row>27</xdr:row>
      <xdr:rowOff>50800</xdr:rowOff>
    </xdr:to>
    <xdr:cxnSp macro="">
      <xdr:nvCxnSpPr>
        <xdr:cNvPr id="14" name="Connecteur droit 13">
          <a:extLst>
            <a:ext uri="{FF2B5EF4-FFF2-40B4-BE49-F238E27FC236}">
              <a16:creationId xmlns:a16="http://schemas.microsoft.com/office/drawing/2014/main" id="{309A1C17-88A6-164D-BE84-7AD0CBDB39F5}"/>
            </a:ext>
          </a:extLst>
        </xdr:cNvPr>
        <xdr:cNvCxnSpPr/>
      </xdr:nvCxnSpPr>
      <xdr:spPr>
        <a:xfrm flipV="1">
          <a:off x="6337300" y="1244600"/>
          <a:ext cx="0" cy="7708900"/>
        </a:xfrm>
        <a:prstGeom prst="line">
          <a:avLst/>
        </a:prstGeom>
        <a:ln>
          <a:solidFill>
            <a:schemeClr val="bg1">
              <a:lumMod val="50000"/>
            </a:schemeClr>
          </a:solidFill>
        </a:ln>
      </xdr:spPr>
      <xdr:style>
        <a:lnRef idx="1">
          <a:schemeClr val="dk1"/>
        </a:lnRef>
        <a:fillRef idx="0">
          <a:schemeClr val="dk1"/>
        </a:fillRef>
        <a:effectRef idx="0">
          <a:schemeClr val="dk1"/>
        </a:effectRef>
        <a:fontRef idx="minor">
          <a:schemeClr val="tx1"/>
        </a:fontRef>
      </xdr:style>
    </xdr:cxnSp>
    <xdr:clientData/>
  </xdr:twoCellAnchor>
</xdr:wsDr>
</file>

<file path=xl/persons/person.xml><?xml version="1.0" encoding="utf-8"?>
<personList xmlns="http://schemas.microsoft.com/office/spreadsheetml/2018/threadedcomments" xmlns:x="http://schemas.openxmlformats.org/spreadsheetml/2006/main">
  <person displayName="BELGIAN DESIGN sprl" id="{AA3FA5BE-5461-E245-8FC0-C752ADC08DAB}" userId="686772bbed3c11b4" providerId="Windows Live"/>
</personList>
</file>

<file path=xl/theme/theme1.xml><?xml version="1.0" encoding="utf-8"?>
<a:theme xmlns:a="http://schemas.openxmlformats.org/drawingml/2006/main" name="Blank">
  <a:themeElements>
    <a:clrScheme name="Blank">
      <a:dk1>
        <a:srgbClr val="000000"/>
      </a:dk1>
      <a:lt1>
        <a:srgbClr val="FFFFFF"/>
      </a:lt1>
      <a:dk2>
        <a:srgbClr val="5E5E5E"/>
      </a:dk2>
      <a:lt2>
        <a:srgbClr val="D5D5D5"/>
      </a:lt2>
      <a:accent1>
        <a:srgbClr val="00A2FF"/>
      </a:accent1>
      <a:accent2>
        <a:srgbClr val="16E7CF"/>
      </a:accent2>
      <a:accent3>
        <a:srgbClr val="61D836"/>
      </a:accent3>
      <a:accent4>
        <a:srgbClr val="FAE232"/>
      </a:accent4>
      <a:accent5>
        <a:srgbClr val="FF644E"/>
      </a:accent5>
      <a:accent6>
        <a:srgbClr val="EF5FA7"/>
      </a:accent6>
      <a:hlink>
        <a:srgbClr val="0000FF"/>
      </a:hlink>
      <a:folHlink>
        <a:srgbClr val="FF00FF"/>
      </a:folHlink>
    </a:clrScheme>
    <a:fontScheme name="Blank">
      <a:majorFont>
        <a:latin typeface="Helvetica Neue"/>
        <a:ea typeface="Helvetica Neue"/>
        <a:cs typeface="Helvetica Neue"/>
      </a:majorFont>
      <a:minorFont>
        <a:latin typeface="Helvetica Neue"/>
        <a:ea typeface="Helvetica Neue"/>
        <a:cs typeface="Helvetica Neue"/>
      </a:minorFont>
    </a:fontScheme>
    <a:fmtScheme name="Blank">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29999"/>
              </a:schemeClr>
            </a:gs>
            <a:gs pos="100000">
              <a:schemeClr val="phClr">
                <a:tint val="50000"/>
                <a:shade val="100000"/>
                <a:satMod val="350000"/>
              </a:schemeClr>
            </a:gs>
          </a:gsLst>
          <a:lin ang="16200000" scaled="0"/>
        </a:gradFill>
      </a:fillStyleLst>
      <a:lnStyleLst>
        <a:ln w="9525" cap="flat" cmpd="sng" algn="ctr">
          <a:solidFill>
            <a:schemeClr val="phClr">
              <a:shade val="95000"/>
              <a:satMod val="104999"/>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effectStyle>
        <a:effectStyle>
          <a:effectLst/>
        </a:effectStyle>
        <a:effectStyle>
          <a:effectLst/>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chemeClr val="accent1"/>
        </a:solidFill>
        <a:ln w="12700" cap="flat">
          <a:noFill/>
          <a:miter lim="400000"/>
        </a:ln>
        <a:effectLst/>
        <a:sp3d/>
      </a:spPr>
      <a:bodyPr rot="0" spcFirstLastPara="1" vertOverflow="overflow" horzOverflow="overflow" vert="horz" wrap="square" lIns="50800" tIns="50800" rIns="50800" bIns="50800" numCol="1" spcCol="38100" rtlCol="0" anchor="ctr">
        <a:spAutoFit/>
      </a:bodyPr>
      <a:lstStyle>
        <a:defPPr marL="0" marR="0" indent="0" algn="ctr" defTabSz="457200" rtl="0" fontAlgn="auto" latinLnBrk="0" hangingPunct="0">
          <a:lnSpc>
            <a:spcPct val="100000"/>
          </a:lnSpc>
          <a:spcBef>
            <a:spcPts val="0"/>
          </a:spcBef>
          <a:spcAft>
            <a:spcPts val="0"/>
          </a:spcAft>
          <a:buClrTx/>
          <a:buSzTx/>
          <a:buFontTx/>
          <a:buNone/>
          <a:tabLst/>
          <a:defRPr kumimoji="0" sz="1200" b="0" i="0" u="none" strike="noStrike" cap="none" spc="0" normalizeH="0" baseline="0">
            <a:ln>
              <a:noFill/>
            </a:ln>
            <a:solidFill>
              <a:srgbClr val="FFFFFF"/>
            </a:solidFill>
            <a:effectLst/>
            <a:uFillTx/>
            <a:latin typeface="+mn-lt"/>
            <a:ea typeface="+mn-ea"/>
            <a:cs typeface="+mn-cs"/>
            <a:sym typeface="Helvetica Neue"/>
          </a:defRPr>
        </a:defPPr>
        <a:lvl1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spDef>
    <a:lnDef>
      <a:spPr>
        <a:noFill/>
        <a:ln w="25400" cap="flat">
          <a:solidFill>
            <a:srgbClr val="000000"/>
          </a:solidFill>
          <a:prstDash val="solid"/>
          <a:miter lim="400000"/>
        </a:ln>
        <a:effectLst/>
        <a:sp3d/>
      </a:spPr>
      <a:bodyPr rot="0" spcFirstLastPara="1" vertOverflow="overflow" horzOverflow="overflow" vert="horz" wrap="square" lIns="91439" tIns="45719" rIns="91439" bIns="45719" numCol="1" spcCol="38100" rtlCol="0" anchor="t">
        <a:noAutofit/>
      </a:bodyPr>
      <a:lstStyle>
        <a:def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defPPr>
        <a:lvl1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lnDef>
    <a:txDef>
      <a:spPr>
        <a:noFill/>
        <a:ln w="12700" cap="flat">
          <a:noFill/>
          <a:miter lim="400000"/>
        </a:ln>
        <a:effectLst/>
        <a:sp3d/>
      </a:spPr>
      <a:bodyPr rot="0" spcFirstLastPara="1" vertOverflow="overflow" horzOverflow="overflow" vert="horz" wrap="square" lIns="50800" tIns="50800" rIns="50800" bIns="50800" numCol="1" spcCol="38100" rtlCol="0" anchor="t">
        <a:spAutoFit/>
      </a:bodyPr>
      <a:lstStyle>
        <a:defPPr marL="0" marR="0" indent="0" algn="l" defTabSz="457200" rtl="0" fontAlgn="auto" latinLnBrk="0" hangingPunct="0">
          <a:lnSpc>
            <a:spcPct val="100000"/>
          </a:lnSpc>
          <a:spcBef>
            <a:spcPts val="0"/>
          </a:spcBef>
          <a:spcAft>
            <a:spcPts val="0"/>
          </a:spcAft>
          <a:buClrTx/>
          <a:buSzTx/>
          <a:buFontTx/>
          <a:buNone/>
          <a:tabLst/>
          <a:defRPr kumimoji="0" sz="1100" b="0" i="0" u="none" strike="noStrike" cap="none" spc="0" normalizeH="0" baseline="0">
            <a:ln>
              <a:noFill/>
            </a:ln>
            <a:solidFill>
              <a:srgbClr val="000000"/>
            </a:solidFill>
            <a:effectLst/>
            <a:uFillTx/>
            <a:latin typeface="+mn-lt"/>
            <a:ea typeface="+mn-ea"/>
            <a:cs typeface="+mn-cs"/>
            <a:sym typeface="Helvetica Neue"/>
          </a:defRPr>
        </a:defPPr>
        <a:lvl1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txDef>
  </a:objectDefaults>
  <a:extraClrSchemeLst/>
</a:theme>
</file>

<file path=xl/threadedComments/threadedComment1.xml><?xml version="1.0" encoding="utf-8"?>
<ThreadedComments xmlns="http://schemas.microsoft.com/office/spreadsheetml/2018/threadedcomments" xmlns:x="http://schemas.openxmlformats.org/spreadsheetml/2006/main">
  <threadedComment ref="A11" dT="2019-05-13T15:21:53.79" personId="{AA3FA5BE-5461-E245-8FC0-C752ADC08DAB}" id="{FDDF4CC6-BFF8-5B45-AA60-93273A1DE250}">
    <text>invoice remains unpaid</text>
  </threadedComment>
  <threadedComment ref="L25" dT="2019-05-13T16:12:50.59" personId="{AA3FA5BE-5461-E245-8FC0-C752ADC08DAB}" id="{C918B43D-2AA2-FE44-89AF-DA5778BD62B7}">
    <text>via decoprint</text>
  </threadedComment>
  <threadedComment ref="AZ53" dT="2019-06-21T09:23:19.25" personId="{AA3FA5BE-5461-E245-8FC0-C752ADC08DAB}" id="{CB6467FA-A171-014D-BBED-04C57733D20A}">
    <text>remboursé (NdC) dû à un retard exceptionnel par TNT</text>
  </threadedComment>
  <threadedComment ref="A59" dT="2019-05-13T17:23:53.34" personId="{AA3FA5BE-5461-E245-8FC0-C752ADC08DAB}" id="{F8B0E918-CA31-C546-A99B-51235126213F}">
    <text>voir paiement (90 EUR??)</text>
  </threadedComment>
  <threadedComment ref="AS59" dT="2019-03-28T10:55:34.93" personId="{AA3FA5BE-5461-E245-8FC0-C752ADC08DAB}" id="{9F902329-DCCE-B541-9D47-0C02DB3BBABB}">
    <text>ils ont payé 425 EUR</text>
  </threadedComment>
  <threadedComment ref="A66" dT="2019-05-13T17:28:56.04" personId="{AA3FA5BE-5461-E245-8FC0-C752ADC08DAB}" id="{2F364F65-B0EE-B244-8CCA-072760910232}">
    <text>7984,52 (non reporté) - pour books</text>
  </threadedComment>
  <threadedComment ref="AN66" dT="2019-05-13T17:28:36.16" personId="{AA3FA5BE-5461-E245-8FC0-C752ADC08DAB}" id="{123050F1-1F60-0245-B6F4-E60D8FFB3466}">
    <text>7894,52</text>
  </threadedComment>
  <threadedComment ref="N127" dT="2019-04-12T13:34:55.84" personId="{AA3FA5BE-5461-E245-8FC0-C752ADC08DAB}" id="{48B560E7-724B-334B-BBA0-CE9E3213E9E7}">
    <text>le camion n’est pas arrivé à temps pour retirer les catalogues chez ENTIRIS (avant 12:30 comme exprésséement demandé). ENTIRIS est fermé jusqu’au 22/04 inclus. Montecolino repassera donc le 23/04.</text>
  </threadedComment>
  <threadedComment ref="F139" dT="2019-04-12T16:06:31.52" personId="{AA3FA5BE-5461-E245-8FC0-C752ADC08DAB}" id="{483E98A4-D27B-2E4F-9650-C681DE1B5769}">
    <text>paiement à recevoir avant de confirmer la commande!</text>
  </threadedComment>
  <threadedComment ref="U160" dT="2019-04-12T12:13:37.32" personId="{AA3FA5BE-5461-E245-8FC0-C752ADC08DAB}" id="{BA291048-A568-B14D-A831-6F6680BB53F3}">
    <text>book sppice
blossom (dfect)
saudade (madeira + lintu)</text>
  </threadedComment>
  <threadedComment ref="F165" dT="2019-04-12T15:32:01.59" personId="{AA3FA5BE-5461-E245-8FC0-C752ADC08DAB}" id="{548E15DD-05CC-A14D-846C-6513FE2DDDDE}">
    <text>à établir sur base des coordonnées d’entreprise à recevoir
15,75 EUR / m2</text>
  </threadedComment>
  <threadedComment ref="A209" dT="2019-05-13T11:43:55.15" personId="{AA3FA5BE-5461-E245-8FC0-C752ADC08DAB}" id="{5A222731-39A5-7642-911F-6A66B612F8B9}">
    <text>out of stock (16/05)</text>
  </threadedComment>
  <threadedComment ref="A209" dT="2019-06-18T12:15:05.37" personId="{AA3FA5BE-5461-E245-8FC0-C752ADC08DAB}" id="{EE6FF4B2-565F-E442-9470-B5620E548353}" parentId="{5A222731-39A5-7642-911F-6A66B612F8B9}">
    <text>OK - livré</text>
  </threadedComment>
  <threadedComment ref="A211" dT="2019-05-13T11:45:05.91" personId="{AA3FA5BE-5461-E245-8FC0-C752ADC08DAB}" id="{E8A46618-5F82-6A4C-AC1B-929045E6795C}">
    <text>perdu par TNT</text>
  </threadedComment>
  <threadedComment ref="A218" dT="2019-05-13T08:28:53.47" personId="{AA3FA5BE-5461-E245-8FC0-C752ADC08DAB}" id="{92D2C905-8A06-C640-B485-AA09C5EC27BB}">
    <text>out of stock (zhé marine)</text>
  </threadedComment>
  <threadedComment ref="N220" dT="2019-05-07T15:51:23.35" personId="{AA3FA5BE-5461-E245-8FC0-C752ADC08DAB}" id="{FA4C7970-4AC0-D746-998C-0A715774D162}">
    <text>wiating for customer’s confirmation(mapping sent to montse)</text>
  </threadedComment>
  <threadedComment ref="U222" dT="2019-05-08T13:05:40.23" personId="{AA3FA5BE-5461-E245-8FC0-C752ADC08DAB}" id="{DD55CFB0-D5F0-F447-8192-755CCB1AD9D1}">
    <text>CG
SICE
SAU</text>
  </threadedComment>
</ThreadedComments>
</file>

<file path=xl/threadedComments/threadedComment2.xml><?xml version="1.0" encoding="utf-8"?>
<ThreadedComments xmlns="http://schemas.microsoft.com/office/spreadsheetml/2018/threadedcomments" xmlns:x="http://schemas.openxmlformats.org/spreadsheetml/2006/main">
  <threadedComment ref="D3" dT="2019-03-25T17:45:27.28" personId="{AA3FA5BE-5461-E245-8FC0-C752ADC08DAB}" id="{B9657C7E-62DB-C945-A16F-96A692DFE873}">
    <text>estimation</text>
  </threadedComment>
  <threadedComment ref="B12" dT="2019-03-25T16:04:49.08" personId="{AA3FA5BE-5461-E245-8FC0-C752ADC08DAB}" id="{4FFD1B67-C441-B148-A2FB-F71FEF9B726F}">
    <text>21 x 29cm -&gt; 0,07 m2
(1 m2 / 14,29)</text>
  </threadedComment>
  <threadedComment ref="B14" dT="2019-03-25T15:54:01.80" personId="{AA3FA5BE-5461-E245-8FC0-C752ADC08DAB}" id="{EB504468-6D5A-AC44-86F8-5AE7C85E870F}">
    <text>size: 0,53 x 0,2</text>
  </threadedComment>
</ThreadedComments>
</file>

<file path=xl/threadedComments/threadedComment3.xml><?xml version="1.0" encoding="utf-8"?>
<ThreadedComments xmlns="http://schemas.microsoft.com/office/spreadsheetml/2018/threadedcomments" xmlns:x="http://schemas.openxmlformats.org/spreadsheetml/2006/main">
  <threadedComment ref="D35" dT="2019-04-12T15:14:57.04" personId="{AA3FA5BE-5461-E245-8FC0-C752ADC08DAB}" id="{8EBE419D-578C-D642-91AC-80C8B571CDB1}">
    <text>attendre le paiement (devis envoyé!). Attention: envoyer 4 jeux des books à `1 jour d’intervalle!! (avec à chaque fois la facture appropriée -&gt; 1 jour, 1 jeu de 4 catalogues).</text>
  </threadedComment>
  <threadedComment ref="F37" dT="2019-04-12T14:02:40.55" personId="{AA3FA5BE-5461-E245-8FC0-C752ADC08DAB}" id="{B635D587-42B3-D543-B868-56708051C21C}">
    <text>le camion de montecolino a manqué les horaires d’entiris - ils enlèveront leur pallettes mardi 23 avril 2019.</text>
  </threadedComment>
  <threadedComment ref="D47" dT="2019-04-12T15:15:17.88" personId="{AA3FA5BE-5461-E245-8FC0-C752ADC08DAB}" id="{1635C254-226F-0945-B4D3-1A5432D59B02}">
    <text>email envoyé à Alessandra pour avoir les étiquettes</text>
  </threadedComment>
</ThreadedComments>
</file>

<file path=xl/threadedComments/threadedComment4.xml><?xml version="1.0" encoding="utf-8"?>
<ThreadedComments xmlns="http://schemas.microsoft.com/office/spreadsheetml/2018/threadedcomments" xmlns:x="http://schemas.openxmlformats.org/spreadsheetml/2006/main">
  <threadedComment ref="BB39" dT="2019-03-25T17:45:27.28" personId="{AA3FA5BE-5461-E245-8FC0-C752ADC08DAB}" id="{1546D8D7-3317-044E-9A11-8F78F0FF7FCB}">
    <text>estimation</text>
  </threadedComment>
</ThreadedComments>
</file>

<file path=xl/worksheets/_rels/sheet1.xml.rels><?xml version="1.0" encoding="UTF-8" standalone="yes"?>
<Relationships xmlns="http://schemas.openxmlformats.org/package/2006/relationships"><Relationship Id="rId3" Type="http://schemas.microsoft.com/office/2017/10/relationships/threadedComment" Target="../threadedComments/threadedComment1.xml"/><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3" Type="http://schemas.openxmlformats.org/officeDocument/2006/relationships/hyperlink" Target="mailto:colora.grimbergen@colora.be" TargetMode="External"/><Relationship Id="rId18" Type="http://schemas.openxmlformats.org/officeDocument/2006/relationships/hyperlink" Target="mailto:info@pergamene.be" TargetMode="External"/><Relationship Id="rId26" Type="http://schemas.openxmlformats.org/officeDocument/2006/relationships/hyperlink" Target="mailto:v.thierard@montecolino.fr" TargetMode="External"/><Relationship Id="rId39" Type="http://schemas.openxmlformats.org/officeDocument/2006/relationships/hyperlink" Target="mailto:info@altex-studio.be," TargetMode="External"/><Relationship Id="rId21" Type="http://schemas.openxmlformats.org/officeDocument/2006/relationships/hyperlink" Target="mailto:colora.brugge@colora.be" TargetMode="External"/><Relationship Id="rId34" Type="http://schemas.openxmlformats.org/officeDocument/2006/relationships/hyperlink" Target="mailto:joan@att-rotex.com.tw," TargetMode="External"/><Relationship Id="rId42" Type="http://schemas.openxmlformats.org/officeDocument/2006/relationships/hyperlink" Target="mailto:eurodissas@gmail.com," TargetMode="External"/><Relationship Id="rId47" Type="http://schemas.openxmlformats.org/officeDocument/2006/relationships/hyperlink" Target="mailto:colora.roeselare@colora.be," TargetMode="External"/><Relationship Id="rId50" Type="http://schemas.openxmlformats.org/officeDocument/2006/relationships/hyperlink" Target="mailto:info@tapeten-in-berlin.de," TargetMode="External"/><Relationship Id="rId7" Type="http://schemas.openxmlformats.org/officeDocument/2006/relationships/hyperlink" Target="https://www.google.com/search?client=safari&amp;rls=en&amp;q=de+smaele+st+niklaas&amp;ie=UTF-8&amp;oe=UTF-8" TargetMode="External"/><Relationship Id="rId2" Type="http://schemas.openxmlformats.org/officeDocument/2006/relationships/hyperlink" Target="https://www.google.be/search?hl=fr&amp;source=hp&amp;ei=bXCsXOuGEZKckwXek4oY&amp;q=verpoorten+verfdistributie+bvba+herentals&amp;oq=verpoorten+verf&amp;gs_l=psy-ab.1.4.0i19l3j0i22i30i19l7.1590.9423..12703...0.0..0.159.1081.15j1......0....1..gws-wiz.....0..35i39i19j35i39j0j0i131j0i67j0i131i67j0i10i67j0i203j0i10i203j0i22i30j0i13i30.zK4k5HJ4OdU" TargetMode="External"/><Relationship Id="rId16" Type="http://schemas.openxmlformats.org/officeDocument/2006/relationships/hyperlink" Target="mailto:colora.deinze@colora.be" TargetMode="External"/><Relationship Id="rId29" Type="http://schemas.openxmlformats.org/officeDocument/2006/relationships/hyperlink" Target="mailto:manorhousemalta@gmail.com," TargetMode="External"/><Relationship Id="rId11" Type="http://schemas.openxmlformats.org/officeDocument/2006/relationships/hyperlink" Target="mailto:ninove@schellaert.be" TargetMode="External"/><Relationship Id="rId24" Type="http://schemas.openxmlformats.org/officeDocument/2006/relationships/hyperlink" Target="mailto:info@unico-interiors.de" TargetMode="External"/><Relationship Id="rId32" Type="http://schemas.openxmlformats.org/officeDocument/2006/relationships/hyperlink" Target="mailto:Ankie@todayfurnishing.com," TargetMode="External"/><Relationship Id="rId37" Type="http://schemas.openxmlformats.org/officeDocument/2006/relationships/hyperlink" Target="mailto:carsten@tapetcompagniet.dk," TargetMode="External"/><Relationship Id="rId40" Type="http://schemas.openxmlformats.org/officeDocument/2006/relationships/hyperlink" Target="mailto:kato@wallart.co.jp," TargetMode="External"/><Relationship Id="rId45" Type="http://schemas.openxmlformats.org/officeDocument/2006/relationships/hyperlink" Target="mailto:decoratie@collumbien.be," TargetMode="External"/><Relationship Id="rId53" Type="http://schemas.microsoft.com/office/2017/10/relationships/threadedComment" Target="../threadedComments/threadedComment2.xml"/><Relationship Id="rId5" Type="http://schemas.openxmlformats.org/officeDocument/2006/relationships/hyperlink" Target="tel:+3292728292" TargetMode="External"/><Relationship Id="rId10" Type="http://schemas.openxmlformats.org/officeDocument/2006/relationships/hyperlink" Target="mailto:colora.waregem@colora.be" TargetMode="External"/><Relationship Id="rId19" Type="http://schemas.openxmlformats.org/officeDocument/2006/relationships/hyperlink" Target="mailto:verkoop@verpoorten-verf.be" TargetMode="External"/><Relationship Id="rId31" Type="http://schemas.openxmlformats.org/officeDocument/2006/relationships/hyperlink" Target="mailto:phenie.sofro@yahoo.com," TargetMode="External"/><Relationship Id="rId44" Type="http://schemas.openxmlformats.org/officeDocument/2006/relationships/hyperlink" Target="mailto:info@decoratie-miserez.be," TargetMode="External"/><Relationship Id="rId52" Type="http://schemas.openxmlformats.org/officeDocument/2006/relationships/comments" Target="../comments2.xml"/><Relationship Id="rId4" Type="http://schemas.openxmlformats.org/officeDocument/2006/relationships/hyperlink" Target="https://www.google.com/search?client=safari&amp;rls=en&amp;q=colora+deinze&amp;ie=UTF-8&amp;oe=UTF-8" TargetMode="External"/><Relationship Id="rId9" Type="http://schemas.openxmlformats.org/officeDocument/2006/relationships/hyperlink" Target="mailto:info@t-interiors.be" TargetMode="External"/><Relationship Id="rId14" Type="http://schemas.openxmlformats.org/officeDocument/2006/relationships/hyperlink" Target="mailto:johanna@gielissen.be" TargetMode="External"/><Relationship Id="rId22" Type="http://schemas.openxmlformats.org/officeDocument/2006/relationships/hyperlink" Target="mailto:colora.sintpietersleeuw@colora.be" TargetMode="External"/><Relationship Id="rId27" Type="http://schemas.openxmlformats.org/officeDocument/2006/relationships/hyperlink" Target="mailto:info@leda41.be" TargetMode="External"/><Relationship Id="rId30" Type="http://schemas.openxmlformats.org/officeDocument/2006/relationships/hyperlink" Target="mailto:jannellivolpi_import@jannellievolpi.it," TargetMode="External"/><Relationship Id="rId35" Type="http://schemas.openxmlformats.org/officeDocument/2006/relationships/hyperlink" Target="mailto:mail@skol.su," TargetMode="External"/><Relationship Id="rId43" Type="http://schemas.openxmlformats.org/officeDocument/2006/relationships/hyperlink" Target="mailto:martine@decovervaet.be," TargetMode="External"/><Relationship Id="rId48" Type="http://schemas.openxmlformats.org/officeDocument/2006/relationships/hyperlink" Target="mailto:colora.lier@colora.be," TargetMode="External"/><Relationship Id="rId8" Type="http://schemas.openxmlformats.org/officeDocument/2006/relationships/hyperlink" Target="http://unico-interiors.de/" TargetMode="External"/><Relationship Id="rId51" Type="http://schemas.openxmlformats.org/officeDocument/2006/relationships/vmlDrawing" Target="../drawings/vmlDrawing2.vml"/><Relationship Id="rId3" Type="http://schemas.openxmlformats.org/officeDocument/2006/relationships/hyperlink" Target="https://www.google.com/search?client=safari&amp;rls=en&amp;q=pergamene&amp;ie=UTF-8&amp;oe=UTF-8" TargetMode="External"/><Relationship Id="rId12" Type="http://schemas.openxmlformats.org/officeDocument/2006/relationships/hyperlink" Target="mailto:info@ecostore.be?subject=Contact%20via%20website" TargetMode="External"/><Relationship Id="rId17" Type="http://schemas.openxmlformats.org/officeDocument/2006/relationships/hyperlink" Target="mailto:colora.brugge2@colora.be" TargetMode="External"/><Relationship Id="rId25" Type="http://schemas.openxmlformats.org/officeDocument/2006/relationships/hyperlink" Target="mailto:info@meinewand.de" TargetMode="External"/><Relationship Id="rId33" Type="http://schemas.openxmlformats.org/officeDocument/2006/relationships/hyperlink" Target="mailto:showroom@luxbuilding.lu," TargetMode="External"/><Relationship Id="rId38" Type="http://schemas.openxmlformats.org/officeDocument/2006/relationships/hyperlink" Target="mailto:mhfarine@hotmail.com," TargetMode="External"/><Relationship Id="rId46" Type="http://schemas.openxmlformats.org/officeDocument/2006/relationships/hyperlink" Target="mailto:monica.ponzetta@rouxverf.be," TargetMode="External"/><Relationship Id="rId20" Type="http://schemas.openxmlformats.org/officeDocument/2006/relationships/hyperlink" Target="mailto:administratie@mertens-interieur.be" TargetMode="External"/><Relationship Id="rId41" Type="http://schemas.openxmlformats.org/officeDocument/2006/relationships/hyperlink" Target="mailto:wallpaperstoremiami@gmail.com," TargetMode="External"/><Relationship Id="rId1" Type="http://schemas.openxmlformats.org/officeDocument/2006/relationships/hyperlink" Target="https://www.tenuedeville.com/suppliers/www.meinewand.de" TargetMode="External"/><Relationship Id="rId6" Type="http://schemas.openxmlformats.org/officeDocument/2006/relationships/hyperlink" Target="tel:+3254333783" TargetMode="External"/><Relationship Id="rId15" Type="http://schemas.openxmlformats.org/officeDocument/2006/relationships/hyperlink" Target="mailto:uniek.decoratie@telenet.be?__xts__=" TargetMode="External"/><Relationship Id="rId23" Type="http://schemas.openxmlformats.org/officeDocument/2006/relationships/hyperlink" Target="mailto:info@fausel-biskamp.de" TargetMode="External"/><Relationship Id="rId28" Type="http://schemas.openxmlformats.org/officeDocument/2006/relationships/hyperlink" Target="mailto:psaieg@casagarda.cl" TargetMode="External"/><Relationship Id="rId36" Type="http://schemas.openxmlformats.org/officeDocument/2006/relationships/hyperlink" Target="mailto:info@tapetenagentur.de," TargetMode="External"/><Relationship Id="rId49" Type="http://schemas.openxmlformats.org/officeDocument/2006/relationships/hyperlink" Target="mailto:info@tintelijn.be,"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gaelle@wavearchitecture.eu" TargetMode="External"/><Relationship Id="rId2" Type="http://schemas.openxmlformats.org/officeDocument/2006/relationships/hyperlink" Target="mailto:anne-francoise@quatuor.be" TargetMode="External"/><Relationship Id="rId1" Type="http://schemas.openxmlformats.org/officeDocument/2006/relationships/hyperlink" Target="mailto:zoe@tintelijn.be" TargetMode="External"/><Relationship Id="rId5" Type="http://schemas.openxmlformats.org/officeDocument/2006/relationships/hyperlink" Target="mailto:Ankie@todayfurnishing.com" TargetMode="External"/><Relationship Id="rId4" Type="http://schemas.openxmlformats.org/officeDocument/2006/relationships/hyperlink" Target="mailto:contact@homepagebrussels.com" TargetMode="External"/></Relationships>
</file>

<file path=xl/worksheets/_rels/sheet4.xml.rels><?xml version="1.0" encoding="UTF-8" standalone="yes"?>
<Relationships xmlns="http://schemas.openxmlformats.org/package/2006/relationships"><Relationship Id="rId26" Type="http://schemas.openxmlformats.org/officeDocument/2006/relationships/hyperlink" Target="mailto:v.thierard@montecolino.fr" TargetMode="External"/><Relationship Id="rId21" Type="http://schemas.openxmlformats.org/officeDocument/2006/relationships/hyperlink" Target="mailto:colora.brugge@colora.be" TargetMode="External"/><Relationship Id="rId42" Type="http://schemas.openxmlformats.org/officeDocument/2006/relationships/hyperlink" Target="mailto:eurodissas@gmail.com," TargetMode="External"/><Relationship Id="rId47" Type="http://schemas.openxmlformats.org/officeDocument/2006/relationships/hyperlink" Target="mailto:colora.roeselare@colora.be," TargetMode="External"/><Relationship Id="rId63" Type="http://schemas.openxmlformats.org/officeDocument/2006/relationships/hyperlink" Target="mailto:colora.grimbergen@colora.be" TargetMode="External"/><Relationship Id="rId68" Type="http://schemas.openxmlformats.org/officeDocument/2006/relationships/hyperlink" Target="mailto:info@pergamene.be" TargetMode="External"/><Relationship Id="rId84" Type="http://schemas.openxmlformats.org/officeDocument/2006/relationships/hyperlink" Target="mailto:mail@skol.su," TargetMode="External"/><Relationship Id="rId89" Type="http://schemas.openxmlformats.org/officeDocument/2006/relationships/hyperlink" Target="mailto:kato@wallart.co.jp," TargetMode="External"/><Relationship Id="rId16" Type="http://schemas.openxmlformats.org/officeDocument/2006/relationships/hyperlink" Target="mailto:colora.deinze@colora.be" TargetMode="External"/><Relationship Id="rId11" Type="http://schemas.openxmlformats.org/officeDocument/2006/relationships/hyperlink" Target="mailto:ninove@schellaert.be" TargetMode="External"/><Relationship Id="rId32" Type="http://schemas.openxmlformats.org/officeDocument/2006/relationships/hyperlink" Target="mailto:Ankie@todayfurnishing.com," TargetMode="External"/><Relationship Id="rId37" Type="http://schemas.openxmlformats.org/officeDocument/2006/relationships/hyperlink" Target="mailto:carsten@tapetcompagniet.dk," TargetMode="External"/><Relationship Id="rId53" Type="http://schemas.openxmlformats.org/officeDocument/2006/relationships/hyperlink" Target="https://www.google.com/search?client=safari&amp;rls=en&amp;q=pergamene&amp;ie=UTF-8&amp;oe=UTF-8" TargetMode="External"/><Relationship Id="rId58" Type="http://schemas.openxmlformats.org/officeDocument/2006/relationships/hyperlink" Target="http://unico-interiors.de/" TargetMode="External"/><Relationship Id="rId74" Type="http://schemas.openxmlformats.org/officeDocument/2006/relationships/hyperlink" Target="mailto:info@unico-interiors.de" TargetMode="External"/><Relationship Id="rId79" Type="http://schemas.openxmlformats.org/officeDocument/2006/relationships/hyperlink" Target="mailto:manorhousemalta@gmail.com," TargetMode="External"/><Relationship Id="rId102" Type="http://schemas.openxmlformats.org/officeDocument/2006/relationships/vmlDrawing" Target="../drawings/vmlDrawing3.vml"/><Relationship Id="rId5" Type="http://schemas.openxmlformats.org/officeDocument/2006/relationships/hyperlink" Target="tel:+3292728292" TargetMode="External"/><Relationship Id="rId90" Type="http://schemas.openxmlformats.org/officeDocument/2006/relationships/hyperlink" Target="mailto:wallpaperstoremiami@gmail.com," TargetMode="External"/><Relationship Id="rId95" Type="http://schemas.openxmlformats.org/officeDocument/2006/relationships/hyperlink" Target="mailto:monica.ponzetta@rouxverf.be," TargetMode="External"/><Relationship Id="rId22" Type="http://schemas.openxmlformats.org/officeDocument/2006/relationships/hyperlink" Target="mailto:colora.sintpietersleeuw@colora.be" TargetMode="External"/><Relationship Id="rId27" Type="http://schemas.openxmlformats.org/officeDocument/2006/relationships/hyperlink" Target="mailto:info@leda41.be" TargetMode="External"/><Relationship Id="rId43" Type="http://schemas.openxmlformats.org/officeDocument/2006/relationships/hyperlink" Target="mailto:martine@decovervaet.be," TargetMode="External"/><Relationship Id="rId48" Type="http://schemas.openxmlformats.org/officeDocument/2006/relationships/hyperlink" Target="mailto:colora.lier@colora.be," TargetMode="External"/><Relationship Id="rId64" Type="http://schemas.openxmlformats.org/officeDocument/2006/relationships/hyperlink" Target="mailto:johanna@gielissen.be" TargetMode="External"/><Relationship Id="rId69" Type="http://schemas.openxmlformats.org/officeDocument/2006/relationships/hyperlink" Target="mailto:verkoop@verpoorten-verf.be" TargetMode="External"/><Relationship Id="rId80" Type="http://schemas.openxmlformats.org/officeDocument/2006/relationships/hyperlink" Target="mailto:jannellivolpi_import@jannellievolpi.it," TargetMode="External"/><Relationship Id="rId85" Type="http://schemas.openxmlformats.org/officeDocument/2006/relationships/hyperlink" Target="mailto:info@tapetenagentur.de," TargetMode="External"/><Relationship Id="rId12" Type="http://schemas.openxmlformats.org/officeDocument/2006/relationships/hyperlink" Target="mailto:info@ecostore.be?subject=Contact%20via%20website" TargetMode="External"/><Relationship Id="rId17" Type="http://schemas.openxmlformats.org/officeDocument/2006/relationships/hyperlink" Target="mailto:colora.brugge2@colora.be" TargetMode="External"/><Relationship Id="rId25" Type="http://schemas.openxmlformats.org/officeDocument/2006/relationships/hyperlink" Target="mailto:info@meinewand.de" TargetMode="External"/><Relationship Id="rId33" Type="http://schemas.openxmlformats.org/officeDocument/2006/relationships/hyperlink" Target="mailto:showroom@luxbuilding.lu," TargetMode="External"/><Relationship Id="rId38" Type="http://schemas.openxmlformats.org/officeDocument/2006/relationships/hyperlink" Target="mailto:mhfarine@hotmail.com," TargetMode="External"/><Relationship Id="rId46" Type="http://schemas.openxmlformats.org/officeDocument/2006/relationships/hyperlink" Target="mailto:monica.ponzetta@rouxverf.be," TargetMode="External"/><Relationship Id="rId59" Type="http://schemas.openxmlformats.org/officeDocument/2006/relationships/hyperlink" Target="mailto:info@t-interiors.be" TargetMode="External"/><Relationship Id="rId67" Type="http://schemas.openxmlformats.org/officeDocument/2006/relationships/hyperlink" Target="mailto:colora.brugge2@colora.be" TargetMode="External"/><Relationship Id="rId103" Type="http://schemas.openxmlformats.org/officeDocument/2006/relationships/comments" Target="../comments3.xml"/><Relationship Id="rId20" Type="http://schemas.openxmlformats.org/officeDocument/2006/relationships/hyperlink" Target="mailto:administratie@mertens-interieur.be" TargetMode="External"/><Relationship Id="rId41" Type="http://schemas.openxmlformats.org/officeDocument/2006/relationships/hyperlink" Target="mailto:wallpaperstoremiami@gmail.com," TargetMode="External"/><Relationship Id="rId54" Type="http://schemas.openxmlformats.org/officeDocument/2006/relationships/hyperlink" Target="https://www.google.com/search?client=safari&amp;rls=en&amp;q=colora+deinze&amp;ie=UTF-8&amp;oe=UTF-8" TargetMode="External"/><Relationship Id="rId62" Type="http://schemas.openxmlformats.org/officeDocument/2006/relationships/hyperlink" Target="mailto:info@ecostore.be?subject=Contact%20via%20website" TargetMode="External"/><Relationship Id="rId70" Type="http://schemas.openxmlformats.org/officeDocument/2006/relationships/hyperlink" Target="mailto:administratie@mertens-interieur.be" TargetMode="External"/><Relationship Id="rId75" Type="http://schemas.openxmlformats.org/officeDocument/2006/relationships/hyperlink" Target="mailto:info@meinewand.de" TargetMode="External"/><Relationship Id="rId83" Type="http://schemas.openxmlformats.org/officeDocument/2006/relationships/hyperlink" Target="mailto:joan@att-rotex.com.tw," TargetMode="External"/><Relationship Id="rId88" Type="http://schemas.openxmlformats.org/officeDocument/2006/relationships/hyperlink" Target="mailto:info@altex-studio.be," TargetMode="External"/><Relationship Id="rId91" Type="http://schemas.openxmlformats.org/officeDocument/2006/relationships/hyperlink" Target="mailto:eurodissas@gmail.com," TargetMode="External"/><Relationship Id="rId96" Type="http://schemas.openxmlformats.org/officeDocument/2006/relationships/hyperlink" Target="mailto:colora.roeselare@colora.be," TargetMode="External"/><Relationship Id="rId1" Type="http://schemas.openxmlformats.org/officeDocument/2006/relationships/hyperlink" Target="https://www.tenuedeville.com/suppliers/www.meinewand.de" TargetMode="External"/><Relationship Id="rId6" Type="http://schemas.openxmlformats.org/officeDocument/2006/relationships/hyperlink" Target="tel:+3254333783" TargetMode="External"/><Relationship Id="rId15" Type="http://schemas.openxmlformats.org/officeDocument/2006/relationships/hyperlink" Target="mailto:uniek.decoratie@telenet.be?__xts__=" TargetMode="External"/><Relationship Id="rId23" Type="http://schemas.openxmlformats.org/officeDocument/2006/relationships/hyperlink" Target="mailto:info@fausel-biskamp.de" TargetMode="External"/><Relationship Id="rId28" Type="http://schemas.openxmlformats.org/officeDocument/2006/relationships/hyperlink" Target="mailto:psaieg@casagarda.cl" TargetMode="External"/><Relationship Id="rId36" Type="http://schemas.openxmlformats.org/officeDocument/2006/relationships/hyperlink" Target="mailto:info@tapetenagentur.de," TargetMode="External"/><Relationship Id="rId49" Type="http://schemas.openxmlformats.org/officeDocument/2006/relationships/hyperlink" Target="mailto:info@tintelijn.be," TargetMode="External"/><Relationship Id="rId57" Type="http://schemas.openxmlformats.org/officeDocument/2006/relationships/hyperlink" Target="https://www.google.com/search?client=safari&amp;rls=en&amp;q=de+smaele+st+niklaas&amp;ie=UTF-8&amp;oe=UTF-8" TargetMode="External"/><Relationship Id="rId10" Type="http://schemas.openxmlformats.org/officeDocument/2006/relationships/hyperlink" Target="mailto:colora.waregem@colora.be" TargetMode="External"/><Relationship Id="rId31" Type="http://schemas.openxmlformats.org/officeDocument/2006/relationships/hyperlink" Target="mailto:phenie.sofro@yahoo.com," TargetMode="External"/><Relationship Id="rId44" Type="http://schemas.openxmlformats.org/officeDocument/2006/relationships/hyperlink" Target="mailto:info@decoratie-miserez.be," TargetMode="External"/><Relationship Id="rId52" Type="http://schemas.openxmlformats.org/officeDocument/2006/relationships/hyperlink" Target="https://www.google.be/search?hl=fr&amp;source=hp&amp;ei=bXCsXOuGEZKckwXek4oY&amp;q=verpoorten+verfdistributie+bvba+herentals&amp;oq=verpoorten+verf&amp;gs_l=psy-ab.1.4.0i19l3j0i22i30i19l7.1590.9423..12703...0.0..0.159.1081.15j1......0....1..gws-wiz.....0..35i39i19j35i39j0j0i131j0i67j0i131i67j0i10i67j0i203j0i10i203j0i22i30j0i13i30.zK4k5HJ4OdU" TargetMode="External"/><Relationship Id="rId60" Type="http://schemas.openxmlformats.org/officeDocument/2006/relationships/hyperlink" Target="mailto:colora.waregem@colora.be" TargetMode="External"/><Relationship Id="rId65" Type="http://schemas.openxmlformats.org/officeDocument/2006/relationships/hyperlink" Target="mailto:uniek.decoratie@telenet.be?__xts__=" TargetMode="External"/><Relationship Id="rId73" Type="http://schemas.openxmlformats.org/officeDocument/2006/relationships/hyperlink" Target="mailto:info@fausel-biskamp.de" TargetMode="External"/><Relationship Id="rId78" Type="http://schemas.openxmlformats.org/officeDocument/2006/relationships/hyperlink" Target="mailto:psaieg@casagarda.cl" TargetMode="External"/><Relationship Id="rId81" Type="http://schemas.openxmlformats.org/officeDocument/2006/relationships/hyperlink" Target="mailto:phenie.sofro@yahoo.com," TargetMode="External"/><Relationship Id="rId86" Type="http://schemas.openxmlformats.org/officeDocument/2006/relationships/hyperlink" Target="mailto:carsten@tapetcompagniet.dk," TargetMode="External"/><Relationship Id="rId94" Type="http://schemas.openxmlformats.org/officeDocument/2006/relationships/hyperlink" Target="mailto:decoratie@collumbien.be," TargetMode="External"/><Relationship Id="rId99" Type="http://schemas.openxmlformats.org/officeDocument/2006/relationships/hyperlink" Target="mailto:info@tapeten-in-berlin.de," TargetMode="External"/><Relationship Id="rId101" Type="http://schemas.openxmlformats.org/officeDocument/2006/relationships/hyperlink" Target="mailto:showroom@luxbuilding.lu," TargetMode="External"/><Relationship Id="rId4" Type="http://schemas.openxmlformats.org/officeDocument/2006/relationships/hyperlink" Target="https://www.google.com/search?client=safari&amp;rls=en&amp;q=colora+deinze&amp;ie=UTF-8&amp;oe=UTF-8" TargetMode="External"/><Relationship Id="rId9" Type="http://schemas.openxmlformats.org/officeDocument/2006/relationships/hyperlink" Target="mailto:info@t-interiors.be" TargetMode="External"/><Relationship Id="rId13" Type="http://schemas.openxmlformats.org/officeDocument/2006/relationships/hyperlink" Target="mailto:colora.grimbergen@colora.be" TargetMode="External"/><Relationship Id="rId18" Type="http://schemas.openxmlformats.org/officeDocument/2006/relationships/hyperlink" Target="mailto:info@pergamene.be" TargetMode="External"/><Relationship Id="rId39" Type="http://schemas.openxmlformats.org/officeDocument/2006/relationships/hyperlink" Target="mailto:info@altex-studio.be," TargetMode="External"/><Relationship Id="rId34" Type="http://schemas.openxmlformats.org/officeDocument/2006/relationships/hyperlink" Target="mailto:joan@att-rotex.com.tw," TargetMode="External"/><Relationship Id="rId50" Type="http://schemas.openxmlformats.org/officeDocument/2006/relationships/hyperlink" Target="mailto:info@tapeten-in-berlin.de," TargetMode="External"/><Relationship Id="rId55" Type="http://schemas.openxmlformats.org/officeDocument/2006/relationships/hyperlink" Target="tel:+3292728292" TargetMode="External"/><Relationship Id="rId76" Type="http://schemas.openxmlformats.org/officeDocument/2006/relationships/hyperlink" Target="mailto:v.thierard@montecolino.fr" TargetMode="External"/><Relationship Id="rId97" Type="http://schemas.openxmlformats.org/officeDocument/2006/relationships/hyperlink" Target="mailto:colora.lier@colora.be," TargetMode="External"/><Relationship Id="rId104" Type="http://schemas.microsoft.com/office/2017/10/relationships/threadedComment" Target="../threadedComments/threadedComment3.xml"/><Relationship Id="rId7" Type="http://schemas.openxmlformats.org/officeDocument/2006/relationships/hyperlink" Target="https://www.google.com/search?client=safari&amp;rls=en&amp;q=de+smaele+st+niklaas&amp;ie=UTF-8&amp;oe=UTF-8" TargetMode="External"/><Relationship Id="rId71" Type="http://schemas.openxmlformats.org/officeDocument/2006/relationships/hyperlink" Target="mailto:colora.brugge@colora.be" TargetMode="External"/><Relationship Id="rId92" Type="http://schemas.openxmlformats.org/officeDocument/2006/relationships/hyperlink" Target="mailto:martine@decovervaet.be," TargetMode="External"/><Relationship Id="rId2" Type="http://schemas.openxmlformats.org/officeDocument/2006/relationships/hyperlink" Target="https://www.google.be/search?hl=fr&amp;source=hp&amp;ei=bXCsXOuGEZKckwXek4oY&amp;q=verpoorten+verfdistributie+bvba+herentals&amp;oq=verpoorten+verf&amp;gs_l=psy-ab.1.4.0i19l3j0i22i30i19l7.1590.9423..12703...0.0..0.159.1081.15j1......0....1..gws-wiz.....0..35i39i19j35i39j0j0i131j0i67j0i131i67j0i10i67j0i203j0i10i203j0i22i30j0i13i30.zK4k5HJ4OdU" TargetMode="External"/><Relationship Id="rId29" Type="http://schemas.openxmlformats.org/officeDocument/2006/relationships/hyperlink" Target="mailto:manorhousemalta@gmail.com," TargetMode="External"/><Relationship Id="rId24" Type="http://schemas.openxmlformats.org/officeDocument/2006/relationships/hyperlink" Target="mailto:info@unico-interiors.de" TargetMode="External"/><Relationship Id="rId40" Type="http://schemas.openxmlformats.org/officeDocument/2006/relationships/hyperlink" Target="mailto:kato@wallart.co.jp," TargetMode="External"/><Relationship Id="rId45" Type="http://schemas.openxmlformats.org/officeDocument/2006/relationships/hyperlink" Target="mailto:decoratie@collumbien.be," TargetMode="External"/><Relationship Id="rId66" Type="http://schemas.openxmlformats.org/officeDocument/2006/relationships/hyperlink" Target="mailto:colora.deinze@colora.be" TargetMode="External"/><Relationship Id="rId87" Type="http://schemas.openxmlformats.org/officeDocument/2006/relationships/hyperlink" Target="mailto:mhfarine@hotmail.com," TargetMode="External"/><Relationship Id="rId61" Type="http://schemas.openxmlformats.org/officeDocument/2006/relationships/hyperlink" Target="mailto:ninove@schellaert.be" TargetMode="External"/><Relationship Id="rId82" Type="http://schemas.openxmlformats.org/officeDocument/2006/relationships/hyperlink" Target="mailto:Ankie@todayfurnishing.com," TargetMode="External"/><Relationship Id="rId19" Type="http://schemas.openxmlformats.org/officeDocument/2006/relationships/hyperlink" Target="mailto:verkoop@verpoorten-verf.be" TargetMode="External"/><Relationship Id="rId14" Type="http://schemas.openxmlformats.org/officeDocument/2006/relationships/hyperlink" Target="mailto:johanna@gielissen.be" TargetMode="External"/><Relationship Id="rId30" Type="http://schemas.openxmlformats.org/officeDocument/2006/relationships/hyperlink" Target="mailto:jannellivolpi_import@jannellievolpi.it," TargetMode="External"/><Relationship Id="rId35" Type="http://schemas.openxmlformats.org/officeDocument/2006/relationships/hyperlink" Target="mailto:mail@skol.su," TargetMode="External"/><Relationship Id="rId56" Type="http://schemas.openxmlformats.org/officeDocument/2006/relationships/hyperlink" Target="tel:+3254333783" TargetMode="External"/><Relationship Id="rId77" Type="http://schemas.openxmlformats.org/officeDocument/2006/relationships/hyperlink" Target="mailto:info@leda41.be" TargetMode="External"/><Relationship Id="rId100" Type="http://schemas.openxmlformats.org/officeDocument/2006/relationships/hyperlink" Target="mailto:%20info@schaefer-tapeten.de" TargetMode="External"/><Relationship Id="rId8" Type="http://schemas.openxmlformats.org/officeDocument/2006/relationships/hyperlink" Target="http://unico-interiors.de/" TargetMode="External"/><Relationship Id="rId51" Type="http://schemas.openxmlformats.org/officeDocument/2006/relationships/hyperlink" Target="https://www.tenuedeville.com/suppliers/www.meinewand.de" TargetMode="External"/><Relationship Id="rId72" Type="http://schemas.openxmlformats.org/officeDocument/2006/relationships/hyperlink" Target="mailto:colora.sintpietersleeuw@colora.be" TargetMode="External"/><Relationship Id="rId93" Type="http://schemas.openxmlformats.org/officeDocument/2006/relationships/hyperlink" Target="mailto:info@decoratie-miserez.be," TargetMode="External"/><Relationship Id="rId98" Type="http://schemas.openxmlformats.org/officeDocument/2006/relationships/hyperlink" Target="mailto:info@tintelijn.be," TargetMode="External"/><Relationship Id="rId3" Type="http://schemas.openxmlformats.org/officeDocument/2006/relationships/hyperlink" Target="https://www.google.com/search?client=safari&amp;rls=en&amp;q=pergamene&amp;ie=UTF-8&amp;oe=UTF-8" TargetMode="Externa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8.xml.rels><?xml version="1.0" encoding="UTF-8" standalone="yes"?>
<Relationships xmlns="http://schemas.openxmlformats.org/package/2006/relationships"><Relationship Id="rId3" Type="http://schemas.microsoft.com/office/2017/10/relationships/threadedComment" Target="../threadedComments/threadedComment4.xml"/><Relationship Id="rId2" Type="http://schemas.openxmlformats.org/officeDocument/2006/relationships/comments" Target="../comments4.xml"/><Relationship Id="rId1" Type="http://schemas.openxmlformats.org/officeDocument/2006/relationships/vmlDrawing" Target="../drawings/vmlDrawing4.vml"/></Relationships>
</file>

<file path=xl/worksheets/_rels/sheet9.xml.rels><?xml version="1.0" encoding="UTF-8" standalone="yes"?>
<Relationships xmlns="http://schemas.openxmlformats.org/package/2006/relationships"><Relationship Id="rId13" Type="http://schemas.openxmlformats.org/officeDocument/2006/relationships/hyperlink" Target="mailto:ninove@schellaert.be" TargetMode="External"/><Relationship Id="rId18" Type="http://schemas.openxmlformats.org/officeDocument/2006/relationships/hyperlink" Target="mailto:colora.deinze@colora.be" TargetMode="External"/><Relationship Id="rId26" Type="http://schemas.openxmlformats.org/officeDocument/2006/relationships/hyperlink" Target="mailto:mhfarine@hotmail.com," TargetMode="External"/><Relationship Id="rId39" Type="http://schemas.openxmlformats.org/officeDocument/2006/relationships/hyperlink" Target="tel:+3254333783" TargetMode="External"/><Relationship Id="rId21" Type="http://schemas.openxmlformats.org/officeDocument/2006/relationships/hyperlink" Target="mailto:verkoop@verpoorten-verf.be" TargetMode="External"/><Relationship Id="rId34" Type="http://schemas.openxmlformats.org/officeDocument/2006/relationships/hyperlink" Target="mailto:info@tintelijn.be," TargetMode="External"/><Relationship Id="rId42" Type="http://schemas.openxmlformats.org/officeDocument/2006/relationships/hyperlink" Target="mailto:info@unico-interiors.de" TargetMode="External"/><Relationship Id="rId47" Type="http://schemas.openxmlformats.org/officeDocument/2006/relationships/hyperlink" Target="mailto:phenie.sofro@yahoo.com," TargetMode="External"/><Relationship Id="rId50" Type="http://schemas.openxmlformats.org/officeDocument/2006/relationships/hyperlink" Target="mailto:mail@skol.su," TargetMode="External"/><Relationship Id="rId55" Type="http://schemas.openxmlformats.org/officeDocument/2006/relationships/hyperlink" Target="mailto:eurodissas@gmail.com," TargetMode="External"/><Relationship Id="rId7" Type="http://schemas.openxmlformats.org/officeDocument/2006/relationships/hyperlink" Target="http://www.harvizo.be/" TargetMode="External"/><Relationship Id="rId2" Type="http://schemas.openxmlformats.org/officeDocument/2006/relationships/hyperlink" Target="http://www.wallpaperdecor.com.au/" TargetMode="External"/><Relationship Id="rId16" Type="http://schemas.openxmlformats.org/officeDocument/2006/relationships/hyperlink" Target="mailto:johanna@gielissen.be" TargetMode="External"/><Relationship Id="rId29" Type="http://schemas.openxmlformats.org/officeDocument/2006/relationships/hyperlink" Target="mailto:info@decoratie-miserez.be," TargetMode="External"/><Relationship Id="rId11" Type="http://schemas.openxmlformats.org/officeDocument/2006/relationships/hyperlink" Target="mailto:info@t-interiors.be" TargetMode="External"/><Relationship Id="rId24" Type="http://schemas.openxmlformats.org/officeDocument/2006/relationships/hyperlink" Target="mailto:colora.sintpietersleeuw@colora.be" TargetMode="External"/><Relationship Id="rId32" Type="http://schemas.openxmlformats.org/officeDocument/2006/relationships/hyperlink" Target="mailto:colora.roeselare@colora.be," TargetMode="External"/><Relationship Id="rId37" Type="http://schemas.openxmlformats.org/officeDocument/2006/relationships/hyperlink" Target="https://www.google.com/search?client=safari&amp;rls=en&amp;q=colora+deinze&amp;ie=UTF-8&amp;oe=UTF-8" TargetMode="External"/><Relationship Id="rId40" Type="http://schemas.openxmlformats.org/officeDocument/2006/relationships/hyperlink" Target="https://www.google.com/search?client=safari&amp;rls=en&amp;q=de+smaele+st+niklaas&amp;ie=UTF-8&amp;oe=UTF-8" TargetMode="External"/><Relationship Id="rId45" Type="http://schemas.openxmlformats.org/officeDocument/2006/relationships/hyperlink" Target="mailto:manorhousemalta@gmail.com," TargetMode="External"/><Relationship Id="rId53" Type="http://schemas.openxmlformats.org/officeDocument/2006/relationships/hyperlink" Target="mailto:kato@wallart.co.jp," TargetMode="External"/><Relationship Id="rId58" Type="http://schemas.openxmlformats.org/officeDocument/2006/relationships/hyperlink" Target="mailto:showroom@luxbuilding.lu," TargetMode="External"/><Relationship Id="rId5" Type="http://schemas.openxmlformats.org/officeDocument/2006/relationships/hyperlink" Target="http://www.wallpaperdecor.com.au/" TargetMode="External"/><Relationship Id="rId61" Type="http://schemas.openxmlformats.org/officeDocument/2006/relationships/vmlDrawing" Target="../drawings/vmlDrawing5.vml"/><Relationship Id="rId19" Type="http://schemas.openxmlformats.org/officeDocument/2006/relationships/hyperlink" Target="mailto:colora.brugge2@colora.be" TargetMode="External"/><Relationship Id="rId14" Type="http://schemas.openxmlformats.org/officeDocument/2006/relationships/hyperlink" Target="mailto:info@ecostore.be?subject=Contact%20via%20website" TargetMode="External"/><Relationship Id="rId22" Type="http://schemas.openxmlformats.org/officeDocument/2006/relationships/hyperlink" Target="mailto:administratie@mertens-interieur.be" TargetMode="External"/><Relationship Id="rId27" Type="http://schemas.openxmlformats.org/officeDocument/2006/relationships/hyperlink" Target="mailto:info@altex-studio.be," TargetMode="External"/><Relationship Id="rId30" Type="http://schemas.openxmlformats.org/officeDocument/2006/relationships/hyperlink" Target="mailto:decoratie@collumbien.be," TargetMode="External"/><Relationship Id="rId35" Type="http://schemas.openxmlformats.org/officeDocument/2006/relationships/hyperlink" Target="https://www.google.be/search?hl=fr&amp;source=hp&amp;ei=bXCsXOuGEZKckwXek4oY&amp;q=verpoorten+verfdistributie+bvba+herentals&amp;oq=verpoorten+verf&amp;gs_l=psy-ab.1.4.0i19l3j0i22i30i19l7.1590.9423..12703...0.0..0.159.1081.15j1......0....1..gws-wiz.....0..35i39i19j35i39j0j0i131j0i67j0i131i67j0i10i67j0i203j0i10i203j0i22i30j0i13i30.zK4k5HJ4OdU" TargetMode="External"/><Relationship Id="rId43" Type="http://schemas.openxmlformats.org/officeDocument/2006/relationships/hyperlink" Target="mailto:info@meinewand.de" TargetMode="External"/><Relationship Id="rId48" Type="http://schemas.openxmlformats.org/officeDocument/2006/relationships/hyperlink" Target="mailto:Ankie@todayfurnishing.com," TargetMode="External"/><Relationship Id="rId56" Type="http://schemas.openxmlformats.org/officeDocument/2006/relationships/hyperlink" Target="mailto:info@tapeten-in-berlin.de," TargetMode="External"/><Relationship Id="rId8" Type="http://schemas.openxmlformats.org/officeDocument/2006/relationships/hyperlink" Target="tel:+56%202%202840%201611" TargetMode="External"/><Relationship Id="rId51" Type="http://schemas.openxmlformats.org/officeDocument/2006/relationships/hyperlink" Target="mailto:info@tapetenagentur.de," TargetMode="External"/><Relationship Id="rId3" Type="http://schemas.openxmlformats.org/officeDocument/2006/relationships/hyperlink" Target="mailto:lollo@wallpaperdecor.com.au" TargetMode="External"/><Relationship Id="rId12" Type="http://schemas.openxmlformats.org/officeDocument/2006/relationships/hyperlink" Target="mailto:colora.waregem@colora.be" TargetMode="External"/><Relationship Id="rId17" Type="http://schemas.openxmlformats.org/officeDocument/2006/relationships/hyperlink" Target="mailto:uniek.decoratie@telenet.be?__xts__=" TargetMode="External"/><Relationship Id="rId25" Type="http://schemas.openxmlformats.org/officeDocument/2006/relationships/hyperlink" Target="mailto:info@leda41.be" TargetMode="External"/><Relationship Id="rId33" Type="http://schemas.openxmlformats.org/officeDocument/2006/relationships/hyperlink" Target="mailto:colora.lier@colora.be," TargetMode="External"/><Relationship Id="rId38" Type="http://schemas.openxmlformats.org/officeDocument/2006/relationships/hyperlink" Target="tel:+3292728292" TargetMode="External"/><Relationship Id="rId46" Type="http://schemas.openxmlformats.org/officeDocument/2006/relationships/hyperlink" Target="mailto:jannellivolpi_import@jannellievolpi.it," TargetMode="External"/><Relationship Id="rId59" Type="http://schemas.openxmlformats.org/officeDocument/2006/relationships/hyperlink" Target="https://www.tenuedeville.com/suppliers/www.meinewand.de" TargetMode="External"/><Relationship Id="rId20" Type="http://schemas.openxmlformats.org/officeDocument/2006/relationships/hyperlink" Target="mailto:info@pergamene.be" TargetMode="External"/><Relationship Id="rId41" Type="http://schemas.openxmlformats.org/officeDocument/2006/relationships/hyperlink" Target="mailto:info@fausel-biskamp.de" TargetMode="External"/><Relationship Id="rId54" Type="http://schemas.openxmlformats.org/officeDocument/2006/relationships/hyperlink" Target="mailto:wallpaperstoremiami@gmail.com," TargetMode="External"/><Relationship Id="rId62" Type="http://schemas.openxmlformats.org/officeDocument/2006/relationships/comments" Target="../comments5.xml"/><Relationship Id="rId1" Type="http://schemas.openxmlformats.org/officeDocument/2006/relationships/hyperlink" Target="mailto:vth@montecolino.fr" TargetMode="External"/><Relationship Id="rId6" Type="http://schemas.openxmlformats.org/officeDocument/2006/relationships/hyperlink" Target="mailto:info@harvizo.be" TargetMode="External"/><Relationship Id="rId15" Type="http://schemas.openxmlformats.org/officeDocument/2006/relationships/hyperlink" Target="mailto:colora.grimbergen@colora.be" TargetMode="External"/><Relationship Id="rId23" Type="http://schemas.openxmlformats.org/officeDocument/2006/relationships/hyperlink" Target="mailto:colora.brugge@colora.be" TargetMode="External"/><Relationship Id="rId28" Type="http://schemas.openxmlformats.org/officeDocument/2006/relationships/hyperlink" Target="mailto:martine@decovervaet.be," TargetMode="External"/><Relationship Id="rId36" Type="http://schemas.openxmlformats.org/officeDocument/2006/relationships/hyperlink" Target="https://www.google.com/search?client=safari&amp;rls=en&amp;q=pergamene&amp;ie=UTF-8&amp;oe=UTF-8" TargetMode="External"/><Relationship Id="rId49" Type="http://schemas.openxmlformats.org/officeDocument/2006/relationships/hyperlink" Target="mailto:joan@att-rotex.com.tw," TargetMode="External"/><Relationship Id="rId57" Type="http://schemas.openxmlformats.org/officeDocument/2006/relationships/hyperlink" Target="mailto:%20info@schaefer-tapeten.de" TargetMode="External"/><Relationship Id="rId10" Type="http://schemas.openxmlformats.org/officeDocument/2006/relationships/hyperlink" Target="http://www.casagarda.cl/" TargetMode="External"/><Relationship Id="rId31" Type="http://schemas.openxmlformats.org/officeDocument/2006/relationships/hyperlink" Target="mailto:monica.ponzetta@rouxverf.be," TargetMode="External"/><Relationship Id="rId44" Type="http://schemas.openxmlformats.org/officeDocument/2006/relationships/hyperlink" Target="mailto:v.thierard@montecolino.fr" TargetMode="External"/><Relationship Id="rId52" Type="http://schemas.openxmlformats.org/officeDocument/2006/relationships/hyperlink" Target="mailto:carsten@tapetcompagniet.dk," TargetMode="External"/><Relationship Id="rId60" Type="http://schemas.openxmlformats.org/officeDocument/2006/relationships/hyperlink" Target="http://unico-interiors.de/" TargetMode="External"/><Relationship Id="rId4" Type="http://schemas.openxmlformats.org/officeDocument/2006/relationships/hyperlink" Target="mailto:sales@wallpaperdecor.com.au" TargetMode="External"/><Relationship Id="rId9" Type="http://schemas.openxmlformats.org/officeDocument/2006/relationships/hyperlink" Target="mailto:ventas@casagarda.cl"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fitToPage="1"/>
  </sheetPr>
  <dimension ref="A1:JQ346"/>
  <sheetViews>
    <sheetView showGridLines="0" zoomScale="80" zoomScaleNormal="80" workbookViewId="0">
      <pane xSplit="1" ySplit="4" topLeftCell="B278" activePane="bottomRight" state="frozen"/>
      <selection pane="topRight"/>
      <selection pane="bottomLeft"/>
      <selection pane="bottomRight" activeCell="AZ321" sqref="A321:AZ321"/>
    </sheetView>
  </sheetViews>
  <sheetFormatPr baseColWidth="10" defaultColWidth="16.33203125" defaultRowHeight="20" customHeight="1" outlineLevelRow="1" outlineLevelCol="1"/>
  <cols>
    <col min="1" max="1" width="15.1640625" style="1" customWidth="1"/>
    <col min="2" max="2" width="14.1640625" style="1" customWidth="1"/>
    <col min="3" max="3" width="10.5" style="1" bestFit="1" customWidth="1"/>
    <col min="4" max="4" width="15.33203125" style="1" customWidth="1"/>
    <col min="5" max="5" width="17.1640625" style="535" customWidth="1"/>
    <col min="6" max="7" width="14.33203125" style="1" customWidth="1" outlineLevel="1"/>
    <col min="8" max="8" width="13.33203125" style="221" customWidth="1" outlineLevel="1"/>
    <col min="9" max="9" width="13.5" style="1" customWidth="1" outlineLevel="1"/>
    <col min="10" max="10" width="17.33203125" style="1" customWidth="1" outlineLevel="1"/>
    <col min="11" max="11" width="8.5" style="1" customWidth="1" outlineLevel="1"/>
    <col min="12" max="12" width="14.1640625" style="1" customWidth="1" outlineLevel="1"/>
    <col min="13" max="13" width="13.6640625" style="1" customWidth="1" outlineLevel="1"/>
    <col min="14" max="14" width="21.5" style="1" customWidth="1" outlineLevel="1"/>
    <col min="15" max="15" width="47.1640625" style="1" customWidth="1" outlineLevel="1"/>
    <col min="16" max="16" width="16.5" style="1" customWidth="1" outlineLevel="1"/>
    <col min="17" max="17" width="0.83203125" style="221" customWidth="1"/>
    <col min="18" max="18" width="6.33203125" style="581" customWidth="1" outlineLevel="1"/>
    <col min="19" max="19" width="5.33203125" style="582" customWidth="1" outlineLevel="1"/>
    <col min="20" max="20" width="7" style="600" customWidth="1" outlineLevel="1"/>
    <col min="21" max="21" width="4.83203125" style="592" customWidth="1" outlineLevel="1"/>
    <col min="22" max="22" width="4.83203125" style="582" customWidth="1" outlineLevel="1"/>
    <col min="23" max="23" width="7.1640625" style="600" customWidth="1" outlineLevel="1"/>
    <col min="24" max="24" width="4.83203125" style="592" customWidth="1" outlineLevel="1"/>
    <col min="25" max="25" width="4.83203125" style="582" customWidth="1" outlineLevel="1"/>
    <col min="26" max="26" width="7.1640625" style="600" customWidth="1" outlineLevel="1"/>
    <col min="27" max="27" width="5.33203125" style="592" customWidth="1" outlineLevel="1"/>
    <col min="28" max="28" width="5.33203125" style="582" customWidth="1" outlineLevel="1"/>
    <col min="29" max="29" width="7.1640625" style="600" customWidth="1" outlineLevel="1"/>
    <col min="30" max="32" width="5" style="592" customWidth="1" outlineLevel="1"/>
    <col min="33" max="33" width="5.1640625" style="582" customWidth="1" outlineLevel="1"/>
    <col min="34" max="34" width="7.1640625" style="600" customWidth="1" outlineLevel="1"/>
    <col min="35" max="36" width="6" style="607" customWidth="1" outlineLevel="1"/>
    <col min="37" max="37" width="0.83203125" style="736" customWidth="1"/>
    <col min="38" max="38" width="14.33203125" style="1" customWidth="1" outlineLevel="1"/>
    <col min="39" max="39" width="11.33203125" style="1" customWidth="1" outlineLevel="1"/>
    <col min="40" max="41" width="12.83203125" style="1" customWidth="1" outlineLevel="1"/>
    <col min="42" max="42" width="12.1640625" style="1" customWidth="1" outlineLevel="1"/>
    <col min="43" max="43" width="13" style="1" customWidth="1"/>
    <col min="44" max="44" width="13" style="836" customWidth="1"/>
    <col min="45" max="45" width="13.6640625" style="1" customWidth="1"/>
    <col min="46" max="46" width="9.33203125" style="1" customWidth="1" outlineLevel="1"/>
    <col min="47" max="47" width="4.33203125" style="1" customWidth="1" outlineLevel="1"/>
    <col min="48" max="48" width="13.83203125" style="1" hidden="1" customWidth="1" outlineLevel="1"/>
    <col min="49" max="49" width="11" style="1" hidden="1" customWidth="1" outlineLevel="1"/>
    <col min="50" max="51" width="11" style="1" customWidth="1" outlineLevel="1"/>
    <col min="52" max="52" width="11" style="1" customWidth="1"/>
    <col min="53" max="53" width="14.6640625" style="1" customWidth="1"/>
    <col min="54" max="59" width="11" style="1" customWidth="1"/>
    <col min="60" max="277" width="16.33203125" style="1" customWidth="1"/>
  </cols>
  <sheetData>
    <row r="1" spans="1:277" ht="27.75" customHeight="1" thickBot="1">
      <c r="A1" s="924" t="s">
        <v>0</v>
      </c>
      <c r="B1" s="924"/>
      <c r="C1" s="924"/>
      <c r="D1" s="924"/>
      <c r="E1" s="924"/>
      <c r="F1" s="924"/>
      <c r="G1" s="924"/>
      <c r="H1" s="924"/>
      <c r="I1" s="924"/>
      <c r="J1" s="924"/>
      <c r="K1" s="924"/>
      <c r="L1" s="924"/>
      <c r="M1" s="924"/>
      <c r="N1" s="924"/>
      <c r="O1" s="924"/>
      <c r="P1" s="924"/>
      <c r="Q1" s="924"/>
      <c r="R1" s="924"/>
      <c r="S1" s="924"/>
      <c r="T1" s="924"/>
      <c r="U1" s="924"/>
      <c r="V1" s="924"/>
      <c r="W1" s="924"/>
      <c r="X1" s="924"/>
      <c r="Y1" s="924"/>
      <c r="Z1" s="924"/>
      <c r="AA1" s="924"/>
      <c r="AB1" s="924"/>
      <c r="AC1" s="924"/>
      <c r="AD1" s="924"/>
      <c r="AE1" s="924"/>
      <c r="AF1" s="924"/>
      <c r="AG1" s="924"/>
      <c r="AH1" s="924"/>
      <c r="AI1" s="924"/>
      <c r="AJ1" s="924"/>
      <c r="AK1" s="924"/>
      <c r="AL1" s="924"/>
      <c r="AM1" s="924"/>
      <c r="AN1" s="924"/>
      <c r="AO1" s="924"/>
      <c r="AP1" s="924"/>
      <c r="AQ1" s="924"/>
      <c r="AR1" s="924"/>
      <c r="AS1" s="924"/>
      <c r="AT1" s="924"/>
      <c r="AU1" s="924"/>
      <c r="AV1" s="924"/>
      <c r="AW1" s="924"/>
      <c r="AX1" s="924"/>
      <c r="AY1" s="924"/>
      <c r="AZ1" s="924"/>
      <c r="BA1" s="924"/>
      <c r="BB1" s="924"/>
      <c r="BC1" s="924"/>
      <c r="BD1" s="924"/>
      <c r="BE1" s="924"/>
      <c r="BF1" s="924"/>
      <c r="BG1" s="924"/>
    </row>
    <row r="2" spans="1:277" ht="20" customHeight="1">
      <c r="A2" s="2"/>
      <c r="B2" s="930" t="s">
        <v>1</v>
      </c>
      <c r="C2" s="926"/>
      <c r="D2" s="926"/>
      <c r="E2" s="927"/>
      <c r="F2" s="540"/>
      <c r="G2" s="925" t="s">
        <v>2</v>
      </c>
      <c r="H2" s="929"/>
      <c r="I2" s="927"/>
      <c r="J2" s="3" t="s">
        <v>3</v>
      </c>
      <c r="K2" s="928" t="s">
        <v>4</v>
      </c>
      <c r="L2" s="926"/>
      <c r="M2" s="927"/>
      <c r="N2" s="928" t="s">
        <v>5</v>
      </c>
      <c r="O2" s="926"/>
      <c r="P2" s="556"/>
      <c r="Q2" s="617"/>
      <c r="R2" s="908" t="s">
        <v>1813</v>
      </c>
      <c r="S2" s="909"/>
      <c r="T2" s="909"/>
      <c r="U2" s="909"/>
      <c r="V2" s="909"/>
      <c r="W2" s="909"/>
      <c r="X2" s="909"/>
      <c r="Y2" s="909"/>
      <c r="Z2" s="909"/>
      <c r="AA2" s="909"/>
      <c r="AB2" s="909"/>
      <c r="AC2" s="909"/>
      <c r="AD2" s="909"/>
      <c r="AE2" s="909"/>
      <c r="AF2" s="909"/>
      <c r="AG2" s="909"/>
      <c r="AH2" s="909"/>
      <c r="AI2" s="910"/>
      <c r="AJ2" s="911"/>
      <c r="AK2" s="626"/>
      <c r="AL2" s="905" t="s">
        <v>1815</v>
      </c>
      <c r="AM2" s="906"/>
      <c r="AN2" s="906"/>
      <c r="AO2" s="906"/>
      <c r="AP2" s="906"/>
      <c r="AQ2" s="907"/>
      <c r="AR2" s="826"/>
      <c r="AS2" s="540"/>
      <c r="AT2" s="925" t="s">
        <v>6</v>
      </c>
      <c r="AU2" s="926"/>
      <c r="AV2" s="926"/>
      <c r="AW2" s="926"/>
      <c r="AX2" s="926"/>
      <c r="AY2" s="926"/>
      <c r="AZ2" s="927"/>
      <c r="BA2" s="928" t="s">
        <v>7</v>
      </c>
      <c r="BB2" s="927"/>
      <c r="BC2" s="931" t="s">
        <v>8</v>
      </c>
      <c r="BD2" s="932"/>
      <c r="BE2" s="932"/>
      <c r="BF2" s="932"/>
      <c r="BG2" s="933"/>
    </row>
    <row r="3" spans="1:277" ht="68.25" customHeight="1">
      <c r="A3" s="4" t="s">
        <v>9</v>
      </c>
      <c r="B3" s="4" t="s">
        <v>10</v>
      </c>
      <c r="C3" s="4" t="s">
        <v>11</v>
      </c>
      <c r="D3" s="4" t="s">
        <v>12</v>
      </c>
      <c r="E3" s="549" t="s">
        <v>13</v>
      </c>
      <c r="F3" s="541" t="s">
        <v>14</v>
      </c>
      <c r="G3" s="6" t="s">
        <v>15</v>
      </c>
      <c r="H3" s="289" t="s">
        <v>1312</v>
      </c>
      <c r="I3" s="5" t="s">
        <v>16</v>
      </c>
      <c r="J3" s="7" t="s">
        <v>17</v>
      </c>
      <c r="K3" s="8" t="s">
        <v>4</v>
      </c>
      <c r="L3" s="4" t="s">
        <v>18</v>
      </c>
      <c r="M3" s="5" t="s">
        <v>19</v>
      </c>
      <c r="N3" s="8" t="s">
        <v>20</v>
      </c>
      <c r="O3" s="4" t="s">
        <v>21</v>
      </c>
      <c r="P3" s="557" t="s">
        <v>22</v>
      </c>
      <c r="Q3" s="618"/>
      <c r="R3" s="902" t="s">
        <v>77</v>
      </c>
      <c r="S3" s="903"/>
      <c r="T3" s="904"/>
      <c r="U3" s="912" t="s">
        <v>54</v>
      </c>
      <c r="V3" s="913"/>
      <c r="W3" s="914"/>
      <c r="X3" s="915" t="s">
        <v>195</v>
      </c>
      <c r="Y3" s="916"/>
      <c r="Z3" s="917"/>
      <c r="AA3" s="918" t="s">
        <v>82</v>
      </c>
      <c r="AB3" s="919"/>
      <c r="AC3" s="920"/>
      <c r="AD3" s="921" t="s">
        <v>64</v>
      </c>
      <c r="AE3" s="921"/>
      <c r="AF3" s="921"/>
      <c r="AG3" s="922"/>
      <c r="AH3" s="923"/>
      <c r="AI3" s="662" t="s">
        <v>113</v>
      </c>
      <c r="AJ3" s="662" t="s">
        <v>113</v>
      </c>
      <c r="AK3" s="735"/>
      <c r="AL3" s="517" t="s">
        <v>24</v>
      </c>
      <c r="AM3" s="6" t="s">
        <v>25</v>
      </c>
      <c r="AN3" s="4" t="s">
        <v>1869</v>
      </c>
      <c r="AO3" s="4" t="s">
        <v>26</v>
      </c>
      <c r="AP3" s="9" t="s">
        <v>27</v>
      </c>
      <c r="AQ3" s="557" t="s">
        <v>28</v>
      </c>
      <c r="AR3" s="827" t="s">
        <v>1956</v>
      </c>
      <c r="AS3" s="572" t="s">
        <v>29</v>
      </c>
      <c r="AT3" s="8" t="s">
        <v>30</v>
      </c>
      <c r="AU3" s="4" t="s">
        <v>31</v>
      </c>
      <c r="AV3" s="4" t="s">
        <v>32</v>
      </c>
      <c r="AW3" s="4" t="s">
        <v>33</v>
      </c>
      <c r="AX3" s="4" t="s">
        <v>34</v>
      </c>
      <c r="AY3" s="4" t="s">
        <v>35</v>
      </c>
      <c r="AZ3" s="5" t="s">
        <v>36</v>
      </c>
      <c r="BA3" s="8" t="s">
        <v>37</v>
      </c>
      <c r="BB3" s="5" t="s">
        <v>38</v>
      </c>
      <c r="BC3" s="7" t="s">
        <v>39</v>
      </c>
      <c r="BD3" s="7" t="s">
        <v>40</v>
      </c>
      <c r="BE3" s="7" t="s">
        <v>41</v>
      </c>
      <c r="BF3" s="7" t="s">
        <v>42</v>
      </c>
      <c r="BG3" s="7" t="s">
        <v>43</v>
      </c>
      <c r="BH3" s="221"/>
      <c r="BI3" s="221"/>
      <c r="BJ3" s="221"/>
      <c r="BK3" s="221"/>
      <c r="BL3" s="221"/>
      <c r="BM3" s="221"/>
      <c r="BN3" s="221"/>
      <c r="BO3" s="221"/>
      <c r="BP3" s="221"/>
      <c r="BQ3" s="221"/>
      <c r="BR3" s="221"/>
      <c r="BS3" s="221"/>
      <c r="BT3" s="221"/>
      <c r="BU3" s="221"/>
      <c r="BV3" s="221"/>
      <c r="BW3" s="221"/>
      <c r="BX3" s="221"/>
      <c r="BY3" s="221"/>
      <c r="BZ3" s="221"/>
      <c r="CA3" s="221"/>
      <c r="CB3" s="221"/>
      <c r="CC3" s="221"/>
      <c r="CD3" s="221"/>
      <c r="CE3" s="221"/>
      <c r="CF3" s="221"/>
      <c r="CG3" s="221"/>
      <c r="CH3" s="221"/>
      <c r="CI3" s="221"/>
      <c r="CJ3" s="221"/>
      <c r="CK3" s="221"/>
      <c r="CL3" s="221"/>
      <c r="CM3" s="221"/>
      <c r="CN3" s="221"/>
      <c r="CO3" s="221"/>
      <c r="CP3" s="221"/>
      <c r="CQ3" s="221"/>
      <c r="CR3" s="221"/>
      <c r="CS3" s="221"/>
      <c r="CT3" s="221"/>
      <c r="CU3" s="221"/>
      <c r="CV3" s="221"/>
      <c r="CW3" s="221"/>
      <c r="CX3" s="221"/>
      <c r="CY3" s="221"/>
      <c r="CZ3" s="221"/>
      <c r="DA3" s="221"/>
      <c r="DB3" s="221"/>
      <c r="DC3" s="221"/>
      <c r="DD3" s="221"/>
      <c r="DE3" s="221"/>
      <c r="DF3" s="221"/>
      <c r="DG3" s="221"/>
      <c r="DH3" s="221"/>
      <c r="DI3" s="221"/>
      <c r="DJ3" s="221"/>
      <c r="DK3" s="221"/>
      <c r="DL3" s="221"/>
      <c r="DM3" s="221"/>
      <c r="DN3" s="221"/>
      <c r="DO3" s="221"/>
      <c r="DP3" s="221"/>
      <c r="DQ3" s="221"/>
      <c r="DR3" s="221"/>
      <c r="DS3" s="221"/>
      <c r="DT3" s="221"/>
      <c r="DU3" s="221"/>
      <c r="DV3" s="221"/>
      <c r="DW3" s="221"/>
      <c r="DX3" s="221"/>
      <c r="DY3" s="221"/>
      <c r="DZ3" s="221"/>
      <c r="EA3" s="221"/>
      <c r="EB3" s="221"/>
      <c r="EC3" s="221"/>
      <c r="ED3" s="221"/>
      <c r="EE3" s="221"/>
      <c r="EF3" s="221"/>
      <c r="EG3" s="221"/>
      <c r="EH3" s="221"/>
      <c r="EI3" s="221"/>
      <c r="EJ3" s="221"/>
      <c r="EK3" s="221"/>
      <c r="EL3" s="221"/>
      <c r="EM3" s="221"/>
      <c r="EN3" s="221"/>
      <c r="EO3" s="221"/>
      <c r="EP3" s="221"/>
      <c r="EQ3" s="221"/>
      <c r="ER3" s="221"/>
      <c r="ES3" s="221"/>
      <c r="ET3" s="221"/>
      <c r="EU3" s="221"/>
      <c r="EV3" s="221"/>
      <c r="EW3" s="221"/>
      <c r="EX3" s="221"/>
      <c r="EY3" s="221"/>
      <c r="EZ3" s="221"/>
      <c r="FA3" s="221"/>
      <c r="FB3" s="221"/>
      <c r="FC3" s="221"/>
      <c r="FD3" s="221"/>
      <c r="FE3" s="221"/>
      <c r="FF3" s="221"/>
      <c r="FG3" s="221"/>
      <c r="FH3" s="221"/>
      <c r="FI3" s="221"/>
      <c r="FJ3" s="221"/>
      <c r="FK3" s="221"/>
      <c r="FL3" s="221"/>
      <c r="FM3" s="221"/>
      <c r="FN3" s="221"/>
      <c r="FO3" s="221"/>
      <c r="FP3" s="221"/>
      <c r="FQ3" s="221"/>
      <c r="FR3" s="221"/>
      <c r="FS3" s="221"/>
      <c r="FT3" s="221"/>
      <c r="FU3" s="221"/>
      <c r="FV3" s="221"/>
      <c r="FW3" s="221"/>
      <c r="FX3" s="221"/>
      <c r="FY3" s="221"/>
      <c r="FZ3" s="221"/>
      <c r="GA3" s="221"/>
      <c r="GB3" s="221"/>
      <c r="GC3" s="221"/>
      <c r="GD3" s="221"/>
      <c r="GE3" s="221"/>
      <c r="GF3" s="221"/>
      <c r="GG3" s="221"/>
      <c r="GH3" s="221"/>
      <c r="GI3" s="221"/>
      <c r="GJ3" s="221"/>
      <c r="GK3" s="221"/>
      <c r="GL3" s="221"/>
      <c r="GM3" s="221"/>
      <c r="GN3" s="221"/>
      <c r="GO3" s="221"/>
      <c r="GP3" s="221"/>
      <c r="GQ3" s="221"/>
      <c r="GR3" s="221"/>
      <c r="GS3" s="221"/>
      <c r="GT3" s="221"/>
      <c r="GU3" s="221"/>
      <c r="GV3" s="221"/>
      <c r="GW3" s="221"/>
      <c r="GX3" s="221"/>
      <c r="GY3" s="221"/>
      <c r="GZ3" s="221"/>
      <c r="HA3" s="221"/>
      <c r="HB3" s="221"/>
      <c r="HC3" s="221"/>
      <c r="HD3" s="221"/>
      <c r="HE3" s="221"/>
      <c r="HF3" s="221"/>
      <c r="HG3" s="221"/>
      <c r="HH3" s="221"/>
      <c r="HI3" s="221"/>
      <c r="HJ3" s="221"/>
      <c r="HK3" s="221"/>
      <c r="HL3" s="221"/>
      <c r="HM3" s="221"/>
      <c r="HN3" s="221"/>
      <c r="HO3" s="221"/>
      <c r="HP3" s="221"/>
      <c r="HQ3" s="221"/>
      <c r="HR3" s="221"/>
      <c r="HS3" s="221"/>
      <c r="HT3" s="221"/>
      <c r="HU3" s="221"/>
      <c r="HV3" s="221"/>
      <c r="HW3" s="221"/>
      <c r="HX3" s="221"/>
      <c r="HY3" s="221"/>
      <c r="HZ3" s="221"/>
      <c r="IA3" s="221"/>
      <c r="IB3" s="221"/>
      <c r="IC3" s="221"/>
      <c r="ID3" s="221"/>
      <c r="IE3" s="221"/>
      <c r="IF3" s="221"/>
      <c r="IG3" s="221"/>
      <c r="IH3" s="221"/>
      <c r="II3" s="221"/>
      <c r="IJ3" s="221"/>
      <c r="IK3" s="221"/>
      <c r="IL3" s="221"/>
      <c r="IM3" s="221"/>
      <c r="IN3" s="221"/>
      <c r="IO3" s="221"/>
      <c r="IP3" s="221"/>
      <c r="IQ3" s="221"/>
      <c r="IR3" s="221"/>
      <c r="IS3" s="221"/>
      <c r="IT3" s="221"/>
      <c r="IU3" s="221"/>
      <c r="IV3" s="221"/>
      <c r="IW3" s="221"/>
      <c r="IX3" s="221"/>
      <c r="IY3" s="221"/>
      <c r="IZ3" s="221"/>
      <c r="JA3" s="221"/>
      <c r="JB3" s="221"/>
      <c r="JC3" s="221"/>
      <c r="JD3" s="221"/>
      <c r="JE3" s="221"/>
      <c r="JF3" s="221"/>
      <c r="JG3" s="221"/>
      <c r="JH3" s="221"/>
      <c r="JI3" s="221"/>
      <c r="JJ3" s="221"/>
      <c r="JK3" s="221"/>
      <c r="JL3" s="221"/>
      <c r="JM3" s="221"/>
      <c r="JN3" s="221"/>
      <c r="JO3" s="221"/>
      <c r="JP3" s="221"/>
      <c r="JQ3" s="221"/>
    </row>
    <row r="4" spans="1:277" ht="18" customHeight="1" thickBot="1">
      <c r="A4" s="4"/>
      <c r="B4" s="4"/>
      <c r="C4" s="4"/>
      <c r="D4" s="4"/>
      <c r="E4" s="549"/>
      <c r="F4" s="541"/>
      <c r="G4" s="6"/>
      <c r="H4" s="289"/>
      <c r="I4" s="5"/>
      <c r="J4" s="7"/>
      <c r="K4" s="8"/>
      <c r="L4" s="4"/>
      <c r="M4" s="5"/>
      <c r="N4" s="8"/>
      <c r="O4" s="4"/>
      <c r="P4" s="557"/>
      <c r="Q4" s="619"/>
      <c r="R4" s="578" t="s">
        <v>53</v>
      </c>
      <c r="S4" s="579" t="s">
        <v>157</v>
      </c>
      <c r="T4" s="599" t="s">
        <v>92</v>
      </c>
      <c r="U4" s="591" t="s">
        <v>53</v>
      </c>
      <c r="V4" s="580" t="s">
        <v>157</v>
      </c>
      <c r="W4" s="605" t="s">
        <v>92</v>
      </c>
      <c r="X4" s="597" t="s">
        <v>53</v>
      </c>
      <c r="Y4" s="580" t="s">
        <v>157</v>
      </c>
      <c r="Z4" s="605" t="s">
        <v>92</v>
      </c>
      <c r="AA4" s="591" t="s">
        <v>53</v>
      </c>
      <c r="AB4" s="580" t="s">
        <v>157</v>
      </c>
      <c r="AC4" s="605" t="s">
        <v>92</v>
      </c>
      <c r="AD4" s="591" t="s">
        <v>1935</v>
      </c>
      <c r="AE4" s="597" t="s">
        <v>1936</v>
      </c>
      <c r="AF4" s="597" t="s">
        <v>1937</v>
      </c>
      <c r="AG4" s="580" t="s">
        <v>157</v>
      </c>
      <c r="AH4" s="605" t="s">
        <v>92</v>
      </c>
      <c r="AI4" s="606" t="s">
        <v>53</v>
      </c>
      <c r="AJ4" s="606" t="s">
        <v>2036</v>
      </c>
      <c r="AK4" s="618"/>
      <c r="AL4" s="598"/>
      <c r="AM4" s="575"/>
      <c r="AN4" s="576"/>
      <c r="AO4" s="576"/>
      <c r="AP4" s="577"/>
      <c r="AQ4" s="807"/>
      <c r="AR4" s="827"/>
      <c r="AS4" s="572"/>
      <c r="AT4" s="8"/>
      <c r="AU4" s="4"/>
      <c r="AV4" s="4"/>
      <c r="AW4" s="4"/>
      <c r="AX4" s="4"/>
      <c r="AY4" s="4"/>
      <c r="AZ4" s="5"/>
      <c r="BA4" s="8"/>
      <c r="BB4" s="5"/>
      <c r="BC4" s="7"/>
      <c r="BD4" s="7"/>
      <c r="BE4" s="7"/>
      <c r="BF4" s="7"/>
      <c r="BG4" s="7"/>
    </row>
    <row r="5" spans="1:277" ht="20.75" hidden="1" customHeight="1" outlineLevel="1">
      <c r="A5" s="454">
        <v>1901001</v>
      </c>
      <c r="B5" s="10">
        <v>42000</v>
      </c>
      <c r="C5" s="11" t="s">
        <v>44</v>
      </c>
      <c r="D5" s="11" t="s">
        <v>45</v>
      </c>
      <c r="E5" s="550" t="s">
        <v>46</v>
      </c>
      <c r="F5" s="542" t="s">
        <v>47</v>
      </c>
      <c r="G5" s="12" t="s">
        <v>48</v>
      </c>
      <c r="H5" s="733" t="s">
        <v>191</v>
      </c>
      <c r="I5" s="13">
        <v>1190130</v>
      </c>
      <c r="J5" s="14" t="s">
        <v>49</v>
      </c>
      <c r="K5" s="15" t="s">
        <v>50</v>
      </c>
      <c r="L5" s="16">
        <v>612156624</v>
      </c>
      <c r="M5" s="17">
        <v>42018</v>
      </c>
      <c r="N5" s="15" t="s">
        <v>51</v>
      </c>
      <c r="O5" s="11" t="s">
        <v>52</v>
      </c>
      <c r="P5" s="558"/>
      <c r="Q5" s="620"/>
      <c r="R5" s="706">
        <v>0</v>
      </c>
      <c r="S5" s="707">
        <v>0</v>
      </c>
      <c r="T5" s="708">
        <v>0</v>
      </c>
      <c r="U5" s="715">
        <v>2</v>
      </c>
      <c r="V5" s="716">
        <v>0</v>
      </c>
      <c r="W5" s="717">
        <v>0</v>
      </c>
      <c r="X5" s="720">
        <v>0</v>
      </c>
      <c r="Y5" s="716">
        <v>0</v>
      </c>
      <c r="Z5" s="717">
        <v>0</v>
      </c>
      <c r="AA5" s="720">
        <v>0</v>
      </c>
      <c r="AB5" s="721">
        <v>0</v>
      </c>
      <c r="AC5" s="722">
        <v>0</v>
      </c>
      <c r="AD5" s="727">
        <v>0</v>
      </c>
      <c r="AE5" s="727"/>
      <c r="AF5" s="727"/>
      <c r="AG5" s="721">
        <v>0</v>
      </c>
      <c r="AH5" s="722">
        <v>0</v>
      </c>
      <c r="AI5" s="730">
        <v>0</v>
      </c>
      <c r="AJ5" s="730">
        <v>0</v>
      </c>
      <c r="AL5" s="573" t="s">
        <v>55</v>
      </c>
      <c r="AM5" s="574">
        <v>190086</v>
      </c>
      <c r="AN5" s="497">
        <v>187.2</v>
      </c>
      <c r="AO5" s="498" t="s">
        <v>56</v>
      </c>
      <c r="AP5" s="499">
        <v>310.95999999999998</v>
      </c>
      <c r="AQ5" s="791">
        <f t="shared" ref="AQ5:AQ35" si="0">AP5-AN5</f>
        <v>123.75999999999999</v>
      </c>
      <c r="AR5" s="828"/>
      <c r="AS5" s="811" t="s">
        <v>191</v>
      </c>
      <c r="AT5" s="15" t="s">
        <v>57</v>
      </c>
      <c r="AU5" s="20">
        <v>1</v>
      </c>
      <c r="AV5" s="11" t="s">
        <v>58</v>
      </c>
      <c r="AW5" s="21">
        <v>2</v>
      </c>
      <c r="AX5" s="19">
        <v>0</v>
      </c>
      <c r="AY5" s="743" t="s">
        <v>118</v>
      </c>
      <c r="AZ5" s="18">
        <v>0</v>
      </c>
      <c r="BA5" s="15" t="s">
        <v>47</v>
      </c>
      <c r="BB5" s="23">
        <v>0</v>
      </c>
      <c r="BC5" s="24"/>
      <c r="BD5" s="24"/>
      <c r="BE5" s="24"/>
      <c r="BF5" s="24"/>
      <c r="BG5" s="24"/>
    </row>
    <row r="6" spans="1:277" ht="20.25" hidden="1" customHeight="1" outlineLevel="1">
      <c r="A6" s="453">
        <v>1901002</v>
      </c>
      <c r="B6" s="25">
        <v>42006</v>
      </c>
      <c r="C6" s="26" t="s">
        <v>59</v>
      </c>
      <c r="D6" s="26" t="s">
        <v>47</v>
      </c>
      <c r="E6" s="533" t="s">
        <v>60</v>
      </c>
      <c r="F6" s="543" t="s">
        <v>47</v>
      </c>
      <c r="G6" s="28" t="s">
        <v>61</v>
      </c>
      <c r="H6" s="733" t="s">
        <v>191</v>
      </c>
      <c r="I6" s="29" t="s">
        <v>47</v>
      </c>
      <c r="J6" s="30" t="s">
        <v>62</v>
      </c>
      <c r="K6" s="31" t="s">
        <v>50</v>
      </c>
      <c r="L6" s="32" t="s">
        <v>47</v>
      </c>
      <c r="M6" s="33">
        <v>42007</v>
      </c>
      <c r="N6" s="31" t="s">
        <v>59</v>
      </c>
      <c r="O6" s="26" t="s">
        <v>63</v>
      </c>
      <c r="P6" s="559"/>
      <c r="Q6" s="290"/>
      <c r="R6" s="709">
        <v>0</v>
      </c>
      <c r="S6" s="710">
        <v>0</v>
      </c>
      <c r="T6" s="711">
        <v>0</v>
      </c>
      <c r="U6" s="718">
        <v>0</v>
      </c>
      <c r="V6" s="710">
        <v>0</v>
      </c>
      <c r="W6" s="711">
        <v>0</v>
      </c>
      <c r="X6" s="718">
        <v>0</v>
      </c>
      <c r="Y6" s="710">
        <v>0</v>
      </c>
      <c r="Z6" s="711">
        <v>0</v>
      </c>
      <c r="AA6" s="718">
        <v>0</v>
      </c>
      <c r="AB6" s="723">
        <v>0</v>
      </c>
      <c r="AC6" s="724">
        <v>0</v>
      </c>
      <c r="AD6" s="728">
        <v>2</v>
      </c>
      <c r="AE6" s="728"/>
      <c r="AF6" s="728"/>
      <c r="AG6" s="723">
        <v>0</v>
      </c>
      <c r="AH6" s="724">
        <v>0</v>
      </c>
      <c r="AI6" s="731">
        <v>0</v>
      </c>
      <c r="AJ6" s="731">
        <v>0</v>
      </c>
      <c r="AL6" s="518" t="s">
        <v>65</v>
      </c>
      <c r="AM6" s="35"/>
      <c r="AN6" s="36">
        <v>0</v>
      </c>
      <c r="AO6" s="26" t="s">
        <v>47</v>
      </c>
      <c r="AP6" s="37">
        <v>0</v>
      </c>
      <c r="AQ6" s="792">
        <f t="shared" si="0"/>
        <v>0</v>
      </c>
      <c r="AR6" s="828"/>
      <c r="AS6" s="812" t="s">
        <v>47</v>
      </c>
      <c r="AT6" s="31" t="s">
        <v>57</v>
      </c>
      <c r="AU6" s="38">
        <v>1</v>
      </c>
      <c r="AV6" s="26" t="s">
        <v>66</v>
      </c>
      <c r="AW6" s="39" t="s">
        <v>66</v>
      </c>
      <c r="AX6" s="36">
        <v>0</v>
      </c>
      <c r="AY6" s="40"/>
      <c r="AZ6" s="41">
        <v>7.29</v>
      </c>
      <c r="BA6" s="31" t="s">
        <v>47</v>
      </c>
      <c r="BB6" s="41">
        <v>0</v>
      </c>
      <c r="BC6" s="42"/>
      <c r="BD6" s="42"/>
      <c r="BE6" s="42"/>
      <c r="BF6" s="42"/>
      <c r="BG6" s="42"/>
    </row>
    <row r="7" spans="1:277" ht="20" hidden="1" customHeight="1" outlineLevel="1">
      <c r="A7" s="453">
        <v>1901003</v>
      </c>
      <c r="B7" s="25">
        <v>42006</v>
      </c>
      <c r="C7" s="26" t="s">
        <v>67</v>
      </c>
      <c r="D7" s="26" t="s">
        <v>68</v>
      </c>
      <c r="E7" s="533" t="s">
        <v>69</v>
      </c>
      <c r="F7" s="543" t="s">
        <v>47</v>
      </c>
      <c r="G7" s="43"/>
      <c r="H7" s="733" t="s">
        <v>191</v>
      </c>
      <c r="I7" s="29" t="s">
        <v>47</v>
      </c>
      <c r="J7" s="30" t="s">
        <v>62</v>
      </c>
      <c r="K7" s="31" t="s">
        <v>50</v>
      </c>
      <c r="L7" s="44">
        <v>605353313</v>
      </c>
      <c r="M7" s="33"/>
      <c r="N7" s="45"/>
      <c r="O7" s="26" t="s">
        <v>70</v>
      </c>
      <c r="P7" s="559"/>
      <c r="Q7" s="290"/>
      <c r="R7" s="709">
        <v>0</v>
      </c>
      <c r="S7" s="710">
        <v>0</v>
      </c>
      <c r="T7" s="711">
        <v>0</v>
      </c>
      <c r="U7" s="718">
        <v>1</v>
      </c>
      <c r="V7" s="710">
        <v>0</v>
      </c>
      <c r="W7" s="711">
        <v>0</v>
      </c>
      <c r="X7" s="718">
        <v>0</v>
      </c>
      <c r="Y7" s="710">
        <v>0</v>
      </c>
      <c r="Z7" s="711">
        <v>0</v>
      </c>
      <c r="AA7" s="718">
        <v>0</v>
      </c>
      <c r="AB7" s="723">
        <v>0</v>
      </c>
      <c r="AC7" s="724">
        <v>0</v>
      </c>
      <c r="AD7" s="728">
        <v>0</v>
      </c>
      <c r="AE7" s="728">
        <v>0</v>
      </c>
      <c r="AF7" s="728">
        <v>0</v>
      </c>
      <c r="AG7" s="723">
        <v>0</v>
      </c>
      <c r="AH7" s="724">
        <v>0</v>
      </c>
      <c r="AI7" s="731">
        <v>0</v>
      </c>
      <c r="AJ7" s="731">
        <v>0</v>
      </c>
      <c r="AL7" s="519" t="s">
        <v>71</v>
      </c>
      <c r="AM7" s="35"/>
      <c r="AN7" s="36">
        <f>1*8</f>
        <v>8</v>
      </c>
      <c r="AO7" s="252" t="s">
        <v>1854</v>
      </c>
      <c r="AP7" s="37">
        <v>54.17</v>
      </c>
      <c r="AQ7" s="792">
        <f t="shared" si="0"/>
        <v>46.17</v>
      </c>
      <c r="AR7" s="828"/>
      <c r="AS7" s="812" t="s">
        <v>191</v>
      </c>
      <c r="AT7" s="31" t="s">
        <v>57</v>
      </c>
      <c r="AU7" s="38">
        <v>1</v>
      </c>
      <c r="AV7" s="40"/>
      <c r="AW7" s="46">
        <v>3</v>
      </c>
      <c r="AX7" s="36">
        <v>0</v>
      </c>
      <c r="AY7" s="258" t="s">
        <v>118</v>
      </c>
      <c r="AZ7" s="41">
        <v>0</v>
      </c>
      <c r="BA7" s="31" t="s">
        <v>47</v>
      </c>
      <c r="BB7" s="41">
        <v>0</v>
      </c>
      <c r="BC7" s="42"/>
      <c r="BD7" s="42"/>
      <c r="BE7" s="42"/>
      <c r="BF7" s="42"/>
      <c r="BG7" s="42"/>
    </row>
    <row r="8" spans="1:277" ht="32" hidden="1" customHeight="1" outlineLevel="1">
      <c r="A8" s="453">
        <v>1901004</v>
      </c>
      <c r="B8" s="25">
        <v>42007</v>
      </c>
      <c r="C8" s="26" t="s">
        <v>72</v>
      </c>
      <c r="D8" s="26" t="s">
        <v>73</v>
      </c>
      <c r="E8" s="533" t="s">
        <v>74</v>
      </c>
      <c r="F8" s="543" t="s">
        <v>47</v>
      </c>
      <c r="G8" s="47">
        <v>180331</v>
      </c>
      <c r="H8" s="733" t="s">
        <v>191</v>
      </c>
      <c r="I8" s="29" t="s">
        <v>47</v>
      </c>
      <c r="J8" s="30" t="s">
        <v>62</v>
      </c>
      <c r="K8" s="31" t="s">
        <v>50</v>
      </c>
      <c r="L8" s="44">
        <v>253846810</v>
      </c>
      <c r="M8" s="33">
        <v>42356</v>
      </c>
      <c r="N8" s="31" t="s">
        <v>75</v>
      </c>
      <c r="O8" s="26" t="s">
        <v>76</v>
      </c>
      <c r="P8" s="559"/>
      <c r="Q8" s="290"/>
      <c r="R8" s="709">
        <v>0</v>
      </c>
      <c r="S8" s="710">
        <v>0</v>
      </c>
      <c r="T8" s="711">
        <v>0</v>
      </c>
      <c r="U8" s="718">
        <v>0</v>
      </c>
      <c r="V8" s="710">
        <v>0</v>
      </c>
      <c r="W8" s="711">
        <v>0</v>
      </c>
      <c r="X8" s="718">
        <v>0</v>
      </c>
      <c r="Y8" s="710">
        <v>0</v>
      </c>
      <c r="Z8" s="711">
        <v>0</v>
      </c>
      <c r="AA8" s="718">
        <v>0</v>
      </c>
      <c r="AB8" s="723">
        <v>0</v>
      </c>
      <c r="AC8" s="724">
        <v>0</v>
      </c>
      <c r="AD8" s="728">
        <v>0</v>
      </c>
      <c r="AE8" s="728"/>
      <c r="AF8" s="728"/>
      <c r="AG8" s="723">
        <v>0</v>
      </c>
      <c r="AH8" s="724">
        <v>0</v>
      </c>
      <c r="AI8" s="731">
        <v>0</v>
      </c>
      <c r="AJ8" s="731">
        <v>0</v>
      </c>
      <c r="AL8" s="519" t="s">
        <v>78</v>
      </c>
      <c r="AM8" s="48" t="s">
        <v>47</v>
      </c>
      <c r="AN8" s="36">
        <v>0</v>
      </c>
      <c r="AO8" s="26" t="s">
        <v>47</v>
      </c>
      <c r="AP8" s="37">
        <v>0</v>
      </c>
      <c r="AQ8" s="792">
        <f t="shared" si="0"/>
        <v>0</v>
      </c>
      <c r="AR8" s="828"/>
      <c r="AS8" s="812" t="s">
        <v>191</v>
      </c>
      <c r="AT8" s="31" t="s">
        <v>57</v>
      </c>
      <c r="AU8" s="38">
        <v>1</v>
      </c>
      <c r="AV8" s="40"/>
      <c r="AW8" s="46"/>
      <c r="AX8" s="36">
        <v>0</v>
      </c>
      <c r="AY8" s="40"/>
      <c r="AZ8" s="41">
        <v>0</v>
      </c>
      <c r="BA8" s="31" t="s">
        <v>47</v>
      </c>
      <c r="BB8" s="41">
        <v>0</v>
      </c>
      <c r="BC8" s="42"/>
      <c r="BD8" s="42"/>
      <c r="BE8" s="42"/>
      <c r="BF8" s="42"/>
      <c r="BG8" s="42"/>
    </row>
    <row r="9" spans="1:277" ht="20" hidden="1" customHeight="1" outlineLevel="1">
      <c r="A9" s="453">
        <v>1901005</v>
      </c>
      <c r="B9" s="25">
        <v>42011</v>
      </c>
      <c r="C9" s="26" t="s">
        <v>72</v>
      </c>
      <c r="D9" s="26" t="s">
        <v>73</v>
      </c>
      <c r="E9" s="533" t="s">
        <v>79</v>
      </c>
      <c r="F9" s="543" t="s">
        <v>47</v>
      </c>
      <c r="G9" s="28" t="s">
        <v>80</v>
      </c>
      <c r="H9" s="733" t="s">
        <v>191</v>
      </c>
      <c r="I9" s="49">
        <v>190091</v>
      </c>
      <c r="J9" s="30" t="s">
        <v>49</v>
      </c>
      <c r="K9" s="31" t="s">
        <v>50</v>
      </c>
      <c r="L9" s="44">
        <v>609125941</v>
      </c>
      <c r="M9" s="33">
        <v>42013</v>
      </c>
      <c r="N9" s="45"/>
      <c r="O9" s="26" t="s">
        <v>81</v>
      </c>
      <c r="P9" s="559"/>
      <c r="Q9" s="290"/>
      <c r="R9" s="709">
        <v>0</v>
      </c>
      <c r="S9" s="710">
        <v>0</v>
      </c>
      <c r="T9" s="711">
        <v>0</v>
      </c>
      <c r="U9" s="718">
        <v>0</v>
      </c>
      <c r="V9" s="710">
        <v>0</v>
      </c>
      <c r="W9" s="711">
        <v>0</v>
      </c>
      <c r="X9" s="718">
        <v>0</v>
      </c>
      <c r="Y9" s="710">
        <v>0</v>
      </c>
      <c r="Z9" s="711">
        <v>0</v>
      </c>
      <c r="AA9" s="718">
        <v>6</v>
      </c>
      <c r="AB9" s="723">
        <v>0</v>
      </c>
      <c r="AC9" s="724">
        <v>0</v>
      </c>
      <c r="AD9" s="728">
        <v>0</v>
      </c>
      <c r="AE9" s="728"/>
      <c r="AF9" s="728"/>
      <c r="AG9" s="723">
        <v>0</v>
      </c>
      <c r="AH9" s="724">
        <v>0</v>
      </c>
      <c r="AI9" s="731">
        <v>0</v>
      </c>
      <c r="AJ9" s="731">
        <v>0</v>
      </c>
      <c r="AL9" s="519" t="s">
        <v>78</v>
      </c>
      <c r="AM9" s="35">
        <v>190056</v>
      </c>
      <c r="AN9" s="36">
        <v>50.4</v>
      </c>
      <c r="AO9" s="26" t="s">
        <v>83</v>
      </c>
      <c r="AP9" s="37">
        <v>105.6</v>
      </c>
      <c r="AQ9" s="792">
        <f t="shared" si="0"/>
        <v>55.199999999999996</v>
      </c>
      <c r="AR9" s="828"/>
      <c r="AS9" s="812" t="s">
        <v>191</v>
      </c>
      <c r="AT9" s="31" t="s">
        <v>57</v>
      </c>
      <c r="AU9" s="38">
        <v>1</v>
      </c>
      <c r="AV9" s="40"/>
      <c r="AW9" s="46">
        <v>6</v>
      </c>
      <c r="AX9" s="36">
        <v>102</v>
      </c>
      <c r="AY9" s="40">
        <v>12480338</v>
      </c>
      <c r="AZ9" s="41">
        <v>95.18</v>
      </c>
      <c r="BA9" s="31" t="s">
        <v>47</v>
      </c>
      <c r="BB9" s="41">
        <v>0</v>
      </c>
      <c r="BC9" s="42"/>
      <c r="BD9" s="42"/>
      <c r="BE9" s="42"/>
      <c r="BF9" s="42"/>
      <c r="BG9" s="42"/>
    </row>
    <row r="10" spans="1:277" ht="20" hidden="1" customHeight="1" outlineLevel="1">
      <c r="A10" s="453">
        <v>1901006</v>
      </c>
      <c r="B10" s="25">
        <v>42011</v>
      </c>
      <c r="C10" s="26" t="s">
        <v>67</v>
      </c>
      <c r="D10" s="26" t="s">
        <v>84</v>
      </c>
      <c r="E10" s="533" t="s">
        <v>85</v>
      </c>
      <c r="F10" s="543" t="s">
        <v>47</v>
      </c>
      <c r="G10" s="28" t="s">
        <v>86</v>
      </c>
      <c r="H10" s="733" t="s">
        <v>191</v>
      </c>
      <c r="I10" s="49">
        <v>2018</v>
      </c>
      <c r="J10" s="30" t="s">
        <v>62</v>
      </c>
      <c r="K10" s="31" t="s">
        <v>87</v>
      </c>
      <c r="L10" s="399" t="s">
        <v>118</v>
      </c>
      <c r="M10" s="33"/>
      <c r="N10" s="45"/>
      <c r="O10" s="26" t="s">
        <v>88</v>
      </c>
      <c r="P10" s="559"/>
      <c r="Q10" s="290"/>
      <c r="R10" s="709">
        <v>1</v>
      </c>
      <c r="S10" s="710">
        <v>0</v>
      </c>
      <c r="T10" s="711">
        <v>0</v>
      </c>
      <c r="U10" s="718">
        <v>0</v>
      </c>
      <c r="V10" s="710">
        <v>0</v>
      </c>
      <c r="W10" s="711">
        <v>0</v>
      </c>
      <c r="X10" s="718">
        <v>0</v>
      </c>
      <c r="Y10" s="710">
        <v>0</v>
      </c>
      <c r="Z10" s="711">
        <v>0</v>
      </c>
      <c r="AA10" s="718">
        <v>0</v>
      </c>
      <c r="AB10" s="723">
        <v>0</v>
      </c>
      <c r="AC10" s="724">
        <v>0</v>
      </c>
      <c r="AD10" s="728">
        <v>0</v>
      </c>
      <c r="AE10" s="728"/>
      <c r="AF10" s="728"/>
      <c r="AG10" s="723">
        <v>0</v>
      </c>
      <c r="AH10" s="724">
        <v>0</v>
      </c>
      <c r="AI10" s="731">
        <v>0</v>
      </c>
      <c r="AJ10" s="731">
        <v>0</v>
      </c>
      <c r="AL10" s="519" t="s">
        <v>78</v>
      </c>
      <c r="AM10" s="35"/>
      <c r="AN10" s="36">
        <v>8</v>
      </c>
      <c r="AO10" s="252" t="s">
        <v>1855</v>
      </c>
      <c r="AP10" s="37">
        <v>25</v>
      </c>
      <c r="AQ10" s="792">
        <f t="shared" si="0"/>
        <v>17</v>
      </c>
      <c r="AR10" s="828"/>
      <c r="AS10" s="812">
        <v>42061</v>
      </c>
      <c r="AT10" s="31" t="s">
        <v>57</v>
      </c>
      <c r="AU10" s="40"/>
      <c r="AV10" s="40"/>
      <c r="AW10" s="46"/>
      <c r="AX10" s="36"/>
      <c r="AY10" s="40"/>
      <c r="AZ10" s="41"/>
      <c r="BA10" s="31" t="s">
        <v>47</v>
      </c>
      <c r="BB10" s="41">
        <v>0</v>
      </c>
      <c r="BC10" s="42"/>
      <c r="BD10" s="42"/>
      <c r="BE10" s="42"/>
      <c r="BF10" s="42"/>
      <c r="BG10" s="42"/>
    </row>
    <row r="11" spans="1:277" ht="20" hidden="1" customHeight="1" outlineLevel="1">
      <c r="A11" s="734">
        <v>1901007</v>
      </c>
      <c r="B11" s="25">
        <v>42012</v>
      </c>
      <c r="C11" s="26" t="s">
        <v>72</v>
      </c>
      <c r="D11" s="26" t="s">
        <v>45</v>
      </c>
      <c r="E11" s="533" t="s">
        <v>89</v>
      </c>
      <c r="F11" s="543" t="s">
        <v>47</v>
      </c>
      <c r="G11" s="28" t="s">
        <v>47</v>
      </c>
      <c r="H11" s="733" t="s">
        <v>191</v>
      </c>
      <c r="I11" s="29" t="s">
        <v>47</v>
      </c>
      <c r="J11" s="30" t="s">
        <v>62</v>
      </c>
      <c r="K11" s="31" t="s">
        <v>87</v>
      </c>
      <c r="L11" s="399" t="s">
        <v>118</v>
      </c>
      <c r="M11" s="33">
        <v>42013</v>
      </c>
      <c r="N11" s="31" t="s">
        <v>90</v>
      </c>
      <c r="O11" s="26" t="s">
        <v>91</v>
      </c>
      <c r="P11" s="559"/>
      <c r="Q11" s="290"/>
      <c r="R11" s="709">
        <v>0</v>
      </c>
      <c r="S11" s="710">
        <v>0</v>
      </c>
      <c r="T11" s="711">
        <v>0</v>
      </c>
      <c r="U11" s="718">
        <v>51</v>
      </c>
      <c r="V11" s="710">
        <v>0</v>
      </c>
      <c r="W11" s="711">
        <v>0</v>
      </c>
      <c r="X11" s="718">
        <v>0</v>
      </c>
      <c r="Y11" s="710">
        <v>0</v>
      </c>
      <c r="Z11" s="711">
        <v>0</v>
      </c>
      <c r="AA11" s="718">
        <v>0</v>
      </c>
      <c r="AB11" s="723">
        <v>0</v>
      </c>
      <c r="AC11" s="724">
        <v>0</v>
      </c>
      <c r="AD11" s="728">
        <v>0</v>
      </c>
      <c r="AE11" s="728"/>
      <c r="AF11" s="728"/>
      <c r="AG11" s="723">
        <v>0</v>
      </c>
      <c r="AH11" s="724">
        <v>0</v>
      </c>
      <c r="AI11" s="731">
        <v>0</v>
      </c>
      <c r="AJ11" s="731">
        <v>0</v>
      </c>
      <c r="AL11" s="519" t="s">
        <v>55</v>
      </c>
      <c r="AM11" s="35"/>
      <c r="AN11" s="36"/>
      <c r="AO11" s="26" t="s">
        <v>93</v>
      </c>
      <c r="AP11" s="37">
        <v>648.79999999999995</v>
      </c>
      <c r="AQ11" s="792">
        <f t="shared" si="0"/>
        <v>648.79999999999995</v>
      </c>
      <c r="AR11" s="828"/>
      <c r="AS11" s="812"/>
      <c r="AT11" s="31" t="s">
        <v>94</v>
      </c>
      <c r="AU11" s="38">
        <v>1</v>
      </c>
      <c r="AV11" s="26" t="s">
        <v>47</v>
      </c>
      <c r="AW11" s="39" t="s">
        <v>47</v>
      </c>
      <c r="AX11" s="36"/>
      <c r="AY11" s="40"/>
      <c r="AZ11" s="41"/>
      <c r="BA11" s="31" t="s">
        <v>47</v>
      </c>
      <c r="BB11" s="41">
        <v>0</v>
      </c>
      <c r="BC11" s="42"/>
      <c r="BD11" s="42"/>
      <c r="BE11" s="42"/>
      <c r="BF11" s="42"/>
      <c r="BG11" s="42"/>
    </row>
    <row r="12" spans="1:277" ht="20" hidden="1" customHeight="1" outlineLevel="1">
      <c r="A12" s="453">
        <v>1901008</v>
      </c>
      <c r="B12" s="25">
        <v>42012</v>
      </c>
      <c r="C12" s="26" t="s">
        <v>95</v>
      </c>
      <c r="D12" s="26" t="s">
        <v>96</v>
      </c>
      <c r="E12" s="533" t="s">
        <v>60</v>
      </c>
      <c r="F12" s="543" t="s">
        <v>47</v>
      </c>
      <c r="G12" s="28" t="s">
        <v>47</v>
      </c>
      <c r="H12" s="733" t="s">
        <v>191</v>
      </c>
      <c r="I12" s="29" t="s">
        <v>47</v>
      </c>
      <c r="J12" s="30" t="s">
        <v>62</v>
      </c>
      <c r="K12" s="31" t="s">
        <v>50</v>
      </c>
      <c r="L12" s="44">
        <v>611599590</v>
      </c>
      <c r="M12" s="33">
        <v>42018</v>
      </c>
      <c r="N12" s="45"/>
      <c r="O12" s="26" t="s">
        <v>97</v>
      </c>
      <c r="P12" s="559"/>
      <c r="Q12" s="290"/>
      <c r="R12" s="709">
        <v>0</v>
      </c>
      <c r="S12" s="710">
        <v>0</v>
      </c>
      <c r="T12" s="711">
        <v>0</v>
      </c>
      <c r="U12" s="718">
        <v>0</v>
      </c>
      <c r="V12" s="710">
        <v>0</v>
      </c>
      <c r="W12" s="711">
        <v>0</v>
      </c>
      <c r="X12" s="718">
        <v>0</v>
      </c>
      <c r="Y12" s="710">
        <v>0</v>
      </c>
      <c r="Z12" s="711">
        <v>0</v>
      </c>
      <c r="AA12" s="718">
        <v>0</v>
      </c>
      <c r="AB12" s="723">
        <v>0</v>
      </c>
      <c r="AC12" s="724">
        <v>0</v>
      </c>
      <c r="AD12" s="728">
        <v>0</v>
      </c>
      <c r="AE12" s="728"/>
      <c r="AF12" s="728"/>
      <c r="AG12" s="723">
        <v>0</v>
      </c>
      <c r="AH12" s="724">
        <v>4</v>
      </c>
      <c r="AI12" s="731">
        <v>0</v>
      </c>
      <c r="AJ12" s="731">
        <v>0</v>
      </c>
      <c r="AL12" s="519" t="s">
        <v>47</v>
      </c>
      <c r="AM12" s="48" t="s">
        <v>47</v>
      </c>
      <c r="AN12" s="36">
        <v>0</v>
      </c>
      <c r="AO12" s="26" t="s">
        <v>47</v>
      </c>
      <c r="AP12" s="37">
        <v>0</v>
      </c>
      <c r="AQ12" s="792">
        <f t="shared" si="0"/>
        <v>0</v>
      </c>
      <c r="AR12" s="828"/>
      <c r="AS12" s="812" t="s">
        <v>47</v>
      </c>
      <c r="AT12" s="31" t="s">
        <v>57</v>
      </c>
      <c r="AU12" s="38">
        <v>1</v>
      </c>
      <c r="AV12" s="26" t="s">
        <v>98</v>
      </c>
      <c r="AW12" s="46">
        <v>0.5</v>
      </c>
      <c r="AX12" s="36"/>
      <c r="AY12" s="40"/>
      <c r="AZ12" s="41"/>
      <c r="BA12" s="31" t="s">
        <v>47</v>
      </c>
      <c r="BB12" s="41">
        <v>0</v>
      </c>
      <c r="BC12" s="42"/>
      <c r="BD12" s="42"/>
      <c r="BE12" s="42"/>
      <c r="BF12" s="42"/>
      <c r="BG12" s="42"/>
    </row>
    <row r="13" spans="1:277" ht="20" hidden="1" customHeight="1" outlineLevel="1">
      <c r="A13" s="453">
        <v>1901009</v>
      </c>
      <c r="B13" s="25">
        <v>42012</v>
      </c>
      <c r="C13" s="26" t="s">
        <v>72</v>
      </c>
      <c r="D13" s="26" t="s">
        <v>96</v>
      </c>
      <c r="E13" s="533" t="s">
        <v>89</v>
      </c>
      <c r="F13" s="543" t="s">
        <v>47</v>
      </c>
      <c r="G13" s="47">
        <v>180325</v>
      </c>
      <c r="H13" s="733" t="s">
        <v>191</v>
      </c>
      <c r="I13" s="49">
        <v>190150</v>
      </c>
      <c r="J13" s="30" t="s">
        <v>62</v>
      </c>
      <c r="K13" s="31" t="s">
        <v>50</v>
      </c>
      <c r="L13" s="44">
        <v>313493401</v>
      </c>
      <c r="M13" s="33"/>
      <c r="N13" s="31" t="s">
        <v>99</v>
      </c>
      <c r="O13" s="26" t="s">
        <v>100</v>
      </c>
      <c r="P13" s="559"/>
      <c r="Q13" s="290"/>
      <c r="R13" s="709">
        <v>0</v>
      </c>
      <c r="S13" s="710">
        <v>0</v>
      </c>
      <c r="T13" s="711">
        <v>0</v>
      </c>
      <c r="U13" s="718">
        <v>0</v>
      </c>
      <c r="V13" s="710">
        <v>0</v>
      </c>
      <c r="W13" s="711">
        <v>0</v>
      </c>
      <c r="X13" s="718">
        <v>0</v>
      </c>
      <c r="Y13" s="710">
        <v>0</v>
      </c>
      <c r="Z13" s="711">
        <v>0</v>
      </c>
      <c r="AA13" s="718">
        <v>0</v>
      </c>
      <c r="AB13" s="723">
        <v>0</v>
      </c>
      <c r="AC13" s="724">
        <v>0</v>
      </c>
      <c r="AD13" s="728">
        <v>0</v>
      </c>
      <c r="AE13" s="728"/>
      <c r="AF13" s="728"/>
      <c r="AG13" s="723">
        <v>0</v>
      </c>
      <c r="AH13" s="724">
        <v>0</v>
      </c>
      <c r="AI13" s="731">
        <v>0</v>
      </c>
      <c r="AJ13" s="731">
        <v>0</v>
      </c>
      <c r="AL13" s="519" t="s">
        <v>55</v>
      </c>
      <c r="AM13" s="35"/>
      <c r="AN13" s="36"/>
      <c r="AO13" s="26" t="s">
        <v>93</v>
      </c>
      <c r="AP13" s="37">
        <f>646.8-15.6</f>
        <v>631.19999999999993</v>
      </c>
      <c r="AQ13" s="792">
        <f t="shared" si="0"/>
        <v>631.19999999999993</v>
      </c>
      <c r="AR13" s="828"/>
      <c r="AS13" s="812"/>
      <c r="AT13" s="31" t="s">
        <v>57</v>
      </c>
      <c r="AU13" s="38">
        <v>5</v>
      </c>
      <c r="AV13" s="40"/>
      <c r="AW13" s="46">
        <v>51</v>
      </c>
      <c r="AX13" s="36"/>
      <c r="AY13" s="40"/>
      <c r="AZ13" s="41"/>
      <c r="BA13" s="31" t="s">
        <v>47</v>
      </c>
      <c r="BB13" s="41">
        <v>0</v>
      </c>
      <c r="BC13" s="42"/>
      <c r="BD13" s="42"/>
      <c r="BE13" s="42"/>
      <c r="BF13" s="42"/>
      <c r="BG13" s="42"/>
    </row>
    <row r="14" spans="1:277" ht="44" hidden="1" customHeight="1" outlineLevel="1">
      <c r="A14" s="453">
        <v>1901010</v>
      </c>
      <c r="B14" s="25">
        <v>42013</v>
      </c>
      <c r="C14" s="26" t="s">
        <v>72</v>
      </c>
      <c r="D14" s="26" t="s">
        <v>73</v>
      </c>
      <c r="E14" s="533" t="s">
        <v>101</v>
      </c>
      <c r="F14" s="543" t="s">
        <v>47</v>
      </c>
      <c r="G14" s="28" t="s">
        <v>102</v>
      </c>
      <c r="H14" s="733" t="s">
        <v>191</v>
      </c>
      <c r="I14" s="49">
        <v>190430</v>
      </c>
      <c r="J14" s="30" t="s">
        <v>49</v>
      </c>
      <c r="K14" s="31" t="s">
        <v>50</v>
      </c>
      <c r="L14" s="44">
        <v>630946433</v>
      </c>
      <c r="M14" s="27" t="s">
        <v>103</v>
      </c>
      <c r="N14" s="31" t="s">
        <v>104</v>
      </c>
      <c r="O14" s="26" t="s">
        <v>105</v>
      </c>
      <c r="P14" s="559"/>
      <c r="Q14" s="290"/>
      <c r="R14" s="709">
        <v>0</v>
      </c>
      <c r="S14" s="710">
        <v>0</v>
      </c>
      <c r="T14" s="711">
        <v>0</v>
      </c>
      <c r="U14" s="718">
        <v>1</v>
      </c>
      <c r="V14" s="710">
        <v>0</v>
      </c>
      <c r="W14" s="711">
        <v>0</v>
      </c>
      <c r="X14" s="718">
        <v>20</v>
      </c>
      <c r="Y14" s="710">
        <v>0</v>
      </c>
      <c r="Z14" s="711">
        <v>0</v>
      </c>
      <c r="AA14" s="718">
        <v>0</v>
      </c>
      <c r="AB14" s="723">
        <v>0</v>
      </c>
      <c r="AC14" s="724">
        <v>0</v>
      </c>
      <c r="AD14" s="728">
        <v>0</v>
      </c>
      <c r="AE14" s="728"/>
      <c r="AF14" s="728"/>
      <c r="AG14" s="723">
        <v>0</v>
      </c>
      <c r="AH14" s="724">
        <v>0</v>
      </c>
      <c r="AI14" s="731">
        <v>0</v>
      </c>
      <c r="AJ14" s="731">
        <v>0</v>
      </c>
      <c r="AL14" s="519" t="s">
        <v>78</v>
      </c>
      <c r="AM14" s="51">
        <v>190305</v>
      </c>
      <c r="AN14" s="36">
        <v>222.75</v>
      </c>
      <c r="AO14" s="26" t="s">
        <v>106</v>
      </c>
      <c r="AP14" s="37">
        <f>500.7-35</f>
        <v>465.7</v>
      </c>
      <c r="AQ14" s="792">
        <f t="shared" si="0"/>
        <v>242.95</v>
      </c>
      <c r="AR14" s="828"/>
      <c r="AS14" s="812">
        <v>42076</v>
      </c>
      <c r="AT14" s="31" t="s">
        <v>57</v>
      </c>
      <c r="AU14" s="40"/>
      <c r="AV14" s="40"/>
      <c r="AW14" s="46">
        <v>17</v>
      </c>
      <c r="AX14" s="36">
        <v>38</v>
      </c>
      <c r="AY14" s="38">
        <v>12525055</v>
      </c>
      <c r="AZ14" s="41">
        <v>34.880000000000003</v>
      </c>
      <c r="BA14" s="31" t="s">
        <v>47</v>
      </c>
      <c r="BB14" s="41">
        <v>0</v>
      </c>
      <c r="BC14" s="42"/>
      <c r="BD14" s="42"/>
      <c r="BE14" s="42"/>
      <c r="BF14" s="42"/>
      <c r="BG14" s="42"/>
    </row>
    <row r="15" spans="1:277" ht="20" hidden="1" customHeight="1" outlineLevel="1">
      <c r="A15" s="453">
        <v>1901011</v>
      </c>
      <c r="B15" s="25">
        <v>42017</v>
      </c>
      <c r="C15" s="26" t="s">
        <v>59</v>
      </c>
      <c r="D15" s="26" t="s">
        <v>47</v>
      </c>
      <c r="E15" s="533" t="s">
        <v>60</v>
      </c>
      <c r="F15" s="543" t="s">
        <v>47</v>
      </c>
      <c r="G15" s="28" t="s">
        <v>107</v>
      </c>
      <c r="H15" s="733" t="s">
        <v>191</v>
      </c>
      <c r="I15" s="49">
        <v>190328</v>
      </c>
      <c r="J15" s="30" t="s">
        <v>49</v>
      </c>
      <c r="K15" s="31" t="s">
        <v>50</v>
      </c>
      <c r="L15" s="44">
        <v>623066231</v>
      </c>
      <c r="M15" s="27" t="s">
        <v>108</v>
      </c>
      <c r="N15" s="31" t="s">
        <v>59</v>
      </c>
      <c r="O15" s="26" t="s">
        <v>109</v>
      </c>
      <c r="P15" s="559"/>
      <c r="Q15" s="290"/>
      <c r="R15" s="709">
        <v>0</v>
      </c>
      <c r="S15" s="710">
        <v>0</v>
      </c>
      <c r="T15" s="711">
        <v>0</v>
      </c>
      <c r="U15" s="718">
        <v>0</v>
      </c>
      <c r="V15" s="710">
        <v>0</v>
      </c>
      <c r="W15" s="711">
        <v>0</v>
      </c>
      <c r="X15" s="718">
        <v>0</v>
      </c>
      <c r="Y15" s="710">
        <v>0</v>
      </c>
      <c r="Z15" s="711">
        <v>0</v>
      </c>
      <c r="AA15" s="718">
        <v>0</v>
      </c>
      <c r="AB15" s="723">
        <v>0</v>
      </c>
      <c r="AC15" s="724">
        <v>0</v>
      </c>
      <c r="AD15" s="728">
        <v>1</v>
      </c>
      <c r="AE15" s="728"/>
      <c r="AF15" s="728"/>
      <c r="AG15" s="723">
        <v>0</v>
      </c>
      <c r="AH15" s="724">
        <v>0</v>
      </c>
      <c r="AI15" s="731">
        <v>0</v>
      </c>
      <c r="AJ15" s="731">
        <v>0</v>
      </c>
      <c r="AL15" s="519" t="s">
        <v>65</v>
      </c>
      <c r="AM15" s="51">
        <v>190211</v>
      </c>
      <c r="AN15" s="36">
        <v>85.5</v>
      </c>
      <c r="AO15" s="26" t="s">
        <v>47</v>
      </c>
      <c r="AP15" s="37">
        <v>0</v>
      </c>
      <c r="AQ15" s="792">
        <f t="shared" si="0"/>
        <v>-85.5</v>
      </c>
      <c r="AR15" s="828"/>
      <c r="AS15" s="812" t="s">
        <v>47</v>
      </c>
      <c r="AT15" s="31" t="s">
        <v>57</v>
      </c>
      <c r="AU15" s="38">
        <v>1</v>
      </c>
      <c r="AV15" s="40"/>
      <c r="AW15" s="46"/>
      <c r="AX15" s="36"/>
      <c r="AY15" s="38">
        <v>12507631</v>
      </c>
      <c r="AZ15" s="41">
        <v>7.25</v>
      </c>
      <c r="BA15" s="31" t="s">
        <v>47</v>
      </c>
      <c r="BB15" s="41">
        <v>0</v>
      </c>
      <c r="BC15" s="42"/>
      <c r="BD15" s="42"/>
      <c r="BE15" s="42"/>
      <c r="BF15" s="42"/>
      <c r="BG15" s="42"/>
    </row>
    <row r="16" spans="1:277" ht="20" hidden="1" customHeight="1" outlineLevel="1">
      <c r="A16" s="453">
        <v>1901012</v>
      </c>
      <c r="B16" s="25">
        <v>42017</v>
      </c>
      <c r="C16" s="26" t="s">
        <v>67</v>
      </c>
      <c r="D16" s="26" t="s">
        <v>73</v>
      </c>
      <c r="E16" s="533" t="s">
        <v>60</v>
      </c>
      <c r="F16" s="543" t="s">
        <v>47</v>
      </c>
      <c r="G16" s="28" t="s">
        <v>110</v>
      </c>
      <c r="H16" s="733" t="s">
        <v>191</v>
      </c>
      <c r="I16" s="49">
        <v>190329</v>
      </c>
      <c r="J16" s="30" t="s">
        <v>49</v>
      </c>
      <c r="K16" s="31" t="s">
        <v>50</v>
      </c>
      <c r="L16" s="44">
        <v>622002382</v>
      </c>
      <c r="M16" s="27" t="s">
        <v>108</v>
      </c>
      <c r="N16" s="31" t="s">
        <v>111</v>
      </c>
      <c r="O16" s="26" t="s">
        <v>112</v>
      </c>
      <c r="P16" s="559"/>
      <c r="Q16" s="290"/>
      <c r="R16" s="709">
        <v>0</v>
      </c>
      <c r="S16" s="710">
        <v>0</v>
      </c>
      <c r="T16" s="711">
        <v>0</v>
      </c>
      <c r="U16" s="718">
        <v>0</v>
      </c>
      <c r="V16" s="710">
        <v>0</v>
      </c>
      <c r="W16" s="711">
        <v>0</v>
      </c>
      <c r="X16" s="718">
        <v>0</v>
      </c>
      <c r="Y16" s="710">
        <v>0</v>
      </c>
      <c r="Z16" s="711">
        <v>0</v>
      </c>
      <c r="AA16" s="718">
        <v>0</v>
      </c>
      <c r="AB16" s="723">
        <v>0</v>
      </c>
      <c r="AC16" s="724">
        <v>0</v>
      </c>
      <c r="AD16" s="728">
        <v>0</v>
      </c>
      <c r="AE16" s="728"/>
      <c r="AF16" s="728"/>
      <c r="AG16" s="723">
        <v>0</v>
      </c>
      <c r="AH16" s="724">
        <v>0</v>
      </c>
      <c r="AI16" s="731">
        <v>1</v>
      </c>
      <c r="AJ16" s="731">
        <v>0</v>
      </c>
      <c r="AL16" s="519" t="s">
        <v>71</v>
      </c>
      <c r="AM16" s="51">
        <v>190190</v>
      </c>
      <c r="AN16" s="36">
        <f>35.39/1.21</f>
        <v>29.24793388429752</v>
      </c>
      <c r="AO16" s="26" t="s">
        <v>114</v>
      </c>
      <c r="AP16" s="37">
        <v>122.9</v>
      </c>
      <c r="AQ16" s="792">
        <f t="shared" si="0"/>
        <v>93.652066115702482</v>
      </c>
      <c r="AR16" s="828"/>
      <c r="AS16" s="812" t="s">
        <v>191</v>
      </c>
      <c r="AT16" s="31" t="s">
        <v>66</v>
      </c>
      <c r="AU16" s="38">
        <v>1</v>
      </c>
      <c r="AV16" s="40"/>
      <c r="AW16" s="46"/>
      <c r="AX16" s="36"/>
      <c r="AY16" s="38">
        <v>12507631</v>
      </c>
      <c r="AZ16" s="41">
        <v>7.25</v>
      </c>
      <c r="BA16" s="31" t="s">
        <v>115</v>
      </c>
      <c r="BB16" s="41">
        <f>AQ16/2</f>
        <v>46.826033057851241</v>
      </c>
      <c r="BC16" s="42"/>
      <c r="BD16" s="42"/>
      <c r="BE16" s="42"/>
      <c r="BF16" s="42"/>
      <c r="BG16" s="42"/>
    </row>
    <row r="17" spans="1:59" ht="32" hidden="1" customHeight="1" outlineLevel="1">
      <c r="A17" s="453">
        <v>1901013</v>
      </c>
      <c r="B17" s="25">
        <v>42018</v>
      </c>
      <c r="C17" s="26" t="s">
        <v>67</v>
      </c>
      <c r="D17" s="26" t="s">
        <v>84</v>
      </c>
      <c r="E17" s="533" t="s">
        <v>116</v>
      </c>
      <c r="F17" s="543" t="s">
        <v>47</v>
      </c>
      <c r="G17" s="28" t="s">
        <v>117</v>
      </c>
      <c r="H17" s="733" t="s">
        <v>191</v>
      </c>
      <c r="I17" s="49">
        <v>190247</v>
      </c>
      <c r="J17" s="30" t="s">
        <v>49</v>
      </c>
      <c r="K17" s="31" t="s">
        <v>118</v>
      </c>
      <c r="L17" s="32" t="s">
        <v>119</v>
      </c>
      <c r="M17" s="33">
        <v>42025</v>
      </c>
      <c r="N17" s="31" t="s">
        <v>120</v>
      </c>
      <c r="O17" s="26" t="s">
        <v>121</v>
      </c>
      <c r="P17" s="559"/>
      <c r="Q17" s="290"/>
      <c r="R17" s="709">
        <v>0</v>
      </c>
      <c r="S17" s="710">
        <v>0</v>
      </c>
      <c r="T17" s="711">
        <v>0</v>
      </c>
      <c r="U17" s="718">
        <v>1</v>
      </c>
      <c r="V17" s="710">
        <v>0</v>
      </c>
      <c r="W17" s="711">
        <v>0</v>
      </c>
      <c r="X17" s="718">
        <v>0</v>
      </c>
      <c r="Y17" s="710">
        <v>0</v>
      </c>
      <c r="Z17" s="711">
        <v>0</v>
      </c>
      <c r="AA17" s="718">
        <v>0</v>
      </c>
      <c r="AB17" s="723">
        <v>0</v>
      </c>
      <c r="AC17" s="724">
        <v>0</v>
      </c>
      <c r="AD17" s="728">
        <v>0</v>
      </c>
      <c r="AE17" s="728"/>
      <c r="AF17" s="728"/>
      <c r="AG17" s="723">
        <v>0</v>
      </c>
      <c r="AH17" s="724">
        <v>0</v>
      </c>
      <c r="AI17" s="731">
        <v>0</v>
      </c>
      <c r="AJ17" s="731">
        <v>0</v>
      </c>
      <c r="AL17" s="519" t="s">
        <v>71</v>
      </c>
      <c r="AM17" s="51">
        <v>190171</v>
      </c>
      <c r="AN17" s="36">
        <f>113.49/1.21</f>
        <v>93.793388429752071</v>
      </c>
      <c r="AO17" s="26" t="s">
        <v>122</v>
      </c>
      <c r="AP17" s="37">
        <v>266</v>
      </c>
      <c r="AQ17" s="792">
        <f t="shared" si="0"/>
        <v>172.20661157024793</v>
      </c>
      <c r="AR17" s="828"/>
      <c r="AS17" s="812"/>
      <c r="AT17" s="31" t="s">
        <v>57</v>
      </c>
      <c r="AU17" s="38">
        <v>1</v>
      </c>
      <c r="AV17" s="26" t="s">
        <v>123</v>
      </c>
      <c r="AW17" s="39" t="s">
        <v>124</v>
      </c>
      <c r="AX17" s="26" t="s">
        <v>47</v>
      </c>
      <c r="AY17" s="26" t="s">
        <v>125</v>
      </c>
      <c r="AZ17" s="41">
        <v>0</v>
      </c>
      <c r="BA17" s="31" t="s">
        <v>47</v>
      </c>
      <c r="BB17" s="41">
        <v>0</v>
      </c>
      <c r="BC17" s="42"/>
      <c r="BD17" s="42"/>
      <c r="BE17" s="42"/>
      <c r="BF17" s="42"/>
      <c r="BG17" s="42"/>
    </row>
    <row r="18" spans="1:59" ht="41" hidden="1" customHeight="1" outlineLevel="1">
      <c r="A18" s="453">
        <v>1901014</v>
      </c>
      <c r="B18" s="25">
        <v>42018</v>
      </c>
      <c r="C18" s="26" t="s">
        <v>72</v>
      </c>
      <c r="D18" s="26" t="s">
        <v>73</v>
      </c>
      <c r="E18" s="533" t="s">
        <v>101</v>
      </c>
      <c r="F18" s="543" t="s">
        <v>47</v>
      </c>
      <c r="G18" s="28" t="s">
        <v>126</v>
      </c>
      <c r="H18" s="733" t="s">
        <v>191</v>
      </c>
      <c r="I18" s="49">
        <v>190402</v>
      </c>
      <c r="J18" s="30" t="s">
        <v>49</v>
      </c>
      <c r="K18" s="31" t="s">
        <v>87</v>
      </c>
      <c r="L18" s="44">
        <v>774423506325</v>
      </c>
      <c r="M18" s="27" t="s">
        <v>127</v>
      </c>
      <c r="N18" s="31" t="s">
        <v>104</v>
      </c>
      <c r="O18" s="26" t="s">
        <v>128</v>
      </c>
      <c r="P18" s="559"/>
      <c r="Q18" s="290"/>
      <c r="R18" s="709">
        <v>0</v>
      </c>
      <c r="S18" s="710">
        <v>0</v>
      </c>
      <c r="T18" s="711">
        <v>0</v>
      </c>
      <c r="U18" s="718">
        <v>2</v>
      </c>
      <c r="V18" s="710">
        <v>0</v>
      </c>
      <c r="W18" s="711">
        <v>0</v>
      </c>
      <c r="X18" s="718">
        <v>0</v>
      </c>
      <c r="Y18" s="710">
        <v>0</v>
      </c>
      <c r="Z18" s="711">
        <v>0</v>
      </c>
      <c r="AA18" s="718">
        <v>0</v>
      </c>
      <c r="AB18" s="723">
        <v>0</v>
      </c>
      <c r="AC18" s="724">
        <v>0</v>
      </c>
      <c r="AD18" s="728">
        <v>0</v>
      </c>
      <c r="AE18" s="728"/>
      <c r="AF18" s="728"/>
      <c r="AG18" s="723">
        <v>0</v>
      </c>
      <c r="AH18" s="724">
        <v>0</v>
      </c>
      <c r="AI18" s="731">
        <v>0</v>
      </c>
      <c r="AJ18" s="731">
        <v>0</v>
      </c>
      <c r="AL18" s="519" t="s">
        <v>78</v>
      </c>
      <c r="AM18" s="51">
        <v>190305</v>
      </c>
      <c r="AN18" s="36">
        <v>222.75</v>
      </c>
      <c r="AO18" s="26" t="s">
        <v>129</v>
      </c>
      <c r="AP18" s="37">
        <v>450.44</v>
      </c>
      <c r="AQ18" s="792">
        <f t="shared" si="0"/>
        <v>227.69</v>
      </c>
      <c r="AR18" s="828"/>
      <c r="AS18" s="812">
        <v>42083</v>
      </c>
      <c r="AT18" s="31" t="s">
        <v>66</v>
      </c>
      <c r="AU18" s="40"/>
      <c r="AV18" s="40"/>
      <c r="AW18" s="46"/>
      <c r="AX18" s="36"/>
      <c r="AY18" s="40"/>
      <c r="AZ18" s="41"/>
      <c r="BA18" s="31" t="s">
        <v>47</v>
      </c>
      <c r="BB18" s="41">
        <v>0</v>
      </c>
      <c r="BC18" s="42"/>
      <c r="BD18" s="42"/>
      <c r="BE18" s="42"/>
      <c r="BF18" s="42"/>
      <c r="BG18" s="42"/>
    </row>
    <row r="19" spans="1:59" ht="20" hidden="1" customHeight="1" outlineLevel="1">
      <c r="A19" s="453">
        <v>1901015</v>
      </c>
      <c r="B19" s="25">
        <v>42018</v>
      </c>
      <c r="C19" s="26" t="s">
        <v>72</v>
      </c>
      <c r="D19" s="26" t="s">
        <v>96</v>
      </c>
      <c r="E19" s="533" t="s">
        <v>60</v>
      </c>
      <c r="F19" s="543" t="s">
        <v>47</v>
      </c>
      <c r="G19" s="28" t="s">
        <v>130</v>
      </c>
      <c r="H19" s="733" t="s">
        <v>191</v>
      </c>
      <c r="I19" s="49">
        <v>190166</v>
      </c>
      <c r="J19" s="30" t="s">
        <v>62</v>
      </c>
      <c r="K19" s="31" t="s">
        <v>50</v>
      </c>
      <c r="L19" s="44">
        <v>613322043</v>
      </c>
      <c r="M19" s="33">
        <v>42019</v>
      </c>
      <c r="N19" s="31" t="s">
        <v>131</v>
      </c>
      <c r="O19" s="26" t="s">
        <v>132</v>
      </c>
      <c r="P19" s="559"/>
      <c r="Q19" s="290"/>
      <c r="R19" s="709">
        <v>4</v>
      </c>
      <c r="S19" s="710">
        <v>0</v>
      </c>
      <c r="T19" s="711">
        <v>0</v>
      </c>
      <c r="U19" s="718">
        <v>0</v>
      </c>
      <c r="V19" s="710">
        <v>0</v>
      </c>
      <c r="W19" s="711">
        <v>0</v>
      </c>
      <c r="X19" s="718">
        <v>0</v>
      </c>
      <c r="Y19" s="710">
        <v>0</v>
      </c>
      <c r="Z19" s="711">
        <v>0</v>
      </c>
      <c r="AA19" s="718">
        <v>0</v>
      </c>
      <c r="AB19" s="723">
        <v>0</v>
      </c>
      <c r="AC19" s="724">
        <v>0</v>
      </c>
      <c r="AD19" s="728">
        <v>0</v>
      </c>
      <c r="AE19" s="728"/>
      <c r="AF19" s="728"/>
      <c r="AG19" s="723">
        <v>0</v>
      </c>
      <c r="AH19" s="724">
        <v>0</v>
      </c>
      <c r="AI19" s="731">
        <v>0</v>
      </c>
      <c r="AJ19" s="731">
        <v>0</v>
      </c>
      <c r="AL19" s="519" t="s">
        <v>133</v>
      </c>
      <c r="AM19" s="51">
        <v>190099</v>
      </c>
      <c r="AN19" s="36">
        <f>38.72/1.21</f>
        <v>32</v>
      </c>
      <c r="AO19" s="26" t="s">
        <v>134</v>
      </c>
      <c r="AP19" s="37">
        <v>137.19999999999999</v>
      </c>
      <c r="AQ19" s="792">
        <f t="shared" si="0"/>
        <v>105.19999999999999</v>
      </c>
      <c r="AR19" s="828"/>
      <c r="AS19" s="812" t="s">
        <v>191</v>
      </c>
      <c r="AT19" s="31" t="s">
        <v>57</v>
      </c>
      <c r="AU19" s="38">
        <v>1</v>
      </c>
      <c r="AV19" s="26" t="s">
        <v>135</v>
      </c>
      <c r="AW19" s="46">
        <v>3</v>
      </c>
      <c r="AX19" s="36">
        <v>8</v>
      </c>
      <c r="AY19" s="40"/>
      <c r="AZ19" s="41">
        <v>7.28</v>
      </c>
      <c r="BA19" s="31" t="s">
        <v>136</v>
      </c>
      <c r="BB19" s="41">
        <f>AP19*15%</f>
        <v>20.58</v>
      </c>
      <c r="BC19" s="42"/>
      <c r="BD19" s="42"/>
      <c r="BE19" s="42"/>
      <c r="BF19" s="42"/>
      <c r="BG19" s="42"/>
    </row>
    <row r="20" spans="1:59" ht="20" hidden="1" customHeight="1" outlineLevel="1">
      <c r="A20" s="453">
        <v>1901016</v>
      </c>
      <c r="B20" s="25">
        <v>42018</v>
      </c>
      <c r="C20" s="26" t="s">
        <v>67</v>
      </c>
      <c r="D20" s="26" t="s">
        <v>96</v>
      </c>
      <c r="E20" s="533" t="s">
        <v>69</v>
      </c>
      <c r="F20" s="543" t="s">
        <v>47</v>
      </c>
      <c r="G20" s="28" t="s">
        <v>137</v>
      </c>
      <c r="H20" s="733" t="s">
        <v>191</v>
      </c>
      <c r="I20" s="49">
        <v>190176</v>
      </c>
      <c r="J20" s="30" t="s">
        <v>62</v>
      </c>
      <c r="K20" s="31" t="s">
        <v>50</v>
      </c>
      <c r="L20" s="44">
        <v>613503995</v>
      </c>
      <c r="M20" s="33">
        <v>42019</v>
      </c>
      <c r="N20" s="31" t="s">
        <v>138</v>
      </c>
      <c r="O20" s="26" t="s">
        <v>139</v>
      </c>
      <c r="P20" s="559"/>
      <c r="Q20" s="290"/>
      <c r="R20" s="709">
        <v>3</v>
      </c>
      <c r="S20" s="710">
        <v>0</v>
      </c>
      <c r="T20" s="711">
        <v>0</v>
      </c>
      <c r="U20" s="718">
        <v>0</v>
      </c>
      <c r="V20" s="710">
        <v>0</v>
      </c>
      <c r="W20" s="711">
        <v>0</v>
      </c>
      <c r="X20" s="718">
        <v>0</v>
      </c>
      <c r="Y20" s="710">
        <v>0</v>
      </c>
      <c r="Z20" s="711">
        <v>0</v>
      </c>
      <c r="AA20" s="718">
        <v>0</v>
      </c>
      <c r="AB20" s="723">
        <v>0</v>
      </c>
      <c r="AC20" s="724">
        <v>0</v>
      </c>
      <c r="AD20" s="728">
        <v>0</v>
      </c>
      <c r="AE20" s="728"/>
      <c r="AF20" s="728"/>
      <c r="AG20" s="723">
        <v>0</v>
      </c>
      <c r="AH20" s="724">
        <v>0</v>
      </c>
      <c r="AI20" s="731">
        <v>0</v>
      </c>
      <c r="AJ20" s="731">
        <v>0</v>
      </c>
      <c r="AL20" s="519" t="s">
        <v>140</v>
      </c>
      <c r="AM20" s="51">
        <v>190097</v>
      </c>
      <c r="AN20" s="36">
        <f>29.04/1.21</f>
        <v>24</v>
      </c>
      <c r="AO20" s="26" t="s">
        <v>141</v>
      </c>
      <c r="AP20" s="37">
        <v>102</v>
      </c>
      <c r="AQ20" s="792">
        <f t="shared" si="0"/>
        <v>78</v>
      </c>
      <c r="AR20" s="828"/>
      <c r="AS20" s="812" t="s">
        <v>191</v>
      </c>
      <c r="AT20" s="31" t="s">
        <v>57</v>
      </c>
      <c r="AU20" s="38">
        <v>1</v>
      </c>
      <c r="AV20" s="26" t="s">
        <v>135</v>
      </c>
      <c r="AW20" s="46">
        <v>2.5</v>
      </c>
      <c r="AX20" s="36"/>
      <c r="AY20" s="40"/>
      <c r="AZ20" s="41"/>
      <c r="BA20" s="31" t="s">
        <v>47</v>
      </c>
      <c r="BB20" s="41">
        <v>0</v>
      </c>
      <c r="BC20" s="42"/>
      <c r="BD20" s="42"/>
      <c r="BE20" s="42"/>
      <c r="BF20" s="42"/>
      <c r="BG20" s="42"/>
    </row>
    <row r="21" spans="1:59" ht="20" hidden="1" customHeight="1" outlineLevel="1">
      <c r="A21" s="453">
        <v>1901017</v>
      </c>
      <c r="B21" s="25">
        <v>42019</v>
      </c>
      <c r="C21" s="26" t="s">
        <v>67</v>
      </c>
      <c r="D21" s="26" t="s">
        <v>68</v>
      </c>
      <c r="E21" s="533" t="s">
        <v>69</v>
      </c>
      <c r="F21" s="543" t="s">
        <v>47</v>
      </c>
      <c r="G21" s="28" t="s">
        <v>142</v>
      </c>
      <c r="H21" s="733" t="s">
        <v>191</v>
      </c>
      <c r="I21" s="49">
        <v>190170</v>
      </c>
      <c r="J21" s="30" t="s">
        <v>62</v>
      </c>
      <c r="K21" s="31" t="s">
        <v>50</v>
      </c>
      <c r="L21" s="44">
        <v>613193044</v>
      </c>
      <c r="M21" s="33">
        <v>42019</v>
      </c>
      <c r="N21" s="31" t="s">
        <v>143</v>
      </c>
      <c r="O21" s="26" t="s">
        <v>144</v>
      </c>
      <c r="P21" s="559"/>
      <c r="Q21" s="290"/>
      <c r="R21" s="709">
        <v>0</v>
      </c>
      <c r="S21" s="710">
        <v>0</v>
      </c>
      <c r="T21" s="711">
        <v>0</v>
      </c>
      <c r="U21" s="718">
        <v>2</v>
      </c>
      <c r="V21" s="710">
        <v>0</v>
      </c>
      <c r="W21" s="711">
        <v>0</v>
      </c>
      <c r="X21" s="718">
        <v>0</v>
      </c>
      <c r="Y21" s="710">
        <v>0</v>
      </c>
      <c r="Z21" s="711">
        <v>0</v>
      </c>
      <c r="AA21" s="718">
        <v>0</v>
      </c>
      <c r="AB21" s="723">
        <v>0</v>
      </c>
      <c r="AC21" s="724">
        <v>0</v>
      </c>
      <c r="AD21" s="728">
        <v>0</v>
      </c>
      <c r="AE21" s="728"/>
      <c r="AF21" s="728"/>
      <c r="AG21" s="723">
        <v>0</v>
      </c>
      <c r="AH21" s="724">
        <v>0</v>
      </c>
      <c r="AI21" s="731">
        <v>0</v>
      </c>
      <c r="AJ21" s="731">
        <v>0</v>
      </c>
      <c r="AL21" s="519" t="s">
        <v>71</v>
      </c>
      <c r="AM21" s="51">
        <v>190098</v>
      </c>
      <c r="AN21" s="36">
        <f>19.36/1.21</f>
        <v>16</v>
      </c>
      <c r="AO21" s="26" t="s">
        <v>145</v>
      </c>
      <c r="AP21" s="37">
        <v>130</v>
      </c>
      <c r="AQ21" s="792">
        <f t="shared" si="0"/>
        <v>114</v>
      </c>
      <c r="AR21" s="828"/>
      <c r="AS21" s="812"/>
      <c r="AT21" s="31" t="s">
        <v>57</v>
      </c>
      <c r="AU21" s="40"/>
      <c r="AV21" s="40"/>
      <c r="AW21" s="46"/>
      <c r="AX21" s="36"/>
      <c r="AY21" s="40"/>
      <c r="AZ21" s="41"/>
      <c r="BA21" s="31" t="s">
        <v>47</v>
      </c>
      <c r="BB21" s="41">
        <v>0</v>
      </c>
      <c r="BC21" s="42"/>
      <c r="BD21" s="42"/>
      <c r="BE21" s="42"/>
      <c r="BF21" s="42"/>
      <c r="BG21" s="42"/>
    </row>
    <row r="22" spans="1:59" ht="20" hidden="1" customHeight="1" outlineLevel="1">
      <c r="A22" s="453">
        <v>1901018</v>
      </c>
      <c r="B22" s="25">
        <v>42019</v>
      </c>
      <c r="C22" s="26" t="s">
        <v>67</v>
      </c>
      <c r="D22" s="26" t="s">
        <v>73</v>
      </c>
      <c r="E22" s="533" t="s">
        <v>146</v>
      </c>
      <c r="F22" s="543" t="s">
        <v>47</v>
      </c>
      <c r="G22" s="28" t="s">
        <v>47</v>
      </c>
      <c r="H22" s="733" t="s">
        <v>191</v>
      </c>
      <c r="I22" s="29" t="s">
        <v>47</v>
      </c>
      <c r="J22" s="30" t="s">
        <v>62</v>
      </c>
      <c r="K22" s="31" t="s">
        <v>50</v>
      </c>
      <c r="L22" s="44">
        <v>613212950</v>
      </c>
      <c r="M22" s="33">
        <v>42019</v>
      </c>
      <c r="N22" s="31" t="s">
        <v>147</v>
      </c>
      <c r="O22" s="26" t="s">
        <v>148</v>
      </c>
      <c r="P22" s="559"/>
      <c r="Q22" s="290"/>
      <c r="R22" s="709">
        <v>0</v>
      </c>
      <c r="S22" s="710">
        <v>0</v>
      </c>
      <c r="T22" s="711">
        <v>0</v>
      </c>
      <c r="U22" s="718">
        <v>0</v>
      </c>
      <c r="V22" s="710">
        <v>0</v>
      </c>
      <c r="W22" s="711">
        <v>0</v>
      </c>
      <c r="X22" s="718">
        <v>0</v>
      </c>
      <c r="Y22" s="710">
        <v>0</v>
      </c>
      <c r="Z22" s="711">
        <v>0</v>
      </c>
      <c r="AA22" s="718">
        <v>0</v>
      </c>
      <c r="AB22" s="723">
        <v>0</v>
      </c>
      <c r="AC22" s="724">
        <v>0</v>
      </c>
      <c r="AD22" s="728">
        <v>0</v>
      </c>
      <c r="AE22" s="728"/>
      <c r="AF22" s="728"/>
      <c r="AG22" s="723">
        <v>0</v>
      </c>
      <c r="AH22" s="724">
        <v>25</v>
      </c>
      <c r="AI22" s="731">
        <v>0</v>
      </c>
      <c r="AJ22" s="731">
        <v>0</v>
      </c>
      <c r="AL22" s="519" t="s">
        <v>55</v>
      </c>
      <c r="AM22" s="35"/>
      <c r="AN22" s="36">
        <f>1*PRODUCTS!C5</f>
        <v>23.38</v>
      </c>
      <c r="AO22" s="252" t="s">
        <v>1944</v>
      </c>
      <c r="AP22" s="37">
        <v>0</v>
      </c>
      <c r="AQ22" s="792">
        <f t="shared" si="0"/>
        <v>-23.38</v>
      </c>
      <c r="AR22" s="828"/>
      <c r="AS22" s="812" t="s">
        <v>47</v>
      </c>
      <c r="AT22" s="31" t="s">
        <v>94</v>
      </c>
      <c r="AU22" s="38">
        <v>1</v>
      </c>
      <c r="AV22" s="26" t="s">
        <v>149</v>
      </c>
      <c r="AW22" s="46">
        <v>0.5</v>
      </c>
      <c r="AX22" s="36"/>
      <c r="AY22" s="38">
        <v>12507632</v>
      </c>
      <c r="AZ22" s="41">
        <v>21.65</v>
      </c>
      <c r="BA22" s="31" t="s">
        <v>47</v>
      </c>
      <c r="BB22" s="41">
        <v>0</v>
      </c>
      <c r="BC22" s="42"/>
      <c r="BD22" s="42"/>
      <c r="BE22" s="42"/>
      <c r="BF22" s="42"/>
      <c r="BG22" s="42"/>
    </row>
    <row r="23" spans="1:59" ht="20" hidden="1" customHeight="1" outlineLevel="1">
      <c r="A23" s="453">
        <v>1901019</v>
      </c>
      <c r="B23" s="25">
        <v>42019</v>
      </c>
      <c r="C23" s="26" t="s">
        <v>67</v>
      </c>
      <c r="D23" s="26" t="s">
        <v>96</v>
      </c>
      <c r="E23" s="533" t="s">
        <v>60</v>
      </c>
      <c r="F23" s="543" t="s">
        <v>47</v>
      </c>
      <c r="G23" s="28" t="s">
        <v>47</v>
      </c>
      <c r="H23" s="733" t="s">
        <v>191</v>
      </c>
      <c r="I23" s="29" t="s">
        <v>47</v>
      </c>
      <c r="J23" s="30" t="s">
        <v>62</v>
      </c>
      <c r="K23" s="31" t="s">
        <v>50</v>
      </c>
      <c r="L23" s="44">
        <v>613217776</v>
      </c>
      <c r="M23" s="33">
        <v>42019</v>
      </c>
      <c r="N23" s="31" t="s">
        <v>59</v>
      </c>
      <c r="O23" s="26" t="s">
        <v>150</v>
      </c>
      <c r="P23" s="559"/>
      <c r="Q23" s="290"/>
      <c r="R23" s="709">
        <v>0</v>
      </c>
      <c r="S23" s="710">
        <v>0</v>
      </c>
      <c r="T23" s="711">
        <v>0</v>
      </c>
      <c r="U23" s="718">
        <v>0</v>
      </c>
      <c r="V23" s="710">
        <v>0</v>
      </c>
      <c r="W23" s="711">
        <v>0</v>
      </c>
      <c r="X23" s="718">
        <v>0</v>
      </c>
      <c r="Y23" s="710">
        <v>0</v>
      </c>
      <c r="Z23" s="711">
        <v>0</v>
      </c>
      <c r="AA23" s="718">
        <v>0</v>
      </c>
      <c r="AB23" s="723">
        <v>0</v>
      </c>
      <c r="AC23" s="724">
        <v>0</v>
      </c>
      <c r="AD23" s="728">
        <v>0</v>
      </c>
      <c r="AE23" s="728"/>
      <c r="AF23" s="728"/>
      <c r="AG23" s="723">
        <v>0</v>
      </c>
      <c r="AH23" s="724">
        <v>25</v>
      </c>
      <c r="AI23" s="731">
        <v>0</v>
      </c>
      <c r="AJ23" s="731">
        <v>0</v>
      </c>
      <c r="AL23" s="519" t="s">
        <v>47</v>
      </c>
      <c r="AM23" s="35"/>
      <c r="AN23" s="36">
        <f>1*PRODUCTS!C5</f>
        <v>23.38</v>
      </c>
      <c r="AO23" s="26" t="s">
        <v>47</v>
      </c>
      <c r="AP23" s="37">
        <v>0</v>
      </c>
      <c r="AQ23" s="792">
        <f t="shared" si="0"/>
        <v>-23.38</v>
      </c>
      <c r="AR23" s="828"/>
      <c r="AS23" s="812" t="s">
        <v>47</v>
      </c>
      <c r="AT23" s="31" t="s">
        <v>94</v>
      </c>
      <c r="AU23" s="38">
        <v>1</v>
      </c>
      <c r="AV23" s="26" t="s">
        <v>149</v>
      </c>
      <c r="AW23" s="46">
        <v>0.5</v>
      </c>
      <c r="AX23" s="36"/>
      <c r="AY23" s="40"/>
      <c r="AZ23" s="41"/>
      <c r="BA23" s="31" t="s">
        <v>47</v>
      </c>
      <c r="BB23" s="41">
        <v>0</v>
      </c>
      <c r="BC23" s="42"/>
      <c r="BD23" s="42"/>
      <c r="BE23" s="42"/>
      <c r="BF23" s="42"/>
      <c r="BG23" s="42"/>
    </row>
    <row r="24" spans="1:59" ht="20" hidden="1" customHeight="1" outlineLevel="1">
      <c r="A24" s="453">
        <v>1901020</v>
      </c>
      <c r="B24" s="25">
        <v>42019</v>
      </c>
      <c r="C24" s="26" t="s">
        <v>59</v>
      </c>
      <c r="D24" s="26" t="s">
        <v>47</v>
      </c>
      <c r="E24" s="533" t="s">
        <v>60</v>
      </c>
      <c r="F24" s="543" t="s">
        <v>47</v>
      </c>
      <c r="G24" s="28" t="s">
        <v>151</v>
      </c>
      <c r="H24" s="733" t="s">
        <v>191</v>
      </c>
      <c r="I24" s="49">
        <v>190733</v>
      </c>
      <c r="J24" s="30" t="s">
        <v>49</v>
      </c>
      <c r="K24" s="31" t="s">
        <v>50</v>
      </c>
      <c r="L24" s="50"/>
      <c r="M24" s="27" t="s">
        <v>152</v>
      </c>
      <c r="N24" s="31" t="s">
        <v>59</v>
      </c>
      <c r="O24" s="26" t="s">
        <v>153</v>
      </c>
      <c r="P24" s="559"/>
      <c r="Q24" s="290"/>
      <c r="R24" s="709">
        <v>0</v>
      </c>
      <c r="S24" s="710">
        <v>0</v>
      </c>
      <c r="T24" s="711">
        <v>0</v>
      </c>
      <c r="U24" s="718">
        <v>0</v>
      </c>
      <c r="V24" s="710">
        <v>0</v>
      </c>
      <c r="W24" s="711">
        <v>0</v>
      </c>
      <c r="X24" s="718">
        <v>0</v>
      </c>
      <c r="Y24" s="710">
        <v>0</v>
      </c>
      <c r="Z24" s="711">
        <v>0</v>
      </c>
      <c r="AA24" s="718">
        <v>0</v>
      </c>
      <c r="AB24" s="723">
        <v>0</v>
      </c>
      <c r="AC24" s="724">
        <v>0</v>
      </c>
      <c r="AD24" s="728">
        <v>0</v>
      </c>
      <c r="AE24" s="728"/>
      <c r="AF24" s="728"/>
      <c r="AG24" s="723">
        <v>0</v>
      </c>
      <c r="AH24" s="724">
        <v>0</v>
      </c>
      <c r="AI24" s="731">
        <v>0</v>
      </c>
      <c r="AJ24" s="731">
        <v>0</v>
      </c>
      <c r="AL24" s="519" t="s">
        <v>47</v>
      </c>
      <c r="AM24" s="35"/>
      <c r="AN24" s="36">
        <v>0</v>
      </c>
      <c r="AO24" s="26" t="s">
        <v>47</v>
      </c>
      <c r="AP24" s="37">
        <v>0</v>
      </c>
      <c r="AQ24" s="792">
        <f t="shared" si="0"/>
        <v>0</v>
      </c>
      <c r="AR24" s="828"/>
      <c r="AS24" s="812" t="s">
        <v>47</v>
      </c>
      <c r="AT24" s="31" t="s">
        <v>66</v>
      </c>
      <c r="AU24" s="40"/>
      <c r="AV24" s="40"/>
      <c r="AW24" s="46"/>
      <c r="AX24" s="36"/>
      <c r="AY24" s="38">
        <v>12507631</v>
      </c>
      <c r="AZ24" s="41">
        <v>7.25</v>
      </c>
      <c r="BA24" s="31" t="s">
        <v>47</v>
      </c>
      <c r="BB24" s="41">
        <v>0</v>
      </c>
      <c r="BC24" s="42"/>
      <c r="BD24" s="42"/>
      <c r="BE24" s="42"/>
      <c r="BF24" s="42"/>
      <c r="BG24" s="42"/>
    </row>
    <row r="25" spans="1:59" ht="20" hidden="1" customHeight="1" outlineLevel="1">
      <c r="A25" s="453">
        <v>1901021</v>
      </c>
      <c r="B25" s="25">
        <v>42019</v>
      </c>
      <c r="C25" s="26" t="s">
        <v>72</v>
      </c>
      <c r="D25" s="26" t="s">
        <v>73</v>
      </c>
      <c r="E25" s="533" t="s">
        <v>154</v>
      </c>
      <c r="F25" s="543" t="s">
        <v>47</v>
      </c>
      <c r="G25" s="253" t="s">
        <v>47</v>
      </c>
      <c r="H25" s="733" t="s">
        <v>191</v>
      </c>
      <c r="I25" s="261" t="s">
        <v>191</v>
      </c>
      <c r="J25" s="30" t="s">
        <v>62</v>
      </c>
      <c r="K25" s="256" t="s">
        <v>47</v>
      </c>
      <c r="L25" s="50">
        <v>0</v>
      </c>
      <c r="M25" s="744" t="s">
        <v>1858</v>
      </c>
      <c r="N25" s="257" t="s">
        <v>1857</v>
      </c>
      <c r="O25" s="252" t="s">
        <v>1856</v>
      </c>
      <c r="P25" s="559"/>
      <c r="Q25" s="290"/>
      <c r="R25" s="709">
        <v>0</v>
      </c>
      <c r="S25" s="710">
        <v>0</v>
      </c>
      <c r="T25" s="711">
        <v>0</v>
      </c>
      <c r="U25" s="718">
        <v>0</v>
      </c>
      <c r="V25" s="710">
        <v>0</v>
      </c>
      <c r="W25" s="711">
        <v>0</v>
      </c>
      <c r="X25" s="718">
        <v>0</v>
      </c>
      <c r="Y25" s="710">
        <v>0</v>
      </c>
      <c r="Z25" s="711">
        <v>0</v>
      </c>
      <c r="AA25" s="718">
        <v>0</v>
      </c>
      <c r="AB25" s="723">
        <v>0</v>
      </c>
      <c r="AC25" s="724">
        <v>0</v>
      </c>
      <c r="AD25" s="728">
        <v>0</v>
      </c>
      <c r="AE25" s="728"/>
      <c r="AF25" s="728"/>
      <c r="AG25" s="723">
        <v>20</v>
      </c>
      <c r="AH25" s="724">
        <v>0</v>
      </c>
      <c r="AI25" s="731">
        <v>0</v>
      </c>
      <c r="AJ25" s="731">
        <v>0</v>
      </c>
      <c r="AL25" s="519" t="s">
        <v>65</v>
      </c>
      <c r="AM25" s="35"/>
      <c r="AN25" s="36">
        <f>20*PRODUCTS!C3</f>
        <v>1279.8</v>
      </c>
      <c r="AO25" s="252" t="s">
        <v>47</v>
      </c>
      <c r="AP25" s="37">
        <v>0</v>
      </c>
      <c r="AQ25" s="792">
        <f t="shared" si="0"/>
        <v>-1279.8</v>
      </c>
      <c r="AR25" s="828"/>
      <c r="AS25" s="812" t="s">
        <v>47</v>
      </c>
      <c r="AT25" s="31" t="s">
        <v>66</v>
      </c>
      <c r="AU25" s="38">
        <v>10</v>
      </c>
      <c r="AV25" s="40"/>
      <c r="AW25" s="38"/>
      <c r="AX25" s="36">
        <v>0</v>
      </c>
      <c r="AY25" s="258" t="s">
        <v>118</v>
      </c>
      <c r="AZ25" s="41">
        <v>0</v>
      </c>
      <c r="BA25" s="31" t="s">
        <v>47</v>
      </c>
      <c r="BB25" s="41">
        <v>0</v>
      </c>
      <c r="BC25" s="42"/>
      <c r="BD25" s="42"/>
      <c r="BE25" s="42"/>
      <c r="BF25" s="42"/>
      <c r="BG25" s="42"/>
    </row>
    <row r="26" spans="1:59" ht="32" hidden="1" customHeight="1" outlineLevel="1">
      <c r="A26" s="453">
        <v>1901022</v>
      </c>
      <c r="B26" s="25">
        <v>42020</v>
      </c>
      <c r="C26" s="26" t="s">
        <v>72</v>
      </c>
      <c r="D26" s="26" t="s">
        <v>96</v>
      </c>
      <c r="E26" s="533" t="s">
        <v>158</v>
      </c>
      <c r="F26" s="519" t="s">
        <v>159</v>
      </c>
      <c r="G26" s="35" t="s">
        <v>47</v>
      </c>
      <c r="H26" s="733" t="s">
        <v>191</v>
      </c>
      <c r="I26" s="29" t="s">
        <v>47</v>
      </c>
      <c r="J26" s="30" t="s">
        <v>62</v>
      </c>
      <c r="K26" s="31" t="s">
        <v>118</v>
      </c>
      <c r="L26" s="50" t="s">
        <v>47</v>
      </c>
      <c r="M26" s="50" t="s">
        <v>1466</v>
      </c>
      <c r="N26" s="31" t="s">
        <v>160</v>
      </c>
      <c r="O26" s="26" t="s">
        <v>161</v>
      </c>
      <c r="P26" s="559"/>
      <c r="Q26" s="290"/>
      <c r="R26" s="709">
        <v>0</v>
      </c>
      <c r="S26" s="710">
        <v>0</v>
      </c>
      <c r="T26" s="711">
        <v>0</v>
      </c>
      <c r="U26" s="718">
        <v>0</v>
      </c>
      <c r="V26" s="710">
        <v>0</v>
      </c>
      <c r="W26" s="711">
        <v>0</v>
      </c>
      <c r="X26" s="718">
        <v>0</v>
      </c>
      <c r="Y26" s="710">
        <v>0</v>
      </c>
      <c r="Z26" s="711">
        <v>0</v>
      </c>
      <c r="AA26" s="718">
        <v>0</v>
      </c>
      <c r="AB26" s="723">
        <v>0</v>
      </c>
      <c r="AC26" s="724">
        <v>0</v>
      </c>
      <c r="AD26" s="728">
        <v>0</v>
      </c>
      <c r="AE26" s="728"/>
      <c r="AF26" s="728"/>
      <c r="AG26" s="723">
        <v>200</v>
      </c>
      <c r="AH26" s="724">
        <v>0</v>
      </c>
      <c r="AI26" s="731">
        <v>0</v>
      </c>
      <c r="AJ26" s="731">
        <v>0</v>
      </c>
      <c r="AL26" s="519" t="s">
        <v>65</v>
      </c>
      <c r="AM26" s="35" t="s">
        <v>157</v>
      </c>
      <c r="AN26" s="36">
        <f>200*PRODUCTS!C3</f>
        <v>12798</v>
      </c>
      <c r="AO26" s="40" t="s">
        <v>1467</v>
      </c>
      <c r="AP26" s="37">
        <v>14156.61</v>
      </c>
      <c r="AQ26" s="792">
        <f>AP26-AN26</f>
        <v>1358.6100000000006</v>
      </c>
      <c r="AR26" s="828"/>
      <c r="AS26" s="812"/>
      <c r="AT26" s="256" t="s">
        <v>1859</v>
      </c>
      <c r="AU26" s="40"/>
      <c r="AV26" s="40"/>
      <c r="AW26" s="38"/>
      <c r="AX26" s="36">
        <v>0</v>
      </c>
      <c r="AY26" s="258" t="s">
        <v>118</v>
      </c>
      <c r="AZ26" s="41">
        <v>0</v>
      </c>
      <c r="BA26" s="31" t="s">
        <v>47</v>
      </c>
      <c r="BB26" s="41">
        <v>0</v>
      </c>
      <c r="BC26" s="42"/>
      <c r="BD26" s="42"/>
      <c r="BE26" s="42"/>
      <c r="BF26" s="42"/>
      <c r="BG26" s="42"/>
    </row>
    <row r="27" spans="1:59" ht="20" hidden="1" customHeight="1" outlineLevel="1">
      <c r="A27" s="453">
        <v>1901023</v>
      </c>
      <c r="B27" s="25">
        <v>42020</v>
      </c>
      <c r="C27" s="26" t="s">
        <v>72</v>
      </c>
      <c r="D27" s="26" t="s">
        <v>73</v>
      </c>
      <c r="E27" s="533" t="s">
        <v>162</v>
      </c>
      <c r="F27" s="519" t="s">
        <v>47</v>
      </c>
      <c r="G27" s="48" t="s">
        <v>47</v>
      </c>
      <c r="H27" s="733" t="s">
        <v>191</v>
      </c>
      <c r="I27" s="29" t="s">
        <v>47</v>
      </c>
      <c r="J27" s="30" t="s">
        <v>62</v>
      </c>
      <c r="K27" s="31" t="s">
        <v>163</v>
      </c>
      <c r="L27" s="32" t="s">
        <v>47</v>
      </c>
      <c r="M27" s="33">
        <v>42027</v>
      </c>
      <c r="N27" s="31" t="s">
        <v>164</v>
      </c>
      <c r="O27" s="26" t="s">
        <v>165</v>
      </c>
      <c r="P27" s="559"/>
      <c r="Q27" s="290"/>
      <c r="R27" s="709">
        <v>0</v>
      </c>
      <c r="S27" s="710">
        <v>0</v>
      </c>
      <c r="T27" s="711">
        <v>1</v>
      </c>
      <c r="U27" s="718">
        <v>0</v>
      </c>
      <c r="V27" s="710">
        <v>0</v>
      </c>
      <c r="W27" s="711">
        <v>0</v>
      </c>
      <c r="X27" s="718">
        <v>0</v>
      </c>
      <c r="Y27" s="710">
        <v>0</v>
      </c>
      <c r="Z27" s="711">
        <v>0</v>
      </c>
      <c r="AA27" s="718">
        <v>0</v>
      </c>
      <c r="AB27" s="723">
        <v>0</v>
      </c>
      <c r="AC27" s="724">
        <v>0</v>
      </c>
      <c r="AD27" s="728">
        <v>0</v>
      </c>
      <c r="AE27" s="728"/>
      <c r="AF27" s="728"/>
      <c r="AG27" s="723">
        <v>0</v>
      </c>
      <c r="AH27" s="724">
        <v>0</v>
      </c>
      <c r="AI27" s="731">
        <v>0</v>
      </c>
      <c r="AJ27" s="731">
        <v>0</v>
      </c>
      <c r="AL27" s="519" t="s">
        <v>47</v>
      </c>
      <c r="AM27" s="48" t="s">
        <v>47</v>
      </c>
      <c r="AN27" s="36">
        <f>1*PRODUCTS!G12</f>
        <v>0.10503415579453744</v>
      </c>
      <c r="AO27" s="26" t="s">
        <v>166</v>
      </c>
      <c r="AP27" s="37">
        <v>8</v>
      </c>
      <c r="AQ27" s="792">
        <f t="shared" si="0"/>
        <v>7.8949658442054629</v>
      </c>
      <c r="AR27" s="828"/>
      <c r="AS27" s="812" t="s">
        <v>191</v>
      </c>
      <c r="AT27" s="31" t="s">
        <v>94</v>
      </c>
      <c r="AU27" s="38">
        <v>1</v>
      </c>
      <c r="AV27" s="258" t="s">
        <v>1860</v>
      </c>
      <c r="AW27" s="38"/>
      <c r="AX27" s="36">
        <v>4.38</v>
      </c>
      <c r="AY27" s="258" t="s">
        <v>1861</v>
      </c>
      <c r="AZ27" s="41">
        <f>3*1.4</f>
        <v>4.1999999999999993</v>
      </c>
      <c r="BA27" s="31" t="s">
        <v>47</v>
      </c>
      <c r="BB27" s="41">
        <v>0</v>
      </c>
      <c r="BC27" s="42"/>
      <c r="BD27" s="42"/>
      <c r="BE27" s="42"/>
      <c r="BF27" s="42"/>
      <c r="BG27" s="42"/>
    </row>
    <row r="28" spans="1:59" ht="20" hidden="1" customHeight="1" outlineLevel="1">
      <c r="A28" s="453">
        <v>1901024</v>
      </c>
      <c r="B28" s="25">
        <v>42020</v>
      </c>
      <c r="C28" s="26" t="s">
        <v>67</v>
      </c>
      <c r="D28" s="26" t="s">
        <v>73</v>
      </c>
      <c r="E28" s="533" t="s">
        <v>69</v>
      </c>
      <c r="F28" s="519" t="s">
        <v>47</v>
      </c>
      <c r="G28" s="48" t="s">
        <v>167</v>
      </c>
      <c r="H28" s="733" t="s">
        <v>191</v>
      </c>
      <c r="I28" s="49">
        <v>190488</v>
      </c>
      <c r="J28" s="30" t="s">
        <v>62</v>
      </c>
      <c r="K28" s="31" t="s">
        <v>50</v>
      </c>
      <c r="L28" s="44">
        <v>628893506</v>
      </c>
      <c r="M28" s="27" t="s">
        <v>168</v>
      </c>
      <c r="N28" s="31" t="s">
        <v>138</v>
      </c>
      <c r="O28" s="26" t="s">
        <v>169</v>
      </c>
      <c r="P28" s="559"/>
      <c r="Q28" s="290"/>
      <c r="R28" s="709">
        <v>0</v>
      </c>
      <c r="S28" s="710">
        <v>0</v>
      </c>
      <c r="T28" s="711">
        <v>0</v>
      </c>
      <c r="U28" s="718">
        <v>1</v>
      </c>
      <c r="V28" s="710">
        <v>0</v>
      </c>
      <c r="W28" s="711">
        <v>0</v>
      </c>
      <c r="X28" s="718">
        <v>0</v>
      </c>
      <c r="Y28" s="710">
        <v>0</v>
      </c>
      <c r="Z28" s="711">
        <v>0</v>
      </c>
      <c r="AA28" s="718">
        <v>0</v>
      </c>
      <c r="AB28" s="723">
        <v>0</v>
      </c>
      <c r="AC28" s="724">
        <v>0</v>
      </c>
      <c r="AD28" s="728">
        <v>0</v>
      </c>
      <c r="AE28" s="728"/>
      <c r="AF28" s="728"/>
      <c r="AG28" s="723">
        <v>0</v>
      </c>
      <c r="AH28" s="724">
        <v>0</v>
      </c>
      <c r="AI28" s="731">
        <v>0</v>
      </c>
      <c r="AJ28" s="731">
        <v>0</v>
      </c>
      <c r="AL28" s="519" t="s">
        <v>140</v>
      </c>
      <c r="AM28" s="51">
        <v>190284</v>
      </c>
      <c r="AN28" s="36">
        <v>59.008264462809933</v>
      </c>
      <c r="AO28" s="26" t="s">
        <v>170</v>
      </c>
      <c r="AP28" s="37">
        <v>220</v>
      </c>
      <c r="AQ28" s="792">
        <f t="shared" si="0"/>
        <v>160.99173553719007</v>
      </c>
      <c r="AR28" s="828"/>
      <c r="AS28" s="812" t="s">
        <v>191</v>
      </c>
      <c r="AT28" s="31" t="s">
        <v>57</v>
      </c>
      <c r="AU28" s="38">
        <v>1</v>
      </c>
      <c r="AV28" s="26" t="s">
        <v>171</v>
      </c>
      <c r="AW28" s="38">
        <v>1.5</v>
      </c>
      <c r="AX28" s="36">
        <v>15.5</v>
      </c>
      <c r="AY28" s="40">
        <v>12516207</v>
      </c>
      <c r="AZ28" s="41">
        <v>13.91</v>
      </c>
      <c r="BA28" s="31" t="s">
        <v>47</v>
      </c>
      <c r="BB28" s="41">
        <v>0</v>
      </c>
      <c r="BC28" s="42"/>
      <c r="BD28" s="42"/>
      <c r="BE28" s="42"/>
      <c r="BF28" s="42"/>
      <c r="BG28" s="42"/>
    </row>
    <row r="29" spans="1:59" ht="44" hidden="1" customHeight="1" outlineLevel="1">
      <c r="A29" s="453">
        <v>1901025</v>
      </c>
      <c r="B29" s="25">
        <v>42021</v>
      </c>
      <c r="C29" s="26" t="s">
        <v>72</v>
      </c>
      <c r="D29" s="26" t="s">
        <v>45</v>
      </c>
      <c r="E29" s="533" t="s">
        <v>69</v>
      </c>
      <c r="F29" s="519" t="s">
        <v>47</v>
      </c>
      <c r="G29" s="48" t="s">
        <v>172</v>
      </c>
      <c r="H29" s="733" t="s">
        <v>191</v>
      </c>
      <c r="I29" s="29" t="s">
        <v>173</v>
      </c>
      <c r="J29" s="30" t="s">
        <v>62</v>
      </c>
      <c r="K29" s="31" t="s">
        <v>118</v>
      </c>
      <c r="L29" s="32" t="s">
        <v>47</v>
      </c>
      <c r="M29" s="34"/>
      <c r="N29" s="31" t="s">
        <v>174</v>
      </c>
      <c r="O29" s="26" t="s">
        <v>175</v>
      </c>
      <c r="P29" s="559"/>
      <c r="Q29" s="290"/>
      <c r="R29" s="709">
        <v>0</v>
      </c>
      <c r="S29" s="710">
        <v>0</v>
      </c>
      <c r="T29" s="711">
        <v>0</v>
      </c>
      <c r="U29" s="718">
        <v>0</v>
      </c>
      <c r="V29" s="710">
        <v>0</v>
      </c>
      <c r="W29" s="711">
        <v>0</v>
      </c>
      <c r="X29" s="718">
        <v>96</v>
      </c>
      <c r="Y29" s="710">
        <v>0</v>
      </c>
      <c r="Z29" s="711">
        <v>0</v>
      </c>
      <c r="AA29" s="718">
        <v>48</v>
      </c>
      <c r="AB29" s="723">
        <v>0</v>
      </c>
      <c r="AC29" s="724">
        <v>0</v>
      </c>
      <c r="AD29" s="728">
        <v>0</v>
      </c>
      <c r="AE29" s="728"/>
      <c r="AF29" s="728"/>
      <c r="AG29" s="723">
        <v>0</v>
      </c>
      <c r="AH29" s="724">
        <v>0</v>
      </c>
      <c r="AI29" s="731">
        <v>0</v>
      </c>
      <c r="AJ29" s="731">
        <v>0</v>
      </c>
      <c r="AL29" s="519" t="s">
        <v>65</v>
      </c>
      <c r="AM29" s="51">
        <v>190213</v>
      </c>
      <c r="AN29" s="36">
        <v>895.2</v>
      </c>
      <c r="AO29" s="26" t="s">
        <v>176</v>
      </c>
      <c r="AP29" s="37">
        <v>2131.1999999999998</v>
      </c>
      <c r="AQ29" s="792">
        <f t="shared" si="0"/>
        <v>1235.9999999999998</v>
      </c>
      <c r="AR29" s="828"/>
      <c r="AS29" s="812" t="s">
        <v>1314</v>
      </c>
      <c r="AT29" s="256" t="s">
        <v>1859</v>
      </c>
      <c r="AU29" s="40"/>
      <c r="AV29" s="40"/>
      <c r="AW29" s="46"/>
      <c r="AX29" s="36">
        <v>0</v>
      </c>
      <c r="AY29" s="258" t="s">
        <v>118</v>
      </c>
      <c r="AZ29" s="41">
        <v>0</v>
      </c>
      <c r="BA29" s="31" t="s">
        <v>47</v>
      </c>
      <c r="BB29" s="41">
        <v>0</v>
      </c>
      <c r="BC29" s="42"/>
      <c r="BD29" s="42"/>
      <c r="BE29" s="42"/>
      <c r="BF29" s="42"/>
      <c r="BG29" s="42"/>
    </row>
    <row r="30" spans="1:59" ht="20" hidden="1" customHeight="1" outlineLevel="1">
      <c r="A30" s="453">
        <v>1901026</v>
      </c>
      <c r="B30" s="25">
        <v>42021</v>
      </c>
      <c r="C30" s="26" t="s">
        <v>67</v>
      </c>
      <c r="D30" s="26" t="s">
        <v>84</v>
      </c>
      <c r="E30" s="533" t="s">
        <v>85</v>
      </c>
      <c r="F30" s="519" t="s">
        <v>47</v>
      </c>
      <c r="G30" s="48" t="s">
        <v>177</v>
      </c>
      <c r="H30" s="733" t="s">
        <v>191</v>
      </c>
      <c r="I30" s="49">
        <v>190330</v>
      </c>
      <c r="J30" s="30" t="s">
        <v>62</v>
      </c>
      <c r="K30" s="31" t="s">
        <v>87</v>
      </c>
      <c r="L30" s="32" t="s">
        <v>178</v>
      </c>
      <c r="M30" s="27" t="s">
        <v>179</v>
      </c>
      <c r="N30" s="257" t="s">
        <v>120</v>
      </c>
      <c r="O30" s="26" t="s">
        <v>180</v>
      </c>
      <c r="P30" s="559"/>
      <c r="Q30" s="290"/>
      <c r="R30" s="709">
        <v>0</v>
      </c>
      <c r="S30" s="710">
        <v>0</v>
      </c>
      <c r="T30" s="711">
        <v>0</v>
      </c>
      <c r="U30" s="718">
        <v>1</v>
      </c>
      <c r="V30" s="710">
        <v>0</v>
      </c>
      <c r="W30" s="711">
        <v>0</v>
      </c>
      <c r="X30" s="718">
        <v>0</v>
      </c>
      <c r="Y30" s="710">
        <v>0</v>
      </c>
      <c r="Z30" s="711">
        <v>0</v>
      </c>
      <c r="AA30" s="718">
        <v>0</v>
      </c>
      <c r="AB30" s="723">
        <v>0</v>
      </c>
      <c r="AC30" s="724">
        <v>0</v>
      </c>
      <c r="AD30" s="728">
        <v>0</v>
      </c>
      <c r="AE30" s="728"/>
      <c r="AF30" s="728"/>
      <c r="AG30" s="723">
        <v>0</v>
      </c>
      <c r="AH30" s="724">
        <v>0</v>
      </c>
      <c r="AI30" s="731">
        <v>0</v>
      </c>
      <c r="AJ30" s="731">
        <v>0</v>
      </c>
      <c r="AL30" s="519" t="s">
        <v>71</v>
      </c>
      <c r="AM30" s="51">
        <v>190191</v>
      </c>
      <c r="AN30" s="36">
        <v>86.4</v>
      </c>
      <c r="AO30" s="26" t="s">
        <v>122</v>
      </c>
      <c r="AP30" s="37">
        <v>266</v>
      </c>
      <c r="AQ30" s="792">
        <f t="shared" si="0"/>
        <v>179.6</v>
      </c>
      <c r="AR30" s="828"/>
      <c r="AS30" s="812" t="s">
        <v>1314</v>
      </c>
      <c r="AT30" s="31" t="s">
        <v>57</v>
      </c>
      <c r="AU30" s="38">
        <v>1</v>
      </c>
      <c r="AV30" s="26" t="s">
        <v>123</v>
      </c>
      <c r="AW30" s="46"/>
      <c r="AX30" s="38">
        <v>0</v>
      </c>
      <c r="AY30" s="745" t="s">
        <v>118</v>
      </c>
      <c r="AZ30" s="746">
        <v>0</v>
      </c>
      <c r="BA30" s="31" t="s">
        <v>47</v>
      </c>
      <c r="BB30" s="41">
        <v>0</v>
      </c>
      <c r="BC30" s="42"/>
      <c r="BD30" s="42"/>
      <c r="BE30" s="42"/>
      <c r="BF30" s="42"/>
      <c r="BG30" s="42"/>
    </row>
    <row r="31" spans="1:59" ht="20" hidden="1" customHeight="1" outlineLevel="1">
      <c r="A31" s="453">
        <v>1901027</v>
      </c>
      <c r="B31" s="25">
        <v>42021</v>
      </c>
      <c r="C31" s="26" t="s">
        <v>72</v>
      </c>
      <c r="D31" s="26" t="s">
        <v>73</v>
      </c>
      <c r="E31" s="533" t="s">
        <v>89</v>
      </c>
      <c r="F31" s="519" t="s">
        <v>47</v>
      </c>
      <c r="G31" s="48" t="s">
        <v>181</v>
      </c>
      <c r="H31" s="733" t="s">
        <v>191</v>
      </c>
      <c r="I31" s="49">
        <v>190332</v>
      </c>
      <c r="J31" s="30" t="s">
        <v>62</v>
      </c>
      <c r="K31" s="31" t="s">
        <v>87</v>
      </c>
      <c r="L31" s="32" t="s">
        <v>182</v>
      </c>
      <c r="M31" s="27" t="s">
        <v>179</v>
      </c>
      <c r="N31" s="31" t="s">
        <v>90</v>
      </c>
      <c r="O31" s="26" t="s">
        <v>183</v>
      </c>
      <c r="P31" s="559"/>
      <c r="Q31" s="290"/>
      <c r="R31" s="709">
        <v>1</v>
      </c>
      <c r="S31" s="710">
        <v>0</v>
      </c>
      <c r="T31" s="711">
        <v>0</v>
      </c>
      <c r="U31" s="718">
        <v>1</v>
      </c>
      <c r="V31" s="710">
        <v>0</v>
      </c>
      <c r="W31" s="711">
        <v>0</v>
      </c>
      <c r="X31" s="718">
        <v>0</v>
      </c>
      <c r="Y31" s="710">
        <v>0</v>
      </c>
      <c r="Z31" s="711">
        <v>0</v>
      </c>
      <c r="AA31" s="718">
        <v>0</v>
      </c>
      <c r="AB31" s="723">
        <v>0</v>
      </c>
      <c r="AC31" s="724">
        <v>0</v>
      </c>
      <c r="AD31" s="728">
        <v>0</v>
      </c>
      <c r="AE31" s="728"/>
      <c r="AF31" s="728"/>
      <c r="AG31" s="723">
        <v>0</v>
      </c>
      <c r="AH31" s="724">
        <v>0</v>
      </c>
      <c r="AI31" s="731">
        <v>0</v>
      </c>
      <c r="AJ31" s="731">
        <v>0</v>
      </c>
      <c r="AL31" s="519" t="s">
        <v>55</v>
      </c>
      <c r="AM31" s="51">
        <v>190197</v>
      </c>
      <c r="AN31" s="36">
        <v>188.6</v>
      </c>
      <c r="AO31" s="26" t="s">
        <v>184</v>
      </c>
      <c r="AP31" s="37">
        <v>305.39999999999998</v>
      </c>
      <c r="AQ31" s="792">
        <f t="shared" si="0"/>
        <v>116.79999999999998</v>
      </c>
      <c r="AR31" s="828"/>
      <c r="AS31" s="812"/>
      <c r="AT31" s="31" t="s">
        <v>66</v>
      </c>
      <c r="AU31" s="40"/>
      <c r="AV31" s="40"/>
      <c r="AW31" s="46"/>
      <c r="AX31" s="36">
        <v>0</v>
      </c>
      <c r="AY31" s="258" t="s">
        <v>118</v>
      </c>
      <c r="AZ31" s="41">
        <v>0</v>
      </c>
      <c r="BA31" s="31" t="s">
        <v>47</v>
      </c>
      <c r="BB31" s="41">
        <v>0</v>
      </c>
      <c r="BC31" s="42"/>
      <c r="BD31" s="42"/>
      <c r="BE31" s="42"/>
      <c r="BF31" s="42"/>
      <c r="BG31" s="42"/>
    </row>
    <row r="32" spans="1:59" ht="20" hidden="1" customHeight="1" outlineLevel="1">
      <c r="A32" s="453">
        <v>1901028</v>
      </c>
      <c r="B32" s="25">
        <v>42022</v>
      </c>
      <c r="C32" s="26" t="s">
        <v>67</v>
      </c>
      <c r="D32" s="26" t="s">
        <v>68</v>
      </c>
      <c r="E32" s="533" t="s">
        <v>69</v>
      </c>
      <c r="F32" s="519" t="s">
        <v>47</v>
      </c>
      <c r="G32" s="48" t="s">
        <v>185</v>
      </c>
      <c r="H32" s="733" t="s">
        <v>191</v>
      </c>
      <c r="I32" s="49">
        <v>190331</v>
      </c>
      <c r="J32" s="30" t="s">
        <v>62</v>
      </c>
      <c r="K32" s="31" t="s">
        <v>50</v>
      </c>
      <c r="L32" s="44">
        <v>627418514</v>
      </c>
      <c r="M32" s="27" t="s">
        <v>179</v>
      </c>
      <c r="N32" s="31" t="s">
        <v>186</v>
      </c>
      <c r="O32" s="26" t="s">
        <v>187</v>
      </c>
      <c r="P32" s="559"/>
      <c r="Q32" s="290"/>
      <c r="R32" s="709">
        <v>0</v>
      </c>
      <c r="S32" s="710">
        <v>0</v>
      </c>
      <c r="T32" s="711">
        <v>0</v>
      </c>
      <c r="U32" s="718">
        <v>1</v>
      </c>
      <c r="V32" s="710">
        <v>0</v>
      </c>
      <c r="W32" s="711">
        <v>0</v>
      </c>
      <c r="X32" s="718">
        <v>0</v>
      </c>
      <c r="Y32" s="710">
        <v>0</v>
      </c>
      <c r="Z32" s="711">
        <v>0</v>
      </c>
      <c r="AA32" s="718">
        <v>0</v>
      </c>
      <c r="AB32" s="723">
        <v>0</v>
      </c>
      <c r="AC32" s="724">
        <v>0</v>
      </c>
      <c r="AD32" s="728">
        <v>0</v>
      </c>
      <c r="AE32" s="728"/>
      <c r="AF32" s="728"/>
      <c r="AG32" s="723">
        <v>0</v>
      </c>
      <c r="AH32" s="724">
        <v>0</v>
      </c>
      <c r="AI32" s="731">
        <v>0</v>
      </c>
      <c r="AJ32" s="731">
        <v>0</v>
      </c>
      <c r="AL32" s="519" t="s">
        <v>71</v>
      </c>
      <c r="AM32" s="51">
        <v>190241</v>
      </c>
      <c r="AN32" s="36">
        <v>93.79</v>
      </c>
      <c r="AO32" s="26" t="s">
        <v>188</v>
      </c>
      <c r="AP32" s="37">
        <v>594</v>
      </c>
      <c r="AQ32" s="792">
        <f t="shared" si="0"/>
        <v>500.21</v>
      </c>
      <c r="AR32" s="828"/>
      <c r="AS32" s="812" t="s">
        <v>1314</v>
      </c>
      <c r="AT32" s="31" t="s">
        <v>57</v>
      </c>
      <c r="AU32" s="38">
        <v>1</v>
      </c>
      <c r="AV32" s="40"/>
      <c r="AW32" s="46"/>
      <c r="AX32" s="38">
        <v>0</v>
      </c>
      <c r="AY32" s="26" t="s">
        <v>47</v>
      </c>
      <c r="AZ32" s="747">
        <v>10</v>
      </c>
      <c r="BA32" s="31" t="s">
        <v>47</v>
      </c>
      <c r="BB32" s="41">
        <v>0</v>
      </c>
      <c r="BC32" s="42"/>
      <c r="BD32" s="42"/>
      <c r="BE32" s="42"/>
      <c r="BF32" s="42"/>
      <c r="BG32" s="42"/>
    </row>
    <row r="33" spans="1:277" ht="20" hidden="1" customHeight="1" outlineLevel="1">
      <c r="A33" s="453">
        <v>1901029</v>
      </c>
      <c r="B33" s="25">
        <v>42011</v>
      </c>
      <c r="C33" s="26" t="s">
        <v>67</v>
      </c>
      <c r="D33" s="26" t="s">
        <v>96</v>
      </c>
      <c r="E33" s="533" t="s">
        <v>116</v>
      </c>
      <c r="F33" s="519" t="s">
        <v>189</v>
      </c>
      <c r="G33" s="48" t="s">
        <v>190</v>
      </c>
      <c r="H33" s="733" t="s">
        <v>191</v>
      </c>
      <c r="I33" s="49">
        <v>190504</v>
      </c>
      <c r="J33" s="30" t="s">
        <v>62</v>
      </c>
      <c r="K33" s="31" t="s">
        <v>87</v>
      </c>
      <c r="L33" s="52" t="s">
        <v>191</v>
      </c>
      <c r="M33" s="27" t="s">
        <v>192</v>
      </c>
      <c r="N33" s="31" t="s">
        <v>193</v>
      </c>
      <c r="O33" s="26" t="s">
        <v>194</v>
      </c>
      <c r="P33" s="559"/>
      <c r="Q33" s="290"/>
      <c r="R33" s="709">
        <v>0</v>
      </c>
      <c r="S33" s="710">
        <v>0</v>
      </c>
      <c r="T33" s="711">
        <v>0</v>
      </c>
      <c r="U33" s="718">
        <v>0</v>
      </c>
      <c r="V33" s="710">
        <v>0</v>
      </c>
      <c r="W33" s="711">
        <v>0</v>
      </c>
      <c r="X33" s="718">
        <v>0</v>
      </c>
      <c r="Y33" s="710">
        <v>0</v>
      </c>
      <c r="Z33" s="711">
        <v>0</v>
      </c>
      <c r="AA33" s="718">
        <v>0</v>
      </c>
      <c r="AB33" s="723">
        <v>0</v>
      </c>
      <c r="AC33" s="724">
        <v>0</v>
      </c>
      <c r="AD33" s="728">
        <v>0</v>
      </c>
      <c r="AE33" s="728"/>
      <c r="AF33" s="728"/>
      <c r="AG33" s="723">
        <v>0</v>
      </c>
      <c r="AH33" s="724">
        <v>0</v>
      </c>
      <c r="AI33" s="731">
        <v>0</v>
      </c>
      <c r="AJ33" s="731">
        <v>0</v>
      </c>
      <c r="AL33" s="519" t="s">
        <v>78</v>
      </c>
      <c r="AM33" s="51">
        <v>190365</v>
      </c>
      <c r="AN33" s="36">
        <v>119.6</v>
      </c>
      <c r="AO33" s="26" t="s">
        <v>196</v>
      </c>
      <c r="AP33" s="37">
        <v>896</v>
      </c>
      <c r="AQ33" s="792">
        <f t="shared" si="0"/>
        <v>776.4</v>
      </c>
      <c r="AR33" s="828"/>
      <c r="AS33" s="812">
        <v>42081</v>
      </c>
      <c r="AT33" s="31" t="s">
        <v>57</v>
      </c>
      <c r="AU33" s="38">
        <v>2</v>
      </c>
      <c r="AV33" s="40"/>
      <c r="AW33" s="53"/>
      <c r="AX33" s="38">
        <v>0</v>
      </c>
      <c r="AY33" s="26" t="s">
        <v>47</v>
      </c>
      <c r="AZ33" s="748">
        <v>0</v>
      </c>
      <c r="BA33" s="31" t="s">
        <v>47</v>
      </c>
      <c r="BB33" s="41">
        <v>0</v>
      </c>
      <c r="BC33" s="42"/>
      <c r="BD33" s="42"/>
      <c r="BE33" s="42"/>
      <c r="BF33" s="42"/>
      <c r="BG33" s="42"/>
    </row>
    <row r="34" spans="1:277" ht="20" hidden="1" customHeight="1" outlineLevel="1">
      <c r="A34" s="453">
        <v>1901030</v>
      </c>
      <c r="B34" s="25">
        <v>42028</v>
      </c>
      <c r="C34" s="26" t="s">
        <v>67</v>
      </c>
      <c r="D34" s="26" t="s">
        <v>96</v>
      </c>
      <c r="E34" s="533" t="s">
        <v>69</v>
      </c>
      <c r="F34" s="519" t="s">
        <v>47</v>
      </c>
      <c r="G34" s="48" t="s">
        <v>47</v>
      </c>
      <c r="H34" s="733" t="s">
        <v>191</v>
      </c>
      <c r="I34" s="29" t="s">
        <v>47</v>
      </c>
      <c r="J34" s="30" t="s">
        <v>62</v>
      </c>
      <c r="K34" s="31" t="s">
        <v>163</v>
      </c>
      <c r="L34" s="32" t="s">
        <v>47</v>
      </c>
      <c r="M34" s="33">
        <v>42028</v>
      </c>
      <c r="N34" s="31" t="s">
        <v>197</v>
      </c>
      <c r="O34" s="26" t="s">
        <v>198</v>
      </c>
      <c r="P34" s="559"/>
      <c r="Q34" s="290"/>
      <c r="R34" s="709">
        <v>0</v>
      </c>
      <c r="S34" s="710">
        <v>0</v>
      </c>
      <c r="T34" s="711">
        <v>0</v>
      </c>
      <c r="U34" s="718">
        <v>0</v>
      </c>
      <c r="V34" s="710">
        <v>0</v>
      </c>
      <c r="W34" s="711">
        <v>0</v>
      </c>
      <c r="X34" s="718">
        <v>0</v>
      </c>
      <c r="Y34" s="710">
        <v>0</v>
      </c>
      <c r="Z34" s="711">
        <v>1</v>
      </c>
      <c r="AA34" s="718">
        <v>0</v>
      </c>
      <c r="AB34" s="723">
        <v>0</v>
      </c>
      <c r="AC34" s="724">
        <v>1</v>
      </c>
      <c r="AD34" s="728">
        <v>0</v>
      </c>
      <c r="AE34" s="728"/>
      <c r="AF34" s="728"/>
      <c r="AG34" s="723">
        <v>0</v>
      </c>
      <c r="AH34" s="724">
        <v>1</v>
      </c>
      <c r="AI34" s="731">
        <v>0</v>
      </c>
      <c r="AJ34" s="731">
        <v>0</v>
      </c>
      <c r="AL34" s="519" t="s">
        <v>47</v>
      </c>
      <c r="AM34" s="260" t="s">
        <v>92</v>
      </c>
      <c r="AN34" s="36">
        <f>1*PRODUCTS!C12+1*PRODUCTS!D12+1*PRODUCTS!E12</f>
        <v>0.50503415579453748</v>
      </c>
      <c r="AO34" s="26" t="s">
        <v>47</v>
      </c>
      <c r="AP34" s="37">
        <v>0</v>
      </c>
      <c r="AQ34" s="792">
        <f t="shared" si="0"/>
        <v>-0.50503415579453748</v>
      </c>
      <c r="AR34" s="828"/>
      <c r="AS34" s="812" t="s">
        <v>47</v>
      </c>
      <c r="AT34" s="31" t="s">
        <v>94</v>
      </c>
      <c r="AU34" s="38">
        <v>1</v>
      </c>
      <c r="AV34" s="40"/>
      <c r="AW34" s="46"/>
      <c r="AX34" s="36">
        <f>4.38</f>
        <v>4.38</v>
      </c>
      <c r="AY34" s="258" t="s">
        <v>47</v>
      </c>
      <c r="AZ34" s="748">
        <v>0</v>
      </c>
      <c r="BA34" s="31" t="s">
        <v>47</v>
      </c>
      <c r="BB34" s="41">
        <v>0</v>
      </c>
      <c r="BC34" s="42"/>
      <c r="BD34" s="42"/>
      <c r="BE34" s="42"/>
      <c r="BF34" s="42"/>
      <c r="BG34" s="42"/>
    </row>
    <row r="35" spans="1:277" ht="20" hidden="1" customHeight="1" outlineLevel="1">
      <c r="A35" s="453">
        <v>1901031</v>
      </c>
      <c r="B35" s="25">
        <v>42028</v>
      </c>
      <c r="C35" s="26" t="s">
        <v>44</v>
      </c>
      <c r="D35" s="26" t="s">
        <v>96</v>
      </c>
      <c r="E35" s="533" t="s">
        <v>116</v>
      </c>
      <c r="F35" s="519" t="s">
        <v>199</v>
      </c>
      <c r="G35" s="48" t="s">
        <v>200</v>
      </c>
      <c r="H35" s="733" t="s">
        <v>191</v>
      </c>
      <c r="I35" s="29" t="s">
        <v>1318</v>
      </c>
      <c r="J35" s="30" t="s">
        <v>62</v>
      </c>
      <c r="K35" s="31" t="s">
        <v>50</v>
      </c>
      <c r="L35" s="50">
        <v>159399815</v>
      </c>
      <c r="M35" s="297">
        <v>42080</v>
      </c>
      <c r="N35" s="31" t="s">
        <v>201</v>
      </c>
      <c r="O35" s="26" t="s">
        <v>202</v>
      </c>
      <c r="P35" s="559"/>
      <c r="Q35" s="290"/>
      <c r="R35" s="709">
        <v>0</v>
      </c>
      <c r="S35" s="710">
        <v>0</v>
      </c>
      <c r="T35" s="711">
        <v>0</v>
      </c>
      <c r="U35" s="718">
        <v>0</v>
      </c>
      <c r="V35" s="710">
        <v>0</v>
      </c>
      <c r="W35" s="711">
        <v>0</v>
      </c>
      <c r="X35" s="718">
        <v>0</v>
      </c>
      <c r="Y35" s="710">
        <v>0</v>
      </c>
      <c r="Z35" s="711">
        <v>0</v>
      </c>
      <c r="AA35" s="718">
        <v>11</v>
      </c>
      <c r="AB35" s="723">
        <v>0</v>
      </c>
      <c r="AC35" s="724">
        <v>0</v>
      </c>
      <c r="AD35" s="728">
        <v>60</v>
      </c>
      <c r="AE35" s="728"/>
      <c r="AF35" s="728"/>
      <c r="AG35" s="723">
        <v>1</v>
      </c>
      <c r="AH35" s="724">
        <v>0</v>
      </c>
      <c r="AI35" s="731">
        <v>0</v>
      </c>
      <c r="AJ35" s="731">
        <v>0</v>
      </c>
      <c r="AL35" s="519" t="s">
        <v>78</v>
      </c>
      <c r="AM35" s="35">
        <v>190633</v>
      </c>
      <c r="AN35" s="36">
        <v>834</v>
      </c>
      <c r="AO35" s="26" t="s">
        <v>203</v>
      </c>
      <c r="AP35" s="37">
        <v>1655.6</v>
      </c>
      <c r="AQ35" s="792">
        <f t="shared" si="0"/>
        <v>821.59999999999991</v>
      </c>
      <c r="AR35" s="828"/>
      <c r="AS35" s="812" t="s">
        <v>1314</v>
      </c>
      <c r="AT35" s="31" t="s">
        <v>57</v>
      </c>
      <c r="AU35" s="38">
        <v>6</v>
      </c>
      <c r="AV35" s="40"/>
      <c r="AW35" s="46"/>
      <c r="AX35" s="36">
        <v>350</v>
      </c>
      <c r="AY35" s="40">
        <v>12574347</v>
      </c>
      <c r="AZ35" s="748">
        <v>416.59</v>
      </c>
      <c r="BA35" s="31" t="s">
        <v>47</v>
      </c>
      <c r="BB35" s="41">
        <v>0</v>
      </c>
      <c r="BC35" s="42"/>
      <c r="BD35" s="42"/>
      <c r="BE35" s="42"/>
      <c r="BF35" s="42"/>
      <c r="BG35" s="42"/>
    </row>
    <row r="36" spans="1:277" ht="32" hidden="1" customHeight="1" outlineLevel="1">
      <c r="A36" s="453">
        <v>1901032</v>
      </c>
      <c r="B36" s="25">
        <v>42031</v>
      </c>
      <c r="C36" s="26" t="s">
        <v>67</v>
      </c>
      <c r="D36" s="26" t="s">
        <v>84</v>
      </c>
      <c r="E36" s="533" t="s">
        <v>85</v>
      </c>
      <c r="F36" s="519" t="s">
        <v>47</v>
      </c>
      <c r="G36" s="48" t="s">
        <v>205</v>
      </c>
      <c r="H36" s="733" t="s">
        <v>191</v>
      </c>
      <c r="I36" s="49">
        <v>190487</v>
      </c>
      <c r="J36" s="30" t="s">
        <v>62</v>
      </c>
      <c r="K36" s="31" t="s">
        <v>87</v>
      </c>
      <c r="L36" s="32" t="s">
        <v>206</v>
      </c>
      <c r="M36" s="27" t="s">
        <v>168</v>
      </c>
      <c r="N36" s="31" t="s">
        <v>207</v>
      </c>
      <c r="O36" s="26" t="s">
        <v>208</v>
      </c>
      <c r="P36" s="559"/>
      <c r="Q36" s="290"/>
      <c r="R36" s="709">
        <v>0</v>
      </c>
      <c r="S36" s="710">
        <v>0</v>
      </c>
      <c r="T36" s="711">
        <v>0</v>
      </c>
      <c r="U36" s="718">
        <v>1</v>
      </c>
      <c r="V36" s="710">
        <v>0</v>
      </c>
      <c r="W36" s="711">
        <v>0</v>
      </c>
      <c r="X36" s="718">
        <v>0</v>
      </c>
      <c r="Y36" s="710">
        <v>0</v>
      </c>
      <c r="Z36" s="711">
        <v>0</v>
      </c>
      <c r="AA36" s="718">
        <v>0</v>
      </c>
      <c r="AB36" s="723">
        <v>0</v>
      </c>
      <c r="AC36" s="724">
        <v>0</v>
      </c>
      <c r="AD36" s="728">
        <v>0</v>
      </c>
      <c r="AE36" s="728"/>
      <c r="AF36" s="728"/>
      <c r="AG36" s="723">
        <v>0</v>
      </c>
      <c r="AH36" s="724">
        <v>0</v>
      </c>
      <c r="AI36" s="731">
        <v>0</v>
      </c>
      <c r="AJ36" s="731">
        <v>0</v>
      </c>
      <c r="AL36" s="519" t="s">
        <v>71</v>
      </c>
      <c r="AM36" s="51">
        <v>190285</v>
      </c>
      <c r="AN36" s="36">
        <f>130.68/1.21</f>
        <v>108.00000000000001</v>
      </c>
      <c r="AO36" s="26" t="s">
        <v>188</v>
      </c>
      <c r="AP36" s="37">
        <v>350.4</v>
      </c>
      <c r="AQ36" s="792">
        <f t="shared" ref="AQ36:AQ68" si="1">AP36-AN36</f>
        <v>242.39999999999998</v>
      </c>
      <c r="AR36" s="828"/>
      <c r="AS36" s="812" t="s">
        <v>1314</v>
      </c>
      <c r="AT36" s="31" t="s">
        <v>57</v>
      </c>
      <c r="AU36" s="38">
        <v>1</v>
      </c>
      <c r="AV36" s="26" t="s">
        <v>171</v>
      </c>
      <c r="AW36" s="46">
        <v>2</v>
      </c>
      <c r="AX36" s="38">
        <v>0</v>
      </c>
      <c r="AY36" s="40"/>
      <c r="AZ36" s="748"/>
      <c r="BA36" s="31" t="s">
        <v>47</v>
      </c>
      <c r="BB36" s="41">
        <v>0</v>
      </c>
      <c r="BC36" s="42"/>
      <c r="BD36" s="42"/>
      <c r="BE36" s="42"/>
      <c r="BF36" s="42"/>
      <c r="BG36" s="42"/>
    </row>
    <row r="37" spans="1:277" ht="20" hidden="1" customHeight="1" outlineLevel="1">
      <c r="A37" s="453">
        <v>1901033</v>
      </c>
      <c r="B37" s="25">
        <v>42032</v>
      </c>
      <c r="C37" s="26" t="s">
        <v>44</v>
      </c>
      <c r="D37" s="26" t="s">
        <v>73</v>
      </c>
      <c r="E37" s="533" t="s">
        <v>46</v>
      </c>
      <c r="F37" s="519" t="s">
        <v>209</v>
      </c>
      <c r="G37" s="48" t="s">
        <v>47</v>
      </c>
      <c r="H37" s="733" t="s">
        <v>191</v>
      </c>
      <c r="I37" s="29" t="s">
        <v>47</v>
      </c>
      <c r="J37" s="30" t="s">
        <v>62</v>
      </c>
      <c r="K37" s="31" t="s">
        <v>50</v>
      </c>
      <c r="L37" s="44">
        <v>622423292</v>
      </c>
      <c r="M37" s="33">
        <v>42032</v>
      </c>
      <c r="N37" s="31" t="s">
        <v>51</v>
      </c>
      <c r="O37" s="26" t="s">
        <v>210</v>
      </c>
      <c r="P37" s="559"/>
      <c r="Q37" s="290"/>
      <c r="R37" s="709">
        <v>0</v>
      </c>
      <c r="S37" s="710">
        <v>0</v>
      </c>
      <c r="T37" s="711">
        <v>0</v>
      </c>
      <c r="U37" s="718">
        <v>0</v>
      </c>
      <c r="V37" s="710">
        <v>0</v>
      </c>
      <c r="W37" s="711">
        <v>1</v>
      </c>
      <c r="X37" s="718"/>
      <c r="Y37" s="710">
        <v>0</v>
      </c>
      <c r="Z37" s="711">
        <v>0</v>
      </c>
      <c r="AA37" s="718">
        <v>0</v>
      </c>
      <c r="AB37" s="723">
        <v>0</v>
      </c>
      <c r="AC37" s="724">
        <v>3</v>
      </c>
      <c r="AD37" s="728">
        <v>0</v>
      </c>
      <c r="AE37" s="728"/>
      <c r="AF37" s="728"/>
      <c r="AG37" s="723">
        <v>0</v>
      </c>
      <c r="AH37" s="724">
        <v>1</v>
      </c>
      <c r="AI37" s="731">
        <v>0</v>
      </c>
      <c r="AJ37" s="731">
        <v>0</v>
      </c>
      <c r="AL37" s="519" t="s">
        <v>47</v>
      </c>
      <c r="AM37" s="48" t="s">
        <v>47</v>
      </c>
      <c r="AN37" s="36">
        <v>0</v>
      </c>
      <c r="AO37" s="26" t="s">
        <v>211</v>
      </c>
      <c r="AP37" s="37">
        <v>5.75</v>
      </c>
      <c r="AQ37" s="792">
        <f t="shared" si="1"/>
        <v>5.75</v>
      </c>
      <c r="AR37" s="828"/>
      <c r="AS37" s="812" t="s">
        <v>1314</v>
      </c>
      <c r="AT37" s="31" t="s">
        <v>94</v>
      </c>
      <c r="AU37" s="38">
        <v>1</v>
      </c>
      <c r="AV37" s="40"/>
      <c r="AW37" s="46"/>
      <c r="AX37" s="36">
        <v>13</v>
      </c>
      <c r="AY37" s="40"/>
      <c r="AZ37" s="748"/>
      <c r="BA37" s="31" t="s">
        <v>47</v>
      </c>
      <c r="BB37" s="41">
        <v>0</v>
      </c>
      <c r="BC37" s="42"/>
      <c r="BD37" s="42"/>
      <c r="BE37" s="42"/>
      <c r="BF37" s="42"/>
      <c r="BG37" s="42"/>
    </row>
    <row r="38" spans="1:277" ht="32" hidden="1" customHeight="1" outlineLevel="1">
      <c r="A38" s="453">
        <v>1901034</v>
      </c>
      <c r="B38" s="25">
        <v>42032</v>
      </c>
      <c r="C38" s="26" t="s">
        <v>67</v>
      </c>
      <c r="D38" s="26" t="s">
        <v>96</v>
      </c>
      <c r="E38" s="533" t="s">
        <v>212</v>
      </c>
      <c r="F38" s="519" t="s">
        <v>47</v>
      </c>
      <c r="G38" s="35"/>
      <c r="H38" s="733" t="s">
        <v>191</v>
      </c>
      <c r="I38" s="54"/>
      <c r="J38" s="30" t="s">
        <v>66</v>
      </c>
      <c r="K38" s="31" t="s">
        <v>66</v>
      </c>
      <c r="L38" s="50"/>
      <c r="M38" s="33"/>
      <c r="N38" s="45"/>
      <c r="O38" s="26" t="s">
        <v>213</v>
      </c>
      <c r="P38" s="559"/>
      <c r="Q38" s="290"/>
      <c r="R38" s="709">
        <v>0</v>
      </c>
      <c r="S38" s="710">
        <v>0</v>
      </c>
      <c r="T38" s="711">
        <v>0</v>
      </c>
      <c r="U38" s="718">
        <v>0</v>
      </c>
      <c r="V38" s="710">
        <v>0</v>
      </c>
      <c r="W38" s="711">
        <v>0</v>
      </c>
      <c r="X38" s="718">
        <v>0</v>
      </c>
      <c r="Y38" s="710">
        <v>0</v>
      </c>
      <c r="Z38" s="711">
        <v>0</v>
      </c>
      <c r="AA38" s="718">
        <v>0</v>
      </c>
      <c r="AB38" s="723">
        <v>0</v>
      </c>
      <c r="AC38" s="724">
        <v>0</v>
      </c>
      <c r="AD38" s="728">
        <v>0</v>
      </c>
      <c r="AE38" s="728"/>
      <c r="AF38" s="728"/>
      <c r="AG38" s="723">
        <v>0</v>
      </c>
      <c r="AH38" s="724">
        <v>0</v>
      </c>
      <c r="AI38" s="731">
        <v>0</v>
      </c>
      <c r="AJ38" s="731">
        <v>0</v>
      </c>
      <c r="AL38" s="519" t="s">
        <v>71</v>
      </c>
      <c r="AM38" s="35"/>
      <c r="AN38" s="36">
        <v>0</v>
      </c>
      <c r="AO38" s="252" t="s">
        <v>47</v>
      </c>
      <c r="AP38" s="37">
        <v>0</v>
      </c>
      <c r="AQ38" s="792">
        <f t="shared" si="1"/>
        <v>0</v>
      </c>
      <c r="AR38" s="828"/>
      <c r="AS38" s="812" t="s">
        <v>47</v>
      </c>
      <c r="AT38" s="31" t="s">
        <v>66</v>
      </c>
      <c r="AU38" s="40"/>
      <c r="AV38" s="40"/>
      <c r="AW38" s="46"/>
      <c r="AX38" s="36"/>
      <c r="AY38" s="40"/>
      <c r="AZ38" s="748"/>
      <c r="BA38" s="31" t="s">
        <v>47</v>
      </c>
      <c r="BB38" s="41">
        <v>0</v>
      </c>
      <c r="BC38" s="42"/>
      <c r="BD38" s="42"/>
      <c r="BE38" s="42"/>
      <c r="BF38" s="42"/>
      <c r="BG38" s="42"/>
    </row>
    <row r="39" spans="1:277" ht="32" hidden="1" customHeight="1" outlineLevel="1">
      <c r="A39" s="453">
        <v>1901035</v>
      </c>
      <c r="B39" s="25">
        <v>42032</v>
      </c>
      <c r="C39" s="26" t="s">
        <v>44</v>
      </c>
      <c r="D39" s="26" t="s">
        <v>73</v>
      </c>
      <c r="E39" s="533" t="s">
        <v>69</v>
      </c>
      <c r="F39" s="519" t="s">
        <v>47</v>
      </c>
      <c r="G39" s="48" t="s">
        <v>214</v>
      </c>
      <c r="H39" s="733" t="s">
        <v>191</v>
      </c>
      <c r="I39" s="49">
        <v>190367</v>
      </c>
      <c r="J39" s="30" t="s">
        <v>62</v>
      </c>
      <c r="K39" s="31" t="s">
        <v>50</v>
      </c>
      <c r="L39" s="44">
        <v>624129855</v>
      </c>
      <c r="M39" s="27" t="s">
        <v>108</v>
      </c>
      <c r="N39" s="31" t="s">
        <v>174</v>
      </c>
      <c r="O39" s="26" t="s">
        <v>215</v>
      </c>
      <c r="P39" s="559"/>
      <c r="Q39" s="290"/>
      <c r="R39" s="709">
        <v>0</v>
      </c>
      <c r="S39" s="710">
        <v>0</v>
      </c>
      <c r="T39" s="711">
        <v>0</v>
      </c>
      <c r="U39" s="718">
        <v>0</v>
      </c>
      <c r="V39" s="710">
        <v>0</v>
      </c>
      <c r="W39" s="711">
        <v>0</v>
      </c>
      <c r="X39" s="718">
        <v>15</v>
      </c>
      <c r="Y39" s="710">
        <v>0</v>
      </c>
      <c r="Z39" s="711">
        <v>0</v>
      </c>
      <c r="AA39" s="718">
        <v>0</v>
      </c>
      <c r="AB39" s="723">
        <v>0</v>
      </c>
      <c r="AC39" s="724">
        <v>0</v>
      </c>
      <c r="AD39" s="728">
        <v>0</v>
      </c>
      <c r="AE39" s="728"/>
      <c r="AF39" s="728"/>
      <c r="AG39" s="723">
        <v>0</v>
      </c>
      <c r="AH39" s="724">
        <v>0</v>
      </c>
      <c r="AI39" s="731">
        <v>0</v>
      </c>
      <c r="AJ39" s="731">
        <v>0</v>
      </c>
      <c r="AL39" s="519" t="s">
        <v>65</v>
      </c>
      <c r="AM39" s="35"/>
      <c r="AN39" s="36">
        <f>15*8</f>
        <v>120</v>
      </c>
      <c r="AO39" s="26" t="s">
        <v>216</v>
      </c>
      <c r="AP39" s="37">
        <v>233.1</v>
      </c>
      <c r="AQ39" s="792">
        <f t="shared" si="1"/>
        <v>113.1</v>
      </c>
      <c r="AR39" s="828"/>
      <c r="AS39" s="812" t="s">
        <v>191</v>
      </c>
      <c r="AT39" s="31" t="s">
        <v>57</v>
      </c>
      <c r="AU39" s="38">
        <v>3</v>
      </c>
      <c r="AV39" s="40"/>
      <c r="AW39" s="46"/>
      <c r="AX39" s="36">
        <v>28.8</v>
      </c>
      <c r="AY39" s="38">
        <v>12507632</v>
      </c>
      <c r="AZ39" s="748">
        <v>26.06</v>
      </c>
      <c r="BA39" s="31" t="s">
        <v>47</v>
      </c>
      <c r="BB39" s="41">
        <v>0</v>
      </c>
      <c r="BC39" s="42"/>
      <c r="BD39" s="42"/>
      <c r="BE39" s="42"/>
      <c r="BF39" s="42"/>
      <c r="BG39" s="42"/>
    </row>
    <row r="40" spans="1:277" ht="32" hidden="1" customHeight="1" outlineLevel="1">
      <c r="A40" s="453">
        <v>1901036</v>
      </c>
      <c r="B40" s="25">
        <v>42033</v>
      </c>
      <c r="C40" s="26" t="s">
        <v>67</v>
      </c>
      <c r="D40" s="26" t="s">
        <v>73</v>
      </c>
      <c r="E40" s="533" t="s">
        <v>116</v>
      </c>
      <c r="F40" s="519" t="s">
        <v>47</v>
      </c>
      <c r="G40" s="48" t="s">
        <v>47</v>
      </c>
      <c r="H40" s="733" t="s">
        <v>191</v>
      </c>
      <c r="I40" s="29" t="s">
        <v>47</v>
      </c>
      <c r="J40" s="30" t="s">
        <v>62</v>
      </c>
      <c r="K40" s="31" t="s">
        <v>163</v>
      </c>
      <c r="L40" s="32" t="s">
        <v>47</v>
      </c>
      <c r="M40" s="27" t="s">
        <v>217</v>
      </c>
      <c r="N40" s="45"/>
      <c r="O40" s="26" t="s">
        <v>218</v>
      </c>
      <c r="P40" s="559"/>
      <c r="Q40" s="290"/>
      <c r="R40" s="709">
        <v>0</v>
      </c>
      <c r="S40" s="710">
        <v>0</v>
      </c>
      <c r="T40" s="711">
        <v>1</v>
      </c>
      <c r="U40" s="718">
        <v>0</v>
      </c>
      <c r="V40" s="710">
        <v>0</v>
      </c>
      <c r="W40" s="711">
        <v>0</v>
      </c>
      <c r="X40" s="718">
        <v>0</v>
      </c>
      <c r="Y40" s="710">
        <v>0</v>
      </c>
      <c r="Z40" s="711">
        <v>0</v>
      </c>
      <c r="AA40" s="718">
        <v>0</v>
      </c>
      <c r="AB40" s="723">
        <v>0</v>
      </c>
      <c r="AC40" s="724">
        <v>0</v>
      </c>
      <c r="AD40" s="728">
        <v>0</v>
      </c>
      <c r="AE40" s="728"/>
      <c r="AF40" s="728"/>
      <c r="AG40" s="723">
        <v>0</v>
      </c>
      <c r="AH40" s="724">
        <v>0</v>
      </c>
      <c r="AI40" s="731">
        <v>0</v>
      </c>
      <c r="AJ40" s="731">
        <v>0</v>
      </c>
      <c r="AL40" s="519" t="s">
        <v>47</v>
      </c>
      <c r="AM40" s="48" t="s">
        <v>47</v>
      </c>
      <c r="AN40" s="38">
        <v>0</v>
      </c>
      <c r="AO40" s="26" t="s">
        <v>47</v>
      </c>
      <c r="AP40" s="37">
        <v>1.5</v>
      </c>
      <c r="AQ40" s="792">
        <f t="shared" si="1"/>
        <v>1.5</v>
      </c>
      <c r="AR40" s="828"/>
      <c r="AS40" s="812" t="s">
        <v>191</v>
      </c>
      <c r="AT40" s="31" t="s">
        <v>94</v>
      </c>
      <c r="AU40" s="38">
        <v>1</v>
      </c>
      <c r="AV40" s="40"/>
      <c r="AW40" s="46"/>
      <c r="AX40" s="36"/>
      <c r="AY40" s="40"/>
      <c r="AZ40" s="748"/>
      <c r="BA40" s="31" t="s">
        <v>47</v>
      </c>
      <c r="BB40" s="41">
        <v>0</v>
      </c>
      <c r="BC40" s="42"/>
      <c r="BD40" s="42"/>
      <c r="BE40" s="42"/>
      <c r="BF40" s="42"/>
      <c r="BG40" s="42"/>
    </row>
    <row r="41" spans="1:277" ht="20" hidden="1" customHeight="1" outlineLevel="1">
      <c r="A41" s="453">
        <v>1901037</v>
      </c>
      <c r="B41" s="25">
        <v>42032</v>
      </c>
      <c r="C41" s="26" t="s">
        <v>59</v>
      </c>
      <c r="D41" s="26" t="s">
        <v>47</v>
      </c>
      <c r="E41" s="533" t="s">
        <v>60</v>
      </c>
      <c r="F41" s="519" t="s">
        <v>47</v>
      </c>
      <c r="G41" s="48" t="s">
        <v>219</v>
      </c>
      <c r="H41" s="733" t="s">
        <v>191</v>
      </c>
      <c r="I41" s="261" t="s">
        <v>191</v>
      </c>
      <c r="J41" s="30" t="s">
        <v>62</v>
      </c>
      <c r="K41" s="31" t="s">
        <v>66</v>
      </c>
      <c r="L41" s="50"/>
      <c r="M41" s="744" t="s">
        <v>191</v>
      </c>
      <c r="N41" s="31" t="s">
        <v>59</v>
      </c>
      <c r="O41" s="252" t="s">
        <v>1862</v>
      </c>
      <c r="P41" s="559"/>
      <c r="Q41" s="290"/>
      <c r="R41" s="709">
        <v>0</v>
      </c>
      <c r="S41" s="710">
        <v>0</v>
      </c>
      <c r="T41" s="711">
        <v>0</v>
      </c>
      <c r="U41" s="718">
        <v>0</v>
      </c>
      <c r="V41" s="710">
        <v>0</v>
      </c>
      <c r="W41" s="711">
        <v>0</v>
      </c>
      <c r="X41" s="718">
        <v>0</v>
      </c>
      <c r="Y41" s="710">
        <v>0</v>
      </c>
      <c r="Z41" s="711">
        <v>0</v>
      </c>
      <c r="AA41" s="718">
        <v>0</v>
      </c>
      <c r="AB41" s="723">
        <v>0</v>
      </c>
      <c r="AC41" s="724">
        <v>0</v>
      </c>
      <c r="AD41" s="728">
        <v>0</v>
      </c>
      <c r="AE41" s="728"/>
      <c r="AF41" s="728"/>
      <c r="AG41" s="723">
        <v>0</v>
      </c>
      <c r="AH41" s="724">
        <v>0</v>
      </c>
      <c r="AI41" s="731">
        <v>0</v>
      </c>
      <c r="AJ41" s="731">
        <v>0</v>
      </c>
      <c r="AL41" s="519" t="s">
        <v>65</v>
      </c>
      <c r="AM41" s="51">
        <v>190567</v>
      </c>
      <c r="AN41" s="36">
        <v>3579.75</v>
      </c>
      <c r="AO41" s="26" t="s">
        <v>47</v>
      </c>
      <c r="AP41" s="37">
        <v>0</v>
      </c>
      <c r="AQ41" s="792">
        <f t="shared" si="1"/>
        <v>-3579.75</v>
      </c>
      <c r="AR41" s="828"/>
      <c r="AS41" s="812" t="s">
        <v>191</v>
      </c>
      <c r="AT41" s="31" t="s">
        <v>66</v>
      </c>
      <c r="AU41" s="40"/>
      <c r="AV41" s="40"/>
      <c r="AW41" s="46"/>
      <c r="AX41" s="36"/>
      <c r="AY41" s="40"/>
      <c r="AZ41" s="748"/>
      <c r="BA41" s="31" t="s">
        <v>47</v>
      </c>
      <c r="BB41" s="41">
        <v>0</v>
      </c>
      <c r="BC41" s="42"/>
      <c r="BD41" s="42"/>
      <c r="BE41" s="42"/>
      <c r="BF41" s="42"/>
      <c r="BG41" s="42"/>
    </row>
    <row r="42" spans="1:277" ht="20" hidden="1" customHeight="1" outlineLevel="1">
      <c r="A42" s="453">
        <v>1901038</v>
      </c>
      <c r="B42" s="25">
        <v>42034</v>
      </c>
      <c r="C42" s="26" t="s">
        <v>67</v>
      </c>
      <c r="D42" s="26" t="s">
        <v>45</v>
      </c>
      <c r="E42" s="533" t="s">
        <v>69</v>
      </c>
      <c r="F42" s="519" t="s">
        <v>47</v>
      </c>
      <c r="G42" s="48" t="s">
        <v>47</v>
      </c>
      <c r="H42" s="733" t="s">
        <v>191</v>
      </c>
      <c r="I42" s="29" t="s">
        <v>47</v>
      </c>
      <c r="J42" s="30" t="s">
        <v>62</v>
      </c>
      <c r="K42" s="31" t="s">
        <v>163</v>
      </c>
      <c r="L42" s="32" t="s">
        <v>47</v>
      </c>
      <c r="M42" s="27" t="s">
        <v>108</v>
      </c>
      <c r="N42" s="31" t="s">
        <v>221</v>
      </c>
      <c r="O42" s="26" t="s">
        <v>222</v>
      </c>
      <c r="P42" s="559"/>
      <c r="Q42" s="290"/>
      <c r="R42" s="709">
        <v>0</v>
      </c>
      <c r="S42" s="710">
        <v>0</v>
      </c>
      <c r="T42" s="711">
        <v>0</v>
      </c>
      <c r="U42" s="718">
        <v>0</v>
      </c>
      <c r="V42" s="710">
        <v>0</v>
      </c>
      <c r="W42" s="711">
        <v>1</v>
      </c>
      <c r="X42" s="718">
        <v>0</v>
      </c>
      <c r="Y42" s="710">
        <v>0</v>
      </c>
      <c r="Z42" s="711">
        <v>0</v>
      </c>
      <c r="AA42" s="718">
        <v>0</v>
      </c>
      <c r="AB42" s="723">
        <v>0</v>
      </c>
      <c r="AC42" s="724">
        <v>0</v>
      </c>
      <c r="AD42" s="728">
        <v>0</v>
      </c>
      <c r="AE42" s="728"/>
      <c r="AF42" s="728"/>
      <c r="AG42" s="723">
        <v>0</v>
      </c>
      <c r="AH42" s="724">
        <v>0</v>
      </c>
      <c r="AI42" s="731">
        <v>0</v>
      </c>
      <c r="AJ42" s="731">
        <v>0</v>
      </c>
      <c r="AL42" s="519" t="s">
        <v>47</v>
      </c>
      <c r="AM42" s="48" t="s">
        <v>47</v>
      </c>
      <c r="AN42" s="36">
        <f>1*0.11</f>
        <v>0.11</v>
      </c>
      <c r="AO42" s="26" t="s">
        <v>47</v>
      </c>
      <c r="AP42" s="37">
        <v>0</v>
      </c>
      <c r="AQ42" s="792">
        <f t="shared" si="1"/>
        <v>-0.11</v>
      </c>
      <c r="AR42" s="828"/>
      <c r="AS42" s="812" t="s">
        <v>47</v>
      </c>
      <c r="AT42" s="31" t="s">
        <v>94</v>
      </c>
      <c r="AU42" s="40"/>
      <c r="AV42" s="40"/>
      <c r="AW42" s="46"/>
      <c r="AX42" s="36">
        <v>0</v>
      </c>
      <c r="AY42" s="258" t="s">
        <v>1861</v>
      </c>
      <c r="AZ42" s="748">
        <f>3*1.4</f>
        <v>4.1999999999999993</v>
      </c>
      <c r="BA42" s="31" t="s">
        <v>47</v>
      </c>
      <c r="BB42" s="41">
        <v>0</v>
      </c>
      <c r="BC42" s="42"/>
      <c r="BD42" s="42"/>
      <c r="BE42" s="42"/>
      <c r="BF42" s="42"/>
      <c r="BG42" s="42"/>
    </row>
    <row r="43" spans="1:277" ht="20" hidden="1" customHeight="1" outlineLevel="1">
      <c r="A43" s="453">
        <v>1901039</v>
      </c>
      <c r="B43" s="25">
        <v>42034</v>
      </c>
      <c r="C43" s="26" t="s">
        <v>67</v>
      </c>
      <c r="D43" s="26" t="s">
        <v>45</v>
      </c>
      <c r="E43" s="533" t="s">
        <v>60</v>
      </c>
      <c r="F43" s="519" t="s">
        <v>47</v>
      </c>
      <c r="G43" s="48" t="s">
        <v>47</v>
      </c>
      <c r="H43" s="733" t="s">
        <v>191</v>
      </c>
      <c r="I43" s="29" t="s">
        <v>47</v>
      </c>
      <c r="J43" s="30" t="s">
        <v>62</v>
      </c>
      <c r="K43" s="31" t="s">
        <v>163</v>
      </c>
      <c r="L43" s="32" t="s">
        <v>47</v>
      </c>
      <c r="M43" s="27" t="s">
        <v>108</v>
      </c>
      <c r="N43" s="31" t="s">
        <v>223</v>
      </c>
      <c r="O43" s="26" t="s">
        <v>224</v>
      </c>
      <c r="P43" s="559"/>
      <c r="Q43" s="290"/>
      <c r="R43" s="709">
        <v>0</v>
      </c>
      <c r="S43" s="710">
        <v>0</v>
      </c>
      <c r="T43" s="711">
        <v>0</v>
      </c>
      <c r="U43" s="718">
        <v>0</v>
      </c>
      <c r="V43" s="710">
        <v>0</v>
      </c>
      <c r="W43" s="711">
        <v>1</v>
      </c>
      <c r="X43" s="718">
        <v>0</v>
      </c>
      <c r="Y43" s="710">
        <v>0</v>
      </c>
      <c r="Z43" s="711">
        <v>0</v>
      </c>
      <c r="AA43" s="718">
        <v>0</v>
      </c>
      <c r="AB43" s="723">
        <v>0</v>
      </c>
      <c r="AC43" s="724">
        <v>0</v>
      </c>
      <c r="AD43" s="728">
        <v>0</v>
      </c>
      <c r="AE43" s="728"/>
      <c r="AF43" s="728"/>
      <c r="AG43" s="723">
        <v>0</v>
      </c>
      <c r="AH43" s="724">
        <v>0</v>
      </c>
      <c r="AI43" s="731">
        <v>0</v>
      </c>
      <c r="AJ43" s="731">
        <v>0</v>
      </c>
      <c r="AL43" s="519" t="s">
        <v>47</v>
      </c>
      <c r="AM43" s="48" t="s">
        <v>47</v>
      </c>
      <c r="AN43" s="36">
        <v>0.11</v>
      </c>
      <c r="AO43" s="26" t="s">
        <v>47</v>
      </c>
      <c r="AP43" s="37">
        <v>0</v>
      </c>
      <c r="AQ43" s="792">
        <f t="shared" si="1"/>
        <v>-0.11</v>
      </c>
      <c r="AR43" s="828"/>
      <c r="AS43" s="812" t="s">
        <v>47</v>
      </c>
      <c r="AT43" s="31" t="s">
        <v>94</v>
      </c>
      <c r="AU43" s="40"/>
      <c r="AV43" s="40"/>
      <c r="AW43" s="46"/>
      <c r="AX43" s="36">
        <v>0</v>
      </c>
      <c r="AY43" s="40"/>
      <c r="AZ43" s="748">
        <f>3*0.7</f>
        <v>2.0999999999999996</v>
      </c>
      <c r="BA43" s="31" t="s">
        <v>47</v>
      </c>
      <c r="BB43" s="41">
        <v>0</v>
      </c>
      <c r="BC43" s="42"/>
      <c r="BD43" s="42"/>
      <c r="BE43" s="42"/>
      <c r="BF43" s="42"/>
      <c r="BG43" s="42"/>
    </row>
    <row r="44" spans="1:277" ht="20" hidden="1" customHeight="1" outlineLevel="1">
      <c r="A44" s="453">
        <v>1901040</v>
      </c>
      <c r="B44" s="25">
        <v>42034</v>
      </c>
      <c r="C44" s="26" t="s">
        <v>67</v>
      </c>
      <c r="D44" s="26" t="s">
        <v>96</v>
      </c>
      <c r="E44" s="533" t="s">
        <v>85</v>
      </c>
      <c r="F44" s="519" t="s">
        <v>47</v>
      </c>
      <c r="G44" s="48" t="s">
        <v>47</v>
      </c>
      <c r="H44" s="733" t="s">
        <v>191</v>
      </c>
      <c r="I44" s="29" t="s">
        <v>47</v>
      </c>
      <c r="J44" s="30" t="s">
        <v>62</v>
      </c>
      <c r="K44" s="31" t="s">
        <v>50</v>
      </c>
      <c r="L44" s="44">
        <v>631810454</v>
      </c>
      <c r="M44" s="33">
        <v>42046</v>
      </c>
      <c r="N44" s="31" t="s">
        <v>225</v>
      </c>
      <c r="O44" s="26" t="s">
        <v>226</v>
      </c>
      <c r="P44" s="559"/>
      <c r="Q44" s="290"/>
      <c r="R44" s="709">
        <v>0</v>
      </c>
      <c r="S44" s="710">
        <v>0</v>
      </c>
      <c r="T44" s="711">
        <v>0</v>
      </c>
      <c r="U44" s="718">
        <v>0</v>
      </c>
      <c r="V44" s="710">
        <v>0</v>
      </c>
      <c r="W44" s="711">
        <v>0</v>
      </c>
      <c r="X44" s="718">
        <v>0</v>
      </c>
      <c r="Y44" s="710">
        <v>0</v>
      </c>
      <c r="Z44" s="711">
        <v>0</v>
      </c>
      <c r="AA44" s="718">
        <v>0</v>
      </c>
      <c r="AB44" s="723">
        <v>0</v>
      </c>
      <c r="AC44" s="724">
        <v>10</v>
      </c>
      <c r="AD44" s="728">
        <v>0</v>
      </c>
      <c r="AE44" s="728"/>
      <c r="AF44" s="728"/>
      <c r="AG44" s="723">
        <v>0</v>
      </c>
      <c r="AH44" s="724">
        <v>0</v>
      </c>
      <c r="AI44" s="731">
        <v>0</v>
      </c>
      <c r="AJ44" s="731">
        <v>0</v>
      </c>
      <c r="AL44" s="519" t="s">
        <v>47</v>
      </c>
      <c r="AM44" s="35"/>
      <c r="AN44" s="36">
        <f>10*1</f>
        <v>10</v>
      </c>
      <c r="AO44" s="26" t="s">
        <v>47</v>
      </c>
      <c r="AP44" s="37">
        <v>0</v>
      </c>
      <c r="AQ44" s="792">
        <f t="shared" si="1"/>
        <v>-10</v>
      </c>
      <c r="AR44" s="828"/>
      <c r="AS44" s="812" t="s">
        <v>47</v>
      </c>
      <c r="AT44" s="31" t="s">
        <v>94</v>
      </c>
      <c r="AU44" s="38">
        <v>1</v>
      </c>
      <c r="AV44" s="40"/>
      <c r="AW44" s="46"/>
      <c r="AX44" s="36">
        <v>0</v>
      </c>
      <c r="AY44" s="38">
        <v>12525055</v>
      </c>
      <c r="AZ44" s="748">
        <v>10.35</v>
      </c>
      <c r="BA44" s="31" t="s">
        <v>47</v>
      </c>
      <c r="BB44" s="41">
        <v>0</v>
      </c>
      <c r="BC44" s="42"/>
      <c r="BD44" s="42"/>
      <c r="BE44" s="42"/>
      <c r="BF44" s="42"/>
      <c r="BG44" s="42"/>
    </row>
    <row r="45" spans="1:277" ht="44" hidden="1" customHeight="1" outlineLevel="1">
      <c r="A45" s="453">
        <v>1901041</v>
      </c>
      <c r="B45" s="25">
        <v>42034</v>
      </c>
      <c r="C45" s="26" t="s">
        <v>59</v>
      </c>
      <c r="D45" s="26" t="s">
        <v>47</v>
      </c>
      <c r="E45" s="533" t="s">
        <v>85</v>
      </c>
      <c r="F45" s="519" t="s">
        <v>47</v>
      </c>
      <c r="G45" s="48" t="s">
        <v>227</v>
      </c>
      <c r="H45" s="733" t="s">
        <v>191</v>
      </c>
      <c r="I45" s="49">
        <v>190476</v>
      </c>
      <c r="J45" s="30" t="s">
        <v>49</v>
      </c>
      <c r="K45" s="31" t="s">
        <v>50</v>
      </c>
      <c r="L45" s="50"/>
      <c r="M45" s="27" t="s">
        <v>168</v>
      </c>
      <c r="N45" s="31" t="s">
        <v>225</v>
      </c>
      <c r="O45" s="26" t="s">
        <v>228</v>
      </c>
      <c r="P45" s="559"/>
      <c r="Q45" s="290"/>
      <c r="R45" s="709">
        <v>0</v>
      </c>
      <c r="S45" s="710">
        <v>0</v>
      </c>
      <c r="T45" s="711">
        <v>0</v>
      </c>
      <c r="U45" s="718">
        <v>0</v>
      </c>
      <c r="V45" s="710">
        <v>0</v>
      </c>
      <c r="W45" s="711">
        <v>0</v>
      </c>
      <c r="X45" s="718">
        <v>0</v>
      </c>
      <c r="Y45" s="710">
        <v>0</v>
      </c>
      <c r="Z45" s="711">
        <v>0</v>
      </c>
      <c r="AA45" s="718">
        <v>0</v>
      </c>
      <c r="AB45" s="723">
        <v>0</v>
      </c>
      <c r="AC45" s="724">
        <v>0</v>
      </c>
      <c r="AD45" s="728">
        <v>0</v>
      </c>
      <c r="AE45" s="728"/>
      <c r="AF45" s="728"/>
      <c r="AG45" s="723">
        <v>0</v>
      </c>
      <c r="AH45" s="724">
        <v>5</v>
      </c>
      <c r="AI45" s="731">
        <v>0</v>
      </c>
      <c r="AJ45" s="731">
        <v>0</v>
      </c>
      <c r="AL45" s="519" t="s">
        <v>47</v>
      </c>
      <c r="AM45" s="51">
        <v>190294</v>
      </c>
      <c r="AN45" s="36">
        <v>26.520661157024801</v>
      </c>
      <c r="AO45" s="26" t="s">
        <v>47</v>
      </c>
      <c r="AP45" s="37">
        <v>0</v>
      </c>
      <c r="AQ45" s="792">
        <f t="shared" si="1"/>
        <v>-26.520661157024801</v>
      </c>
      <c r="AR45" s="828"/>
      <c r="AS45" s="812" t="s">
        <v>47</v>
      </c>
      <c r="AT45" s="31" t="s">
        <v>57</v>
      </c>
      <c r="AU45" s="38">
        <v>1</v>
      </c>
      <c r="AV45" s="26" t="s">
        <v>229</v>
      </c>
      <c r="AW45" s="46">
        <v>1.5</v>
      </c>
      <c r="AX45" s="36">
        <v>0</v>
      </c>
      <c r="AY45" s="258" t="s">
        <v>47</v>
      </c>
      <c r="AZ45" s="748">
        <v>7.28</v>
      </c>
      <c r="BA45" s="31" t="s">
        <v>47</v>
      </c>
      <c r="BB45" s="41">
        <v>0</v>
      </c>
      <c r="BC45" s="42"/>
      <c r="BD45" s="42"/>
      <c r="BE45" s="42"/>
      <c r="BF45" s="42"/>
      <c r="BG45" s="42"/>
    </row>
    <row r="46" spans="1:277" ht="32" hidden="1" customHeight="1" outlineLevel="1">
      <c r="A46" s="453">
        <v>1901042</v>
      </c>
      <c r="B46" s="25">
        <v>42034</v>
      </c>
      <c r="C46" s="26" t="s">
        <v>59</v>
      </c>
      <c r="D46" s="26" t="s">
        <v>47</v>
      </c>
      <c r="E46" s="533" t="s">
        <v>60</v>
      </c>
      <c r="F46" s="519" t="s">
        <v>47</v>
      </c>
      <c r="G46" s="48" t="s">
        <v>230</v>
      </c>
      <c r="H46" s="733" t="s">
        <v>191</v>
      </c>
      <c r="I46" s="49">
        <v>190863</v>
      </c>
      <c r="J46" s="30" t="s">
        <v>49</v>
      </c>
      <c r="K46" s="31" t="s">
        <v>66</v>
      </c>
      <c r="L46" s="32" t="s">
        <v>231</v>
      </c>
      <c r="M46" s="33"/>
      <c r="N46" s="31" t="s">
        <v>59</v>
      </c>
      <c r="O46" s="26" t="s">
        <v>232</v>
      </c>
      <c r="P46" s="559"/>
      <c r="Q46" s="290"/>
      <c r="R46" s="709">
        <v>0</v>
      </c>
      <c r="S46" s="710">
        <v>0</v>
      </c>
      <c r="T46" s="711">
        <v>0</v>
      </c>
      <c r="U46" s="718">
        <v>0</v>
      </c>
      <c r="V46" s="710">
        <v>0</v>
      </c>
      <c r="W46" s="711">
        <v>0</v>
      </c>
      <c r="X46" s="718">
        <v>0</v>
      </c>
      <c r="Y46" s="710">
        <v>0</v>
      </c>
      <c r="Z46" s="711">
        <v>0</v>
      </c>
      <c r="AA46" s="718">
        <v>0</v>
      </c>
      <c r="AB46" s="723">
        <v>0</v>
      </c>
      <c r="AC46" s="724">
        <v>0</v>
      </c>
      <c r="AD46" s="728">
        <v>0</v>
      </c>
      <c r="AE46" s="728"/>
      <c r="AF46" s="728"/>
      <c r="AG46" s="723">
        <v>0</v>
      </c>
      <c r="AH46" s="724">
        <v>0</v>
      </c>
      <c r="AI46" s="731">
        <v>0</v>
      </c>
      <c r="AJ46" s="731">
        <v>0</v>
      </c>
      <c r="AL46" s="519" t="s">
        <v>65</v>
      </c>
      <c r="AM46" s="253" t="s">
        <v>47</v>
      </c>
      <c r="AN46" s="36">
        <v>0</v>
      </c>
      <c r="AO46" s="26" t="s">
        <v>47</v>
      </c>
      <c r="AP46" s="37">
        <v>0</v>
      </c>
      <c r="AQ46" s="792">
        <f t="shared" si="1"/>
        <v>0</v>
      </c>
      <c r="AR46" s="828"/>
      <c r="AS46" s="812"/>
      <c r="AT46" s="31" t="s">
        <v>66</v>
      </c>
      <c r="AU46" s="40"/>
      <c r="AV46" s="40"/>
      <c r="AW46" s="46"/>
      <c r="AX46" s="36"/>
      <c r="AY46" s="40"/>
      <c r="AZ46" s="748"/>
      <c r="BA46" s="31" t="s">
        <v>47</v>
      </c>
      <c r="BB46" s="41">
        <v>0</v>
      </c>
      <c r="BC46" s="42"/>
      <c r="BD46" s="42"/>
      <c r="BE46" s="42"/>
      <c r="BF46" s="42"/>
      <c r="BG46" s="42"/>
    </row>
    <row r="47" spans="1:277" ht="17" hidden="1" customHeight="1" outlineLevel="1" thickBot="1">
      <c r="A47" s="453">
        <v>1901043</v>
      </c>
      <c r="B47" s="55">
        <v>42034</v>
      </c>
      <c r="C47" s="56" t="s">
        <v>67</v>
      </c>
      <c r="D47" s="56" t="s">
        <v>96</v>
      </c>
      <c r="E47" s="534" t="s">
        <v>116</v>
      </c>
      <c r="F47" s="520" t="s">
        <v>47</v>
      </c>
      <c r="G47" s="58" t="s">
        <v>47</v>
      </c>
      <c r="H47" s="733" t="s">
        <v>191</v>
      </c>
      <c r="I47" s="59" t="s">
        <v>47</v>
      </c>
      <c r="J47" s="60" t="s">
        <v>62</v>
      </c>
      <c r="K47" s="61" t="s">
        <v>163</v>
      </c>
      <c r="L47" s="62" t="s">
        <v>47</v>
      </c>
      <c r="M47" s="57" t="s">
        <v>108</v>
      </c>
      <c r="N47" s="61" t="s">
        <v>207</v>
      </c>
      <c r="O47" s="56" t="s">
        <v>233</v>
      </c>
      <c r="P47" s="560"/>
      <c r="Q47" s="621"/>
      <c r="R47" s="712">
        <v>0</v>
      </c>
      <c r="S47" s="713">
        <v>0</v>
      </c>
      <c r="T47" s="714">
        <v>0</v>
      </c>
      <c r="U47" s="719">
        <v>0</v>
      </c>
      <c r="V47" s="713">
        <v>0</v>
      </c>
      <c r="W47" s="714">
        <v>1</v>
      </c>
      <c r="X47" s="719">
        <v>0</v>
      </c>
      <c r="Y47" s="713">
        <v>0</v>
      </c>
      <c r="Z47" s="714">
        <v>0</v>
      </c>
      <c r="AA47" s="719">
        <v>0</v>
      </c>
      <c r="AB47" s="725">
        <v>0</v>
      </c>
      <c r="AC47" s="726">
        <v>0</v>
      </c>
      <c r="AD47" s="729">
        <v>0</v>
      </c>
      <c r="AE47" s="729"/>
      <c r="AF47" s="729"/>
      <c r="AG47" s="725">
        <v>0</v>
      </c>
      <c r="AH47" s="726">
        <v>0</v>
      </c>
      <c r="AI47" s="732">
        <v>0</v>
      </c>
      <c r="AJ47" s="732">
        <v>0</v>
      </c>
      <c r="AL47" s="520" t="s">
        <v>65</v>
      </c>
      <c r="AM47" s="58" t="s">
        <v>47</v>
      </c>
      <c r="AN47" s="63">
        <v>0</v>
      </c>
      <c r="AO47" s="56" t="s">
        <v>47</v>
      </c>
      <c r="AP47" s="64">
        <v>0</v>
      </c>
      <c r="AQ47" s="793">
        <f>AP47-AN47</f>
        <v>0</v>
      </c>
      <c r="AR47" s="828"/>
      <c r="AS47" s="813" t="s">
        <v>47</v>
      </c>
      <c r="AT47" s="61" t="s">
        <v>66</v>
      </c>
      <c r="AU47" s="65"/>
      <c r="AV47" s="65"/>
      <c r="AW47" s="66"/>
      <c r="AX47" s="63">
        <v>0</v>
      </c>
      <c r="AY47" s="749" t="s">
        <v>1863</v>
      </c>
      <c r="AZ47" s="67">
        <f>6*1.4</f>
        <v>8.3999999999999986</v>
      </c>
      <c r="BA47" s="61" t="s">
        <v>47</v>
      </c>
      <c r="BB47" s="67">
        <v>0</v>
      </c>
      <c r="BC47" s="68"/>
      <c r="BD47" s="68"/>
      <c r="BE47" s="68"/>
      <c r="BF47" s="68"/>
      <c r="BG47" s="68"/>
    </row>
    <row r="48" spans="1:277" s="658" customFormat="1" ht="20" customHeight="1" collapsed="1" thickBot="1">
      <c r="A48" s="764" t="s">
        <v>1772</v>
      </c>
      <c r="B48" s="765" t="s">
        <v>1844</v>
      </c>
      <c r="C48" s="766">
        <f>AQ48+AV48-BB48</f>
        <v>2853.1636506966747</v>
      </c>
      <c r="D48" s="804" t="s">
        <v>2025</v>
      </c>
      <c r="E48" s="767">
        <f>R48+U48+X48+AA48+AD48+AE48+AF48+AJ48</f>
        <v>333</v>
      </c>
      <c r="F48" s="767"/>
      <c r="G48" s="767"/>
      <c r="H48" s="767"/>
      <c r="I48" s="767"/>
      <c r="J48" s="767"/>
      <c r="K48" s="767"/>
      <c r="L48" s="767"/>
      <c r="M48" s="767"/>
      <c r="N48" s="767"/>
      <c r="O48" s="767"/>
      <c r="P48" s="768"/>
      <c r="Q48" s="655"/>
      <c r="R48" s="684">
        <f>SUM(R5:R47)</f>
        <v>9</v>
      </c>
      <c r="S48" s="668">
        <f t="shared" ref="S48:AJ48" si="2">SUM(S5:S47)</f>
        <v>0</v>
      </c>
      <c r="T48" s="668">
        <f t="shared" si="2"/>
        <v>2</v>
      </c>
      <c r="U48" s="673">
        <f t="shared" si="2"/>
        <v>65</v>
      </c>
      <c r="V48" s="669">
        <f t="shared" si="2"/>
        <v>0</v>
      </c>
      <c r="W48" s="669">
        <f t="shared" si="2"/>
        <v>4</v>
      </c>
      <c r="X48" s="674">
        <f t="shared" si="2"/>
        <v>131</v>
      </c>
      <c r="Y48" s="670">
        <f t="shared" si="2"/>
        <v>0</v>
      </c>
      <c r="Z48" s="670">
        <f t="shared" si="2"/>
        <v>1</v>
      </c>
      <c r="AA48" s="675">
        <f t="shared" si="2"/>
        <v>65</v>
      </c>
      <c r="AB48" s="671">
        <f t="shared" si="2"/>
        <v>0</v>
      </c>
      <c r="AC48" s="671">
        <f t="shared" si="2"/>
        <v>14</v>
      </c>
      <c r="AD48" s="676">
        <f t="shared" si="2"/>
        <v>63</v>
      </c>
      <c r="AE48" s="676">
        <f t="shared" si="2"/>
        <v>0</v>
      </c>
      <c r="AF48" s="676">
        <f t="shared" si="2"/>
        <v>0</v>
      </c>
      <c r="AG48" s="672">
        <f t="shared" si="2"/>
        <v>221</v>
      </c>
      <c r="AH48" s="672">
        <f t="shared" si="2"/>
        <v>61</v>
      </c>
      <c r="AI48" s="677">
        <f t="shared" ref="AI48" si="3">SUM(AI5:AI47)</f>
        <v>1</v>
      </c>
      <c r="AJ48" s="677">
        <f t="shared" si="2"/>
        <v>0</v>
      </c>
      <c r="AK48" s="737"/>
      <c r="AL48" s="655"/>
      <c r="AM48" s="655"/>
      <c r="AN48" s="659">
        <f>SUM(AN5:AN47)</f>
        <v>21225.900316245472</v>
      </c>
      <c r="AO48" s="655"/>
      <c r="AP48" s="659">
        <f>SUM(AP5:AP47)</f>
        <v>24273.530000000002</v>
      </c>
      <c r="AQ48" s="659">
        <f>SUM(AQ5:AQ47)</f>
        <v>3047.629683754526</v>
      </c>
      <c r="AR48" s="829"/>
      <c r="AS48" s="657"/>
      <c r="AT48" s="660" t="s">
        <v>1845</v>
      </c>
      <c r="AU48" s="655"/>
      <c r="AV48" s="659">
        <f>AX48-AZ48</f>
        <v>-127.06000000000006</v>
      </c>
      <c r="AW48" s="655"/>
      <c r="AX48" s="661">
        <f>SUM(AX5:AX47)</f>
        <v>564.05999999999995</v>
      </c>
      <c r="AY48" s="661"/>
      <c r="AZ48" s="661">
        <f>SUM(AZ5:AZ47)</f>
        <v>691.12</v>
      </c>
      <c r="BA48" s="660" t="s">
        <v>1846</v>
      </c>
      <c r="BB48" s="661">
        <f>SUM(BB5:BB47)</f>
        <v>67.406033057851232</v>
      </c>
      <c r="BC48" s="655"/>
      <c r="BD48" s="655"/>
      <c r="BE48" s="655"/>
      <c r="BF48" s="655"/>
      <c r="BG48" s="656"/>
      <c r="BH48" s="657"/>
      <c r="BI48" s="657"/>
      <c r="BJ48" s="657"/>
      <c r="BK48" s="657"/>
      <c r="BL48" s="657"/>
      <c r="BM48" s="657"/>
      <c r="BN48" s="657"/>
      <c r="BO48" s="657"/>
      <c r="BP48" s="657"/>
      <c r="BQ48" s="657"/>
      <c r="BR48" s="657"/>
      <c r="BS48" s="657"/>
      <c r="BT48" s="657"/>
      <c r="BU48" s="657"/>
      <c r="BV48" s="657"/>
      <c r="BW48" s="657"/>
      <c r="BX48" s="657"/>
      <c r="BY48" s="657"/>
      <c r="BZ48" s="657"/>
      <c r="CA48" s="657"/>
      <c r="CB48" s="657"/>
      <c r="CC48" s="657"/>
      <c r="CD48" s="657"/>
      <c r="CE48" s="657"/>
      <c r="CF48" s="657"/>
      <c r="CG48" s="657"/>
      <c r="CH48" s="657"/>
      <c r="CI48" s="657"/>
      <c r="CJ48" s="657"/>
      <c r="CK48" s="657"/>
      <c r="CL48" s="657"/>
      <c r="CM48" s="657"/>
      <c r="CN48" s="657"/>
      <c r="CO48" s="657"/>
      <c r="CP48" s="657"/>
      <c r="CQ48" s="657"/>
      <c r="CR48" s="657"/>
      <c r="CS48" s="657"/>
      <c r="CT48" s="657"/>
      <c r="CU48" s="657"/>
      <c r="CV48" s="657"/>
      <c r="CW48" s="657"/>
      <c r="CX48" s="657"/>
      <c r="CY48" s="657"/>
      <c r="CZ48" s="657"/>
      <c r="DA48" s="657"/>
      <c r="DB48" s="657"/>
      <c r="DC48" s="657"/>
      <c r="DD48" s="657"/>
      <c r="DE48" s="657"/>
      <c r="DF48" s="657"/>
      <c r="DG48" s="657"/>
      <c r="DH48" s="657"/>
      <c r="DI48" s="657"/>
      <c r="DJ48" s="657"/>
      <c r="DK48" s="657"/>
      <c r="DL48" s="657"/>
      <c r="DM48" s="657"/>
      <c r="DN48" s="657"/>
      <c r="DO48" s="657"/>
      <c r="DP48" s="657"/>
      <c r="DQ48" s="657"/>
      <c r="DR48" s="657"/>
      <c r="DS48" s="657"/>
      <c r="DT48" s="657"/>
      <c r="DU48" s="657"/>
      <c r="DV48" s="657"/>
      <c r="DW48" s="657"/>
      <c r="DX48" s="657"/>
      <c r="DY48" s="657"/>
      <c r="DZ48" s="657"/>
      <c r="EA48" s="657"/>
      <c r="EB48" s="657"/>
      <c r="EC48" s="657"/>
      <c r="ED48" s="657"/>
      <c r="EE48" s="657"/>
      <c r="EF48" s="657"/>
      <c r="EG48" s="657"/>
      <c r="EH48" s="657"/>
      <c r="EI48" s="657"/>
      <c r="EJ48" s="657"/>
      <c r="EK48" s="657"/>
      <c r="EL48" s="657"/>
      <c r="EM48" s="657"/>
      <c r="EN48" s="657"/>
      <c r="EO48" s="657"/>
      <c r="EP48" s="657"/>
      <c r="EQ48" s="657"/>
      <c r="ER48" s="657"/>
      <c r="ES48" s="657"/>
      <c r="ET48" s="657"/>
      <c r="EU48" s="657"/>
      <c r="EV48" s="657"/>
      <c r="EW48" s="657"/>
      <c r="EX48" s="657"/>
      <c r="EY48" s="657"/>
      <c r="EZ48" s="657"/>
      <c r="FA48" s="657"/>
      <c r="FB48" s="657"/>
      <c r="FC48" s="657"/>
      <c r="FD48" s="657"/>
      <c r="FE48" s="657"/>
      <c r="FF48" s="657"/>
      <c r="FG48" s="657"/>
      <c r="FH48" s="657"/>
      <c r="FI48" s="657"/>
      <c r="FJ48" s="657"/>
      <c r="FK48" s="657"/>
      <c r="FL48" s="657"/>
      <c r="FM48" s="657"/>
      <c r="FN48" s="657"/>
      <c r="FO48" s="657"/>
      <c r="FP48" s="657"/>
      <c r="FQ48" s="657"/>
      <c r="FR48" s="657"/>
      <c r="FS48" s="657"/>
      <c r="FT48" s="657"/>
      <c r="FU48" s="657"/>
      <c r="FV48" s="657"/>
      <c r="FW48" s="657"/>
      <c r="FX48" s="657"/>
      <c r="FY48" s="657"/>
      <c r="FZ48" s="657"/>
      <c r="GA48" s="657"/>
      <c r="GB48" s="657"/>
      <c r="GC48" s="657"/>
      <c r="GD48" s="657"/>
      <c r="GE48" s="657"/>
      <c r="GF48" s="657"/>
      <c r="GG48" s="657"/>
      <c r="GH48" s="657"/>
      <c r="GI48" s="657"/>
      <c r="GJ48" s="657"/>
      <c r="GK48" s="657"/>
      <c r="GL48" s="657"/>
      <c r="GM48" s="657"/>
      <c r="GN48" s="657"/>
      <c r="GO48" s="657"/>
      <c r="GP48" s="657"/>
      <c r="GQ48" s="657"/>
      <c r="GR48" s="657"/>
      <c r="GS48" s="657"/>
      <c r="GT48" s="657"/>
      <c r="GU48" s="657"/>
      <c r="GV48" s="657"/>
      <c r="GW48" s="657"/>
      <c r="GX48" s="657"/>
      <c r="GY48" s="657"/>
      <c r="GZ48" s="657"/>
      <c r="HA48" s="657"/>
      <c r="HB48" s="657"/>
      <c r="HC48" s="657"/>
      <c r="HD48" s="657"/>
      <c r="HE48" s="657"/>
      <c r="HF48" s="657"/>
      <c r="HG48" s="657"/>
      <c r="HH48" s="657"/>
      <c r="HI48" s="657"/>
      <c r="HJ48" s="657"/>
      <c r="HK48" s="657"/>
      <c r="HL48" s="657"/>
      <c r="HM48" s="657"/>
      <c r="HN48" s="657"/>
      <c r="HO48" s="657"/>
      <c r="HP48" s="657"/>
      <c r="HQ48" s="657"/>
      <c r="HR48" s="657"/>
      <c r="HS48" s="657"/>
      <c r="HT48" s="657"/>
      <c r="HU48" s="657"/>
      <c r="HV48" s="657"/>
      <c r="HW48" s="657"/>
      <c r="HX48" s="657"/>
      <c r="HY48" s="657"/>
      <c r="HZ48" s="657"/>
      <c r="IA48" s="657"/>
      <c r="IB48" s="657"/>
      <c r="IC48" s="657"/>
      <c r="ID48" s="657"/>
      <c r="IE48" s="657"/>
      <c r="IF48" s="657"/>
      <c r="IG48" s="657"/>
      <c r="IH48" s="657"/>
      <c r="II48" s="657"/>
      <c r="IJ48" s="657"/>
      <c r="IK48" s="657"/>
      <c r="IL48" s="657"/>
      <c r="IM48" s="657"/>
      <c r="IN48" s="657"/>
      <c r="IO48" s="657"/>
      <c r="IP48" s="657"/>
      <c r="IQ48" s="657"/>
      <c r="IR48" s="657"/>
      <c r="IS48" s="657"/>
      <c r="IT48" s="657"/>
      <c r="IU48" s="657"/>
      <c r="IV48" s="657"/>
      <c r="IW48" s="657"/>
      <c r="IX48" s="657"/>
      <c r="IY48" s="657"/>
      <c r="IZ48" s="657"/>
      <c r="JA48" s="657"/>
      <c r="JB48" s="657"/>
      <c r="JC48" s="657"/>
      <c r="JD48" s="657"/>
      <c r="JE48" s="657"/>
      <c r="JF48" s="657"/>
      <c r="JG48" s="657"/>
      <c r="JH48" s="657"/>
      <c r="JI48" s="657"/>
      <c r="JJ48" s="657"/>
      <c r="JK48" s="657"/>
      <c r="JL48" s="657"/>
      <c r="JM48" s="657"/>
      <c r="JN48" s="657"/>
      <c r="JO48" s="657"/>
      <c r="JP48" s="657"/>
      <c r="JQ48" s="657"/>
    </row>
    <row r="49" spans="1:59" ht="21.75" customHeight="1" outlineLevel="1" thickTop="1">
      <c r="A49" s="484">
        <v>1902001</v>
      </c>
      <c r="B49" s="69">
        <v>42035</v>
      </c>
      <c r="C49" s="70" t="s">
        <v>59</v>
      </c>
      <c r="D49" s="70" t="s">
        <v>47</v>
      </c>
      <c r="E49" s="536" t="s">
        <v>60</v>
      </c>
      <c r="F49" s="521" t="s">
        <v>47</v>
      </c>
      <c r="G49" s="72" t="s">
        <v>234</v>
      </c>
      <c r="H49" s="292"/>
      <c r="I49" s="73">
        <v>190477</v>
      </c>
      <c r="J49" s="74" t="s">
        <v>49</v>
      </c>
      <c r="K49" s="75" t="s">
        <v>50</v>
      </c>
      <c r="L49" s="76">
        <v>628696423</v>
      </c>
      <c r="M49" s="71" t="s">
        <v>168</v>
      </c>
      <c r="N49" s="75" t="s">
        <v>59</v>
      </c>
      <c r="O49" s="70" t="s">
        <v>235</v>
      </c>
      <c r="P49" s="561"/>
      <c r="Q49" s="622"/>
      <c r="R49" s="750">
        <v>0</v>
      </c>
      <c r="S49" s="751">
        <v>0</v>
      </c>
      <c r="T49" s="752">
        <v>0</v>
      </c>
      <c r="U49" s="756">
        <v>0</v>
      </c>
      <c r="V49" s="751">
        <v>0</v>
      </c>
      <c r="W49" s="752">
        <v>0</v>
      </c>
      <c r="X49" s="756">
        <v>0</v>
      </c>
      <c r="Y49" s="751">
        <v>0</v>
      </c>
      <c r="Z49" s="752">
        <v>0</v>
      </c>
      <c r="AA49" s="756">
        <v>0</v>
      </c>
      <c r="AB49" s="751">
        <v>0</v>
      </c>
      <c r="AC49" s="752">
        <v>0</v>
      </c>
      <c r="AD49" s="756">
        <v>0</v>
      </c>
      <c r="AE49" s="756">
        <v>0</v>
      </c>
      <c r="AF49" s="756">
        <v>0</v>
      </c>
      <c r="AG49" s="758">
        <v>0</v>
      </c>
      <c r="AH49" s="759">
        <f>11*10</f>
        <v>110</v>
      </c>
      <c r="AI49" s="762">
        <v>0</v>
      </c>
      <c r="AJ49" s="762">
        <v>0</v>
      </c>
      <c r="AK49" s="292"/>
      <c r="AL49" s="521" t="s">
        <v>47</v>
      </c>
      <c r="AM49" s="788">
        <v>190283</v>
      </c>
      <c r="AN49" s="77">
        <v>110.5</v>
      </c>
      <c r="AO49" s="70" t="s">
        <v>47</v>
      </c>
      <c r="AP49" s="78">
        <v>0</v>
      </c>
      <c r="AQ49" s="794">
        <f t="shared" si="1"/>
        <v>-110.5</v>
      </c>
      <c r="AR49" s="828"/>
      <c r="AS49" s="814" t="s">
        <v>47</v>
      </c>
      <c r="AT49" s="75" t="s">
        <v>66</v>
      </c>
      <c r="AU49" s="79"/>
      <c r="AV49" s="79"/>
      <c r="AW49" s="80"/>
      <c r="AX49" s="77">
        <v>0</v>
      </c>
      <c r="AY49" s="79"/>
      <c r="AZ49" s="81">
        <v>7.28</v>
      </c>
      <c r="BA49" s="75" t="s">
        <v>47</v>
      </c>
      <c r="BB49" s="81">
        <v>0</v>
      </c>
      <c r="BC49" s="82"/>
      <c r="BD49" s="82"/>
      <c r="BE49" s="82"/>
      <c r="BF49" s="82"/>
      <c r="BG49" s="82"/>
    </row>
    <row r="50" spans="1:59" ht="20.75" customHeight="1" outlineLevel="1">
      <c r="A50" s="485">
        <v>1902002</v>
      </c>
      <c r="B50" s="25">
        <v>42038</v>
      </c>
      <c r="C50" s="26" t="s">
        <v>44</v>
      </c>
      <c r="D50" s="26" t="s">
        <v>73</v>
      </c>
      <c r="E50" s="533" t="s">
        <v>60</v>
      </c>
      <c r="F50" s="519" t="s">
        <v>47</v>
      </c>
      <c r="G50" s="48" t="s">
        <v>47</v>
      </c>
      <c r="H50" s="291"/>
      <c r="I50" s="29" t="s">
        <v>47</v>
      </c>
      <c r="J50" s="30" t="s">
        <v>62</v>
      </c>
      <c r="K50" s="31" t="s">
        <v>50</v>
      </c>
      <c r="L50" s="83">
        <v>625954932</v>
      </c>
      <c r="M50" s="33">
        <v>42038</v>
      </c>
      <c r="N50" s="31" t="s">
        <v>236</v>
      </c>
      <c r="O50" s="26" t="s">
        <v>237</v>
      </c>
      <c r="P50" s="559"/>
      <c r="Q50" s="290"/>
      <c r="R50" s="753">
        <v>0</v>
      </c>
      <c r="S50" s="754">
        <v>0</v>
      </c>
      <c r="T50" s="755">
        <v>0</v>
      </c>
      <c r="U50" s="757">
        <v>0</v>
      </c>
      <c r="V50" s="754">
        <v>0</v>
      </c>
      <c r="W50" s="755">
        <v>0</v>
      </c>
      <c r="X50" s="757">
        <v>0</v>
      </c>
      <c r="Y50" s="754">
        <v>0</v>
      </c>
      <c r="Z50" s="755">
        <v>0</v>
      </c>
      <c r="AA50" s="757">
        <v>0</v>
      </c>
      <c r="AB50" s="754">
        <v>0</v>
      </c>
      <c r="AC50" s="755">
        <v>0</v>
      </c>
      <c r="AD50" s="757">
        <v>0</v>
      </c>
      <c r="AE50" s="757">
        <v>0</v>
      </c>
      <c r="AF50" s="757">
        <v>0</v>
      </c>
      <c r="AG50" s="760">
        <v>1</v>
      </c>
      <c r="AH50" s="761">
        <v>0</v>
      </c>
      <c r="AI50" s="763">
        <v>0</v>
      </c>
      <c r="AJ50" s="763">
        <v>0</v>
      </c>
      <c r="AK50" s="291"/>
      <c r="AL50" s="519" t="s">
        <v>47</v>
      </c>
      <c r="AM50" s="48" t="s">
        <v>47</v>
      </c>
      <c r="AN50" s="36">
        <f>1*PRODUCTS!C3</f>
        <v>63.99</v>
      </c>
      <c r="AO50" s="26" t="s">
        <v>47</v>
      </c>
      <c r="AP50" s="37">
        <v>0</v>
      </c>
      <c r="AQ50" s="792">
        <f t="shared" si="1"/>
        <v>-63.99</v>
      </c>
      <c r="AR50" s="828"/>
      <c r="AS50" s="812" t="s">
        <v>47</v>
      </c>
      <c r="AT50" s="31" t="s">
        <v>57</v>
      </c>
      <c r="AU50" s="38">
        <v>1</v>
      </c>
      <c r="AV50" s="26" t="s">
        <v>238</v>
      </c>
      <c r="AW50" s="46">
        <v>5</v>
      </c>
      <c r="AX50" s="36">
        <v>0</v>
      </c>
      <c r="AY50" s="38">
        <v>12516206</v>
      </c>
      <c r="AZ50" s="41">
        <v>10.28</v>
      </c>
      <c r="BA50" s="45"/>
      <c r="BB50" s="41"/>
      <c r="BC50" s="42"/>
      <c r="BD50" s="42"/>
      <c r="BE50" s="42"/>
      <c r="BF50" s="42"/>
      <c r="BG50" s="42"/>
    </row>
    <row r="51" spans="1:59" ht="32.25" customHeight="1" outlineLevel="1">
      <c r="A51" s="485">
        <v>1902003</v>
      </c>
      <c r="B51" s="25">
        <v>42038</v>
      </c>
      <c r="C51" s="26" t="s">
        <v>67</v>
      </c>
      <c r="D51" s="26" t="s">
        <v>73</v>
      </c>
      <c r="E51" s="533" t="s">
        <v>154</v>
      </c>
      <c r="F51" s="519" t="s">
        <v>239</v>
      </c>
      <c r="G51" s="48" t="s">
        <v>240</v>
      </c>
      <c r="H51" s="291"/>
      <c r="I51" s="49">
        <v>190526</v>
      </c>
      <c r="J51" s="30" t="s">
        <v>49</v>
      </c>
      <c r="K51" s="31" t="s">
        <v>50</v>
      </c>
      <c r="L51" s="84">
        <v>630955721</v>
      </c>
      <c r="M51" s="27" t="s">
        <v>103</v>
      </c>
      <c r="N51" s="31" t="s">
        <v>241</v>
      </c>
      <c r="O51" s="26" t="s">
        <v>242</v>
      </c>
      <c r="P51" s="559"/>
      <c r="Q51" s="290"/>
      <c r="R51" s="753">
        <v>1</v>
      </c>
      <c r="S51" s="754">
        <v>0</v>
      </c>
      <c r="T51" s="755">
        <v>0</v>
      </c>
      <c r="U51" s="757">
        <v>0</v>
      </c>
      <c r="V51" s="754">
        <v>0</v>
      </c>
      <c r="W51" s="755">
        <v>0</v>
      </c>
      <c r="X51" s="757">
        <v>0</v>
      </c>
      <c r="Y51" s="754">
        <v>0</v>
      </c>
      <c r="Z51" s="755">
        <v>0</v>
      </c>
      <c r="AA51" s="757">
        <v>0</v>
      </c>
      <c r="AB51" s="754">
        <v>0</v>
      </c>
      <c r="AC51" s="755">
        <v>0</v>
      </c>
      <c r="AD51" s="757">
        <v>0</v>
      </c>
      <c r="AE51" s="757">
        <v>0</v>
      </c>
      <c r="AF51" s="757">
        <v>0</v>
      </c>
      <c r="AG51" s="760">
        <v>0</v>
      </c>
      <c r="AH51" s="761">
        <v>0</v>
      </c>
      <c r="AI51" s="763">
        <v>0</v>
      </c>
      <c r="AJ51" s="763">
        <v>0</v>
      </c>
      <c r="AK51" s="291"/>
      <c r="AL51" s="519" t="s">
        <v>140</v>
      </c>
      <c r="AM51" s="35"/>
      <c r="AN51" s="36">
        <v>110.3</v>
      </c>
      <c r="AO51" s="26" t="s">
        <v>243</v>
      </c>
      <c r="AP51" s="37">
        <v>580.5</v>
      </c>
      <c r="AQ51" s="792">
        <f t="shared" si="1"/>
        <v>470.2</v>
      </c>
      <c r="AR51" s="828"/>
      <c r="AS51" s="812" t="s">
        <v>1314</v>
      </c>
      <c r="AT51" s="31" t="s">
        <v>57</v>
      </c>
      <c r="AU51" s="38">
        <v>1</v>
      </c>
      <c r="AV51" s="26" t="s">
        <v>244</v>
      </c>
      <c r="AW51" s="46">
        <v>7</v>
      </c>
      <c r="AX51" s="36">
        <v>15</v>
      </c>
      <c r="AY51" s="38">
        <v>12525055</v>
      </c>
      <c r="AZ51" s="41">
        <v>10.84</v>
      </c>
      <c r="BA51" s="31" t="s">
        <v>47</v>
      </c>
      <c r="BB51" s="41">
        <v>0</v>
      </c>
      <c r="BC51" s="42"/>
      <c r="BD51" s="42"/>
      <c r="BE51" s="42"/>
      <c r="BF51" s="42"/>
      <c r="BG51" s="42"/>
    </row>
    <row r="52" spans="1:59" ht="20" customHeight="1" outlineLevel="1">
      <c r="A52" s="485">
        <v>1902004</v>
      </c>
      <c r="B52" s="25">
        <v>42038</v>
      </c>
      <c r="C52" s="26" t="s">
        <v>44</v>
      </c>
      <c r="D52" s="26" t="s">
        <v>73</v>
      </c>
      <c r="E52" s="533" t="s">
        <v>154</v>
      </c>
      <c r="F52" s="519" t="s">
        <v>47</v>
      </c>
      <c r="G52" s="48" t="s">
        <v>245</v>
      </c>
      <c r="H52" s="291"/>
      <c r="I52" s="49">
        <v>190450</v>
      </c>
      <c r="J52" s="30" t="s">
        <v>62</v>
      </c>
      <c r="K52" s="31" t="s">
        <v>65</v>
      </c>
      <c r="L52" s="32" t="s">
        <v>246</v>
      </c>
      <c r="M52" s="27" t="s">
        <v>247</v>
      </c>
      <c r="N52" s="31" t="s">
        <v>248</v>
      </c>
      <c r="O52" s="26" t="s">
        <v>249</v>
      </c>
      <c r="P52" s="559"/>
      <c r="Q52" s="290"/>
      <c r="R52" s="753">
        <v>0</v>
      </c>
      <c r="S52" s="754">
        <v>0</v>
      </c>
      <c r="T52" s="755">
        <v>0</v>
      </c>
      <c r="U52" s="757">
        <v>0</v>
      </c>
      <c r="V52" s="754">
        <v>0</v>
      </c>
      <c r="W52" s="755">
        <v>0</v>
      </c>
      <c r="X52" s="757">
        <v>0</v>
      </c>
      <c r="Y52" s="754">
        <v>0</v>
      </c>
      <c r="Z52" s="755">
        <v>0</v>
      </c>
      <c r="AA52" s="757">
        <v>4</v>
      </c>
      <c r="AB52" s="754">
        <v>0</v>
      </c>
      <c r="AC52" s="755">
        <v>0</v>
      </c>
      <c r="AD52" s="757">
        <v>0</v>
      </c>
      <c r="AE52" s="757">
        <v>0</v>
      </c>
      <c r="AF52" s="757">
        <v>0</v>
      </c>
      <c r="AG52" s="760">
        <v>0</v>
      </c>
      <c r="AH52" s="761">
        <v>0</v>
      </c>
      <c r="AI52" s="763">
        <v>0</v>
      </c>
      <c r="AJ52" s="763">
        <v>0</v>
      </c>
      <c r="AK52" s="291"/>
      <c r="AL52" s="519" t="s">
        <v>55</v>
      </c>
      <c r="AM52" s="35"/>
      <c r="AN52" s="36">
        <v>0</v>
      </c>
      <c r="AO52" s="26" t="s">
        <v>47</v>
      </c>
      <c r="AP52" s="37">
        <v>0</v>
      </c>
      <c r="AQ52" s="792">
        <f t="shared" si="1"/>
        <v>0</v>
      </c>
      <c r="AR52" s="828"/>
      <c r="AS52" s="812" t="s">
        <v>47</v>
      </c>
      <c r="AT52" s="31" t="s">
        <v>66</v>
      </c>
      <c r="AU52" s="40"/>
      <c r="AV52" s="40"/>
      <c r="AW52" s="46"/>
      <c r="AX52" s="36"/>
      <c r="AY52" s="40"/>
      <c r="AZ52" s="41"/>
      <c r="BA52" s="31" t="s">
        <v>47</v>
      </c>
      <c r="BB52" s="41">
        <v>0</v>
      </c>
      <c r="BC52" s="42"/>
      <c r="BD52" s="42"/>
      <c r="BE52" s="42"/>
      <c r="BF52" s="42"/>
      <c r="BG52" s="42"/>
    </row>
    <row r="53" spans="1:59" ht="20" customHeight="1" outlineLevel="1">
      <c r="A53" s="485">
        <v>1902005</v>
      </c>
      <c r="B53" s="25">
        <v>42038</v>
      </c>
      <c r="C53" s="26" t="s">
        <v>44</v>
      </c>
      <c r="D53" s="26" t="s">
        <v>96</v>
      </c>
      <c r="E53" s="533" t="s">
        <v>250</v>
      </c>
      <c r="F53" s="519" t="s">
        <v>47</v>
      </c>
      <c r="G53" s="48" t="s">
        <v>251</v>
      </c>
      <c r="H53" s="291"/>
      <c r="I53" s="54"/>
      <c r="J53" s="30" t="s">
        <v>62</v>
      </c>
      <c r="K53" s="31" t="s">
        <v>50</v>
      </c>
      <c r="L53" s="44">
        <v>626436915</v>
      </c>
      <c r="M53" s="27" t="s">
        <v>252</v>
      </c>
      <c r="N53" s="31" t="s">
        <v>253</v>
      </c>
      <c r="O53" s="26" t="s">
        <v>254</v>
      </c>
      <c r="P53" s="559"/>
      <c r="Q53" s="290"/>
      <c r="R53" s="753">
        <v>0</v>
      </c>
      <c r="S53" s="754">
        <v>0</v>
      </c>
      <c r="T53" s="755">
        <v>0</v>
      </c>
      <c r="U53" s="757">
        <v>0</v>
      </c>
      <c r="V53" s="754">
        <v>0</v>
      </c>
      <c r="W53" s="755">
        <v>0</v>
      </c>
      <c r="X53" s="757">
        <v>0</v>
      </c>
      <c r="Y53" s="754">
        <v>0</v>
      </c>
      <c r="Z53" s="755">
        <v>0</v>
      </c>
      <c r="AA53" s="757">
        <v>18</v>
      </c>
      <c r="AB53" s="754">
        <v>0</v>
      </c>
      <c r="AC53" s="755">
        <v>0</v>
      </c>
      <c r="AD53" s="757">
        <v>0</v>
      </c>
      <c r="AE53" s="757">
        <v>0</v>
      </c>
      <c r="AF53" s="757">
        <v>0</v>
      </c>
      <c r="AG53" s="760">
        <v>0</v>
      </c>
      <c r="AH53" s="761">
        <v>0</v>
      </c>
      <c r="AI53" s="763">
        <v>0</v>
      </c>
      <c r="AJ53" s="763">
        <v>0</v>
      </c>
      <c r="AK53" s="291"/>
      <c r="AL53" s="519" t="s">
        <v>78</v>
      </c>
      <c r="AM53" s="51">
        <v>190663</v>
      </c>
      <c r="AN53" s="36">
        <f>172.79/1.21</f>
        <v>142.80165289256198</v>
      </c>
      <c r="AO53" s="26" t="s">
        <v>255</v>
      </c>
      <c r="AP53" s="37">
        <v>306.8</v>
      </c>
      <c r="AQ53" s="792">
        <f t="shared" si="1"/>
        <v>163.99834710743804</v>
      </c>
      <c r="AR53" s="828"/>
      <c r="AS53" s="812" t="s">
        <v>191</v>
      </c>
      <c r="AT53" s="31" t="s">
        <v>57</v>
      </c>
      <c r="AU53" s="40"/>
      <c r="AV53" s="40"/>
      <c r="AW53" s="46"/>
      <c r="AX53" s="36">
        <v>180</v>
      </c>
      <c r="AY53" s="40"/>
      <c r="AZ53" s="41">
        <v>0</v>
      </c>
      <c r="BA53" s="31" t="s">
        <v>47</v>
      </c>
      <c r="BB53" s="41">
        <v>0</v>
      </c>
      <c r="BC53" s="42"/>
      <c r="BD53" s="42"/>
      <c r="BE53" s="42"/>
      <c r="BF53" s="42"/>
      <c r="BG53" s="42"/>
    </row>
    <row r="54" spans="1:59" ht="32" customHeight="1" outlineLevel="1">
      <c r="A54" s="485">
        <v>1902006</v>
      </c>
      <c r="B54" s="25">
        <v>42038</v>
      </c>
      <c r="C54" s="26" t="s">
        <v>44</v>
      </c>
      <c r="D54" s="26" t="s">
        <v>96</v>
      </c>
      <c r="E54" s="533" t="s">
        <v>74</v>
      </c>
      <c r="F54" s="519" t="s">
        <v>47</v>
      </c>
      <c r="G54" s="48" t="s">
        <v>256</v>
      </c>
      <c r="H54" s="291"/>
      <c r="I54" s="49">
        <v>190502</v>
      </c>
      <c r="J54" s="30" t="s">
        <v>49</v>
      </c>
      <c r="K54" s="31" t="s">
        <v>50</v>
      </c>
      <c r="L54" s="32" t="s">
        <v>257</v>
      </c>
      <c r="M54" s="27" t="s">
        <v>168</v>
      </c>
      <c r="N54" s="31" t="s">
        <v>258</v>
      </c>
      <c r="O54" s="26" t="s">
        <v>259</v>
      </c>
      <c r="P54" s="559"/>
      <c r="Q54" s="290"/>
      <c r="R54" s="753">
        <v>0</v>
      </c>
      <c r="S54" s="754">
        <v>0</v>
      </c>
      <c r="T54" s="755">
        <v>0</v>
      </c>
      <c r="U54" s="757">
        <v>0</v>
      </c>
      <c r="V54" s="754">
        <v>0</v>
      </c>
      <c r="W54" s="755">
        <v>0</v>
      </c>
      <c r="X54" s="757">
        <v>0</v>
      </c>
      <c r="Y54" s="754">
        <v>0</v>
      </c>
      <c r="Z54" s="755">
        <v>0</v>
      </c>
      <c r="AA54" s="757">
        <v>3</v>
      </c>
      <c r="AB54" s="754">
        <v>0</v>
      </c>
      <c r="AC54" s="755">
        <v>0</v>
      </c>
      <c r="AD54" s="757">
        <v>0</v>
      </c>
      <c r="AE54" s="757">
        <v>0</v>
      </c>
      <c r="AF54" s="757">
        <v>0</v>
      </c>
      <c r="AG54" s="760">
        <v>0</v>
      </c>
      <c r="AH54" s="761">
        <v>0</v>
      </c>
      <c r="AI54" s="763">
        <v>0</v>
      </c>
      <c r="AJ54" s="763">
        <v>0</v>
      </c>
      <c r="AK54" s="291"/>
      <c r="AL54" s="519" t="s">
        <v>78</v>
      </c>
      <c r="AM54" s="51">
        <v>190291</v>
      </c>
      <c r="AN54" s="36">
        <f>158.27/1.21</f>
        <v>130.801652892562</v>
      </c>
      <c r="AO54" s="26" t="s">
        <v>260</v>
      </c>
      <c r="AP54" s="37">
        <v>199.4</v>
      </c>
      <c r="AQ54" s="792">
        <f t="shared" si="1"/>
        <v>68.598347107438002</v>
      </c>
      <c r="AR54" s="828"/>
      <c r="AS54" s="812" t="s">
        <v>191</v>
      </c>
      <c r="AT54" s="31" t="s">
        <v>57</v>
      </c>
      <c r="AU54" s="38">
        <v>1</v>
      </c>
      <c r="AV54" s="40"/>
      <c r="AW54" s="46">
        <v>4</v>
      </c>
      <c r="AX54" s="36"/>
      <c r="AY54" s="38">
        <v>1252055</v>
      </c>
      <c r="AZ54" s="41">
        <f>48.29+66.44</f>
        <v>114.72999999999999</v>
      </c>
      <c r="BA54" s="31" t="s">
        <v>47</v>
      </c>
      <c r="BB54" s="41">
        <v>0</v>
      </c>
      <c r="BC54" s="42"/>
      <c r="BD54" s="42"/>
      <c r="BE54" s="42"/>
      <c r="BF54" s="42"/>
      <c r="BG54" s="42"/>
    </row>
    <row r="55" spans="1:59" ht="32" customHeight="1" outlineLevel="1">
      <c r="A55" s="485">
        <v>1902007</v>
      </c>
      <c r="B55" s="25">
        <v>42038</v>
      </c>
      <c r="C55" s="26" t="s">
        <v>67</v>
      </c>
      <c r="D55" s="26" t="s">
        <v>96</v>
      </c>
      <c r="E55" s="533" t="s">
        <v>261</v>
      </c>
      <c r="F55" s="519" t="s">
        <v>47</v>
      </c>
      <c r="G55" s="48" t="s">
        <v>262</v>
      </c>
      <c r="H55" s="291"/>
      <c r="I55" s="49">
        <v>190608</v>
      </c>
      <c r="J55" s="30" t="s">
        <v>62</v>
      </c>
      <c r="K55" s="31" t="s">
        <v>50</v>
      </c>
      <c r="L55" s="32" t="s">
        <v>263</v>
      </c>
      <c r="M55" s="33">
        <v>42049</v>
      </c>
      <c r="N55" s="31" t="s">
        <v>264</v>
      </c>
      <c r="O55" s="85" t="s">
        <v>265</v>
      </c>
      <c r="P55" s="562"/>
      <c r="Q55" s="623"/>
      <c r="R55" s="753">
        <v>0</v>
      </c>
      <c r="S55" s="754">
        <v>1</v>
      </c>
      <c r="T55" s="755">
        <v>0</v>
      </c>
      <c r="U55" s="757">
        <v>0</v>
      </c>
      <c r="V55" s="754">
        <v>0</v>
      </c>
      <c r="W55" s="755">
        <v>0</v>
      </c>
      <c r="X55" s="757">
        <v>0</v>
      </c>
      <c r="Y55" s="754">
        <v>1</v>
      </c>
      <c r="Z55" s="755">
        <v>0</v>
      </c>
      <c r="AA55" s="757">
        <v>0</v>
      </c>
      <c r="AB55" s="754">
        <v>1</v>
      </c>
      <c r="AC55" s="755">
        <v>0</v>
      </c>
      <c r="AD55" s="757">
        <v>0</v>
      </c>
      <c r="AE55" s="757">
        <v>0</v>
      </c>
      <c r="AF55" s="757">
        <v>0</v>
      </c>
      <c r="AG55" s="760">
        <v>1</v>
      </c>
      <c r="AH55" s="761">
        <v>0</v>
      </c>
      <c r="AI55" s="763">
        <v>0</v>
      </c>
      <c r="AJ55" s="763">
        <v>0</v>
      </c>
      <c r="AK55" s="291"/>
      <c r="AL55" s="519" t="s">
        <v>266</v>
      </c>
      <c r="AM55" s="769" t="s">
        <v>220</v>
      </c>
      <c r="AN55" s="36">
        <f>PRODUCTS!C3+PRODUCTS!D3+PRODUCTS!E3+PRODUCTS!G3</f>
        <v>279.82</v>
      </c>
      <c r="AO55" s="26" t="s">
        <v>267</v>
      </c>
      <c r="AP55" s="37">
        <v>380</v>
      </c>
      <c r="AQ55" s="792">
        <f t="shared" si="1"/>
        <v>100.18</v>
      </c>
      <c r="AR55" s="828"/>
      <c r="AS55" s="812" t="s">
        <v>191</v>
      </c>
      <c r="AT55" s="31" t="s">
        <v>57</v>
      </c>
      <c r="AU55" s="38">
        <v>1</v>
      </c>
      <c r="AV55" s="26" t="s">
        <v>268</v>
      </c>
      <c r="AW55" s="46">
        <v>15</v>
      </c>
      <c r="AX55" s="36">
        <v>40</v>
      </c>
      <c r="AY55" s="38">
        <v>12525055</v>
      </c>
      <c r="AZ55" s="41">
        <v>36.67</v>
      </c>
      <c r="BA55" s="31" t="s">
        <v>47</v>
      </c>
      <c r="BB55" s="41">
        <v>0</v>
      </c>
      <c r="BC55" s="42"/>
      <c r="BD55" s="42"/>
      <c r="BE55" s="42"/>
      <c r="BF55" s="42"/>
      <c r="BG55" s="42"/>
    </row>
    <row r="56" spans="1:59" ht="20" customHeight="1" outlineLevel="1">
      <c r="A56" s="485">
        <v>1902008</v>
      </c>
      <c r="B56" s="25">
        <v>42038</v>
      </c>
      <c r="C56" s="26" t="s">
        <v>67</v>
      </c>
      <c r="D56" s="26" t="s">
        <v>96</v>
      </c>
      <c r="E56" s="533" t="s">
        <v>60</v>
      </c>
      <c r="F56" s="519" t="s">
        <v>47</v>
      </c>
      <c r="G56" s="48" t="s">
        <v>269</v>
      </c>
      <c r="H56" s="291"/>
      <c r="I56" s="49">
        <v>190614</v>
      </c>
      <c r="J56" s="30" t="s">
        <v>49</v>
      </c>
      <c r="K56" s="31" t="s">
        <v>50</v>
      </c>
      <c r="L56" s="44">
        <v>153534897</v>
      </c>
      <c r="M56" s="33">
        <v>42049</v>
      </c>
      <c r="N56" s="31" t="s">
        <v>270</v>
      </c>
      <c r="O56" s="26" t="s">
        <v>271</v>
      </c>
      <c r="P56" s="559"/>
      <c r="Q56" s="290"/>
      <c r="R56" s="753">
        <v>0</v>
      </c>
      <c r="S56" s="754">
        <v>0</v>
      </c>
      <c r="T56" s="755">
        <v>0</v>
      </c>
      <c r="U56" s="757">
        <v>0</v>
      </c>
      <c r="V56" s="754">
        <v>0</v>
      </c>
      <c r="W56" s="755">
        <v>0</v>
      </c>
      <c r="X56" s="757">
        <v>1</v>
      </c>
      <c r="Y56" s="754">
        <v>0</v>
      </c>
      <c r="Z56" s="755">
        <v>0</v>
      </c>
      <c r="AA56" s="757">
        <v>0</v>
      </c>
      <c r="AB56" s="754">
        <v>0</v>
      </c>
      <c r="AC56" s="755">
        <v>0</v>
      </c>
      <c r="AD56" s="757">
        <v>2</v>
      </c>
      <c r="AE56" s="757">
        <v>0</v>
      </c>
      <c r="AF56" s="757">
        <v>0</v>
      </c>
      <c r="AG56" s="760">
        <v>0</v>
      </c>
      <c r="AH56" s="761">
        <v>0</v>
      </c>
      <c r="AI56" s="763">
        <v>0</v>
      </c>
      <c r="AJ56" s="763">
        <v>0</v>
      </c>
      <c r="AK56" s="291"/>
      <c r="AL56" s="519" t="s">
        <v>47</v>
      </c>
      <c r="AM56" s="51">
        <v>190372</v>
      </c>
      <c r="AN56" s="36">
        <v>34.770000000000003</v>
      </c>
      <c r="AO56" s="26" t="s">
        <v>47</v>
      </c>
      <c r="AP56" s="37">
        <v>0</v>
      </c>
      <c r="AQ56" s="792">
        <f t="shared" si="1"/>
        <v>-34.770000000000003</v>
      </c>
      <c r="AR56" s="828"/>
      <c r="AS56" s="812" t="s">
        <v>47</v>
      </c>
      <c r="AT56" s="31" t="s">
        <v>57</v>
      </c>
      <c r="AU56" s="40"/>
      <c r="AV56" s="40"/>
      <c r="AW56" s="46"/>
      <c r="AX56" s="36">
        <v>0</v>
      </c>
      <c r="AY56" s="38">
        <v>12516206</v>
      </c>
      <c r="AZ56" s="41">
        <v>8.6</v>
      </c>
      <c r="BA56" s="31" t="s">
        <v>47</v>
      </c>
      <c r="BB56" s="41">
        <v>0</v>
      </c>
      <c r="BC56" s="42"/>
      <c r="BD56" s="42"/>
      <c r="BE56" s="42"/>
      <c r="BF56" s="42"/>
      <c r="BG56" s="42"/>
    </row>
    <row r="57" spans="1:59" ht="20" customHeight="1" outlineLevel="1">
      <c r="A57" s="485">
        <v>1902009</v>
      </c>
      <c r="B57" s="25">
        <v>42039</v>
      </c>
      <c r="C57" s="26" t="s">
        <v>44</v>
      </c>
      <c r="D57" s="26" t="s">
        <v>96</v>
      </c>
      <c r="E57" s="533" t="s">
        <v>60</v>
      </c>
      <c r="F57" s="519" t="s">
        <v>47</v>
      </c>
      <c r="G57" s="48" t="s">
        <v>272</v>
      </c>
      <c r="H57" s="291"/>
      <c r="I57" s="49">
        <v>190451</v>
      </c>
      <c r="J57" s="30" t="s">
        <v>62</v>
      </c>
      <c r="K57" s="31" t="s">
        <v>50</v>
      </c>
      <c r="L57" s="44">
        <v>627312814</v>
      </c>
      <c r="M57" s="27" t="s">
        <v>247</v>
      </c>
      <c r="N57" s="31" t="s">
        <v>131</v>
      </c>
      <c r="O57" s="26" t="s">
        <v>131</v>
      </c>
      <c r="P57" s="559"/>
      <c r="Q57" s="290"/>
      <c r="R57" s="753">
        <v>1</v>
      </c>
      <c r="S57" s="754">
        <v>0</v>
      </c>
      <c r="T57" s="755">
        <v>0</v>
      </c>
      <c r="U57" s="757">
        <v>0</v>
      </c>
      <c r="V57" s="754">
        <v>0</v>
      </c>
      <c r="W57" s="755">
        <v>0</v>
      </c>
      <c r="X57" s="757">
        <v>0</v>
      </c>
      <c r="Y57" s="754">
        <v>0</v>
      </c>
      <c r="Z57" s="755">
        <v>0</v>
      </c>
      <c r="AA57" s="757">
        <v>0</v>
      </c>
      <c r="AB57" s="754">
        <v>0</v>
      </c>
      <c r="AC57" s="755">
        <v>0</v>
      </c>
      <c r="AD57" s="757">
        <v>0</v>
      </c>
      <c r="AE57" s="757">
        <v>0</v>
      </c>
      <c r="AF57" s="757">
        <v>0</v>
      </c>
      <c r="AG57" s="760">
        <v>0</v>
      </c>
      <c r="AH57" s="761">
        <v>0</v>
      </c>
      <c r="AI57" s="763">
        <v>0</v>
      </c>
      <c r="AJ57" s="763">
        <v>0</v>
      </c>
      <c r="AK57" s="291"/>
      <c r="AL57" s="519" t="s">
        <v>133</v>
      </c>
      <c r="AM57" s="51">
        <v>190265</v>
      </c>
      <c r="AN57" s="36">
        <f>9.68/1.21</f>
        <v>8</v>
      </c>
      <c r="AO57" s="26" t="s">
        <v>273</v>
      </c>
      <c r="AP57" s="37">
        <v>34.4</v>
      </c>
      <c r="AQ57" s="792">
        <f t="shared" si="1"/>
        <v>26.4</v>
      </c>
      <c r="AR57" s="828"/>
      <c r="AS57" s="812" t="s">
        <v>191</v>
      </c>
      <c r="AT57" s="31" t="s">
        <v>57</v>
      </c>
      <c r="AU57" s="38">
        <v>1</v>
      </c>
      <c r="AV57" s="26" t="s">
        <v>229</v>
      </c>
      <c r="AW57" s="46">
        <v>1.5</v>
      </c>
      <c r="AX57" s="36">
        <v>10</v>
      </c>
      <c r="AY57" s="38">
        <v>12516206</v>
      </c>
      <c r="AZ57" s="41">
        <v>7.28</v>
      </c>
      <c r="BA57" s="31" t="s">
        <v>136</v>
      </c>
      <c r="BB57" s="41">
        <f>AP57*15%</f>
        <v>5.1599999999999993</v>
      </c>
      <c r="BC57" s="42"/>
      <c r="BD57" s="42"/>
      <c r="BE57" s="42"/>
      <c r="BF57" s="42"/>
      <c r="BG57" s="42"/>
    </row>
    <row r="58" spans="1:59" ht="20" customHeight="1" outlineLevel="1">
      <c r="A58" s="485">
        <v>1902010</v>
      </c>
      <c r="B58" s="25">
        <v>42039</v>
      </c>
      <c r="C58" s="26" t="s">
        <v>67</v>
      </c>
      <c r="D58" s="26" t="s">
        <v>45</v>
      </c>
      <c r="E58" s="533" t="s">
        <v>116</v>
      </c>
      <c r="F58" s="519" t="s">
        <v>47</v>
      </c>
      <c r="G58" s="48" t="s">
        <v>47</v>
      </c>
      <c r="H58" s="291"/>
      <c r="I58" s="29" t="s">
        <v>47</v>
      </c>
      <c r="J58" s="30" t="s">
        <v>62</v>
      </c>
      <c r="K58" s="31" t="s">
        <v>163</v>
      </c>
      <c r="L58" s="32" t="s">
        <v>47</v>
      </c>
      <c r="M58" s="27" t="s">
        <v>247</v>
      </c>
      <c r="N58" s="31" t="s">
        <v>274</v>
      </c>
      <c r="O58" s="26" t="s">
        <v>275</v>
      </c>
      <c r="P58" s="559"/>
      <c r="Q58" s="290"/>
      <c r="R58" s="753">
        <v>0</v>
      </c>
      <c r="S58" s="754">
        <v>0</v>
      </c>
      <c r="T58" s="755">
        <v>0</v>
      </c>
      <c r="U58" s="757">
        <v>0</v>
      </c>
      <c r="V58" s="754">
        <v>0</v>
      </c>
      <c r="W58" s="755">
        <v>2</v>
      </c>
      <c r="X58" s="757">
        <v>0</v>
      </c>
      <c r="Y58" s="754">
        <v>0</v>
      </c>
      <c r="Z58" s="755">
        <v>2</v>
      </c>
      <c r="AA58" s="757">
        <v>0</v>
      </c>
      <c r="AB58" s="754">
        <v>0</v>
      </c>
      <c r="AC58" s="755">
        <v>0</v>
      </c>
      <c r="AD58" s="757">
        <v>0</v>
      </c>
      <c r="AE58" s="757">
        <v>0</v>
      </c>
      <c r="AF58" s="757">
        <v>0</v>
      </c>
      <c r="AG58" s="760">
        <v>0</v>
      </c>
      <c r="AH58" s="761">
        <v>0</v>
      </c>
      <c r="AI58" s="763">
        <v>0</v>
      </c>
      <c r="AJ58" s="763">
        <v>0</v>
      </c>
      <c r="AK58" s="291"/>
      <c r="AL58" s="519" t="s">
        <v>78</v>
      </c>
      <c r="AM58" s="48" t="s">
        <v>47</v>
      </c>
      <c r="AN58" s="36">
        <f>2*0.11+2*0.11</f>
        <v>0.44</v>
      </c>
      <c r="AO58" s="26" t="s">
        <v>47</v>
      </c>
      <c r="AP58" s="37">
        <v>0</v>
      </c>
      <c r="AQ58" s="792">
        <f t="shared" si="1"/>
        <v>-0.44</v>
      </c>
      <c r="AR58" s="828"/>
      <c r="AS58" s="812" t="s">
        <v>47</v>
      </c>
      <c r="AT58" s="31" t="s">
        <v>94</v>
      </c>
      <c r="AU58" s="38">
        <v>1</v>
      </c>
      <c r="AV58" s="26" t="s">
        <v>47</v>
      </c>
      <c r="AW58" s="39" t="s">
        <v>47</v>
      </c>
      <c r="AX58" s="36">
        <v>0</v>
      </c>
      <c r="AY58" s="258" t="s">
        <v>1861</v>
      </c>
      <c r="AZ58" s="41">
        <f>3*1.4</f>
        <v>4.1999999999999993</v>
      </c>
      <c r="BA58" s="31" t="s">
        <v>47</v>
      </c>
      <c r="BB58" s="41">
        <v>0</v>
      </c>
      <c r="BC58" s="42"/>
      <c r="BD58" s="42"/>
      <c r="BE58" s="42"/>
      <c r="BF58" s="42"/>
      <c r="BG58" s="42"/>
    </row>
    <row r="59" spans="1:59" ht="20" customHeight="1" outlineLevel="1">
      <c r="A59" s="770">
        <v>1902011</v>
      </c>
      <c r="B59" s="25">
        <v>42039</v>
      </c>
      <c r="C59" s="26" t="s">
        <v>67</v>
      </c>
      <c r="D59" s="26" t="s">
        <v>73</v>
      </c>
      <c r="E59" s="533" t="s">
        <v>276</v>
      </c>
      <c r="F59" s="519" t="s">
        <v>277</v>
      </c>
      <c r="G59" s="48" t="s">
        <v>278</v>
      </c>
      <c r="H59" s="291"/>
      <c r="I59" s="49">
        <v>190662</v>
      </c>
      <c r="J59" s="30" t="s">
        <v>62</v>
      </c>
      <c r="K59" s="31" t="s">
        <v>50</v>
      </c>
      <c r="L59" s="44">
        <v>232348686</v>
      </c>
      <c r="M59" s="33">
        <v>42054</v>
      </c>
      <c r="N59" s="31" t="s">
        <v>279</v>
      </c>
      <c r="O59" s="26" t="s">
        <v>280</v>
      </c>
      <c r="P59" s="559"/>
      <c r="Q59" s="290"/>
      <c r="R59" s="753">
        <v>0</v>
      </c>
      <c r="S59" s="754">
        <v>1</v>
      </c>
      <c r="T59" s="755">
        <v>0</v>
      </c>
      <c r="U59" s="757">
        <v>0</v>
      </c>
      <c r="V59" s="754">
        <v>1</v>
      </c>
      <c r="W59" s="755">
        <v>0</v>
      </c>
      <c r="X59" s="757">
        <v>0</v>
      </c>
      <c r="Y59" s="754">
        <v>1</v>
      </c>
      <c r="Z59" s="755">
        <v>0</v>
      </c>
      <c r="AA59" s="757">
        <v>0</v>
      </c>
      <c r="AB59" s="754">
        <v>1</v>
      </c>
      <c r="AC59" s="755">
        <v>0</v>
      </c>
      <c r="AD59" s="757">
        <v>0</v>
      </c>
      <c r="AE59" s="757">
        <v>0</v>
      </c>
      <c r="AF59" s="757">
        <v>0</v>
      </c>
      <c r="AG59" s="760">
        <v>0</v>
      </c>
      <c r="AH59" s="761">
        <v>0</v>
      </c>
      <c r="AI59" s="763">
        <v>0</v>
      </c>
      <c r="AJ59" s="763">
        <v>0</v>
      </c>
      <c r="AK59" s="291"/>
      <c r="AL59" s="519" t="s">
        <v>266</v>
      </c>
      <c r="AM59" s="48" t="s">
        <v>47</v>
      </c>
      <c r="AN59" s="36">
        <f>PRODUCTS!E3+PRODUCTS!F3+PRODUCTS!G3</f>
        <v>200.56</v>
      </c>
      <c r="AO59" s="26" t="s">
        <v>281</v>
      </c>
      <c r="AP59" s="37">
        <f>455-75</f>
        <v>380</v>
      </c>
      <c r="AQ59" s="792">
        <f t="shared" si="1"/>
        <v>179.44</v>
      </c>
      <c r="AR59" s="828"/>
      <c r="AS59" s="812">
        <v>42060</v>
      </c>
      <c r="AT59" s="31" t="s">
        <v>57</v>
      </c>
      <c r="AU59" s="38">
        <v>1</v>
      </c>
      <c r="AV59" s="26" t="s">
        <v>282</v>
      </c>
      <c r="AW59" s="46">
        <v>16</v>
      </c>
      <c r="AX59" s="36">
        <v>75</v>
      </c>
      <c r="AY59" s="38">
        <v>12533738</v>
      </c>
      <c r="AZ59" s="41">
        <v>105</v>
      </c>
      <c r="BA59" s="31" t="s">
        <v>47</v>
      </c>
      <c r="BB59" s="41">
        <v>0</v>
      </c>
      <c r="BC59" s="42"/>
      <c r="BD59" s="42"/>
      <c r="BE59" s="42"/>
      <c r="BF59" s="42"/>
      <c r="BG59" s="42"/>
    </row>
    <row r="60" spans="1:59" ht="20" customHeight="1" outlineLevel="1">
      <c r="A60" s="485">
        <v>1902012</v>
      </c>
      <c r="B60" s="25">
        <v>42039</v>
      </c>
      <c r="C60" s="26" t="s">
        <v>44</v>
      </c>
      <c r="D60" s="26" t="s">
        <v>73</v>
      </c>
      <c r="E60" s="533" t="s">
        <v>101</v>
      </c>
      <c r="F60" s="519" t="s">
        <v>47</v>
      </c>
      <c r="G60" s="35" t="s">
        <v>1474</v>
      </c>
      <c r="H60" s="290" t="s">
        <v>1314</v>
      </c>
      <c r="I60" s="261" t="s">
        <v>155</v>
      </c>
      <c r="J60" s="30" t="s">
        <v>62</v>
      </c>
      <c r="K60" s="31" t="s">
        <v>50</v>
      </c>
      <c r="L60" s="351">
        <v>165715653</v>
      </c>
      <c r="M60" s="33" t="s">
        <v>1477</v>
      </c>
      <c r="N60" s="31" t="s">
        <v>283</v>
      </c>
      <c r="O60" s="26" t="s">
        <v>2173</v>
      </c>
      <c r="P60" s="559"/>
      <c r="Q60" s="290"/>
      <c r="R60" s="753">
        <v>0</v>
      </c>
      <c r="S60" s="754">
        <v>0</v>
      </c>
      <c r="T60" s="755">
        <v>0</v>
      </c>
      <c r="U60" s="757">
        <v>0</v>
      </c>
      <c r="V60" s="754">
        <v>0</v>
      </c>
      <c r="W60" s="755">
        <v>0</v>
      </c>
      <c r="X60" s="757">
        <v>0</v>
      </c>
      <c r="Y60" s="754">
        <v>0</v>
      </c>
      <c r="Z60" s="755">
        <v>0</v>
      </c>
      <c r="AA60" s="757">
        <v>0</v>
      </c>
      <c r="AB60" s="754">
        <v>0</v>
      </c>
      <c r="AC60" s="755">
        <v>0</v>
      </c>
      <c r="AD60" s="757">
        <v>0</v>
      </c>
      <c r="AE60" s="757">
        <v>0</v>
      </c>
      <c r="AF60" s="757">
        <v>0</v>
      </c>
      <c r="AG60" s="760">
        <v>1</v>
      </c>
      <c r="AH60" s="761">
        <v>0</v>
      </c>
      <c r="AI60" s="763">
        <v>0</v>
      </c>
      <c r="AJ60" s="763">
        <v>0</v>
      </c>
      <c r="AK60" s="291"/>
      <c r="AL60" s="519" t="s">
        <v>78</v>
      </c>
      <c r="AM60" s="35" t="s">
        <v>1476</v>
      </c>
      <c r="AN60" s="36">
        <f>15*PRODUCTS!C3</f>
        <v>959.85</v>
      </c>
      <c r="AO60" s="26" t="s">
        <v>1475</v>
      </c>
      <c r="AP60" s="37">
        <v>1425</v>
      </c>
      <c r="AQ60" s="792">
        <f t="shared" si="1"/>
        <v>465.15</v>
      </c>
      <c r="AR60" s="828"/>
      <c r="AS60" s="812" t="s">
        <v>191</v>
      </c>
      <c r="AT60" s="256" t="s">
        <v>1254</v>
      </c>
      <c r="AU60" s="38">
        <v>4</v>
      </c>
      <c r="AV60" s="252" t="s">
        <v>282</v>
      </c>
      <c r="AW60" s="259" t="s">
        <v>1497</v>
      </c>
      <c r="AX60" s="36">
        <v>90</v>
      </c>
      <c r="AY60" s="26"/>
      <c r="AZ60" s="41">
        <v>82.35</v>
      </c>
      <c r="BA60" s="31" t="s">
        <v>47</v>
      </c>
      <c r="BB60" s="41">
        <v>0</v>
      </c>
      <c r="BC60" s="42"/>
      <c r="BD60" s="42"/>
      <c r="BE60" s="42"/>
      <c r="BF60" s="42"/>
      <c r="BG60" s="42"/>
    </row>
    <row r="61" spans="1:59" ht="20" customHeight="1" outlineLevel="1">
      <c r="A61" s="485">
        <v>1902013</v>
      </c>
      <c r="B61" s="25">
        <v>42039</v>
      </c>
      <c r="C61" s="26" t="s">
        <v>67</v>
      </c>
      <c r="D61" s="26" t="s">
        <v>45</v>
      </c>
      <c r="E61" s="533" t="s">
        <v>60</v>
      </c>
      <c r="F61" s="519" t="s">
        <v>47</v>
      </c>
      <c r="G61" s="48" t="s">
        <v>47</v>
      </c>
      <c r="H61" s="291"/>
      <c r="I61" s="29" t="s">
        <v>47</v>
      </c>
      <c r="J61" s="30" t="s">
        <v>62</v>
      </c>
      <c r="K61" s="31" t="s">
        <v>163</v>
      </c>
      <c r="L61" s="32" t="s">
        <v>47</v>
      </c>
      <c r="M61" s="27" t="s">
        <v>284</v>
      </c>
      <c r="N61" s="31" t="s">
        <v>285</v>
      </c>
      <c r="O61" s="26" t="s">
        <v>286</v>
      </c>
      <c r="P61" s="559"/>
      <c r="Q61" s="290"/>
      <c r="R61" s="753">
        <v>0</v>
      </c>
      <c r="S61" s="754">
        <v>0</v>
      </c>
      <c r="T61" s="755">
        <v>0</v>
      </c>
      <c r="U61" s="757">
        <v>0</v>
      </c>
      <c r="V61" s="754">
        <v>0</v>
      </c>
      <c r="W61" s="755">
        <v>1</v>
      </c>
      <c r="X61" s="757">
        <v>0</v>
      </c>
      <c r="Y61" s="754">
        <v>0</v>
      </c>
      <c r="Z61" s="755">
        <v>0</v>
      </c>
      <c r="AA61" s="757">
        <v>0</v>
      </c>
      <c r="AB61" s="754">
        <v>0</v>
      </c>
      <c r="AC61" s="755">
        <v>0</v>
      </c>
      <c r="AD61" s="757">
        <v>0</v>
      </c>
      <c r="AE61" s="757">
        <v>0</v>
      </c>
      <c r="AF61" s="757">
        <v>0</v>
      </c>
      <c r="AG61" s="760">
        <v>0</v>
      </c>
      <c r="AH61" s="761">
        <v>0</v>
      </c>
      <c r="AI61" s="763">
        <v>0</v>
      </c>
      <c r="AJ61" s="763">
        <v>0</v>
      </c>
      <c r="AK61" s="291"/>
      <c r="AL61" s="519" t="s">
        <v>71</v>
      </c>
      <c r="AM61" s="48" t="s">
        <v>47</v>
      </c>
      <c r="AN61" s="36">
        <v>0.11</v>
      </c>
      <c r="AO61" s="26" t="s">
        <v>47</v>
      </c>
      <c r="AP61" s="37">
        <v>0</v>
      </c>
      <c r="AQ61" s="792">
        <f t="shared" si="1"/>
        <v>-0.11</v>
      </c>
      <c r="AR61" s="828"/>
      <c r="AS61" s="812" t="s">
        <v>47</v>
      </c>
      <c r="AT61" s="31" t="s">
        <v>66</v>
      </c>
      <c r="AU61" s="40"/>
      <c r="AV61" s="40"/>
      <c r="AW61" s="46"/>
      <c r="AX61" s="36">
        <v>0</v>
      </c>
      <c r="AY61" s="258" t="s">
        <v>1861</v>
      </c>
      <c r="AZ61" s="41">
        <f>1*0.7</f>
        <v>0.7</v>
      </c>
      <c r="BA61" s="31" t="s">
        <v>47</v>
      </c>
      <c r="BB61" s="41">
        <v>0</v>
      </c>
      <c r="BC61" s="42"/>
      <c r="BD61" s="42"/>
      <c r="BE61" s="42"/>
      <c r="BF61" s="42"/>
      <c r="BG61" s="42"/>
    </row>
    <row r="62" spans="1:59" ht="20" customHeight="1" outlineLevel="1">
      <c r="A62" s="485">
        <v>1902014</v>
      </c>
      <c r="B62" s="25">
        <v>42039</v>
      </c>
      <c r="C62" s="26" t="s">
        <v>67</v>
      </c>
      <c r="D62" s="26" t="s">
        <v>45</v>
      </c>
      <c r="E62" s="533" t="s">
        <v>85</v>
      </c>
      <c r="F62" s="519" t="s">
        <v>47</v>
      </c>
      <c r="G62" s="48" t="s">
        <v>47</v>
      </c>
      <c r="H62" s="291"/>
      <c r="I62" s="29" t="s">
        <v>47</v>
      </c>
      <c r="J62" s="30" t="s">
        <v>62</v>
      </c>
      <c r="K62" s="31" t="s">
        <v>163</v>
      </c>
      <c r="L62" s="32" t="s">
        <v>47</v>
      </c>
      <c r="M62" s="27" t="s">
        <v>287</v>
      </c>
      <c r="N62" s="45"/>
      <c r="O62" s="26" t="s">
        <v>288</v>
      </c>
      <c r="P62" s="559"/>
      <c r="Q62" s="290"/>
      <c r="R62" s="753">
        <v>0</v>
      </c>
      <c r="S62" s="754">
        <v>0</v>
      </c>
      <c r="T62" s="755">
        <v>1</v>
      </c>
      <c r="U62" s="757">
        <v>0</v>
      </c>
      <c r="V62" s="754">
        <v>0</v>
      </c>
      <c r="W62" s="755">
        <v>0</v>
      </c>
      <c r="X62" s="757">
        <v>0</v>
      </c>
      <c r="Y62" s="754">
        <v>0</v>
      </c>
      <c r="Z62" s="755">
        <v>0</v>
      </c>
      <c r="AA62" s="757">
        <v>0</v>
      </c>
      <c r="AB62" s="754">
        <v>0</v>
      </c>
      <c r="AC62" s="755">
        <v>0</v>
      </c>
      <c r="AD62" s="757">
        <v>0</v>
      </c>
      <c r="AE62" s="757">
        <v>0</v>
      </c>
      <c r="AF62" s="757">
        <v>0</v>
      </c>
      <c r="AG62" s="760">
        <v>0</v>
      </c>
      <c r="AH62" s="761">
        <v>0</v>
      </c>
      <c r="AI62" s="763">
        <v>0</v>
      </c>
      <c r="AJ62" s="763">
        <v>0</v>
      </c>
      <c r="AK62" s="291"/>
      <c r="AL62" s="519" t="s">
        <v>47</v>
      </c>
      <c r="AM62" s="48" t="s">
        <v>47</v>
      </c>
      <c r="AN62" s="36">
        <v>0.11</v>
      </c>
      <c r="AO62" s="26" t="s">
        <v>47</v>
      </c>
      <c r="AP62" s="37">
        <v>0</v>
      </c>
      <c r="AQ62" s="792">
        <f t="shared" si="1"/>
        <v>-0.11</v>
      </c>
      <c r="AR62" s="828"/>
      <c r="AS62" s="812" t="s">
        <v>47</v>
      </c>
      <c r="AT62" s="31" t="s">
        <v>94</v>
      </c>
      <c r="AU62" s="38">
        <v>1</v>
      </c>
      <c r="AV62" s="26" t="s">
        <v>47</v>
      </c>
      <c r="AW62" s="39" t="s">
        <v>47</v>
      </c>
      <c r="AX62" s="36">
        <v>0</v>
      </c>
      <c r="AY62" s="26" t="s">
        <v>47</v>
      </c>
      <c r="AZ62" s="41">
        <f>3*1.4</f>
        <v>4.1999999999999993</v>
      </c>
      <c r="BA62" s="31" t="s">
        <v>47</v>
      </c>
      <c r="BB62" s="41">
        <v>0</v>
      </c>
      <c r="BC62" s="42"/>
      <c r="BD62" s="42"/>
      <c r="BE62" s="42"/>
      <c r="BF62" s="42"/>
      <c r="BG62" s="42"/>
    </row>
    <row r="63" spans="1:59" ht="20" customHeight="1" outlineLevel="1">
      <c r="A63" s="485">
        <v>1902015</v>
      </c>
      <c r="B63" s="25">
        <v>42040</v>
      </c>
      <c r="C63" s="26" t="s">
        <v>44</v>
      </c>
      <c r="D63" s="26" t="s">
        <v>73</v>
      </c>
      <c r="E63" s="533" t="s">
        <v>60</v>
      </c>
      <c r="F63" s="519" t="s">
        <v>47</v>
      </c>
      <c r="G63" s="48" t="s">
        <v>289</v>
      </c>
      <c r="H63" s="291"/>
      <c r="I63" s="49">
        <v>190460</v>
      </c>
      <c r="J63" s="30" t="s">
        <v>62</v>
      </c>
      <c r="K63" s="31" t="s">
        <v>118</v>
      </c>
      <c r="L63" s="32" t="s">
        <v>47</v>
      </c>
      <c r="M63" s="27" t="s">
        <v>168</v>
      </c>
      <c r="N63" s="31" t="s">
        <v>290</v>
      </c>
      <c r="O63" s="26" t="s">
        <v>291</v>
      </c>
      <c r="P63" s="559"/>
      <c r="Q63" s="290"/>
      <c r="R63" s="753">
        <v>0</v>
      </c>
      <c r="S63" s="754">
        <v>0</v>
      </c>
      <c r="T63" s="755">
        <v>0</v>
      </c>
      <c r="U63" s="757">
        <v>0</v>
      </c>
      <c r="V63" s="754">
        <v>0</v>
      </c>
      <c r="W63" s="755">
        <v>0</v>
      </c>
      <c r="X63" s="757">
        <v>0</v>
      </c>
      <c r="Y63" s="754">
        <v>0</v>
      </c>
      <c r="Z63" s="755">
        <v>0</v>
      </c>
      <c r="AA63" s="757">
        <v>0</v>
      </c>
      <c r="AB63" s="754">
        <v>0</v>
      </c>
      <c r="AC63" s="755">
        <v>0</v>
      </c>
      <c r="AD63" s="757">
        <v>3</v>
      </c>
      <c r="AE63" s="757">
        <v>0</v>
      </c>
      <c r="AF63" s="757">
        <v>0</v>
      </c>
      <c r="AG63" s="760">
        <v>0</v>
      </c>
      <c r="AH63" s="761">
        <v>0</v>
      </c>
      <c r="AI63" s="763">
        <v>0</v>
      </c>
      <c r="AJ63" s="763">
        <v>0</v>
      </c>
      <c r="AK63" s="291"/>
      <c r="AL63" s="519" t="s">
        <v>65</v>
      </c>
      <c r="AM63" s="51">
        <v>190286</v>
      </c>
      <c r="AN63" s="36">
        <v>33.297520661157023</v>
      </c>
      <c r="AO63" s="26" t="s">
        <v>292</v>
      </c>
      <c r="AP63" s="37">
        <v>72.599999999999994</v>
      </c>
      <c r="AQ63" s="792">
        <f t="shared" si="1"/>
        <v>39.302479338842971</v>
      </c>
      <c r="AR63" s="828"/>
      <c r="AS63" s="812" t="s">
        <v>47</v>
      </c>
      <c r="AT63" s="31" t="s">
        <v>57</v>
      </c>
      <c r="AU63" s="38">
        <v>1</v>
      </c>
      <c r="AV63" s="26" t="s">
        <v>293</v>
      </c>
      <c r="AW63" s="46">
        <v>3.5</v>
      </c>
      <c r="AX63" s="38">
        <v>0</v>
      </c>
      <c r="AY63" s="26" t="s">
        <v>125</v>
      </c>
      <c r="AZ63" s="27" t="s">
        <v>47</v>
      </c>
      <c r="BA63" s="31" t="s">
        <v>47</v>
      </c>
      <c r="BB63" s="41">
        <v>0</v>
      </c>
      <c r="BC63" s="42"/>
      <c r="BD63" s="42"/>
      <c r="BE63" s="42"/>
      <c r="BF63" s="42"/>
      <c r="BG63" s="42"/>
    </row>
    <row r="64" spans="1:59" ht="34.25" customHeight="1" outlineLevel="1">
      <c r="A64" s="485">
        <v>1902016</v>
      </c>
      <c r="B64" s="25">
        <v>42041</v>
      </c>
      <c r="C64" s="26" t="s">
        <v>67</v>
      </c>
      <c r="D64" s="26" t="s">
        <v>73</v>
      </c>
      <c r="E64" s="533" t="s">
        <v>154</v>
      </c>
      <c r="F64" s="519" t="s">
        <v>47</v>
      </c>
      <c r="G64" s="48" t="s">
        <v>294</v>
      </c>
      <c r="H64" s="291"/>
      <c r="I64" s="49">
        <v>190612</v>
      </c>
      <c r="J64" s="30" t="s">
        <v>49</v>
      </c>
      <c r="K64" s="31" t="s">
        <v>50</v>
      </c>
      <c r="L64" s="32" t="s">
        <v>295</v>
      </c>
      <c r="M64" s="27" t="s">
        <v>296</v>
      </c>
      <c r="N64" s="31" t="s">
        <v>241</v>
      </c>
      <c r="O64" s="26" t="s">
        <v>297</v>
      </c>
      <c r="P64" s="559"/>
      <c r="Q64" s="290"/>
      <c r="R64" s="753">
        <v>1</v>
      </c>
      <c r="S64" s="754">
        <v>0</v>
      </c>
      <c r="T64" s="755">
        <v>0</v>
      </c>
      <c r="U64" s="757">
        <v>0</v>
      </c>
      <c r="V64" s="754">
        <v>0</v>
      </c>
      <c r="W64" s="755">
        <v>0</v>
      </c>
      <c r="X64" s="757">
        <v>0</v>
      </c>
      <c r="Y64" s="754">
        <v>0</v>
      </c>
      <c r="Z64" s="755">
        <v>0</v>
      </c>
      <c r="AA64" s="757">
        <v>0</v>
      </c>
      <c r="AB64" s="754">
        <v>0</v>
      </c>
      <c r="AC64" s="755">
        <v>0</v>
      </c>
      <c r="AD64" s="757">
        <v>0</v>
      </c>
      <c r="AE64" s="757">
        <v>0</v>
      </c>
      <c r="AF64" s="757">
        <v>0</v>
      </c>
      <c r="AG64" s="760">
        <v>0</v>
      </c>
      <c r="AH64" s="761">
        <v>0</v>
      </c>
      <c r="AI64" s="763">
        <v>0</v>
      </c>
      <c r="AJ64" s="763">
        <v>0</v>
      </c>
      <c r="AK64" s="291"/>
      <c r="AL64" s="519" t="s">
        <v>140</v>
      </c>
      <c r="AM64" s="51">
        <v>190375</v>
      </c>
      <c r="AN64" s="36">
        <v>123.12</v>
      </c>
      <c r="AO64" s="26" t="s">
        <v>298</v>
      </c>
      <c r="AP64" s="37">
        <v>695.95</v>
      </c>
      <c r="AQ64" s="792">
        <f t="shared" si="1"/>
        <v>572.83000000000004</v>
      </c>
      <c r="AR64" s="828"/>
      <c r="AS64" s="812"/>
      <c r="AT64" s="31" t="s">
        <v>57</v>
      </c>
      <c r="AU64" s="38">
        <v>1</v>
      </c>
      <c r="AV64" s="26" t="s">
        <v>299</v>
      </c>
      <c r="AW64" s="46">
        <v>2</v>
      </c>
      <c r="AX64" s="36">
        <v>15</v>
      </c>
      <c r="AY64" s="38">
        <v>12525055</v>
      </c>
      <c r="AZ64" s="41">
        <v>10.35</v>
      </c>
      <c r="BA64" s="31" t="s">
        <v>47</v>
      </c>
      <c r="BB64" s="41">
        <v>0</v>
      </c>
      <c r="BC64" s="42"/>
      <c r="BD64" s="42"/>
      <c r="BE64" s="42"/>
      <c r="BF64" s="42"/>
      <c r="BG64" s="42"/>
    </row>
    <row r="65" spans="1:59" ht="20" customHeight="1" outlineLevel="1">
      <c r="A65" s="485">
        <v>1902017</v>
      </c>
      <c r="B65" s="25">
        <v>42041</v>
      </c>
      <c r="C65" s="26" t="s">
        <v>67</v>
      </c>
      <c r="D65" s="26" t="s">
        <v>96</v>
      </c>
      <c r="E65" s="533" t="s">
        <v>60</v>
      </c>
      <c r="F65" s="519" t="s">
        <v>300</v>
      </c>
      <c r="G65" s="48" t="s">
        <v>301</v>
      </c>
      <c r="H65" s="291"/>
      <c r="I65" s="49">
        <v>190674</v>
      </c>
      <c r="J65" s="30" t="s">
        <v>49</v>
      </c>
      <c r="K65" s="31" t="s">
        <v>50</v>
      </c>
      <c r="L65" s="44">
        <v>154243944</v>
      </c>
      <c r="M65" s="33">
        <v>42054</v>
      </c>
      <c r="N65" s="31" t="s">
        <v>302</v>
      </c>
      <c r="O65" s="26" t="s">
        <v>303</v>
      </c>
      <c r="P65" s="515" t="s">
        <v>47</v>
      </c>
      <c r="Q65" s="291"/>
      <c r="R65" s="753">
        <v>0</v>
      </c>
      <c r="S65" s="754">
        <v>0</v>
      </c>
      <c r="T65" s="755">
        <v>0</v>
      </c>
      <c r="U65" s="757">
        <v>1</v>
      </c>
      <c r="V65" s="754">
        <v>0</v>
      </c>
      <c r="W65" s="755">
        <v>0</v>
      </c>
      <c r="X65" s="757">
        <v>0</v>
      </c>
      <c r="Y65" s="754">
        <v>0</v>
      </c>
      <c r="Z65" s="755">
        <v>0</v>
      </c>
      <c r="AA65" s="757">
        <v>1</v>
      </c>
      <c r="AB65" s="754">
        <v>0</v>
      </c>
      <c r="AC65" s="755">
        <v>0</v>
      </c>
      <c r="AD65" s="757">
        <v>1</v>
      </c>
      <c r="AE65" s="757">
        <v>0</v>
      </c>
      <c r="AF65" s="757">
        <v>0</v>
      </c>
      <c r="AG65" s="760">
        <v>0</v>
      </c>
      <c r="AH65" s="761">
        <v>0</v>
      </c>
      <c r="AI65" s="763">
        <v>0</v>
      </c>
      <c r="AJ65" s="763">
        <v>0</v>
      </c>
      <c r="AK65" s="291"/>
      <c r="AL65" s="519" t="s">
        <v>133</v>
      </c>
      <c r="AM65" s="51">
        <v>190402</v>
      </c>
      <c r="AN65" s="36">
        <v>137.11000000000001</v>
      </c>
      <c r="AO65" s="26" t="s">
        <v>304</v>
      </c>
      <c r="AP65" s="37">
        <v>481.23</v>
      </c>
      <c r="AQ65" s="792">
        <f t="shared" si="1"/>
        <v>344.12</v>
      </c>
      <c r="AR65" s="828"/>
      <c r="AS65" s="812" t="s">
        <v>191</v>
      </c>
      <c r="AT65" s="31" t="s">
        <v>57</v>
      </c>
      <c r="AU65" s="38">
        <v>2</v>
      </c>
      <c r="AV65" s="26" t="s">
        <v>305</v>
      </c>
      <c r="AW65" s="46">
        <v>2.5</v>
      </c>
      <c r="AX65" s="36">
        <v>0</v>
      </c>
      <c r="AY65" s="38">
        <v>154243944</v>
      </c>
      <c r="AZ65" s="41">
        <v>7.64</v>
      </c>
      <c r="BA65" s="256" t="s">
        <v>136</v>
      </c>
      <c r="BB65" s="41">
        <f>AP65*5%</f>
        <v>24.061500000000002</v>
      </c>
      <c r="BC65" s="42"/>
      <c r="BD65" s="42"/>
      <c r="BE65" s="42"/>
      <c r="BF65" s="42"/>
      <c r="BG65" s="42"/>
    </row>
    <row r="66" spans="1:59" ht="32" customHeight="1" outlineLevel="1">
      <c r="A66" s="771">
        <v>1902018</v>
      </c>
      <c r="B66" s="25">
        <v>42041</v>
      </c>
      <c r="C66" s="26" t="s">
        <v>59</v>
      </c>
      <c r="D66" s="26" t="s">
        <v>47</v>
      </c>
      <c r="E66" s="533" t="s">
        <v>60</v>
      </c>
      <c r="F66" s="519" t="s">
        <v>47</v>
      </c>
      <c r="G66" s="48" t="s">
        <v>306</v>
      </c>
      <c r="H66" s="291"/>
      <c r="I66" s="261" t="s">
        <v>191</v>
      </c>
      <c r="J66" s="30" t="s">
        <v>49</v>
      </c>
      <c r="K66" s="31" t="s">
        <v>66</v>
      </c>
      <c r="L66" s="32" t="s">
        <v>231</v>
      </c>
      <c r="M66" s="33"/>
      <c r="N66" s="31" t="s">
        <v>59</v>
      </c>
      <c r="O66" s="26" t="s">
        <v>307</v>
      </c>
      <c r="P66" s="559"/>
      <c r="Q66" s="290"/>
      <c r="R66" s="753">
        <v>0</v>
      </c>
      <c r="S66" s="754">
        <v>0</v>
      </c>
      <c r="T66" s="755">
        <v>0</v>
      </c>
      <c r="U66" s="757">
        <v>0</v>
      </c>
      <c r="V66" s="754">
        <v>0</v>
      </c>
      <c r="W66" s="755">
        <v>0</v>
      </c>
      <c r="X66" s="757">
        <v>0</v>
      </c>
      <c r="Y66" s="754">
        <v>0</v>
      </c>
      <c r="Z66" s="755">
        <v>0</v>
      </c>
      <c r="AA66" s="757">
        <v>0</v>
      </c>
      <c r="AB66" s="754">
        <v>0</v>
      </c>
      <c r="AC66" s="755">
        <v>0</v>
      </c>
      <c r="AD66" s="757">
        <v>0</v>
      </c>
      <c r="AE66" s="757">
        <v>0</v>
      </c>
      <c r="AF66" s="757">
        <v>0</v>
      </c>
      <c r="AG66" s="760">
        <v>0</v>
      </c>
      <c r="AH66" s="761">
        <v>0</v>
      </c>
      <c r="AI66" s="763">
        <v>0</v>
      </c>
      <c r="AJ66" s="763">
        <v>0</v>
      </c>
      <c r="AK66" s="291"/>
      <c r="AL66" s="519" t="s">
        <v>65</v>
      </c>
      <c r="AM66" s="35"/>
      <c r="AN66" s="36">
        <v>0</v>
      </c>
      <c r="AO66" s="26" t="s">
        <v>47</v>
      </c>
      <c r="AP66" s="37">
        <v>0</v>
      </c>
      <c r="AQ66" s="792">
        <f t="shared" si="1"/>
        <v>0</v>
      </c>
      <c r="AR66" s="828"/>
      <c r="AS66" s="815" t="s">
        <v>47</v>
      </c>
      <c r="AT66" s="31" t="s">
        <v>66</v>
      </c>
      <c r="AU66" s="40"/>
      <c r="AV66" s="40"/>
      <c r="AW66" s="46"/>
      <c r="AX66" s="36">
        <v>0</v>
      </c>
      <c r="AY66" s="258" t="s">
        <v>47</v>
      </c>
      <c r="AZ66" s="41">
        <v>0</v>
      </c>
      <c r="BA66" s="31" t="s">
        <v>47</v>
      </c>
      <c r="BB66" s="41">
        <v>0</v>
      </c>
      <c r="BC66" s="42"/>
      <c r="BD66" s="42"/>
      <c r="BE66" s="42"/>
      <c r="BF66" s="42"/>
      <c r="BG66" s="42"/>
    </row>
    <row r="67" spans="1:59" ht="20" customHeight="1" outlineLevel="1">
      <c r="A67" s="485">
        <v>1902019</v>
      </c>
      <c r="B67" s="25">
        <v>42041</v>
      </c>
      <c r="C67" s="26" t="s">
        <v>67</v>
      </c>
      <c r="D67" s="26" t="s">
        <v>45</v>
      </c>
      <c r="E67" s="533" t="s">
        <v>69</v>
      </c>
      <c r="F67" s="519" t="s">
        <v>47</v>
      </c>
      <c r="G67" s="48" t="s">
        <v>47</v>
      </c>
      <c r="H67" s="291"/>
      <c r="I67" s="29" t="s">
        <v>47</v>
      </c>
      <c r="J67" s="30" t="s">
        <v>62</v>
      </c>
      <c r="K67" s="31" t="s">
        <v>66</v>
      </c>
      <c r="L67" s="50"/>
      <c r="M67" s="33"/>
      <c r="N67" s="31" t="s">
        <v>308</v>
      </c>
      <c r="O67" s="26" t="s">
        <v>309</v>
      </c>
      <c r="P67" s="559"/>
      <c r="Q67" s="290"/>
      <c r="R67" s="753">
        <v>0</v>
      </c>
      <c r="S67" s="754">
        <v>0</v>
      </c>
      <c r="T67" s="755">
        <v>0</v>
      </c>
      <c r="U67" s="757">
        <v>0</v>
      </c>
      <c r="V67" s="754">
        <v>0</v>
      </c>
      <c r="W67" s="755">
        <v>0</v>
      </c>
      <c r="X67" s="757">
        <v>0</v>
      </c>
      <c r="Y67" s="754">
        <v>0</v>
      </c>
      <c r="Z67" s="755">
        <v>0</v>
      </c>
      <c r="AA67" s="757">
        <v>0</v>
      </c>
      <c r="AB67" s="754">
        <v>0</v>
      </c>
      <c r="AC67" s="755">
        <v>0</v>
      </c>
      <c r="AD67" s="757">
        <v>0</v>
      </c>
      <c r="AE67" s="757">
        <v>0</v>
      </c>
      <c r="AF67" s="757">
        <v>0</v>
      </c>
      <c r="AG67" s="760">
        <v>0</v>
      </c>
      <c r="AH67" s="761">
        <v>1</v>
      </c>
      <c r="AI67" s="763">
        <v>0</v>
      </c>
      <c r="AJ67" s="763">
        <v>0</v>
      </c>
      <c r="AK67" s="291"/>
      <c r="AL67" s="519" t="s">
        <v>65</v>
      </c>
      <c r="AM67" s="48" t="s">
        <v>47</v>
      </c>
      <c r="AN67" s="36">
        <f>PRODUCTS!C13</f>
        <v>0.39</v>
      </c>
      <c r="AO67" s="26" t="s">
        <v>47</v>
      </c>
      <c r="AP67" s="37">
        <v>0</v>
      </c>
      <c r="AQ67" s="792">
        <f t="shared" si="1"/>
        <v>-0.39</v>
      </c>
      <c r="AR67" s="828"/>
      <c r="AS67" s="815" t="s">
        <v>47</v>
      </c>
      <c r="AT67" s="31" t="s">
        <v>94</v>
      </c>
      <c r="AU67" s="38">
        <v>1</v>
      </c>
      <c r="AV67" s="26" t="s">
        <v>47</v>
      </c>
      <c r="AW67" s="46">
        <v>0.05</v>
      </c>
      <c r="AX67" s="36">
        <v>0</v>
      </c>
      <c r="AY67" s="26" t="s">
        <v>47</v>
      </c>
      <c r="AZ67" s="41">
        <v>0.7</v>
      </c>
      <c r="BA67" s="31" t="s">
        <v>47</v>
      </c>
      <c r="BB67" s="41">
        <v>0</v>
      </c>
      <c r="BC67" s="42"/>
      <c r="BD67" s="42"/>
      <c r="BE67" s="42"/>
      <c r="BF67" s="42"/>
      <c r="BG67" s="42"/>
    </row>
    <row r="68" spans="1:59" ht="44" customHeight="1" outlineLevel="1">
      <c r="A68" s="485">
        <v>1902020</v>
      </c>
      <c r="B68" s="25">
        <v>42042</v>
      </c>
      <c r="C68" s="26" t="s">
        <v>44</v>
      </c>
      <c r="D68" s="26" t="s">
        <v>73</v>
      </c>
      <c r="E68" s="533" t="s">
        <v>116</v>
      </c>
      <c r="F68" s="519" t="s">
        <v>47</v>
      </c>
      <c r="G68" s="48" t="s">
        <v>200</v>
      </c>
      <c r="H68" s="291"/>
      <c r="I68" s="49">
        <v>190831</v>
      </c>
      <c r="J68" s="30" t="s">
        <v>62</v>
      </c>
      <c r="K68" s="31" t="s">
        <v>50</v>
      </c>
      <c r="L68" s="44">
        <v>159383943</v>
      </c>
      <c r="M68" s="33">
        <v>42080</v>
      </c>
      <c r="N68" s="31" t="s">
        <v>201</v>
      </c>
      <c r="O68" s="26" t="s">
        <v>310</v>
      </c>
      <c r="P68" s="559"/>
      <c r="Q68" s="290"/>
      <c r="R68" s="753">
        <v>0</v>
      </c>
      <c r="S68" s="754">
        <v>0</v>
      </c>
      <c r="T68" s="755">
        <v>0</v>
      </c>
      <c r="U68" s="757">
        <v>0</v>
      </c>
      <c r="V68" s="754">
        <v>0</v>
      </c>
      <c r="W68" s="755">
        <v>0</v>
      </c>
      <c r="X68" s="757">
        <v>0</v>
      </c>
      <c r="Y68" s="754">
        <v>0</v>
      </c>
      <c r="Z68" s="755">
        <v>0</v>
      </c>
      <c r="AA68" s="757">
        <v>0</v>
      </c>
      <c r="AB68" s="754">
        <v>0</v>
      </c>
      <c r="AC68" s="755">
        <v>0</v>
      </c>
      <c r="AD68" s="757">
        <v>0</v>
      </c>
      <c r="AE68" s="757">
        <v>0</v>
      </c>
      <c r="AF68" s="757">
        <v>0</v>
      </c>
      <c r="AG68" s="760">
        <v>0</v>
      </c>
      <c r="AH68" s="761">
        <v>0</v>
      </c>
      <c r="AI68" s="763">
        <v>0</v>
      </c>
      <c r="AJ68" s="763">
        <v>0</v>
      </c>
      <c r="AK68" s="291"/>
      <c r="AL68" s="519" t="s">
        <v>78</v>
      </c>
      <c r="AM68" s="51">
        <v>190633</v>
      </c>
      <c r="AN68" s="36">
        <v>838</v>
      </c>
      <c r="AO68" s="26" t="s">
        <v>311</v>
      </c>
      <c r="AP68" s="37">
        <f>2005.6-350</f>
        <v>1655.6</v>
      </c>
      <c r="AQ68" s="792">
        <f t="shared" si="1"/>
        <v>817.59999999999991</v>
      </c>
      <c r="AR68" s="828"/>
      <c r="AS68" s="812">
        <v>42070</v>
      </c>
      <c r="AT68" s="31" t="s">
        <v>57</v>
      </c>
      <c r="AU68" s="38">
        <v>7</v>
      </c>
      <c r="AV68" s="26" t="s">
        <v>312</v>
      </c>
      <c r="AW68" s="46">
        <v>7</v>
      </c>
      <c r="AX68" s="36">
        <v>350</v>
      </c>
      <c r="AY68" s="40"/>
      <c r="AZ68" s="41">
        <v>416.59</v>
      </c>
      <c r="BA68" s="31" t="s">
        <v>47</v>
      </c>
      <c r="BB68" s="41">
        <v>0</v>
      </c>
      <c r="BC68" s="42"/>
      <c r="BD68" s="42"/>
      <c r="BE68" s="42"/>
      <c r="BF68" s="42"/>
      <c r="BG68" s="42"/>
    </row>
    <row r="69" spans="1:59" ht="32" customHeight="1" outlineLevel="1">
      <c r="A69" s="485">
        <v>1902021</v>
      </c>
      <c r="B69" s="25">
        <v>42042</v>
      </c>
      <c r="C69" s="26" t="s">
        <v>44</v>
      </c>
      <c r="D69" s="26" t="s">
        <v>73</v>
      </c>
      <c r="E69" s="533" t="s">
        <v>101</v>
      </c>
      <c r="F69" s="519" t="s">
        <v>47</v>
      </c>
      <c r="G69" s="48" t="s">
        <v>313</v>
      </c>
      <c r="H69" s="291"/>
      <c r="I69" s="49">
        <v>190720</v>
      </c>
      <c r="J69" s="30" t="s">
        <v>49</v>
      </c>
      <c r="K69" s="31" t="s">
        <v>50</v>
      </c>
      <c r="L69" s="44">
        <v>154729753</v>
      </c>
      <c r="M69" s="33">
        <v>42056</v>
      </c>
      <c r="N69" s="31" t="s">
        <v>104</v>
      </c>
      <c r="O69" s="26" t="s">
        <v>314</v>
      </c>
      <c r="P69" s="559"/>
      <c r="Q69" s="290"/>
      <c r="R69" s="753">
        <v>0</v>
      </c>
      <c r="S69" s="754">
        <v>0</v>
      </c>
      <c r="T69" s="755">
        <v>0</v>
      </c>
      <c r="U69" s="757">
        <v>1</v>
      </c>
      <c r="V69" s="754">
        <v>0</v>
      </c>
      <c r="W69" s="755">
        <v>0</v>
      </c>
      <c r="X69" s="757">
        <v>0</v>
      </c>
      <c r="Y69" s="754">
        <v>0</v>
      </c>
      <c r="Z69" s="755">
        <v>0</v>
      </c>
      <c r="AA69" s="757">
        <v>0</v>
      </c>
      <c r="AB69" s="754">
        <v>0</v>
      </c>
      <c r="AC69" s="755">
        <v>0</v>
      </c>
      <c r="AD69" s="757">
        <v>0</v>
      </c>
      <c r="AE69" s="757">
        <v>0</v>
      </c>
      <c r="AF69" s="757">
        <v>0</v>
      </c>
      <c r="AG69" s="760">
        <v>0</v>
      </c>
      <c r="AH69" s="761">
        <v>0</v>
      </c>
      <c r="AI69" s="763">
        <v>0</v>
      </c>
      <c r="AJ69" s="763">
        <v>0</v>
      </c>
      <c r="AK69" s="291"/>
      <c r="AL69" s="519" t="s">
        <v>65</v>
      </c>
      <c r="AM69" s="51">
        <v>190437</v>
      </c>
      <c r="AN69" s="36">
        <v>110.58</v>
      </c>
      <c r="AO69" s="26" t="s">
        <v>315</v>
      </c>
      <c r="AP69" s="37">
        <v>225.22</v>
      </c>
      <c r="AQ69" s="792">
        <f t="shared" ref="AQ69:AQ108" si="4">AP69-AN69</f>
        <v>114.64</v>
      </c>
      <c r="AR69" s="828"/>
      <c r="AS69" s="812">
        <v>42076</v>
      </c>
      <c r="AT69" s="31" t="s">
        <v>57</v>
      </c>
      <c r="AU69" s="38">
        <v>1</v>
      </c>
      <c r="AV69" s="26" t="s">
        <v>316</v>
      </c>
      <c r="AW69" s="46">
        <v>1.5</v>
      </c>
      <c r="AX69" s="36">
        <v>0</v>
      </c>
      <c r="AY69" s="40"/>
      <c r="AZ69" s="41">
        <v>16</v>
      </c>
      <c r="BA69" s="31" t="s">
        <v>47</v>
      </c>
      <c r="BB69" s="41">
        <v>0</v>
      </c>
      <c r="BC69" s="42"/>
      <c r="BD69" s="42"/>
      <c r="BE69" s="42"/>
      <c r="BF69" s="42"/>
      <c r="BG69" s="42"/>
    </row>
    <row r="70" spans="1:59" ht="20" customHeight="1" outlineLevel="1">
      <c r="A70" s="485">
        <v>1902022</v>
      </c>
      <c r="B70" s="25" t="s">
        <v>317</v>
      </c>
      <c r="C70" s="26" t="s">
        <v>67</v>
      </c>
      <c r="D70" s="26" t="s">
        <v>73</v>
      </c>
      <c r="E70" s="533" t="s">
        <v>60</v>
      </c>
      <c r="F70" s="519" t="s">
        <v>47</v>
      </c>
      <c r="G70" s="48" t="s">
        <v>318</v>
      </c>
      <c r="H70" s="291"/>
      <c r="I70" s="49">
        <v>190615</v>
      </c>
      <c r="J70" s="30" t="s">
        <v>49</v>
      </c>
      <c r="K70" s="31" t="s">
        <v>50</v>
      </c>
      <c r="L70" s="44">
        <v>153541535</v>
      </c>
      <c r="M70" s="33">
        <v>42049</v>
      </c>
      <c r="N70" s="31" t="s">
        <v>319</v>
      </c>
      <c r="O70" s="26" t="s">
        <v>320</v>
      </c>
      <c r="P70" s="559"/>
      <c r="Q70" s="290"/>
      <c r="R70" s="753">
        <v>0</v>
      </c>
      <c r="S70" s="754">
        <v>0</v>
      </c>
      <c r="T70" s="755">
        <v>0</v>
      </c>
      <c r="U70" s="757">
        <v>0</v>
      </c>
      <c r="V70" s="754">
        <v>0</v>
      </c>
      <c r="W70" s="755">
        <v>0</v>
      </c>
      <c r="X70" s="757">
        <v>0</v>
      </c>
      <c r="Y70" s="754">
        <v>0</v>
      </c>
      <c r="Z70" s="755">
        <v>0</v>
      </c>
      <c r="AA70" s="757">
        <v>0</v>
      </c>
      <c r="AB70" s="754">
        <v>0</v>
      </c>
      <c r="AC70" s="755">
        <v>0</v>
      </c>
      <c r="AD70" s="757">
        <v>1</v>
      </c>
      <c r="AE70" s="757">
        <v>0</v>
      </c>
      <c r="AF70" s="757">
        <v>0</v>
      </c>
      <c r="AG70" s="760">
        <v>0</v>
      </c>
      <c r="AH70" s="761">
        <v>0</v>
      </c>
      <c r="AI70" s="763">
        <v>0</v>
      </c>
      <c r="AJ70" s="763">
        <v>0</v>
      </c>
      <c r="AK70" s="291"/>
      <c r="AL70" s="519" t="s">
        <v>65</v>
      </c>
      <c r="AM70" s="51">
        <v>190377</v>
      </c>
      <c r="AN70" s="36">
        <v>45.13</v>
      </c>
      <c r="AO70" s="26" t="s">
        <v>321</v>
      </c>
      <c r="AP70" s="37">
        <v>45.13</v>
      </c>
      <c r="AQ70" s="792">
        <f t="shared" si="4"/>
        <v>0</v>
      </c>
      <c r="AR70" s="828"/>
      <c r="AS70" s="812">
        <v>42083</v>
      </c>
      <c r="AT70" s="31" t="s">
        <v>57</v>
      </c>
      <c r="AU70" s="38">
        <v>1</v>
      </c>
      <c r="AV70" s="26" t="s">
        <v>229</v>
      </c>
      <c r="AW70" s="46">
        <v>1.5</v>
      </c>
      <c r="AX70" s="36">
        <v>7.28</v>
      </c>
      <c r="AY70" s="40"/>
      <c r="AZ70" s="41">
        <v>7.28</v>
      </c>
      <c r="BA70" s="31" t="s">
        <v>47</v>
      </c>
      <c r="BB70" s="41">
        <v>0</v>
      </c>
      <c r="BC70" s="42"/>
      <c r="BD70" s="42"/>
      <c r="BE70" s="42"/>
      <c r="BF70" s="42"/>
      <c r="BG70" s="42"/>
    </row>
    <row r="71" spans="1:59" ht="20" customHeight="1" outlineLevel="1">
      <c r="A71" s="485">
        <v>1902023</v>
      </c>
      <c r="B71" s="25">
        <v>42046</v>
      </c>
      <c r="C71" s="26" t="s">
        <v>44</v>
      </c>
      <c r="D71" s="26" t="s">
        <v>73</v>
      </c>
      <c r="E71" s="533" t="s">
        <v>89</v>
      </c>
      <c r="F71" s="519" t="s">
        <v>47</v>
      </c>
      <c r="G71" s="48" t="s">
        <v>47</v>
      </c>
      <c r="H71" s="291"/>
      <c r="I71" s="29" t="s">
        <v>47</v>
      </c>
      <c r="J71" s="30" t="s">
        <v>62</v>
      </c>
      <c r="K71" s="31" t="s">
        <v>163</v>
      </c>
      <c r="L71" s="50"/>
      <c r="M71" s="33"/>
      <c r="N71" s="31" t="s">
        <v>90</v>
      </c>
      <c r="O71" s="26" t="s">
        <v>322</v>
      </c>
      <c r="P71" s="559"/>
      <c r="Q71" s="290"/>
      <c r="R71" s="753">
        <v>0</v>
      </c>
      <c r="S71" s="754">
        <v>0</v>
      </c>
      <c r="T71" s="755">
        <v>0</v>
      </c>
      <c r="U71" s="757">
        <v>0</v>
      </c>
      <c r="V71" s="754">
        <v>0</v>
      </c>
      <c r="W71" s="755">
        <v>0</v>
      </c>
      <c r="X71" s="757">
        <v>0</v>
      </c>
      <c r="Y71" s="754">
        <v>0</v>
      </c>
      <c r="Z71" s="755">
        <v>0</v>
      </c>
      <c r="AA71" s="757">
        <v>0</v>
      </c>
      <c r="AB71" s="754">
        <v>0</v>
      </c>
      <c r="AC71" s="755">
        <v>0</v>
      </c>
      <c r="AD71" s="757">
        <v>0</v>
      </c>
      <c r="AE71" s="757">
        <v>0</v>
      </c>
      <c r="AF71" s="757">
        <v>0</v>
      </c>
      <c r="AG71" s="760">
        <v>0</v>
      </c>
      <c r="AH71" s="761">
        <v>0</v>
      </c>
      <c r="AI71" s="763">
        <v>0</v>
      </c>
      <c r="AJ71" s="763">
        <v>0</v>
      </c>
      <c r="AK71" s="291"/>
      <c r="AL71" s="519" t="s">
        <v>47</v>
      </c>
      <c r="AM71" s="48" t="s">
        <v>47</v>
      </c>
      <c r="AN71" s="36">
        <v>0</v>
      </c>
      <c r="AO71" s="26" t="s">
        <v>47</v>
      </c>
      <c r="AP71" s="37">
        <v>0</v>
      </c>
      <c r="AQ71" s="792">
        <f t="shared" si="4"/>
        <v>0</v>
      </c>
      <c r="AR71" s="828"/>
      <c r="AS71" s="815" t="s">
        <v>47</v>
      </c>
      <c r="AT71" s="31" t="s">
        <v>66</v>
      </c>
      <c r="AU71" s="40"/>
      <c r="AV71" s="40"/>
      <c r="AW71" s="46"/>
      <c r="AX71" s="36"/>
      <c r="AY71" s="40"/>
      <c r="AZ71" s="41"/>
      <c r="BA71" s="31" t="s">
        <v>47</v>
      </c>
      <c r="BB71" s="41">
        <v>0</v>
      </c>
      <c r="BC71" s="42"/>
      <c r="BD71" s="42"/>
      <c r="BE71" s="42"/>
      <c r="BF71" s="42"/>
      <c r="BG71" s="42"/>
    </row>
    <row r="72" spans="1:59" ht="32" customHeight="1" outlineLevel="1">
      <c r="A72" s="485">
        <v>1902024</v>
      </c>
      <c r="B72" s="25">
        <v>42046</v>
      </c>
      <c r="C72" s="26" t="s">
        <v>59</v>
      </c>
      <c r="D72" s="26" t="s">
        <v>47</v>
      </c>
      <c r="E72" s="533" t="s">
        <v>526</v>
      </c>
      <c r="F72" s="519" t="s">
        <v>323</v>
      </c>
      <c r="G72" s="48" t="s">
        <v>324</v>
      </c>
      <c r="H72" s="293" t="s">
        <v>47</v>
      </c>
      <c r="I72" s="261" t="s">
        <v>191</v>
      </c>
      <c r="J72" s="30" t="s">
        <v>49</v>
      </c>
      <c r="K72" s="256" t="s">
        <v>118</v>
      </c>
      <c r="L72" s="32"/>
      <c r="M72" s="33">
        <v>42117</v>
      </c>
      <c r="N72" s="31" t="s">
        <v>59</v>
      </c>
      <c r="O72" s="252" t="s">
        <v>1865</v>
      </c>
      <c r="P72" s="559"/>
      <c r="Q72" s="290"/>
      <c r="R72" s="753">
        <v>0</v>
      </c>
      <c r="S72" s="754">
        <v>0</v>
      </c>
      <c r="T72" s="755">
        <v>0</v>
      </c>
      <c r="U72" s="757">
        <v>0</v>
      </c>
      <c r="V72" s="754">
        <v>0</v>
      </c>
      <c r="W72" s="755">
        <v>0</v>
      </c>
      <c r="X72" s="757">
        <v>0</v>
      </c>
      <c r="Y72" s="754">
        <v>0</v>
      </c>
      <c r="Z72" s="755">
        <v>0</v>
      </c>
      <c r="AA72" s="757">
        <v>0</v>
      </c>
      <c r="AB72" s="754">
        <v>0</v>
      </c>
      <c r="AC72" s="755">
        <v>0</v>
      </c>
      <c r="AD72" s="757">
        <v>0</v>
      </c>
      <c r="AE72" s="757">
        <v>0</v>
      </c>
      <c r="AF72" s="757">
        <v>0</v>
      </c>
      <c r="AG72" s="760">
        <v>350</v>
      </c>
      <c r="AH72" s="761">
        <v>0</v>
      </c>
      <c r="AI72" s="763">
        <v>0</v>
      </c>
      <c r="AJ72" s="763">
        <v>0</v>
      </c>
      <c r="AK72" s="291"/>
      <c r="AL72" s="519" t="s">
        <v>65</v>
      </c>
      <c r="AM72" s="253" t="s">
        <v>1685</v>
      </c>
      <c r="AN72" s="36">
        <f>350*PRODUCTS!C4</f>
        <v>22179.5</v>
      </c>
      <c r="AO72" s="252" t="s">
        <v>1684</v>
      </c>
      <c r="AP72" s="37">
        <v>22750</v>
      </c>
      <c r="AQ72" s="792">
        <f t="shared" si="4"/>
        <v>570.5</v>
      </c>
      <c r="AR72" s="828"/>
      <c r="AS72" s="812" t="s">
        <v>47</v>
      </c>
      <c r="AT72" s="31" t="s">
        <v>66</v>
      </c>
      <c r="AU72" s="40"/>
      <c r="AV72" s="40"/>
      <c r="AW72" s="46"/>
      <c r="AX72" s="36"/>
      <c r="AY72" s="40"/>
      <c r="AZ72" s="41"/>
      <c r="BA72" s="31" t="s">
        <v>47</v>
      </c>
      <c r="BB72" s="41">
        <v>0</v>
      </c>
      <c r="BC72" s="42"/>
      <c r="BD72" s="42"/>
      <c r="BE72" s="42"/>
      <c r="BF72" s="42"/>
      <c r="BG72" s="42"/>
    </row>
    <row r="73" spans="1:59" ht="20" customHeight="1" outlineLevel="1">
      <c r="A73" s="485">
        <v>1902025</v>
      </c>
      <c r="B73" s="25">
        <v>42047</v>
      </c>
      <c r="C73" s="26" t="s">
        <v>67</v>
      </c>
      <c r="D73" s="26" t="s">
        <v>45</v>
      </c>
      <c r="E73" s="533" t="s">
        <v>60</v>
      </c>
      <c r="F73" s="519" t="s">
        <v>47</v>
      </c>
      <c r="G73" s="48" t="s">
        <v>47</v>
      </c>
      <c r="H73" s="291"/>
      <c r="I73" s="29" t="s">
        <v>47</v>
      </c>
      <c r="J73" s="30" t="s">
        <v>62</v>
      </c>
      <c r="K73" s="31" t="s">
        <v>163</v>
      </c>
      <c r="L73" s="50"/>
      <c r="M73" s="33"/>
      <c r="N73" s="31" t="s">
        <v>326</v>
      </c>
      <c r="O73" s="26" t="s">
        <v>327</v>
      </c>
      <c r="P73" s="559"/>
      <c r="Q73" s="290"/>
      <c r="R73" s="753">
        <v>0</v>
      </c>
      <c r="S73" s="754">
        <v>0</v>
      </c>
      <c r="T73" s="755">
        <v>0</v>
      </c>
      <c r="U73" s="757">
        <v>0</v>
      </c>
      <c r="V73" s="754">
        <v>0</v>
      </c>
      <c r="W73" s="755">
        <v>0</v>
      </c>
      <c r="X73" s="757">
        <v>0</v>
      </c>
      <c r="Y73" s="754">
        <v>0</v>
      </c>
      <c r="Z73" s="755">
        <v>1</v>
      </c>
      <c r="AA73" s="757">
        <v>0</v>
      </c>
      <c r="AB73" s="754">
        <v>0</v>
      </c>
      <c r="AC73" s="755">
        <v>1</v>
      </c>
      <c r="AD73" s="757">
        <v>0</v>
      </c>
      <c r="AE73" s="757">
        <v>0</v>
      </c>
      <c r="AF73" s="757">
        <v>0</v>
      </c>
      <c r="AG73" s="760">
        <v>0</v>
      </c>
      <c r="AH73" s="761">
        <v>1</v>
      </c>
      <c r="AI73" s="763">
        <v>0</v>
      </c>
      <c r="AJ73" s="763">
        <v>0</v>
      </c>
      <c r="AK73" s="291"/>
      <c r="AL73" s="519" t="s">
        <v>47</v>
      </c>
      <c r="AM73" s="48" t="s">
        <v>47</v>
      </c>
      <c r="AN73" s="36">
        <f>3*0.11</f>
        <v>0.33</v>
      </c>
      <c r="AO73" s="26" t="s">
        <v>47</v>
      </c>
      <c r="AP73" s="37">
        <v>0</v>
      </c>
      <c r="AQ73" s="792">
        <f t="shared" si="4"/>
        <v>-0.33</v>
      </c>
      <c r="AR73" s="828"/>
      <c r="AS73" s="815" t="s">
        <v>47</v>
      </c>
      <c r="AT73" s="31" t="s">
        <v>94</v>
      </c>
      <c r="AU73" s="40"/>
      <c r="AV73" s="40"/>
      <c r="AW73" s="46"/>
      <c r="AX73" s="36">
        <v>0</v>
      </c>
      <c r="AY73" s="258" t="s">
        <v>1861</v>
      </c>
      <c r="AZ73" s="41">
        <f>3*1.4</f>
        <v>4.1999999999999993</v>
      </c>
      <c r="BA73" s="31" t="s">
        <v>47</v>
      </c>
      <c r="BB73" s="41">
        <v>0</v>
      </c>
      <c r="BC73" s="42"/>
      <c r="BD73" s="42"/>
      <c r="BE73" s="42"/>
      <c r="BF73" s="42"/>
      <c r="BG73" s="42"/>
    </row>
    <row r="74" spans="1:59" ht="20" customHeight="1" outlineLevel="1">
      <c r="A74" s="485">
        <v>1902026</v>
      </c>
      <c r="B74" s="25">
        <v>42047</v>
      </c>
      <c r="C74" s="26" t="s">
        <v>44</v>
      </c>
      <c r="D74" s="26" t="s">
        <v>45</v>
      </c>
      <c r="E74" s="533" t="s">
        <v>89</v>
      </c>
      <c r="F74" s="519" t="s">
        <v>47</v>
      </c>
      <c r="G74" s="48" t="s">
        <v>47</v>
      </c>
      <c r="H74" s="291"/>
      <c r="I74" s="29" t="s">
        <v>47</v>
      </c>
      <c r="J74" s="30" t="s">
        <v>62</v>
      </c>
      <c r="K74" s="31" t="s">
        <v>87</v>
      </c>
      <c r="L74" s="32" t="s">
        <v>47</v>
      </c>
      <c r="M74" s="33"/>
      <c r="N74" s="31" t="s">
        <v>90</v>
      </c>
      <c r="O74" s="26" t="s">
        <v>328</v>
      </c>
      <c r="P74" s="559"/>
      <c r="Q74" s="290"/>
      <c r="R74" s="753">
        <v>0</v>
      </c>
      <c r="S74" s="754">
        <v>0</v>
      </c>
      <c r="T74" s="755">
        <v>0</v>
      </c>
      <c r="U74" s="757">
        <v>0</v>
      </c>
      <c r="V74" s="754">
        <v>0</v>
      </c>
      <c r="W74" s="755">
        <v>2</v>
      </c>
      <c r="X74" s="757">
        <v>0</v>
      </c>
      <c r="Y74" s="754">
        <v>0</v>
      </c>
      <c r="Z74" s="755">
        <v>0</v>
      </c>
      <c r="AA74" s="757">
        <v>0</v>
      </c>
      <c r="AB74" s="754">
        <v>0</v>
      </c>
      <c r="AC74" s="755">
        <v>0</v>
      </c>
      <c r="AD74" s="757">
        <v>0</v>
      </c>
      <c r="AE74" s="757">
        <v>0</v>
      </c>
      <c r="AF74" s="757">
        <v>0</v>
      </c>
      <c r="AG74" s="760">
        <v>0</v>
      </c>
      <c r="AH74" s="761">
        <v>0</v>
      </c>
      <c r="AI74" s="763">
        <v>0</v>
      </c>
      <c r="AJ74" s="763">
        <v>0</v>
      </c>
      <c r="AK74" s="291"/>
      <c r="AL74" s="519" t="s">
        <v>47</v>
      </c>
      <c r="AM74" s="48" t="s">
        <v>47</v>
      </c>
      <c r="AN74" s="36">
        <f>2*0.11</f>
        <v>0.22</v>
      </c>
      <c r="AO74" s="26" t="s">
        <v>47</v>
      </c>
      <c r="AP74" s="37">
        <v>0</v>
      </c>
      <c r="AQ74" s="792">
        <f t="shared" si="4"/>
        <v>-0.22</v>
      </c>
      <c r="AR74" s="828"/>
      <c r="AS74" s="815" t="s">
        <v>47</v>
      </c>
      <c r="AT74" s="31" t="s">
        <v>94</v>
      </c>
      <c r="AU74" s="40"/>
      <c r="AV74" s="40"/>
      <c r="AW74" s="46"/>
      <c r="AX74" s="36">
        <v>0</v>
      </c>
      <c r="AY74" s="258" t="s">
        <v>118</v>
      </c>
      <c r="AZ74" s="41">
        <v>0</v>
      </c>
      <c r="BA74" s="31" t="s">
        <v>47</v>
      </c>
      <c r="BB74" s="41">
        <v>0</v>
      </c>
      <c r="BC74" s="42"/>
      <c r="BD74" s="42"/>
      <c r="BE74" s="42"/>
      <c r="BF74" s="42"/>
      <c r="BG74" s="42"/>
    </row>
    <row r="75" spans="1:59" ht="20" customHeight="1" outlineLevel="1">
      <c r="A75" s="485">
        <v>1902027</v>
      </c>
      <c r="B75" s="25">
        <v>42047</v>
      </c>
      <c r="C75" s="26" t="s">
        <v>67</v>
      </c>
      <c r="D75" s="26" t="s">
        <v>96</v>
      </c>
      <c r="E75" s="533" t="s">
        <v>60</v>
      </c>
      <c r="F75" s="519" t="s">
        <v>47</v>
      </c>
      <c r="G75" s="48" t="s">
        <v>47</v>
      </c>
      <c r="H75" s="291"/>
      <c r="I75" s="29" t="s">
        <v>47</v>
      </c>
      <c r="J75" s="30" t="s">
        <v>62</v>
      </c>
      <c r="K75" s="31" t="s">
        <v>163</v>
      </c>
      <c r="L75" s="32" t="s">
        <v>47</v>
      </c>
      <c r="M75" s="33">
        <v>41683</v>
      </c>
      <c r="N75" s="31" t="s">
        <v>329</v>
      </c>
      <c r="O75" s="26" t="s">
        <v>330</v>
      </c>
      <c r="P75" s="559"/>
      <c r="Q75" s="290"/>
      <c r="R75" s="753">
        <v>1</v>
      </c>
      <c r="S75" s="754">
        <v>0</v>
      </c>
      <c r="T75" s="755">
        <v>0</v>
      </c>
      <c r="U75" s="757">
        <v>0</v>
      </c>
      <c r="V75" s="754">
        <v>0</v>
      </c>
      <c r="W75" s="755">
        <v>0</v>
      </c>
      <c r="X75" s="757">
        <v>0</v>
      </c>
      <c r="Y75" s="754">
        <v>0</v>
      </c>
      <c r="Z75" s="755">
        <v>0</v>
      </c>
      <c r="AA75" s="757">
        <v>0</v>
      </c>
      <c r="AB75" s="754">
        <v>0</v>
      </c>
      <c r="AC75" s="755">
        <v>0</v>
      </c>
      <c r="AD75" s="757">
        <v>0</v>
      </c>
      <c r="AE75" s="757">
        <v>0</v>
      </c>
      <c r="AF75" s="757">
        <v>0</v>
      </c>
      <c r="AG75" s="760">
        <v>0</v>
      </c>
      <c r="AH75" s="761">
        <v>0</v>
      </c>
      <c r="AI75" s="763">
        <v>0</v>
      </c>
      <c r="AJ75" s="763">
        <v>0</v>
      </c>
      <c r="AK75" s="291"/>
      <c r="AL75" s="519" t="s">
        <v>47</v>
      </c>
      <c r="AM75" s="48" t="s">
        <v>47</v>
      </c>
      <c r="AN75" s="36">
        <f>PRODUCTS!G12</f>
        <v>0.10503415579453744</v>
      </c>
      <c r="AO75" s="26" t="s">
        <v>47</v>
      </c>
      <c r="AP75" s="37">
        <v>0</v>
      </c>
      <c r="AQ75" s="792">
        <f t="shared" si="4"/>
        <v>-0.10503415579453744</v>
      </c>
      <c r="AR75" s="828"/>
      <c r="AS75" s="815" t="s">
        <v>47</v>
      </c>
      <c r="AT75" s="31" t="s">
        <v>94</v>
      </c>
      <c r="AU75" s="38">
        <v>1</v>
      </c>
      <c r="AV75" s="26" t="s">
        <v>47</v>
      </c>
      <c r="AW75" s="46">
        <v>0.08</v>
      </c>
      <c r="AX75" s="36">
        <v>0</v>
      </c>
      <c r="AY75" s="26" t="s">
        <v>47</v>
      </c>
      <c r="AZ75" s="41">
        <v>2.4</v>
      </c>
      <c r="BA75" s="31" t="s">
        <v>47</v>
      </c>
      <c r="BB75" s="41">
        <v>0</v>
      </c>
      <c r="BC75" s="42"/>
      <c r="BD75" s="42"/>
      <c r="BE75" s="42"/>
      <c r="BF75" s="42"/>
      <c r="BG75" s="42"/>
    </row>
    <row r="76" spans="1:59" ht="32" customHeight="1" outlineLevel="1">
      <c r="A76" s="485">
        <v>1902028</v>
      </c>
      <c r="B76" s="25">
        <v>42047</v>
      </c>
      <c r="C76" s="26" t="s">
        <v>67</v>
      </c>
      <c r="D76" s="26" t="s">
        <v>96</v>
      </c>
      <c r="E76" s="533" t="s">
        <v>60</v>
      </c>
      <c r="F76" s="519" t="s">
        <v>47</v>
      </c>
      <c r="G76" s="48" t="s">
        <v>47</v>
      </c>
      <c r="H76" s="291"/>
      <c r="I76" s="29" t="s">
        <v>47</v>
      </c>
      <c r="J76" s="30" t="s">
        <v>62</v>
      </c>
      <c r="K76" s="31" t="s">
        <v>50</v>
      </c>
      <c r="L76" s="44">
        <v>153351315</v>
      </c>
      <c r="M76" s="33">
        <v>42048</v>
      </c>
      <c r="N76" s="31" t="s">
        <v>331</v>
      </c>
      <c r="O76" s="26" t="s">
        <v>332</v>
      </c>
      <c r="P76" s="559"/>
      <c r="Q76" s="290"/>
      <c r="R76" s="753">
        <v>0</v>
      </c>
      <c r="S76" s="754">
        <v>0</v>
      </c>
      <c r="T76" s="755">
        <v>0</v>
      </c>
      <c r="U76" s="757">
        <v>1</v>
      </c>
      <c r="V76" s="754">
        <v>0</v>
      </c>
      <c r="W76" s="755">
        <v>0</v>
      </c>
      <c r="X76" s="757">
        <v>0</v>
      </c>
      <c r="Y76" s="754">
        <v>0</v>
      </c>
      <c r="Z76" s="755">
        <v>0</v>
      </c>
      <c r="AA76" s="757">
        <v>0</v>
      </c>
      <c r="AB76" s="754">
        <v>0</v>
      </c>
      <c r="AC76" s="755">
        <v>0</v>
      </c>
      <c r="AD76" s="757">
        <v>0</v>
      </c>
      <c r="AE76" s="757">
        <v>0</v>
      </c>
      <c r="AF76" s="757">
        <v>0</v>
      </c>
      <c r="AG76" s="760">
        <v>0</v>
      </c>
      <c r="AH76" s="761">
        <v>0</v>
      </c>
      <c r="AI76" s="763">
        <v>0</v>
      </c>
      <c r="AJ76" s="763">
        <v>0</v>
      </c>
      <c r="AK76" s="291"/>
      <c r="AL76" s="519" t="s">
        <v>47</v>
      </c>
      <c r="AM76" s="48" t="s">
        <v>47</v>
      </c>
      <c r="AN76" s="36">
        <v>0</v>
      </c>
      <c r="AO76" s="26" t="s">
        <v>47</v>
      </c>
      <c r="AP76" s="37">
        <v>0</v>
      </c>
      <c r="AQ76" s="792">
        <f t="shared" si="4"/>
        <v>0</v>
      </c>
      <c r="AR76" s="828"/>
      <c r="AS76" s="815" t="s">
        <v>47</v>
      </c>
      <c r="AT76" s="31" t="s">
        <v>57</v>
      </c>
      <c r="AU76" s="38">
        <v>1</v>
      </c>
      <c r="AV76" s="26" t="s">
        <v>171</v>
      </c>
      <c r="AW76" s="46">
        <v>2.4</v>
      </c>
      <c r="AX76" s="36">
        <v>0</v>
      </c>
      <c r="AY76" s="38">
        <v>1252055</v>
      </c>
      <c r="AZ76" s="41">
        <v>11.82</v>
      </c>
      <c r="BA76" s="31" t="s">
        <v>47</v>
      </c>
      <c r="BB76" s="41">
        <v>0</v>
      </c>
      <c r="BC76" s="42"/>
      <c r="BD76" s="42"/>
      <c r="BE76" s="42"/>
      <c r="BF76" s="42"/>
      <c r="BG76" s="42"/>
    </row>
    <row r="77" spans="1:59" ht="32" customHeight="1" outlineLevel="1">
      <c r="A77" s="486">
        <v>1902029</v>
      </c>
      <c r="B77" s="25">
        <v>42047</v>
      </c>
      <c r="C77" s="26" t="s">
        <v>67</v>
      </c>
      <c r="D77" s="26" t="s">
        <v>96</v>
      </c>
      <c r="E77" s="533" t="s">
        <v>333</v>
      </c>
      <c r="F77" s="519" t="s">
        <v>334</v>
      </c>
      <c r="G77" s="253" t="s">
        <v>1518</v>
      </c>
      <c r="H77" s="290"/>
      <c r="I77" s="254" t="s">
        <v>1314</v>
      </c>
      <c r="J77" s="255" t="s">
        <v>62</v>
      </c>
      <c r="K77" s="31" t="s">
        <v>50</v>
      </c>
      <c r="L77" s="50">
        <v>166033378</v>
      </c>
      <c r="M77" s="33" t="s">
        <v>1511</v>
      </c>
      <c r="N77" s="31" t="s">
        <v>335</v>
      </c>
      <c r="O77" s="26" t="s">
        <v>336</v>
      </c>
      <c r="P77" s="559"/>
      <c r="Q77" s="290"/>
      <c r="R77" s="753">
        <v>0</v>
      </c>
      <c r="S77" s="754">
        <v>0</v>
      </c>
      <c r="T77" s="755">
        <v>0</v>
      </c>
      <c r="U77" s="757">
        <v>0</v>
      </c>
      <c r="V77" s="754">
        <v>0</v>
      </c>
      <c r="W77" s="755">
        <v>0</v>
      </c>
      <c r="X77" s="757">
        <v>0</v>
      </c>
      <c r="Y77" s="754">
        <v>1</v>
      </c>
      <c r="Z77" s="755">
        <v>0</v>
      </c>
      <c r="AA77" s="757">
        <v>0</v>
      </c>
      <c r="AB77" s="754">
        <v>0</v>
      </c>
      <c r="AC77" s="755">
        <v>0</v>
      </c>
      <c r="AD77" s="757">
        <v>0</v>
      </c>
      <c r="AE77" s="757">
        <v>0</v>
      </c>
      <c r="AF77" s="757">
        <v>0</v>
      </c>
      <c r="AG77" s="760">
        <v>1</v>
      </c>
      <c r="AH77" s="761">
        <v>0</v>
      </c>
      <c r="AI77" s="763">
        <v>0</v>
      </c>
      <c r="AJ77" s="763">
        <v>0</v>
      </c>
      <c r="AK77" s="291"/>
      <c r="AL77" s="519" t="s">
        <v>266</v>
      </c>
      <c r="AM77" s="48" t="s">
        <v>47</v>
      </c>
      <c r="AN77" s="36">
        <f>PRODUCTS!C3+PRODUCTS!E3</f>
        <v>142.51</v>
      </c>
      <c r="AO77" s="252" t="s">
        <v>1521</v>
      </c>
      <c r="AP77" s="37">
        <v>190</v>
      </c>
      <c r="AQ77" s="792">
        <f t="shared" si="4"/>
        <v>47.490000000000009</v>
      </c>
      <c r="AR77" s="828"/>
      <c r="AS77" s="815" t="s">
        <v>47</v>
      </c>
      <c r="AT77" s="31" t="s">
        <v>57</v>
      </c>
      <c r="AU77" s="40">
        <v>1</v>
      </c>
      <c r="AV77" s="258" t="s">
        <v>1522</v>
      </c>
      <c r="AW77" s="46">
        <v>10</v>
      </c>
      <c r="AX77" s="36">
        <v>0</v>
      </c>
      <c r="AY77" s="258" t="s">
        <v>118</v>
      </c>
      <c r="AZ77" s="41">
        <v>0</v>
      </c>
      <c r="BA77" s="31" t="s">
        <v>47</v>
      </c>
      <c r="BB77" s="41">
        <v>0</v>
      </c>
      <c r="BC77" s="42"/>
      <c r="BD77" s="42"/>
      <c r="BE77" s="42"/>
      <c r="BF77" s="42"/>
      <c r="BG77" s="42"/>
    </row>
    <row r="78" spans="1:59" ht="32" customHeight="1" outlineLevel="1">
      <c r="A78" s="485">
        <v>1902030</v>
      </c>
      <c r="B78" s="25">
        <v>42048</v>
      </c>
      <c r="C78" s="26" t="s">
        <v>67</v>
      </c>
      <c r="D78" s="26" t="s">
        <v>73</v>
      </c>
      <c r="E78" s="533" t="s">
        <v>60</v>
      </c>
      <c r="F78" s="519" t="s">
        <v>47</v>
      </c>
      <c r="G78" s="48" t="s">
        <v>337</v>
      </c>
      <c r="H78" s="291"/>
      <c r="I78" s="49">
        <v>190600</v>
      </c>
      <c r="J78" s="30" t="s">
        <v>62</v>
      </c>
      <c r="K78" s="31" t="s">
        <v>50</v>
      </c>
      <c r="L78" s="86">
        <v>153355564</v>
      </c>
      <c r="M78" s="33">
        <v>42048</v>
      </c>
      <c r="N78" s="31" t="s">
        <v>338</v>
      </c>
      <c r="O78" s="26" t="s">
        <v>339</v>
      </c>
      <c r="P78" s="559"/>
      <c r="Q78" s="290"/>
      <c r="R78" s="753">
        <v>0</v>
      </c>
      <c r="S78" s="754">
        <v>0</v>
      </c>
      <c r="T78" s="755">
        <v>0</v>
      </c>
      <c r="U78" s="757">
        <v>0</v>
      </c>
      <c r="V78" s="754">
        <v>0</v>
      </c>
      <c r="W78" s="755">
        <v>0</v>
      </c>
      <c r="X78" s="757">
        <v>0</v>
      </c>
      <c r="Y78" s="754">
        <v>0</v>
      </c>
      <c r="Z78" s="755">
        <v>0</v>
      </c>
      <c r="AA78" s="757">
        <v>0</v>
      </c>
      <c r="AB78" s="754">
        <v>0</v>
      </c>
      <c r="AC78" s="755">
        <v>0</v>
      </c>
      <c r="AD78" s="757">
        <v>0</v>
      </c>
      <c r="AE78" s="757">
        <v>0</v>
      </c>
      <c r="AF78" s="757">
        <v>0</v>
      </c>
      <c r="AG78" s="760">
        <v>0</v>
      </c>
      <c r="AH78" s="761">
        <v>0</v>
      </c>
      <c r="AI78" s="763">
        <v>0</v>
      </c>
      <c r="AJ78" s="763">
        <v>0</v>
      </c>
      <c r="AK78" s="291"/>
      <c r="AL78" s="519" t="s">
        <v>133</v>
      </c>
      <c r="AM78" s="51">
        <v>190378</v>
      </c>
      <c r="AN78" s="36">
        <v>0</v>
      </c>
      <c r="AO78" s="26" t="s">
        <v>340</v>
      </c>
      <c r="AP78" s="44">
        <v>0</v>
      </c>
      <c r="AQ78" s="792">
        <f t="shared" si="4"/>
        <v>0</v>
      </c>
      <c r="AR78" s="828"/>
      <c r="AS78" s="815" t="s">
        <v>47</v>
      </c>
      <c r="AT78" s="31" t="s">
        <v>57</v>
      </c>
      <c r="AU78" s="38">
        <v>1</v>
      </c>
      <c r="AV78" s="26" t="s">
        <v>268</v>
      </c>
      <c r="AW78" s="46">
        <v>15</v>
      </c>
      <c r="AX78" s="36">
        <v>10</v>
      </c>
      <c r="AY78" s="38">
        <v>12516206</v>
      </c>
      <c r="AZ78" s="41">
        <v>8.6</v>
      </c>
      <c r="BA78" s="31" t="s">
        <v>47</v>
      </c>
      <c r="BB78" s="41">
        <v>0</v>
      </c>
      <c r="BC78" s="42"/>
      <c r="BD78" s="42"/>
      <c r="BE78" s="42"/>
      <c r="BF78" s="42"/>
      <c r="BG78" s="42"/>
    </row>
    <row r="79" spans="1:59" ht="32" customHeight="1" outlineLevel="1">
      <c r="A79" s="485">
        <v>1902031</v>
      </c>
      <c r="B79" s="25">
        <v>42048</v>
      </c>
      <c r="C79" s="26" t="s">
        <v>67</v>
      </c>
      <c r="D79" s="26" t="s">
        <v>96</v>
      </c>
      <c r="E79" s="533" t="s">
        <v>250</v>
      </c>
      <c r="F79" s="519" t="s">
        <v>341</v>
      </c>
      <c r="G79" s="35"/>
      <c r="H79" s="290"/>
      <c r="I79" s="54"/>
      <c r="J79" s="30" t="s">
        <v>62</v>
      </c>
      <c r="K79" s="31" t="s">
        <v>66</v>
      </c>
      <c r="L79" s="50"/>
      <c r="M79" s="33"/>
      <c r="N79" s="31" t="s">
        <v>342</v>
      </c>
      <c r="O79" s="26" t="s">
        <v>343</v>
      </c>
      <c r="P79" s="559"/>
      <c r="Q79" s="290"/>
      <c r="R79" s="753">
        <v>0</v>
      </c>
      <c r="S79" s="754">
        <v>0</v>
      </c>
      <c r="T79" s="755">
        <v>0</v>
      </c>
      <c r="U79" s="757">
        <v>0</v>
      </c>
      <c r="V79" s="754">
        <v>0</v>
      </c>
      <c r="W79" s="755">
        <v>0</v>
      </c>
      <c r="X79" s="757">
        <v>0</v>
      </c>
      <c r="Y79" s="754">
        <v>0</v>
      </c>
      <c r="Z79" s="755">
        <v>0</v>
      </c>
      <c r="AA79" s="757">
        <v>0</v>
      </c>
      <c r="AB79" s="754">
        <v>0</v>
      </c>
      <c r="AC79" s="755">
        <v>0</v>
      </c>
      <c r="AD79" s="757">
        <v>0</v>
      </c>
      <c r="AE79" s="757">
        <v>0</v>
      </c>
      <c r="AF79" s="757">
        <v>0</v>
      </c>
      <c r="AG79" s="760">
        <v>0</v>
      </c>
      <c r="AH79" s="761">
        <v>0</v>
      </c>
      <c r="AI79" s="763">
        <v>0</v>
      </c>
      <c r="AJ79" s="763">
        <v>0</v>
      </c>
      <c r="AK79" s="291"/>
      <c r="AL79" s="519" t="s">
        <v>78</v>
      </c>
      <c r="AM79" s="35"/>
      <c r="AN79" s="36"/>
      <c r="AO79" s="26"/>
      <c r="AP79" s="37"/>
      <c r="AQ79" s="792">
        <f t="shared" si="4"/>
        <v>0</v>
      </c>
      <c r="AR79" s="828"/>
      <c r="AS79" s="812" t="s">
        <v>47</v>
      </c>
      <c r="AT79" s="31" t="s">
        <v>66</v>
      </c>
      <c r="AU79" s="40"/>
      <c r="AV79" s="40"/>
      <c r="AW79" s="46"/>
      <c r="AX79" s="36"/>
      <c r="AY79" s="40"/>
      <c r="AZ79" s="41"/>
      <c r="BA79" s="31" t="s">
        <v>47</v>
      </c>
      <c r="BB79" s="41">
        <v>0</v>
      </c>
      <c r="BC79" s="42"/>
      <c r="BD79" s="42"/>
      <c r="BE79" s="42"/>
      <c r="BF79" s="42"/>
      <c r="BG79" s="42"/>
    </row>
    <row r="80" spans="1:59" ht="20" customHeight="1" outlineLevel="1">
      <c r="A80" s="485">
        <v>1902032</v>
      </c>
      <c r="B80" s="25">
        <v>42048</v>
      </c>
      <c r="C80" s="26" t="s">
        <v>44</v>
      </c>
      <c r="D80" s="26" t="s">
        <v>73</v>
      </c>
      <c r="E80" s="533" t="s">
        <v>69</v>
      </c>
      <c r="F80" s="519" t="s">
        <v>47</v>
      </c>
      <c r="G80" s="48" t="s">
        <v>344</v>
      </c>
      <c r="H80" s="291"/>
      <c r="I80" s="49">
        <v>190721</v>
      </c>
      <c r="J80" s="30" t="s">
        <v>49</v>
      </c>
      <c r="K80" s="31" t="s">
        <v>50</v>
      </c>
      <c r="L80" s="44">
        <v>154769430</v>
      </c>
      <c r="M80" s="33">
        <v>42059</v>
      </c>
      <c r="N80" s="31" t="s">
        <v>345</v>
      </c>
      <c r="O80" s="26" t="s">
        <v>346</v>
      </c>
      <c r="P80" s="559"/>
      <c r="Q80" s="290"/>
      <c r="R80" s="753">
        <v>0</v>
      </c>
      <c r="S80" s="754">
        <v>0</v>
      </c>
      <c r="T80" s="755">
        <v>0</v>
      </c>
      <c r="U80" s="757">
        <v>0</v>
      </c>
      <c r="V80" s="754">
        <v>0</v>
      </c>
      <c r="W80" s="755">
        <v>0</v>
      </c>
      <c r="X80" s="757">
        <v>1</v>
      </c>
      <c r="Y80" s="754">
        <v>0</v>
      </c>
      <c r="Z80" s="755">
        <v>0</v>
      </c>
      <c r="AA80" s="757">
        <v>0</v>
      </c>
      <c r="AB80" s="754">
        <v>0</v>
      </c>
      <c r="AC80" s="755">
        <v>0</v>
      </c>
      <c r="AD80" s="757">
        <v>0</v>
      </c>
      <c r="AE80" s="757">
        <v>0</v>
      </c>
      <c r="AF80" s="757">
        <v>0</v>
      </c>
      <c r="AG80" s="760">
        <v>0</v>
      </c>
      <c r="AH80" s="761">
        <v>0</v>
      </c>
      <c r="AI80" s="763">
        <v>0</v>
      </c>
      <c r="AJ80" s="763">
        <v>0</v>
      </c>
      <c r="AK80" s="291"/>
      <c r="AL80" s="519" t="s">
        <v>65</v>
      </c>
      <c r="AM80" s="35">
        <v>190452</v>
      </c>
      <c r="AN80" s="36">
        <v>93.79</v>
      </c>
      <c r="AO80" s="26" t="s">
        <v>347</v>
      </c>
      <c r="AP80" s="37">
        <v>161.46</v>
      </c>
      <c r="AQ80" s="792">
        <f t="shared" si="4"/>
        <v>67.67</v>
      </c>
      <c r="AR80" s="828"/>
      <c r="AS80" s="812" t="s">
        <v>191</v>
      </c>
      <c r="AT80" s="31" t="s">
        <v>57</v>
      </c>
      <c r="AU80" s="38">
        <v>1</v>
      </c>
      <c r="AV80" s="26" t="s">
        <v>316</v>
      </c>
      <c r="AW80" s="46">
        <v>3.5</v>
      </c>
      <c r="AX80" s="36">
        <v>15</v>
      </c>
      <c r="AY80" s="38">
        <v>12543095</v>
      </c>
      <c r="AZ80" s="41">
        <v>11.38</v>
      </c>
      <c r="BA80" s="31" t="s">
        <v>47</v>
      </c>
      <c r="BB80" s="41">
        <v>0</v>
      </c>
      <c r="BC80" s="42"/>
      <c r="BD80" s="42"/>
      <c r="BE80" s="42"/>
      <c r="BF80" s="42"/>
      <c r="BG80" s="42"/>
    </row>
    <row r="81" spans="1:277" ht="32" customHeight="1" outlineLevel="1">
      <c r="A81" s="485">
        <v>1902033</v>
      </c>
      <c r="B81" s="25">
        <v>42048</v>
      </c>
      <c r="C81" s="26" t="s">
        <v>67</v>
      </c>
      <c r="D81" s="26" t="s">
        <v>96</v>
      </c>
      <c r="E81" s="533" t="s">
        <v>60</v>
      </c>
      <c r="F81" s="519" t="s">
        <v>348</v>
      </c>
      <c r="G81" s="48" t="s">
        <v>349</v>
      </c>
      <c r="H81" s="291"/>
      <c r="I81" s="49">
        <v>190779</v>
      </c>
      <c r="J81" s="30" t="s">
        <v>49</v>
      </c>
      <c r="K81" s="31" t="s">
        <v>50</v>
      </c>
      <c r="L81" s="44">
        <v>155695716</v>
      </c>
      <c r="M81" s="33">
        <v>42062</v>
      </c>
      <c r="N81" s="31" t="s">
        <v>350</v>
      </c>
      <c r="O81" s="26" t="s">
        <v>351</v>
      </c>
      <c r="P81" s="559"/>
      <c r="Q81" s="290"/>
      <c r="R81" s="753">
        <v>0</v>
      </c>
      <c r="S81" s="754">
        <v>1</v>
      </c>
      <c r="T81" s="755">
        <v>0</v>
      </c>
      <c r="U81" s="757">
        <v>0</v>
      </c>
      <c r="V81" s="754">
        <v>1</v>
      </c>
      <c r="W81" s="755">
        <v>0</v>
      </c>
      <c r="X81" s="757">
        <v>1</v>
      </c>
      <c r="Y81" s="754">
        <v>1</v>
      </c>
      <c r="Z81" s="755">
        <v>0</v>
      </c>
      <c r="AA81" s="757">
        <v>0</v>
      </c>
      <c r="AB81" s="754">
        <v>1</v>
      </c>
      <c r="AC81" s="755">
        <v>0</v>
      </c>
      <c r="AD81" s="757">
        <v>0</v>
      </c>
      <c r="AE81" s="757">
        <v>0</v>
      </c>
      <c r="AF81" s="757">
        <v>0</v>
      </c>
      <c r="AG81" s="760">
        <v>0</v>
      </c>
      <c r="AH81" s="761">
        <v>0</v>
      </c>
      <c r="AI81" s="763">
        <v>0</v>
      </c>
      <c r="AJ81" s="763">
        <v>0</v>
      </c>
      <c r="AK81" s="291"/>
      <c r="AL81" s="519" t="s">
        <v>133</v>
      </c>
      <c r="AM81" s="253" t="s">
        <v>1866</v>
      </c>
      <c r="AN81" s="772">
        <f>PRODUCTS!E3+PRODUCTS!F3+PRODUCTS!G3+150</f>
        <v>350.56</v>
      </c>
      <c r="AO81" s="26" t="s">
        <v>352</v>
      </c>
      <c r="AP81" s="37">
        <v>810.46</v>
      </c>
      <c r="AQ81" s="792">
        <f t="shared" si="4"/>
        <v>459.90000000000003</v>
      </c>
      <c r="AR81" s="828"/>
      <c r="AS81" s="812" t="s">
        <v>191</v>
      </c>
      <c r="AT81" s="31" t="s">
        <v>57</v>
      </c>
      <c r="AU81" s="38">
        <v>2</v>
      </c>
      <c r="AV81" s="26" t="s">
        <v>353</v>
      </c>
      <c r="AW81" s="46">
        <f>16+2.5</f>
        <v>18.5</v>
      </c>
      <c r="AX81" s="36">
        <v>0</v>
      </c>
      <c r="AY81" s="38">
        <v>12543095</v>
      </c>
      <c r="AZ81" s="41">
        <v>11.1</v>
      </c>
      <c r="BA81" s="256" t="s">
        <v>136</v>
      </c>
      <c r="BB81" s="41">
        <f>AP81*15%</f>
        <v>121.569</v>
      </c>
      <c r="BC81" s="42"/>
      <c r="BD81" s="42"/>
      <c r="BE81" s="42"/>
      <c r="BF81" s="42"/>
      <c r="BG81" s="42"/>
    </row>
    <row r="82" spans="1:277" ht="20" customHeight="1" outlineLevel="1">
      <c r="A82" s="485">
        <v>1902034</v>
      </c>
      <c r="B82" s="25">
        <v>42049</v>
      </c>
      <c r="C82" s="26" t="s">
        <v>67</v>
      </c>
      <c r="D82" s="26" t="s">
        <v>45</v>
      </c>
      <c r="E82" s="533" t="s">
        <v>116</v>
      </c>
      <c r="F82" s="519" t="s">
        <v>47</v>
      </c>
      <c r="G82" s="48" t="s">
        <v>47</v>
      </c>
      <c r="H82" s="291"/>
      <c r="I82" s="29" t="s">
        <v>47</v>
      </c>
      <c r="J82" s="30" t="s">
        <v>62</v>
      </c>
      <c r="K82" s="31" t="s">
        <v>50</v>
      </c>
      <c r="L82" s="44">
        <v>153473362</v>
      </c>
      <c r="M82" s="33">
        <v>42049</v>
      </c>
      <c r="N82" s="31" t="s">
        <v>354</v>
      </c>
      <c r="O82" s="26" t="s">
        <v>355</v>
      </c>
      <c r="P82" s="559"/>
      <c r="Q82" s="290"/>
      <c r="R82" s="753">
        <v>0</v>
      </c>
      <c r="S82" s="754">
        <v>0</v>
      </c>
      <c r="T82" s="755">
        <v>0</v>
      </c>
      <c r="U82" s="757">
        <v>0</v>
      </c>
      <c r="V82" s="754">
        <v>0</v>
      </c>
      <c r="W82" s="755">
        <v>5</v>
      </c>
      <c r="X82" s="757">
        <v>0</v>
      </c>
      <c r="Y82" s="754">
        <v>0</v>
      </c>
      <c r="Z82" s="755">
        <v>0</v>
      </c>
      <c r="AA82" s="757">
        <v>0</v>
      </c>
      <c r="AB82" s="754">
        <v>0</v>
      </c>
      <c r="AC82" s="755">
        <v>0</v>
      </c>
      <c r="AD82" s="757">
        <v>0</v>
      </c>
      <c r="AE82" s="757">
        <v>0</v>
      </c>
      <c r="AF82" s="757">
        <v>0</v>
      </c>
      <c r="AG82" s="760">
        <v>0</v>
      </c>
      <c r="AH82" s="761">
        <v>0</v>
      </c>
      <c r="AI82" s="763">
        <v>0</v>
      </c>
      <c r="AJ82" s="763">
        <v>0</v>
      </c>
      <c r="AK82" s="291"/>
      <c r="AL82" s="519" t="s">
        <v>47</v>
      </c>
      <c r="AM82" s="48" t="s">
        <v>47</v>
      </c>
      <c r="AN82" s="36">
        <v>0</v>
      </c>
      <c r="AO82" s="26" t="s">
        <v>47</v>
      </c>
      <c r="AP82" s="37">
        <v>0</v>
      </c>
      <c r="AQ82" s="792">
        <f t="shared" si="4"/>
        <v>0</v>
      </c>
      <c r="AR82" s="828"/>
      <c r="AS82" s="812" t="s">
        <v>47</v>
      </c>
      <c r="AT82" s="31" t="s">
        <v>94</v>
      </c>
      <c r="AU82" s="38">
        <v>1</v>
      </c>
      <c r="AV82" s="40"/>
      <c r="AW82" s="46"/>
      <c r="AX82" s="36">
        <v>11</v>
      </c>
      <c r="AY82" s="38">
        <v>1255055</v>
      </c>
      <c r="AZ82" s="41">
        <v>18.739999999999998</v>
      </c>
      <c r="BA82" s="45"/>
      <c r="BB82" s="41"/>
      <c r="BC82" s="42"/>
      <c r="BD82" s="42"/>
      <c r="BE82" s="42"/>
      <c r="BF82" s="42"/>
      <c r="BG82" s="42"/>
    </row>
    <row r="83" spans="1:277" ht="20" customHeight="1" outlineLevel="1">
      <c r="A83" s="485">
        <v>1902035</v>
      </c>
      <c r="B83" s="25">
        <v>42052</v>
      </c>
      <c r="C83" s="26" t="s">
        <v>67</v>
      </c>
      <c r="D83" s="26" t="s">
        <v>96</v>
      </c>
      <c r="E83" s="533" t="s">
        <v>60</v>
      </c>
      <c r="F83" s="519" t="s">
        <v>356</v>
      </c>
      <c r="G83" s="48" t="s">
        <v>357</v>
      </c>
      <c r="H83" s="291"/>
      <c r="I83" s="49">
        <v>191103</v>
      </c>
      <c r="J83" s="30" t="s">
        <v>49</v>
      </c>
      <c r="K83" s="31" t="s">
        <v>50</v>
      </c>
      <c r="L83" s="87">
        <v>160053595</v>
      </c>
      <c r="M83" s="33">
        <v>42082</v>
      </c>
      <c r="N83" s="31" t="s">
        <v>358</v>
      </c>
      <c r="O83" s="26" t="s">
        <v>359</v>
      </c>
      <c r="P83" s="559"/>
      <c r="Q83" s="290"/>
      <c r="R83" s="753">
        <v>0</v>
      </c>
      <c r="S83" s="754">
        <v>0</v>
      </c>
      <c r="T83" s="755">
        <v>0</v>
      </c>
      <c r="U83" s="757">
        <v>0</v>
      </c>
      <c r="V83" s="754">
        <v>0</v>
      </c>
      <c r="W83" s="755">
        <v>0</v>
      </c>
      <c r="X83" s="757">
        <v>0</v>
      </c>
      <c r="Y83" s="754">
        <v>0</v>
      </c>
      <c r="Z83" s="755">
        <v>0</v>
      </c>
      <c r="AA83" s="757">
        <v>0</v>
      </c>
      <c r="AB83" s="754">
        <v>0</v>
      </c>
      <c r="AC83" s="755">
        <v>0</v>
      </c>
      <c r="AD83" s="757">
        <v>8</v>
      </c>
      <c r="AE83" s="757">
        <v>0</v>
      </c>
      <c r="AF83" s="757">
        <v>0</v>
      </c>
      <c r="AG83" s="760">
        <v>0</v>
      </c>
      <c r="AH83" s="761">
        <v>0</v>
      </c>
      <c r="AI83" s="763">
        <v>0</v>
      </c>
      <c r="AJ83" s="763">
        <v>0</v>
      </c>
      <c r="AK83" s="291"/>
      <c r="AL83" s="519" t="s">
        <v>133</v>
      </c>
      <c r="AM83" s="51">
        <v>190664</v>
      </c>
      <c r="AN83" s="36">
        <v>367.61</v>
      </c>
      <c r="AO83" s="26" t="s">
        <v>360</v>
      </c>
      <c r="AP83" s="37">
        <v>752.00826446280985</v>
      </c>
      <c r="AQ83" s="792">
        <f t="shared" si="4"/>
        <v>384.39826446280983</v>
      </c>
      <c r="AR83" s="828"/>
      <c r="AS83" s="812">
        <v>42073</v>
      </c>
      <c r="AT83" s="256" t="s">
        <v>57</v>
      </c>
      <c r="AU83" s="40"/>
      <c r="AV83" s="40"/>
      <c r="AW83" s="46"/>
      <c r="AX83" s="36">
        <v>0</v>
      </c>
      <c r="AY83" s="40">
        <v>12574346</v>
      </c>
      <c r="AZ83" s="41">
        <v>8.6199999999999992</v>
      </c>
      <c r="BA83" s="256" t="s">
        <v>136</v>
      </c>
      <c r="BB83" s="41">
        <f>AP83*5%</f>
        <v>37.600413223140492</v>
      </c>
      <c r="BC83" s="42"/>
      <c r="BD83" s="42"/>
      <c r="BE83" s="42"/>
      <c r="BF83" s="42"/>
      <c r="BG83" s="42"/>
    </row>
    <row r="84" spans="1:277" ht="20" customHeight="1" outlineLevel="1">
      <c r="A84" s="485">
        <v>1902036</v>
      </c>
      <c r="B84" s="25">
        <v>42053</v>
      </c>
      <c r="C84" s="26" t="s">
        <v>67</v>
      </c>
      <c r="D84" s="26" t="s">
        <v>96</v>
      </c>
      <c r="E84" s="533" t="s">
        <v>60</v>
      </c>
      <c r="F84" s="519" t="s">
        <v>361</v>
      </c>
      <c r="G84" s="48" t="s">
        <v>362</v>
      </c>
      <c r="H84" s="291"/>
      <c r="I84" s="49">
        <v>190903</v>
      </c>
      <c r="J84" s="30" t="s">
        <v>49</v>
      </c>
      <c r="K84" s="31" t="s">
        <v>50</v>
      </c>
      <c r="L84" s="44">
        <v>157143242</v>
      </c>
      <c r="M84" s="33">
        <v>42069</v>
      </c>
      <c r="N84" s="31" t="s">
        <v>270</v>
      </c>
      <c r="O84" s="26" t="s">
        <v>363</v>
      </c>
      <c r="P84" s="559"/>
      <c r="Q84" s="290"/>
      <c r="R84" s="753">
        <v>0</v>
      </c>
      <c r="S84" s="754">
        <v>0</v>
      </c>
      <c r="T84" s="755">
        <v>0</v>
      </c>
      <c r="U84" s="757">
        <v>0</v>
      </c>
      <c r="V84" s="754">
        <v>0</v>
      </c>
      <c r="W84" s="755">
        <v>0</v>
      </c>
      <c r="X84" s="757">
        <v>2</v>
      </c>
      <c r="Y84" s="754">
        <v>0</v>
      </c>
      <c r="Z84" s="755">
        <v>0</v>
      </c>
      <c r="AA84" s="757">
        <v>0</v>
      </c>
      <c r="AB84" s="754">
        <v>0</v>
      </c>
      <c r="AC84" s="755">
        <v>0</v>
      </c>
      <c r="AD84" s="757">
        <v>0</v>
      </c>
      <c r="AE84" s="757">
        <v>0</v>
      </c>
      <c r="AF84" s="757">
        <v>0</v>
      </c>
      <c r="AG84" s="760">
        <v>0</v>
      </c>
      <c r="AH84" s="761">
        <v>0</v>
      </c>
      <c r="AI84" s="763">
        <v>0</v>
      </c>
      <c r="AJ84" s="763">
        <v>0</v>
      </c>
      <c r="AK84" s="291"/>
      <c r="AL84" s="519" t="s">
        <v>71</v>
      </c>
      <c r="AM84" s="51">
        <v>190546</v>
      </c>
      <c r="AN84" s="36">
        <v>298.64999999999998</v>
      </c>
      <c r="AO84" s="26" t="s">
        <v>364</v>
      </c>
      <c r="AP84" s="37">
        <v>1512</v>
      </c>
      <c r="AQ84" s="792">
        <f t="shared" si="4"/>
        <v>1213.3499999999999</v>
      </c>
      <c r="AR84" s="828"/>
      <c r="AS84" s="815" t="s">
        <v>365</v>
      </c>
      <c r="AT84" s="31" t="s">
        <v>66</v>
      </c>
      <c r="AU84" s="40"/>
      <c r="AV84" s="40"/>
      <c r="AW84" s="46"/>
      <c r="AX84" s="36">
        <v>0</v>
      </c>
      <c r="AY84" s="40"/>
      <c r="AZ84" s="41">
        <v>19.34</v>
      </c>
      <c r="BA84" s="31" t="s">
        <v>47</v>
      </c>
      <c r="BB84" s="41">
        <v>0</v>
      </c>
      <c r="BC84" s="42"/>
      <c r="BD84" s="42"/>
      <c r="BE84" s="42"/>
      <c r="BF84" s="42"/>
      <c r="BG84" s="42"/>
    </row>
    <row r="85" spans="1:277" ht="20" customHeight="1" outlineLevel="1">
      <c r="A85" s="485">
        <v>1902037</v>
      </c>
      <c r="B85" s="25">
        <v>42054</v>
      </c>
      <c r="C85" s="26" t="s">
        <v>67</v>
      </c>
      <c r="D85" s="26" t="s">
        <v>96</v>
      </c>
      <c r="E85" s="533" t="s">
        <v>60</v>
      </c>
      <c r="F85" s="519" t="s">
        <v>47</v>
      </c>
      <c r="G85" s="48" t="s">
        <v>47</v>
      </c>
      <c r="H85" s="291"/>
      <c r="I85" s="29" t="s">
        <v>47</v>
      </c>
      <c r="J85" s="30" t="s">
        <v>62</v>
      </c>
      <c r="K85" s="31" t="s">
        <v>163</v>
      </c>
      <c r="L85" s="32" t="s">
        <v>47</v>
      </c>
      <c r="M85" s="33">
        <v>42054</v>
      </c>
      <c r="N85" s="31" t="s">
        <v>366</v>
      </c>
      <c r="O85" s="26" t="s">
        <v>367</v>
      </c>
      <c r="P85" s="559"/>
      <c r="Q85" s="290"/>
      <c r="R85" s="753">
        <v>0</v>
      </c>
      <c r="S85" s="754">
        <v>0</v>
      </c>
      <c r="T85" s="755">
        <v>0</v>
      </c>
      <c r="U85" s="757">
        <v>0</v>
      </c>
      <c r="V85" s="754">
        <v>0</v>
      </c>
      <c r="W85" s="755">
        <v>2</v>
      </c>
      <c r="X85" s="757">
        <v>0</v>
      </c>
      <c r="Y85" s="754">
        <v>0</v>
      </c>
      <c r="Z85" s="755">
        <v>0</v>
      </c>
      <c r="AA85" s="757">
        <v>0</v>
      </c>
      <c r="AB85" s="754">
        <v>0</v>
      </c>
      <c r="AC85" s="755">
        <v>0</v>
      </c>
      <c r="AD85" s="757">
        <v>0</v>
      </c>
      <c r="AE85" s="757">
        <v>0</v>
      </c>
      <c r="AF85" s="757">
        <v>0</v>
      </c>
      <c r="AG85" s="760">
        <v>0</v>
      </c>
      <c r="AH85" s="761">
        <v>0</v>
      </c>
      <c r="AI85" s="763">
        <v>0</v>
      </c>
      <c r="AJ85" s="763">
        <v>0</v>
      </c>
      <c r="AK85" s="291"/>
      <c r="AL85" s="519" t="s">
        <v>47</v>
      </c>
      <c r="AM85" s="48" t="s">
        <v>47</v>
      </c>
      <c r="AN85" s="36">
        <f>2*0.11</f>
        <v>0.22</v>
      </c>
      <c r="AO85" s="26" t="s">
        <v>47</v>
      </c>
      <c r="AP85" s="37">
        <v>0</v>
      </c>
      <c r="AQ85" s="792">
        <f t="shared" si="4"/>
        <v>-0.22</v>
      </c>
      <c r="AR85" s="828"/>
      <c r="AS85" s="812" t="s">
        <v>47</v>
      </c>
      <c r="AT85" s="31" t="s">
        <v>94</v>
      </c>
      <c r="AU85" s="38">
        <v>1</v>
      </c>
      <c r="AV85" s="26" t="s">
        <v>123</v>
      </c>
      <c r="AW85" s="46">
        <v>0.08</v>
      </c>
      <c r="AX85" s="36">
        <v>0</v>
      </c>
      <c r="AY85" s="26" t="s">
        <v>47</v>
      </c>
      <c r="AZ85" s="41">
        <v>3.99</v>
      </c>
      <c r="BA85" s="31" t="s">
        <v>47</v>
      </c>
      <c r="BB85" s="41">
        <v>0</v>
      </c>
      <c r="BC85" s="42"/>
      <c r="BD85" s="42"/>
      <c r="BE85" s="42"/>
      <c r="BF85" s="42"/>
      <c r="BG85" s="42"/>
    </row>
    <row r="86" spans="1:277" ht="20" customHeight="1" outlineLevel="1">
      <c r="A86" s="485">
        <v>1902038</v>
      </c>
      <c r="B86" s="25">
        <v>42054</v>
      </c>
      <c r="C86" s="26" t="s">
        <v>67</v>
      </c>
      <c r="D86" s="26" t="s">
        <v>96</v>
      </c>
      <c r="E86" s="533" t="s">
        <v>85</v>
      </c>
      <c r="F86" s="519" t="s">
        <v>368</v>
      </c>
      <c r="G86" s="48" t="s">
        <v>47</v>
      </c>
      <c r="H86" s="291"/>
      <c r="I86" s="29" t="s">
        <v>47</v>
      </c>
      <c r="J86" s="30" t="s">
        <v>49</v>
      </c>
      <c r="K86" s="31" t="s">
        <v>50</v>
      </c>
      <c r="L86" s="44">
        <v>156501354</v>
      </c>
      <c r="M86" s="33">
        <v>42068</v>
      </c>
      <c r="N86" s="31" t="s">
        <v>369</v>
      </c>
      <c r="O86" s="26" t="s">
        <v>370</v>
      </c>
      <c r="P86" s="559"/>
      <c r="Q86" s="290"/>
      <c r="R86" s="753">
        <v>0</v>
      </c>
      <c r="S86" s="754">
        <v>0</v>
      </c>
      <c r="T86" s="755">
        <v>0</v>
      </c>
      <c r="U86" s="757">
        <v>0</v>
      </c>
      <c r="V86" s="754">
        <v>0</v>
      </c>
      <c r="W86" s="755">
        <v>0</v>
      </c>
      <c r="X86" s="757">
        <v>0</v>
      </c>
      <c r="Y86" s="754">
        <v>0</v>
      </c>
      <c r="Z86" s="755">
        <v>0</v>
      </c>
      <c r="AA86" s="757">
        <v>0</v>
      </c>
      <c r="AB86" s="754">
        <v>0</v>
      </c>
      <c r="AC86" s="755">
        <v>0</v>
      </c>
      <c r="AD86" s="757">
        <v>0</v>
      </c>
      <c r="AE86" s="757">
        <v>0</v>
      </c>
      <c r="AF86" s="757">
        <v>0</v>
      </c>
      <c r="AG86" s="760">
        <v>0</v>
      </c>
      <c r="AH86" s="761">
        <v>0</v>
      </c>
      <c r="AI86" s="763">
        <v>0</v>
      </c>
      <c r="AJ86" s="763">
        <v>0</v>
      </c>
      <c r="AK86" s="291"/>
      <c r="AL86" s="519" t="s">
        <v>71</v>
      </c>
      <c r="AM86" s="51">
        <v>1190694</v>
      </c>
      <c r="AN86" s="36">
        <v>99</v>
      </c>
      <c r="AO86" s="26" t="s">
        <v>371</v>
      </c>
      <c r="AP86" s="37">
        <v>259</v>
      </c>
      <c r="AQ86" s="792">
        <f t="shared" ref="AQ86:AQ103" si="5">AP86-AN86</f>
        <v>160</v>
      </c>
      <c r="AR86" s="828"/>
      <c r="AS86" s="812" t="s">
        <v>191</v>
      </c>
      <c r="AT86" s="31" t="s">
        <v>66</v>
      </c>
      <c r="AU86" s="774"/>
      <c r="AV86" s="774"/>
      <c r="AW86" s="46"/>
      <c r="AX86" s="36">
        <v>35</v>
      </c>
      <c r="AY86" s="774"/>
      <c r="AZ86" s="41">
        <v>30</v>
      </c>
      <c r="BA86" s="45"/>
      <c r="BB86" s="41">
        <v>0</v>
      </c>
      <c r="BC86" s="42"/>
      <c r="BD86" s="42"/>
      <c r="BE86" s="42"/>
      <c r="BF86" s="42"/>
      <c r="BG86" s="42"/>
      <c r="BH86" s="221"/>
      <c r="BI86" s="221"/>
      <c r="BJ86" s="221"/>
      <c r="BK86" s="221"/>
      <c r="BL86" s="221"/>
      <c r="BM86" s="221"/>
      <c r="BN86" s="221"/>
      <c r="BO86" s="221"/>
      <c r="BP86" s="221"/>
      <c r="BQ86" s="221"/>
      <c r="BR86" s="221"/>
      <c r="BS86" s="221"/>
      <c r="BT86" s="221"/>
      <c r="BU86" s="221"/>
      <c r="BV86" s="221"/>
      <c r="BW86" s="221"/>
      <c r="BX86" s="221"/>
      <c r="BY86" s="221"/>
      <c r="BZ86" s="221"/>
      <c r="CA86" s="221"/>
      <c r="CB86" s="221"/>
      <c r="CC86" s="221"/>
      <c r="CD86" s="221"/>
      <c r="CE86" s="221"/>
      <c r="CF86" s="221"/>
      <c r="CG86" s="221"/>
      <c r="CH86" s="221"/>
      <c r="CI86" s="221"/>
      <c r="CJ86" s="221"/>
      <c r="CK86" s="221"/>
      <c r="CL86" s="221"/>
      <c r="CM86" s="221"/>
      <c r="CN86" s="221"/>
      <c r="CO86" s="221"/>
      <c r="CP86" s="221"/>
      <c r="CQ86" s="221"/>
      <c r="CR86" s="221"/>
      <c r="CS86" s="221"/>
      <c r="CT86" s="221"/>
      <c r="CU86" s="221"/>
      <c r="CV86" s="221"/>
      <c r="CW86" s="221"/>
      <c r="CX86" s="221"/>
      <c r="CY86" s="221"/>
      <c r="CZ86" s="221"/>
      <c r="DA86" s="221"/>
      <c r="DB86" s="221"/>
      <c r="DC86" s="221"/>
      <c r="DD86" s="221"/>
      <c r="DE86" s="221"/>
      <c r="DF86" s="221"/>
      <c r="DG86" s="221"/>
      <c r="DH86" s="221"/>
      <c r="DI86" s="221"/>
      <c r="DJ86" s="221"/>
      <c r="DK86" s="221"/>
      <c r="DL86" s="221"/>
      <c r="DM86" s="221"/>
      <c r="DN86" s="221"/>
      <c r="DO86" s="221"/>
      <c r="DP86" s="221"/>
      <c r="DQ86" s="221"/>
      <c r="DR86" s="221"/>
      <c r="DS86" s="221"/>
      <c r="DT86" s="221"/>
      <c r="DU86" s="221"/>
      <c r="DV86" s="221"/>
      <c r="DW86" s="221"/>
      <c r="DX86" s="221"/>
      <c r="DY86" s="221"/>
      <c r="DZ86" s="221"/>
      <c r="EA86" s="221"/>
      <c r="EB86" s="221"/>
      <c r="EC86" s="221"/>
      <c r="ED86" s="221"/>
      <c r="EE86" s="221"/>
      <c r="EF86" s="221"/>
      <c r="EG86" s="221"/>
      <c r="EH86" s="221"/>
      <c r="EI86" s="221"/>
      <c r="EJ86" s="221"/>
      <c r="EK86" s="221"/>
      <c r="EL86" s="221"/>
      <c r="EM86" s="221"/>
      <c r="EN86" s="221"/>
      <c r="EO86" s="221"/>
      <c r="EP86" s="221"/>
      <c r="EQ86" s="221"/>
      <c r="ER86" s="221"/>
      <c r="ES86" s="221"/>
      <c r="ET86" s="221"/>
      <c r="EU86" s="221"/>
      <c r="EV86" s="221"/>
      <c r="EW86" s="221"/>
      <c r="EX86" s="221"/>
      <c r="EY86" s="221"/>
      <c r="EZ86" s="221"/>
      <c r="FA86" s="221"/>
      <c r="FB86" s="221"/>
      <c r="FC86" s="221"/>
      <c r="FD86" s="221"/>
      <c r="FE86" s="221"/>
      <c r="FF86" s="221"/>
      <c r="FG86" s="221"/>
      <c r="FH86" s="221"/>
      <c r="FI86" s="221"/>
      <c r="FJ86" s="221"/>
      <c r="FK86" s="221"/>
      <c r="FL86" s="221"/>
      <c r="FM86" s="221"/>
      <c r="FN86" s="221"/>
      <c r="FO86" s="221"/>
      <c r="FP86" s="221"/>
      <c r="FQ86" s="221"/>
      <c r="FR86" s="221"/>
      <c r="FS86" s="221"/>
      <c r="FT86" s="221"/>
      <c r="FU86" s="221"/>
      <c r="FV86" s="221"/>
      <c r="FW86" s="221"/>
      <c r="FX86" s="221"/>
      <c r="FY86" s="221"/>
      <c r="FZ86" s="221"/>
      <c r="GA86" s="221"/>
      <c r="GB86" s="221"/>
      <c r="GC86" s="221"/>
      <c r="GD86" s="221"/>
      <c r="GE86" s="221"/>
      <c r="GF86" s="221"/>
      <c r="GG86" s="221"/>
      <c r="GH86" s="221"/>
      <c r="GI86" s="221"/>
      <c r="GJ86" s="221"/>
      <c r="GK86" s="221"/>
      <c r="GL86" s="221"/>
      <c r="GM86" s="221"/>
      <c r="GN86" s="221"/>
      <c r="GO86" s="221"/>
      <c r="GP86" s="221"/>
      <c r="GQ86" s="221"/>
      <c r="GR86" s="221"/>
      <c r="GS86" s="221"/>
      <c r="GT86" s="221"/>
      <c r="GU86" s="221"/>
      <c r="GV86" s="221"/>
      <c r="GW86" s="221"/>
      <c r="GX86" s="221"/>
      <c r="GY86" s="221"/>
      <c r="GZ86" s="221"/>
      <c r="HA86" s="221"/>
      <c r="HB86" s="221"/>
      <c r="HC86" s="221"/>
      <c r="HD86" s="221"/>
      <c r="HE86" s="221"/>
      <c r="HF86" s="221"/>
      <c r="HG86" s="221"/>
      <c r="HH86" s="221"/>
      <c r="HI86" s="221"/>
      <c r="HJ86" s="221"/>
      <c r="HK86" s="221"/>
      <c r="HL86" s="221"/>
      <c r="HM86" s="221"/>
      <c r="HN86" s="221"/>
      <c r="HO86" s="221"/>
      <c r="HP86" s="221"/>
      <c r="HQ86" s="221"/>
      <c r="HR86" s="221"/>
      <c r="HS86" s="221"/>
      <c r="HT86" s="221"/>
      <c r="HU86" s="221"/>
      <c r="HV86" s="221"/>
      <c r="HW86" s="221"/>
      <c r="HX86" s="221"/>
      <c r="HY86" s="221"/>
      <c r="HZ86" s="221"/>
      <c r="IA86" s="221"/>
      <c r="IB86" s="221"/>
      <c r="IC86" s="221"/>
      <c r="ID86" s="221"/>
      <c r="IE86" s="221"/>
      <c r="IF86" s="221"/>
      <c r="IG86" s="221"/>
      <c r="IH86" s="221"/>
      <c r="II86" s="221"/>
      <c r="IJ86" s="221"/>
      <c r="IK86" s="221"/>
      <c r="IL86" s="221"/>
      <c r="IM86" s="221"/>
      <c r="IN86" s="221"/>
      <c r="IO86" s="221"/>
      <c r="IP86" s="221"/>
      <c r="IQ86" s="221"/>
      <c r="IR86" s="221"/>
      <c r="IS86" s="221"/>
      <c r="IT86" s="221"/>
      <c r="IU86" s="221"/>
      <c r="IV86" s="221"/>
      <c r="IW86" s="221"/>
      <c r="IX86" s="221"/>
      <c r="IY86" s="221"/>
      <c r="IZ86" s="221"/>
      <c r="JA86" s="221"/>
      <c r="JB86" s="221"/>
      <c r="JC86" s="221"/>
      <c r="JD86" s="221"/>
      <c r="JE86" s="221"/>
      <c r="JF86" s="221"/>
      <c r="JG86" s="221"/>
      <c r="JH86" s="221"/>
      <c r="JI86" s="221"/>
      <c r="JJ86" s="221"/>
      <c r="JK86" s="221"/>
      <c r="JL86" s="221"/>
      <c r="JM86" s="221"/>
      <c r="JN86" s="221"/>
      <c r="JO86" s="221"/>
      <c r="JP86" s="221"/>
      <c r="JQ86" s="221"/>
    </row>
    <row r="87" spans="1:277" ht="20" customHeight="1" outlineLevel="1">
      <c r="A87" s="485">
        <v>1902039</v>
      </c>
      <c r="B87" s="25">
        <v>42055</v>
      </c>
      <c r="C87" s="26" t="s">
        <v>67</v>
      </c>
      <c r="D87" s="26" t="s">
        <v>45</v>
      </c>
      <c r="E87" s="533" t="s">
        <v>162</v>
      </c>
      <c r="F87" s="519" t="s">
        <v>47</v>
      </c>
      <c r="G87" s="48" t="s">
        <v>47</v>
      </c>
      <c r="H87" s="291"/>
      <c r="I87" s="29" t="s">
        <v>47</v>
      </c>
      <c r="J87" s="30" t="s">
        <v>62</v>
      </c>
      <c r="K87" s="31" t="s">
        <v>163</v>
      </c>
      <c r="L87" s="32" t="s">
        <v>47</v>
      </c>
      <c r="M87" s="33">
        <v>42056</v>
      </c>
      <c r="N87" s="31" t="s">
        <v>372</v>
      </c>
      <c r="O87" s="26" t="s">
        <v>373</v>
      </c>
      <c r="P87" s="559"/>
      <c r="Q87" s="290"/>
      <c r="R87" s="753">
        <v>0</v>
      </c>
      <c r="S87" s="754">
        <v>0</v>
      </c>
      <c r="T87" s="755">
        <v>0</v>
      </c>
      <c r="U87" s="757">
        <v>0</v>
      </c>
      <c r="V87" s="754">
        <v>0</v>
      </c>
      <c r="W87" s="755">
        <v>0</v>
      </c>
      <c r="X87" s="757">
        <v>0</v>
      </c>
      <c r="Y87" s="754">
        <v>0</v>
      </c>
      <c r="Z87" s="755">
        <v>0</v>
      </c>
      <c r="AA87" s="757">
        <v>0</v>
      </c>
      <c r="AB87" s="754">
        <v>0</v>
      </c>
      <c r="AC87" s="755">
        <v>1</v>
      </c>
      <c r="AD87" s="757">
        <v>0</v>
      </c>
      <c r="AE87" s="757">
        <v>0</v>
      </c>
      <c r="AF87" s="757">
        <v>0</v>
      </c>
      <c r="AG87" s="760">
        <v>0</v>
      </c>
      <c r="AH87" s="761">
        <v>0</v>
      </c>
      <c r="AI87" s="763">
        <v>0</v>
      </c>
      <c r="AJ87" s="763">
        <v>0</v>
      </c>
      <c r="AK87" s="291"/>
      <c r="AL87" s="519" t="s">
        <v>47</v>
      </c>
      <c r="AM87" s="48" t="s">
        <v>47</v>
      </c>
      <c r="AN87" s="36">
        <v>0.11</v>
      </c>
      <c r="AO87" s="26" t="s">
        <v>47</v>
      </c>
      <c r="AP87" s="37">
        <v>0</v>
      </c>
      <c r="AQ87" s="792">
        <f t="shared" si="5"/>
        <v>-0.11</v>
      </c>
      <c r="AR87" s="828"/>
      <c r="AS87" s="812" t="s">
        <v>47</v>
      </c>
      <c r="AT87" s="31" t="s">
        <v>94</v>
      </c>
      <c r="AU87" s="38">
        <v>1</v>
      </c>
      <c r="AV87" s="26" t="s">
        <v>47</v>
      </c>
      <c r="AW87" s="39" t="s">
        <v>124</v>
      </c>
      <c r="AX87" s="36">
        <f>3*1.33</f>
        <v>3.99</v>
      </c>
      <c r="AY87" s="26" t="s">
        <v>47</v>
      </c>
      <c r="AZ87" s="41">
        <v>0</v>
      </c>
      <c r="BA87" s="31" t="s">
        <v>47</v>
      </c>
      <c r="BB87" s="41">
        <v>0</v>
      </c>
      <c r="BC87" s="42"/>
      <c r="BD87" s="42"/>
      <c r="BE87" s="42"/>
      <c r="BF87" s="42"/>
      <c r="BG87" s="42"/>
      <c r="BH87" s="221"/>
      <c r="BI87" s="221"/>
      <c r="BJ87" s="221"/>
      <c r="BK87" s="221"/>
      <c r="BL87" s="221"/>
      <c r="BM87" s="221"/>
      <c r="BN87" s="221"/>
      <c r="BO87" s="221"/>
      <c r="BP87" s="221"/>
      <c r="BQ87" s="221"/>
      <c r="BR87" s="221"/>
      <c r="BS87" s="221"/>
      <c r="BT87" s="221"/>
      <c r="BU87" s="221"/>
      <c r="BV87" s="221"/>
      <c r="BW87" s="221"/>
      <c r="BX87" s="221"/>
      <c r="BY87" s="221"/>
      <c r="BZ87" s="221"/>
      <c r="CA87" s="221"/>
      <c r="CB87" s="221"/>
      <c r="CC87" s="221"/>
      <c r="CD87" s="221"/>
      <c r="CE87" s="221"/>
      <c r="CF87" s="221"/>
      <c r="CG87" s="221"/>
      <c r="CH87" s="221"/>
      <c r="CI87" s="221"/>
      <c r="CJ87" s="221"/>
      <c r="CK87" s="221"/>
      <c r="CL87" s="221"/>
      <c r="CM87" s="221"/>
      <c r="CN87" s="221"/>
      <c r="CO87" s="221"/>
      <c r="CP87" s="221"/>
      <c r="CQ87" s="221"/>
      <c r="CR87" s="221"/>
      <c r="CS87" s="221"/>
      <c r="CT87" s="221"/>
      <c r="CU87" s="221"/>
      <c r="CV87" s="221"/>
      <c r="CW87" s="221"/>
      <c r="CX87" s="221"/>
      <c r="CY87" s="221"/>
      <c r="CZ87" s="221"/>
      <c r="DA87" s="221"/>
      <c r="DB87" s="221"/>
      <c r="DC87" s="221"/>
      <c r="DD87" s="221"/>
      <c r="DE87" s="221"/>
      <c r="DF87" s="221"/>
      <c r="DG87" s="221"/>
      <c r="DH87" s="221"/>
      <c r="DI87" s="221"/>
      <c r="DJ87" s="221"/>
      <c r="DK87" s="221"/>
      <c r="DL87" s="221"/>
      <c r="DM87" s="221"/>
      <c r="DN87" s="221"/>
      <c r="DO87" s="221"/>
      <c r="DP87" s="221"/>
      <c r="DQ87" s="221"/>
      <c r="DR87" s="221"/>
      <c r="DS87" s="221"/>
      <c r="DT87" s="221"/>
      <c r="DU87" s="221"/>
      <c r="DV87" s="221"/>
      <c r="DW87" s="221"/>
      <c r="DX87" s="221"/>
      <c r="DY87" s="221"/>
      <c r="DZ87" s="221"/>
      <c r="EA87" s="221"/>
      <c r="EB87" s="221"/>
      <c r="EC87" s="221"/>
      <c r="ED87" s="221"/>
      <c r="EE87" s="221"/>
      <c r="EF87" s="221"/>
      <c r="EG87" s="221"/>
      <c r="EH87" s="221"/>
      <c r="EI87" s="221"/>
      <c r="EJ87" s="221"/>
      <c r="EK87" s="221"/>
      <c r="EL87" s="221"/>
      <c r="EM87" s="221"/>
      <c r="EN87" s="221"/>
      <c r="EO87" s="221"/>
      <c r="EP87" s="221"/>
      <c r="EQ87" s="221"/>
      <c r="ER87" s="221"/>
      <c r="ES87" s="221"/>
      <c r="ET87" s="221"/>
      <c r="EU87" s="221"/>
      <c r="EV87" s="221"/>
      <c r="EW87" s="221"/>
      <c r="EX87" s="221"/>
      <c r="EY87" s="221"/>
      <c r="EZ87" s="221"/>
      <c r="FA87" s="221"/>
      <c r="FB87" s="221"/>
      <c r="FC87" s="221"/>
      <c r="FD87" s="221"/>
      <c r="FE87" s="221"/>
      <c r="FF87" s="221"/>
      <c r="FG87" s="221"/>
      <c r="FH87" s="221"/>
      <c r="FI87" s="221"/>
      <c r="FJ87" s="221"/>
      <c r="FK87" s="221"/>
      <c r="FL87" s="221"/>
      <c r="FM87" s="221"/>
      <c r="FN87" s="221"/>
      <c r="FO87" s="221"/>
      <c r="FP87" s="221"/>
      <c r="FQ87" s="221"/>
      <c r="FR87" s="221"/>
      <c r="FS87" s="221"/>
      <c r="FT87" s="221"/>
      <c r="FU87" s="221"/>
      <c r="FV87" s="221"/>
      <c r="FW87" s="221"/>
      <c r="FX87" s="221"/>
      <c r="FY87" s="221"/>
      <c r="FZ87" s="221"/>
      <c r="GA87" s="221"/>
      <c r="GB87" s="221"/>
      <c r="GC87" s="221"/>
      <c r="GD87" s="221"/>
      <c r="GE87" s="221"/>
      <c r="GF87" s="221"/>
      <c r="GG87" s="221"/>
      <c r="GH87" s="221"/>
      <c r="GI87" s="221"/>
      <c r="GJ87" s="221"/>
      <c r="GK87" s="221"/>
      <c r="GL87" s="221"/>
      <c r="GM87" s="221"/>
      <c r="GN87" s="221"/>
      <c r="GO87" s="221"/>
      <c r="GP87" s="221"/>
      <c r="GQ87" s="221"/>
      <c r="GR87" s="221"/>
      <c r="GS87" s="221"/>
      <c r="GT87" s="221"/>
      <c r="GU87" s="221"/>
      <c r="GV87" s="221"/>
      <c r="GW87" s="221"/>
      <c r="GX87" s="221"/>
      <c r="GY87" s="221"/>
      <c r="GZ87" s="221"/>
      <c r="HA87" s="221"/>
      <c r="HB87" s="221"/>
      <c r="HC87" s="221"/>
      <c r="HD87" s="221"/>
      <c r="HE87" s="221"/>
      <c r="HF87" s="221"/>
      <c r="HG87" s="221"/>
      <c r="HH87" s="221"/>
      <c r="HI87" s="221"/>
      <c r="HJ87" s="221"/>
      <c r="HK87" s="221"/>
      <c r="HL87" s="221"/>
      <c r="HM87" s="221"/>
      <c r="HN87" s="221"/>
      <c r="HO87" s="221"/>
      <c r="HP87" s="221"/>
      <c r="HQ87" s="221"/>
      <c r="HR87" s="221"/>
      <c r="HS87" s="221"/>
      <c r="HT87" s="221"/>
      <c r="HU87" s="221"/>
      <c r="HV87" s="221"/>
      <c r="HW87" s="221"/>
      <c r="HX87" s="221"/>
      <c r="HY87" s="221"/>
      <c r="HZ87" s="221"/>
      <c r="IA87" s="221"/>
      <c r="IB87" s="221"/>
      <c r="IC87" s="221"/>
      <c r="ID87" s="221"/>
      <c r="IE87" s="221"/>
      <c r="IF87" s="221"/>
      <c r="IG87" s="221"/>
      <c r="IH87" s="221"/>
      <c r="II87" s="221"/>
      <c r="IJ87" s="221"/>
      <c r="IK87" s="221"/>
      <c r="IL87" s="221"/>
      <c r="IM87" s="221"/>
      <c r="IN87" s="221"/>
      <c r="IO87" s="221"/>
      <c r="IP87" s="221"/>
      <c r="IQ87" s="221"/>
      <c r="IR87" s="221"/>
      <c r="IS87" s="221"/>
      <c r="IT87" s="221"/>
      <c r="IU87" s="221"/>
      <c r="IV87" s="221"/>
      <c r="IW87" s="221"/>
      <c r="IX87" s="221"/>
      <c r="IY87" s="221"/>
      <c r="IZ87" s="221"/>
      <c r="JA87" s="221"/>
      <c r="JB87" s="221"/>
      <c r="JC87" s="221"/>
      <c r="JD87" s="221"/>
      <c r="JE87" s="221"/>
      <c r="JF87" s="221"/>
      <c r="JG87" s="221"/>
      <c r="JH87" s="221"/>
      <c r="JI87" s="221"/>
      <c r="JJ87" s="221"/>
      <c r="JK87" s="221"/>
      <c r="JL87" s="221"/>
      <c r="JM87" s="221"/>
      <c r="JN87" s="221"/>
      <c r="JO87" s="221"/>
      <c r="JP87" s="221"/>
      <c r="JQ87" s="221"/>
    </row>
    <row r="88" spans="1:277" ht="44" customHeight="1" outlineLevel="1">
      <c r="A88" s="485">
        <v>1902040</v>
      </c>
      <c r="B88" s="25">
        <v>42055</v>
      </c>
      <c r="C88" s="26" t="s">
        <v>67</v>
      </c>
      <c r="D88" s="26" t="s">
        <v>45</v>
      </c>
      <c r="E88" s="533" t="s">
        <v>60</v>
      </c>
      <c r="F88" s="519" t="s">
        <v>47</v>
      </c>
      <c r="G88" s="48" t="s">
        <v>47</v>
      </c>
      <c r="H88" s="291"/>
      <c r="I88" s="29" t="s">
        <v>47</v>
      </c>
      <c r="J88" s="30" t="s">
        <v>62</v>
      </c>
      <c r="K88" s="31" t="s">
        <v>163</v>
      </c>
      <c r="L88" s="32" t="s">
        <v>47</v>
      </c>
      <c r="M88" s="33">
        <v>42057</v>
      </c>
      <c r="N88" s="31" t="s">
        <v>329</v>
      </c>
      <c r="O88" s="26" t="s">
        <v>374</v>
      </c>
      <c r="P88" s="559"/>
      <c r="Q88" s="290"/>
      <c r="R88" s="753">
        <v>3</v>
      </c>
      <c r="S88" s="754">
        <v>0</v>
      </c>
      <c r="T88" s="755">
        <v>0</v>
      </c>
      <c r="U88" s="757">
        <v>0</v>
      </c>
      <c r="V88" s="754">
        <v>0</v>
      </c>
      <c r="W88" s="755">
        <v>0</v>
      </c>
      <c r="X88" s="757">
        <v>0</v>
      </c>
      <c r="Y88" s="754">
        <v>0</v>
      </c>
      <c r="Z88" s="755">
        <v>0</v>
      </c>
      <c r="AA88" s="757">
        <v>0</v>
      </c>
      <c r="AB88" s="754">
        <v>0</v>
      </c>
      <c r="AC88" s="755">
        <v>0</v>
      </c>
      <c r="AD88" s="757">
        <v>0</v>
      </c>
      <c r="AE88" s="757">
        <v>0</v>
      </c>
      <c r="AF88" s="757">
        <v>0</v>
      </c>
      <c r="AG88" s="760">
        <v>0</v>
      </c>
      <c r="AH88" s="761">
        <v>0</v>
      </c>
      <c r="AI88" s="763">
        <v>0</v>
      </c>
      <c r="AJ88" s="763">
        <v>0</v>
      </c>
      <c r="AK88" s="291"/>
      <c r="AL88" s="519" t="s">
        <v>47</v>
      </c>
      <c r="AM88" s="48" t="s">
        <v>47</v>
      </c>
      <c r="AN88" s="36">
        <v>0</v>
      </c>
      <c r="AO88" s="26" t="s">
        <v>47</v>
      </c>
      <c r="AP88" s="37">
        <v>0</v>
      </c>
      <c r="AQ88" s="792">
        <f t="shared" si="5"/>
        <v>0</v>
      </c>
      <c r="AR88" s="828"/>
      <c r="AS88" s="812"/>
      <c r="AT88" s="31" t="s">
        <v>94</v>
      </c>
      <c r="AU88" s="38">
        <v>1</v>
      </c>
      <c r="AV88" s="26" t="s">
        <v>47</v>
      </c>
      <c r="AW88" s="39" t="s">
        <v>124</v>
      </c>
      <c r="AX88" s="36">
        <f>3*0.8</f>
        <v>2.4000000000000004</v>
      </c>
      <c r="AY88" s="26" t="s">
        <v>47</v>
      </c>
      <c r="AZ88" s="41">
        <v>0</v>
      </c>
      <c r="BA88" s="31" t="s">
        <v>47</v>
      </c>
      <c r="BB88" s="41">
        <v>0</v>
      </c>
      <c r="BC88" s="42"/>
      <c r="BD88" s="42"/>
      <c r="BE88" s="42"/>
      <c r="BF88" s="42"/>
      <c r="BG88" s="42"/>
      <c r="BH88" s="221"/>
      <c r="BI88" s="221"/>
      <c r="BJ88" s="221"/>
      <c r="BK88" s="221"/>
      <c r="BL88" s="221"/>
      <c r="BM88" s="221"/>
      <c r="BN88" s="221"/>
      <c r="BO88" s="221"/>
      <c r="BP88" s="221"/>
      <c r="BQ88" s="221"/>
      <c r="BR88" s="221"/>
      <c r="BS88" s="221"/>
      <c r="BT88" s="221"/>
      <c r="BU88" s="221"/>
      <c r="BV88" s="221"/>
      <c r="BW88" s="221"/>
      <c r="BX88" s="221"/>
      <c r="BY88" s="221"/>
      <c r="BZ88" s="221"/>
      <c r="CA88" s="221"/>
      <c r="CB88" s="221"/>
      <c r="CC88" s="221"/>
      <c r="CD88" s="221"/>
      <c r="CE88" s="221"/>
      <c r="CF88" s="221"/>
      <c r="CG88" s="221"/>
      <c r="CH88" s="221"/>
      <c r="CI88" s="221"/>
      <c r="CJ88" s="221"/>
      <c r="CK88" s="221"/>
      <c r="CL88" s="221"/>
      <c r="CM88" s="221"/>
      <c r="CN88" s="221"/>
      <c r="CO88" s="221"/>
      <c r="CP88" s="221"/>
      <c r="CQ88" s="221"/>
      <c r="CR88" s="221"/>
      <c r="CS88" s="221"/>
      <c r="CT88" s="221"/>
      <c r="CU88" s="221"/>
      <c r="CV88" s="221"/>
      <c r="CW88" s="221"/>
      <c r="CX88" s="221"/>
      <c r="CY88" s="221"/>
      <c r="CZ88" s="221"/>
      <c r="DA88" s="221"/>
      <c r="DB88" s="221"/>
      <c r="DC88" s="221"/>
      <c r="DD88" s="221"/>
      <c r="DE88" s="221"/>
      <c r="DF88" s="221"/>
      <c r="DG88" s="221"/>
      <c r="DH88" s="221"/>
      <c r="DI88" s="221"/>
      <c r="DJ88" s="221"/>
      <c r="DK88" s="221"/>
      <c r="DL88" s="221"/>
      <c r="DM88" s="221"/>
      <c r="DN88" s="221"/>
      <c r="DO88" s="221"/>
      <c r="DP88" s="221"/>
      <c r="DQ88" s="221"/>
      <c r="DR88" s="221"/>
      <c r="DS88" s="221"/>
      <c r="DT88" s="221"/>
      <c r="DU88" s="221"/>
      <c r="DV88" s="221"/>
      <c r="DW88" s="221"/>
      <c r="DX88" s="221"/>
      <c r="DY88" s="221"/>
      <c r="DZ88" s="221"/>
      <c r="EA88" s="221"/>
      <c r="EB88" s="221"/>
      <c r="EC88" s="221"/>
      <c r="ED88" s="221"/>
      <c r="EE88" s="221"/>
      <c r="EF88" s="221"/>
      <c r="EG88" s="221"/>
      <c r="EH88" s="221"/>
      <c r="EI88" s="221"/>
      <c r="EJ88" s="221"/>
      <c r="EK88" s="221"/>
      <c r="EL88" s="221"/>
      <c r="EM88" s="221"/>
      <c r="EN88" s="221"/>
      <c r="EO88" s="221"/>
      <c r="EP88" s="221"/>
      <c r="EQ88" s="221"/>
      <c r="ER88" s="221"/>
      <c r="ES88" s="221"/>
      <c r="ET88" s="221"/>
      <c r="EU88" s="221"/>
      <c r="EV88" s="221"/>
      <c r="EW88" s="221"/>
      <c r="EX88" s="221"/>
      <c r="EY88" s="221"/>
      <c r="EZ88" s="221"/>
      <c r="FA88" s="221"/>
      <c r="FB88" s="221"/>
      <c r="FC88" s="221"/>
      <c r="FD88" s="221"/>
      <c r="FE88" s="221"/>
      <c r="FF88" s="221"/>
      <c r="FG88" s="221"/>
      <c r="FH88" s="221"/>
      <c r="FI88" s="221"/>
      <c r="FJ88" s="221"/>
      <c r="FK88" s="221"/>
      <c r="FL88" s="221"/>
      <c r="FM88" s="221"/>
      <c r="FN88" s="221"/>
      <c r="FO88" s="221"/>
      <c r="FP88" s="221"/>
      <c r="FQ88" s="221"/>
      <c r="FR88" s="221"/>
      <c r="FS88" s="221"/>
      <c r="FT88" s="221"/>
      <c r="FU88" s="221"/>
      <c r="FV88" s="221"/>
      <c r="FW88" s="221"/>
      <c r="FX88" s="221"/>
      <c r="FY88" s="221"/>
      <c r="FZ88" s="221"/>
      <c r="GA88" s="221"/>
      <c r="GB88" s="221"/>
      <c r="GC88" s="221"/>
      <c r="GD88" s="221"/>
      <c r="GE88" s="221"/>
      <c r="GF88" s="221"/>
      <c r="GG88" s="221"/>
      <c r="GH88" s="221"/>
      <c r="GI88" s="221"/>
      <c r="GJ88" s="221"/>
      <c r="GK88" s="221"/>
      <c r="GL88" s="221"/>
      <c r="GM88" s="221"/>
      <c r="GN88" s="221"/>
      <c r="GO88" s="221"/>
      <c r="GP88" s="221"/>
      <c r="GQ88" s="221"/>
      <c r="GR88" s="221"/>
      <c r="GS88" s="221"/>
      <c r="GT88" s="221"/>
      <c r="GU88" s="221"/>
      <c r="GV88" s="221"/>
      <c r="GW88" s="221"/>
      <c r="GX88" s="221"/>
      <c r="GY88" s="221"/>
      <c r="GZ88" s="221"/>
      <c r="HA88" s="221"/>
      <c r="HB88" s="221"/>
      <c r="HC88" s="221"/>
      <c r="HD88" s="221"/>
      <c r="HE88" s="221"/>
      <c r="HF88" s="221"/>
      <c r="HG88" s="221"/>
      <c r="HH88" s="221"/>
      <c r="HI88" s="221"/>
      <c r="HJ88" s="221"/>
      <c r="HK88" s="221"/>
      <c r="HL88" s="221"/>
      <c r="HM88" s="221"/>
      <c r="HN88" s="221"/>
      <c r="HO88" s="221"/>
      <c r="HP88" s="221"/>
      <c r="HQ88" s="221"/>
      <c r="HR88" s="221"/>
      <c r="HS88" s="221"/>
      <c r="HT88" s="221"/>
      <c r="HU88" s="221"/>
      <c r="HV88" s="221"/>
      <c r="HW88" s="221"/>
      <c r="HX88" s="221"/>
      <c r="HY88" s="221"/>
      <c r="HZ88" s="221"/>
      <c r="IA88" s="221"/>
      <c r="IB88" s="221"/>
      <c r="IC88" s="221"/>
      <c r="ID88" s="221"/>
      <c r="IE88" s="221"/>
      <c r="IF88" s="221"/>
      <c r="IG88" s="221"/>
      <c r="IH88" s="221"/>
      <c r="II88" s="221"/>
      <c r="IJ88" s="221"/>
      <c r="IK88" s="221"/>
      <c r="IL88" s="221"/>
      <c r="IM88" s="221"/>
      <c r="IN88" s="221"/>
      <c r="IO88" s="221"/>
      <c r="IP88" s="221"/>
      <c r="IQ88" s="221"/>
      <c r="IR88" s="221"/>
      <c r="IS88" s="221"/>
      <c r="IT88" s="221"/>
      <c r="IU88" s="221"/>
      <c r="IV88" s="221"/>
      <c r="IW88" s="221"/>
      <c r="IX88" s="221"/>
      <c r="IY88" s="221"/>
      <c r="IZ88" s="221"/>
      <c r="JA88" s="221"/>
      <c r="JB88" s="221"/>
      <c r="JC88" s="221"/>
      <c r="JD88" s="221"/>
      <c r="JE88" s="221"/>
      <c r="JF88" s="221"/>
      <c r="JG88" s="221"/>
      <c r="JH88" s="221"/>
      <c r="JI88" s="221"/>
      <c r="JJ88" s="221"/>
      <c r="JK88" s="221"/>
      <c r="JL88" s="221"/>
      <c r="JM88" s="221"/>
      <c r="JN88" s="221"/>
      <c r="JO88" s="221"/>
      <c r="JP88" s="221"/>
      <c r="JQ88" s="221"/>
    </row>
    <row r="89" spans="1:277" ht="20" customHeight="1" outlineLevel="1">
      <c r="A89" s="486">
        <v>1902041</v>
      </c>
      <c r="B89" s="25">
        <v>42059</v>
      </c>
      <c r="C89" s="26" t="s">
        <v>67</v>
      </c>
      <c r="D89" s="252" t="s">
        <v>73</v>
      </c>
      <c r="E89" s="533" t="s">
        <v>60</v>
      </c>
      <c r="F89" s="519" t="s">
        <v>375</v>
      </c>
      <c r="G89" s="260" t="s">
        <v>1471</v>
      </c>
      <c r="H89" s="293" t="s">
        <v>1466</v>
      </c>
      <c r="I89" s="261" t="s">
        <v>191</v>
      </c>
      <c r="J89" s="30" t="s">
        <v>62</v>
      </c>
      <c r="K89" s="31" t="s">
        <v>1308</v>
      </c>
      <c r="L89" s="50">
        <v>100387738</v>
      </c>
      <c r="M89" s="33">
        <v>42129</v>
      </c>
      <c r="N89" s="31" t="s">
        <v>366</v>
      </c>
      <c r="O89" s="26" t="s">
        <v>1470</v>
      </c>
      <c r="P89" s="559"/>
      <c r="Q89" s="290"/>
      <c r="R89" s="753">
        <v>0</v>
      </c>
      <c r="S89" s="754">
        <v>0</v>
      </c>
      <c r="T89" s="755">
        <v>0</v>
      </c>
      <c r="U89" s="757">
        <v>1</v>
      </c>
      <c r="V89" s="754">
        <v>0</v>
      </c>
      <c r="W89" s="755">
        <v>0</v>
      </c>
      <c r="X89" s="757">
        <v>0</v>
      </c>
      <c r="Y89" s="754">
        <v>0</v>
      </c>
      <c r="Z89" s="755">
        <v>0</v>
      </c>
      <c r="AA89" s="757">
        <v>0</v>
      </c>
      <c r="AB89" s="754">
        <v>0</v>
      </c>
      <c r="AC89" s="755">
        <v>0</v>
      </c>
      <c r="AD89" s="757">
        <v>0</v>
      </c>
      <c r="AE89" s="757">
        <v>0</v>
      </c>
      <c r="AF89" s="757">
        <v>0</v>
      </c>
      <c r="AG89" s="760">
        <v>0</v>
      </c>
      <c r="AH89" s="761">
        <v>0</v>
      </c>
      <c r="AI89" s="763">
        <v>0</v>
      </c>
      <c r="AJ89" s="763">
        <v>0</v>
      </c>
      <c r="AK89" s="291"/>
      <c r="AL89" s="519" t="s">
        <v>376</v>
      </c>
      <c r="AM89" s="35"/>
      <c r="AN89" s="36"/>
      <c r="AO89" s="26" t="s">
        <v>1472</v>
      </c>
      <c r="AP89" s="37">
        <v>169.57</v>
      </c>
      <c r="AQ89" s="792">
        <f t="shared" si="5"/>
        <v>169.57</v>
      </c>
      <c r="AR89" s="828"/>
      <c r="AS89" s="812">
        <v>42103</v>
      </c>
      <c r="AT89" s="31" t="s">
        <v>66</v>
      </c>
      <c r="AU89" s="774"/>
      <c r="AV89" s="774"/>
      <c r="AW89" s="46"/>
      <c r="AX89" s="36">
        <v>0</v>
      </c>
      <c r="AY89" s="774">
        <v>12646442</v>
      </c>
      <c r="AZ89" s="41">
        <v>7.33</v>
      </c>
      <c r="BA89" s="31" t="s">
        <v>47</v>
      </c>
      <c r="BB89" s="41">
        <v>0</v>
      </c>
      <c r="BC89" s="42"/>
      <c r="BD89" s="42"/>
      <c r="BE89" s="42"/>
      <c r="BF89" s="42"/>
      <c r="BG89" s="42"/>
      <c r="BH89" s="221"/>
      <c r="BI89" s="221"/>
      <c r="BJ89" s="221"/>
      <c r="BK89" s="221"/>
      <c r="BL89" s="221"/>
      <c r="BM89" s="221"/>
      <c r="BN89" s="221"/>
      <c r="BO89" s="221"/>
      <c r="BP89" s="221"/>
      <c r="BQ89" s="221"/>
      <c r="BR89" s="221"/>
      <c r="BS89" s="221"/>
      <c r="BT89" s="221"/>
      <c r="BU89" s="221"/>
      <c r="BV89" s="221"/>
      <c r="BW89" s="221"/>
      <c r="BX89" s="221"/>
      <c r="BY89" s="221"/>
      <c r="BZ89" s="221"/>
      <c r="CA89" s="221"/>
      <c r="CB89" s="221"/>
      <c r="CC89" s="221"/>
      <c r="CD89" s="221"/>
      <c r="CE89" s="221"/>
      <c r="CF89" s="221"/>
      <c r="CG89" s="221"/>
      <c r="CH89" s="221"/>
      <c r="CI89" s="221"/>
      <c r="CJ89" s="221"/>
      <c r="CK89" s="221"/>
      <c r="CL89" s="221"/>
      <c r="CM89" s="221"/>
      <c r="CN89" s="221"/>
      <c r="CO89" s="221"/>
      <c r="CP89" s="221"/>
      <c r="CQ89" s="221"/>
      <c r="CR89" s="221"/>
      <c r="CS89" s="221"/>
      <c r="CT89" s="221"/>
      <c r="CU89" s="221"/>
      <c r="CV89" s="221"/>
      <c r="CW89" s="221"/>
      <c r="CX89" s="221"/>
      <c r="CY89" s="221"/>
      <c r="CZ89" s="221"/>
      <c r="DA89" s="221"/>
      <c r="DB89" s="221"/>
      <c r="DC89" s="221"/>
      <c r="DD89" s="221"/>
      <c r="DE89" s="221"/>
      <c r="DF89" s="221"/>
      <c r="DG89" s="221"/>
      <c r="DH89" s="221"/>
      <c r="DI89" s="221"/>
      <c r="DJ89" s="221"/>
      <c r="DK89" s="221"/>
      <c r="DL89" s="221"/>
      <c r="DM89" s="221"/>
      <c r="DN89" s="221"/>
      <c r="DO89" s="221"/>
      <c r="DP89" s="221"/>
      <c r="DQ89" s="221"/>
      <c r="DR89" s="221"/>
      <c r="DS89" s="221"/>
      <c r="DT89" s="221"/>
      <c r="DU89" s="221"/>
      <c r="DV89" s="221"/>
      <c r="DW89" s="221"/>
      <c r="DX89" s="221"/>
      <c r="DY89" s="221"/>
      <c r="DZ89" s="221"/>
      <c r="EA89" s="221"/>
      <c r="EB89" s="221"/>
      <c r="EC89" s="221"/>
      <c r="ED89" s="221"/>
      <c r="EE89" s="221"/>
      <c r="EF89" s="221"/>
      <c r="EG89" s="221"/>
      <c r="EH89" s="221"/>
      <c r="EI89" s="221"/>
      <c r="EJ89" s="221"/>
      <c r="EK89" s="221"/>
      <c r="EL89" s="221"/>
      <c r="EM89" s="221"/>
      <c r="EN89" s="221"/>
      <c r="EO89" s="221"/>
      <c r="EP89" s="221"/>
      <c r="EQ89" s="221"/>
      <c r="ER89" s="221"/>
      <c r="ES89" s="221"/>
      <c r="ET89" s="221"/>
      <c r="EU89" s="221"/>
      <c r="EV89" s="221"/>
      <c r="EW89" s="221"/>
      <c r="EX89" s="221"/>
      <c r="EY89" s="221"/>
      <c r="EZ89" s="221"/>
      <c r="FA89" s="221"/>
      <c r="FB89" s="221"/>
      <c r="FC89" s="221"/>
      <c r="FD89" s="221"/>
      <c r="FE89" s="221"/>
      <c r="FF89" s="221"/>
      <c r="FG89" s="221"/>
      <c r="FH89" s="221"/>
      <c r="FI89" s="221"/>
      <c r="FJ89" s="221"/>
      <c r="FK89" s="221"/>
      <c r="FL89" s="221"/>
      <c r="FM89" s="221"/>
      <c r="FN89" s="221"/>
      <c r="FO89" s="221"/>
      <c r="FP89" s="221"/>
      <c r="FQ89" s="221"/>
      <c r="FR89" s="221"/>
      <c r="FS89" s="221"/>
      <c r="FT89" s="221"/>
      <c r="FU89" s="221"/>
      <c r="FV89" s="221"/>
      <c r="FW89" s="221"/>
      <c r="FX89" s="221"/>
      <c r="FY89" s="221"/>
      <c r="FZ89" s="221"/>
      <c r="GA89" s="221"/>
      <c r="GB89" s="221"/>
      <c r="GC89" s="221"/>
      <c r="GD89" s="221"/>
      <c r="GE89" s="221"/>
      <c r="GF89" s="221"/>
      <c r="GG89" s="221"/>
      <c r="GH89" s="221"/>
      <c r="GI89" s="221"/>
      <c r="GJ89" s="221"/>
      <c r="GK89" s="221"/>
      <c r="GL89" s="221"/>
      <c r="GM89" s="221"/>
      <c r="GN89" s="221"/>
      <c r="GO89" s="221"/>
      <c r="GP89" s="221"/>
      <c r="GQ89" s="221"/>
      <c r="GR89" s="221"/>
      <c r="GS89" s="221"/>
      <c r="GT89" s="221"/>
      <c r="GU89" s="221"/>
      <c r="GV89" s="221"/>
      <c r="GW89" s="221"/>
      <c r="GX89" s="221"/>
      <c r="GY89" s="221"/>
      <c r="GZ89" s="221"/>
      <c r="HA89" s="221"/>
      <c r="HB89" s="221"/>
      <c r="HC89" s="221"/>
      <c r="HD89" s="221"/>
      <c r="HE89" s="221"/>
      <c r="HF89" s="221"/>
      <c r="HG89" s="221"/>
      <c r="HH89" s="221"/>
      <c r="HI89" s="221"/>
      <c r="HJ89" s="221"/>
      <c r="HK89" s="221"/>
      <c r="HL89" s="221"/>
      <c r="HM89" s="221"/>
      <c r="HN89" s="221"/>
      <c r="HO89" s="221"/>
      <c r="HP89" s="221"/>
      <c r="HQ89" s="221"/>
      <c r="HR89" s="221"/>
      <c r="HS89" s="221"/>
      <c r="HT89" s="221"/>
      <c r="HU89" s="221"/>
      <c r="HV89" s="221"/>
      <c r="HW89" s="221"/>
      <c r="HX89" s="221"/>
      <c r="HY89" s="221"/>
      <c r="HZ89" s="221"/>
      <c r="IA89" s="221"/>
      <c r="IB89" s="221"/>
      <c r="IC89" s="221"/>
      <c r="ID89" s="221"/>
      <c r="IE89" s="221"/>
      <c r="IF89" s="221"/>
      <c r="IG89" s="221"/>
      <c r="IH89" s="221"/>
      <c r="II89" s="221"/>
      <c r="IJ89" s="221"/>
      <c r="IK89" s="221"/>
      <c r="IL89" s="221"/>
      <c r="IM89" s="221"/>
      <c r="IN89" s="221"/>
      <c r="IO89" s="221"/>
      <c r="IP89" s="221"/>
      <c r="IQ89" s="221"/>
      <c r="IR89" s="221"/>
      <c r="IS89" s="221"/>
      <c r="IT89" s="221"/>
      <c r="IU89" s="221"/>
      <c r="IV89" s="221"/>
      <c r="IW89" s="221"/>
      <c r="IX89" s="221"/>
      <c r="IY89" s="221"/>
      <c r="IZ89" s="221"/>
      <c r="JA89" s="221"/>
      <c r="JB89" s="221"/>
      <c r="JC89" s="221"/>
      <c r="JD89" s="221"/>
      <c r="JE89" s="221"/>
      <c r="JF89" s="221"/>
      <c r="JG89" s="221"/>
      <c r="JH89" s="221"/>
      <c r="JI89" s="221"/>
      <c r="JJ89" s="221"/>
      <c r="JK89" s="221"/>
      <c r="JL89" s="221"/>
      <c r="JM89" s="221"/>
      <c r="JN89" s="221"/>
      <c r="JO89" s="221"/>
      <c r="JP89" s="221"/>
      <c r="JQ89" s="221"/>
    </row>
    <row r="90" spans="1:277" ht="32" customHeight="1" outlineLevel="1">
      <c r="A90" s="485">
        <v>1902042</v>
      </c>
      <c r="B90" s="25">
        <v>42059</v>
      </c>
      <c r="C90" s="26" t="s">
        <v>67</v>
      </c>
      <c r="D90" s="26" t="s">
        <v>73</v>
      </c>
      <c r="E90" s="533" t="s">
        <v>60</v>
      </c>
      <c r="F90" s="519" t="s">
        <v>377</v>
      </c>
      <c r="G90" s="260" t="s">
        <v>1246</v>
      </c>
      <c r="H90" s="293"/>
      <c r="I90" s="261" t="s">
        <v>1319</v>
      </c>
      <c r="J90" s="30" t="s">
        <v>62</v>
      </c>
      <c r="K90" s="31" t="s">
        <v>1308</v>
      </c>
      <c r="L90" s="50">
        <v>161454524</v>
      </c>
      <c r="M90" s="33">
        <v>42088</v>
      </c>
      <c r="N90" s="31" t="s">
        <v>378</v>
      </c>
      <c r="O90" s="252" t="s">
        <v>1247</v>
      </c>
      <c r="P90" s="559"/>
      <c r="Q90" s="290"/>
      <c r="R90" s="753">
        <v>0</v>
      </c>
      <c r="S90" s="754">
        <v>0</v>
      </c>
      <c r="T90" s="755">
        <v>0</v>
      </c>
      <c r="U90" s="757">
        <v>0</v>
      </c>
      <c r="V90" s="754">
        <v>0</v>
      </c>
      <c r="W90" s="755">
        <v>0</v>
      </c>
      <c r="X90" s="757">
        <v>0</v>
      </c>
      <c r="Y90" s="754">
        <v>1</v>
      </c>
      <c r="Z90" s="755">
        <v>0</v>
      </c>
      <c r="AA90" s="757">
        <v>0</v>
      </c>
      <c r="AB90" s="754">
        <v>0</v>
      </c>
      <c r="AC90" s="755">
        <v>0</v>
      </c>
      <c r="AD90" s="757">
        <v>0</v>
      </c>
      <c r="AE90" s="757">
        <v>0</v>
      </c>
      <c r="AF90" s="757">
        <v>0</v>
      </c>
      <c r="AG90" s="760">
        <v>0</v>
      </c>
      <c r="AH90" s="761">
        <v>0</v>
      </c>
      <c r="AI90" s="763">
        <v>0</v>
      </c>
      <c r="AJ90" s="763">
        <v>0</v>
      </c>
      <c r="AK90" s="291"/>
      <c r="AL90" s="519" t="s">
        <v>133</v>
      </c>
      <c r="AM90" s="253" t="s">
        <v>157</v>
      </c>
      <c r="AN90" s="36">
        <f>1*PRODUCTS!E3</f>
        <v>78.52</v>
      </c>
      <c r="AO90" s="26" t="s">
        <v>379</v>
      </c>
      <c r="AP90" s="37">
        <v>305.94</v>
      </c>
      <c r="AQ90" s="792">
        <f t="shared" si="5"/>
        <v>227.42000000000002</v>
      </c>
      <c r="AR90" s="828"/>
      <c r="AS90" s="812">
        <v>42087</v>
      </c>
      <c r="AT90" s="31" t="s">
        <v>66</v>
      </c>
      <c r="AU90" s="774"/>
      <c r="AV90" s="774"/>
      <c r="AW90" s="46"/>
      <c r="AX90" s="36">
        <v>0</v>
      </c>
      <c r="AY90" s="774">
        <v>12585474</v>
      </c>
      <c r="AZ90" s="41">
        <f>7.29+7.29</f>
        <v>14.58</v>
      </c>
      <c r="BA90" s="31" t="s">
        <v>47</v>
      </c>
      <c r="BB90" s="41">
        <v>0</v>
      </c>
      <c r="BC90" s="42"/>
      <c r="BD90" s="42"/>
      <c r="BE90" s="42"/>
      <c r="BF90" s="42"/>
      <c r="BG90" s="42"/>
      <c r="BH90" s="221"/>
      <c r="BI90" s="221"/>
      <c r="BJ90" s="221"/>
      <c r="BK90" s="221"/>
      <c r="BL90" s="221"/>
      <c r="BM90" s="221"/>
      <c r="BN90" s="221"/>
      <c r="BO90" s="221"/>
      <c r="BP90" s="221"/>
      <c r="BQ90" s="221"/>
      <c r="BR90" s="221"/>
      <c r="BS90" s="221"/>
      <c r="BT90" s="221"/>
      <c r="BU90" s="221"/>
      <c r="BV90" s="221"/>
      <c r="BW90" s="221"/>
      <c r="BX90" s="221"/>
      <c r="BY90" s="221"/>
      <c r="BZ90" s="221"/>
      <c r="CA90" s="221"/>
      <c r="CB90" s="221"/>
      <c r="CC90" s="221"/>
      <c r="CD90" s="221"/>
      <c r="CE90" s="221"/>
      <c r="CF90" s="221"/>
      <c r="CG90" s="221"/>
      <c r="CH90" s="221"/>
      <c r="CI90" s="221"/>
      <c r="CJ90" s="221"/>
      <c r="CK90" s="221"/>
      <c r="CL90" s="221"/>
      <c r="CM90" s="221"/>
      <c r="CN90" s="221"/>
      <c r="CO90" s="221"/>
      <c r="CP90" s="221"/>
      <c r="CQ90" s="221"/>
      <c r="CR90" s="221"/>
      <c r="CS90" s="221"/>
      <c r="CT90" s="221"/>
      <c r="CU90" s="221"/>
      <c r="CV90" s="221"/>
      <c r="CW90" s="221"/>
      <c r="CX90" s="221"/>
      <c r="CY90" s="221"/>
      <c r="CZ90" s="221"/>
      <c r="DA90" s="221"/>
      <c r="DB90" s="221"/>
      <c r="DC90" s="221"/>
      <c r="DD90" s="221"/>
      <c r="DE90" s="221"/>
      <c r="DF90" s="221"/>
      <c r="DG90" s="221"/>
      <c r="DH90" s="221"/>
      <c r="DI90" s="221"/>
      <c r="DJ90" s="221"/>
      <c r="DK90" s="221"/>
      <c r="DL90" s="221"/>
      <c r="DM90" s="221"/>
      <c r="DN90" s="221"/>
      <c r="DO90" s="221"/>
      <c r="DP90" s="221"/>
      <c r="DQ90" s="221"/>
      <c r="DR90" s="221"/>
      <c r="DS90" s="221"/>
      <c r="DT90" s="221"/>
      <c r="DU90" s="221"/>
      <c r="DV90" s="221"/>
      <c r="DW90" s="221"/>
      <c r="DX90" s="221"/>
      <c r="DY90" s="221"/>
      <c r="DZ90" s="221"/>
      <c r="EA90" s="221"/>
      <c r="EB90" s="221"/>
      <c r="EC90" s="221"/>
      <c r="ED90" s="221"/>
      <c r="EE90" s="221"/>
      <c r="EF90" s="221"/>
      <c r="EG90" s="221"/>
      <c r="EH90" s="221"/>
      <c r="EI90" s="221"/>
      <c r="EJ90" s="221"/>
      <c r="EK90" s="221"/>
      <c r="EL90" s="221"/>
      <c r="EM90" s="221"/>
      <c r="EN90" s="221"/>
      <c r="EO90" s="221"/>
      <c r="EP90" s="221"/>
      <c r="EQ90" s="221"/>
      <c r="ER90" s="221"/>
      <c r="ES90" s="221"/>
      <c r="ET90" s="221"/>
      <c r="EU90" s="221"/>
      <c r="EV90" s="221"/>
      <c r="EW90" s="221"/>
      <c r="EX90" s="221"/>
      <c r="EY90" s="221"/>
      <c r="EZ90" s="221"/>
      <c r="FA90" s="221"/>
      <c r="FB90" s="221"/>
      <c r="FC90" s="221"/>
      <c r="FD90" s="221"/>
      <c r="FE90" s="221"/>
      <c r="FF90" s="221"/>
      <c r="FG90" s="221"/>
      <c r="FH90" s="221"/>
      <c r="FI90" s="221"/>
      <c r="FJ90" s="221"/>
      <c r="FK90" s="221"/>
      <c r="FL90" s="221"/>
      <c r="FM90" s="221"/>
      <c r="FN90" s="221"/>
      <c r="FO90" s="221"/>
      <c r="FP90" s="221"/>
      <c r="FQ90" s="221"/>
      <c r="FR90" s="221"/>
      <c r="FS90" s="221"/>
      <c r="FT90" s="221"/>
      <c r="FU90" s="221"/>
      <c r="FV90" s="221"/>
      <c r="FW90" s="221"/>
      <c r="FX90" s="221"/>
      <c r="FY90" s="221"/>
      <c r="FZ90" s="221"/>
      <c r="GA90" s="221"/>
      <c r="GB90" s="221"/>
      <c r="GC90" s="221"/>
      <c r="GD90" s="221"/>
      <c r="GE90" s="221"/>
      <c r="GF90" s="221"/>
      <c r="GG90" s="221"/>
      <c r="GH90" s="221"/>
      <c r="GI90" s="221"/>
      <c r="GJ90" s="221"/>
      <c r="GK90" s="221"/>
      <c r="GL90" s="221"/>
      <c r="GM90" s="221"/>
      <c r="GN90" s="221"/>
      <c r="GO90" s="221"/>
      <c r="GP90" s="221"/>
      <c r="GQ90" s="221"/>
      <c r="GR90" s="221"/>
      <c r="GS90" s="221"/>
      <c r="GT90" s="221"/>
      <c r="GU90" s="221"/>
      <c r="GV90" s="221"/>
      <c r="GW90" s="221"/>
      <c r="GX90" s="221"/>
      <c r="GY90" s="221"/>
      <c r="GZ90" s="221"/>
      <c r="HA90" s="221"/>
      <c r="HB90" s="221"/>
      <c r="HC90" s="221"/>
      <c r="HD90" s="221"/>
      <c r="HE90" s="221"/>
      <c r="HF90" s="221"/>
      <c r="HG90" s="221"/>
      <c r="HH90" s="221"/>
      <c r="HI90" s="221"/>
      <c r="HJ90" s="221"/>
      <c r="HK90" s="221"/>
      <c r="HL90" s="221"/>
      <c r="HM90" s="221"/>
      <c r="HN90" s="221"/>
      <c r="HO90" s="221"/>
      <c r="HP90" s="221"/>
      <c r="HQ90" s="221"/>
      <c r="HR90" s="221"/>
      <c r="HS90" s="221"/>
      <c r="HT90" s="221"/>
      <c r="HU90" s="221"/>
      <c r="HV90" s="221"/>
      <c r="HW90" s="221"/>
      <c r="HX90" s="221"/>
      <c r="HY90" s="221"/>
      <c r="HZ90" s="221"/>
      <c r="IA90" s="221"/>
      <c r="IB90" s="221"/>
      <c r="IC90" s="221"/>
      <c r="ID90" s="221"/>
      <c r="IE90" s="221"/>
      <c r="IF90" s="221"/>
      <c r="IG90" s="221"/>
      <c r="IH90" s="221"/>
      <c r="II90" s="221"/>
      <c r="IJ90" s="221"/>
      <c r="IK90" s="221"/>
      <c r="IL90" s="221"/>
      <c r="IM90" s="221"/>
      <c r="IN90" s="221"/>
      <c r="IO90" s="221"/>
      <c r="IP90" s="221"/>
      <c r="IQ90" s="221"/>
      <c r="IR90" s="221"/>
      <c r="IS90" s="221"/>
      <c r="IT90" s="221"/>
      <c r="IU90" s="221"/>
      <c r="IV90" s="221"/>
      <c r="IW90" s="221"/>
      <c r="IX90" s="221"/>
      <c r="IY90" s="221"/>
      <c r="IZ90" s="221"/>
      <c r="JA90" s="221"/>
      <c r="JB90" s="221"/>
      <c r="JC90" s="221"/>
      <c r="JD90" s="221"/>
      <c r="JE90" s="221"/>
      <c r="JF90" s="221"/>
      <c r="JG90" s="221"/>
      <c r="JH90" s="221"/>
      <c r="JI90" s="221"/>
      <c r="JJ90" s="221"/>
      <c r="JK90" s="221"/>
      <c r="JL90" s="221"/>
      <c r="JM90" s="221"/>
      <c r="JN90" s="221"/>
      <c r="JO90" s="221"/>
      <c r="JP90" s="221"/>
      <c r="JQ90" s="221"/>
    </row>
    <row r="91" spans="1:277" ht="20.25" customHeight="1" outlineLevel="1">
      <c r="A91" s="485">
        <v>1902043</v>
      </c>
      <c r="B91" s="25">
        <v>42059</v>
      </c>
      <c r="C91" s="26" t="s">
        <v>67</v>
      </c>
      <c r="D91" s="26" t="s">
        <v>45</v>
      </c>
      <c r="E91" s="533" t="s">
        <v>60</v>
      </c>
      <c r="F91" s="519" t="s">
        <v>380</v>
      </c>
      <c r="G91" s="48" t="s">
        <v>381</v>
      </c>
      <c r="H91" s="291" t="s">
        <v>47</v>
      </c>
      <c r="I91" s="49">
        <v>190839</v>
      </c>
      <c r="J91" s="30" t="s">
        <v>49</v>
      </c>
      <c r="K91" s="31" t="s">
        <v>50</v>
      </c>
      <c r="L91" s="88">
        <v>156231731</v>
      </c>
      <c r="M91" s="33">
        <v>42066</v>
      </c>
      <c r="N91" s="31" t="s">
        <v>382</v>
      </c>
      <c r="O91" s="26" t="s">
        <v>383</v>
      </c>
      <c r="P91" s="559"/>
      <c r="Q91" s="290"/>
      <c r="R91" s="753">
        <v>1</v>
      </c>
      <c r="S91" s="754">
        <v>0</v>
      </c>
      <c r="T91" s="755">
        <v>0</v>
      </c>
      <c r="U91" s="757">
        <v>0</v>
      </c>
      <c r="V91" s="754">
        <v>0</v>
      </c>
      <c r="W91" s="755">
        <v>0</v>
      </c>
      <c r="X91" s="757">
        <v>0</v>
      </c>
      <c r="Y91" s="754">
        <v>0</v>
      </c>
      <c r="Z91" s="755">
        <v>0</v>
      </c>
      <c r="AA91" s="757">
        <v>0</v>
      </c>
      <c r="AB91" s="754">
        <v>0</v>
      </c>
      <c r="AC91" s="755">
        <v>0</v>
      </c>
      <c r="AD91" s="757">
        <v>0</v>
      </c>
      <c r="AE91" s="757">
        <v>0</v>
      </c>
      <c r="AF91" s="757">
        <v>0</v>
      </c>
      <c r="AG91" s="760">
        <v>0</v>
      </c>
      <c r="AH91" s="761">
        <v>0</v>
      </c>
      <c r="AI91" s="763">
        <v>0</v>
      </c>
      <c r="AJ91" s="763">
        <v>0</v>
      </c>
      <c r="AK91" s="291"/>
      <c r="AL91" s="519" t="s">
        <v>71</v>
      </c>
      <c r="AM91" s="51">
        <v>190513</v>
      </c>
      <c r="AN91" s="36">
        <v>418.98</v>
      </c>
      <c r="AO91" s="26" t="s">
        <v>384</v>
      </c>
      <c r="AP91" s="37">
        <v>2347.3000000000002</v>
      </c>
      <c r="AQ91" s="792">
        <f t="shared" si="5"/>
        <v>1928.3200000000002</v>
      </c>
      <c r="AR91" s="828"/>
      <c r="AS91" s="812"/>
      <c r="AT91" s="31" t="s">
        <v>66</v>
      </c>
      <c r="AU91" s="774"/>
      <c r="AV91" s="774"/>
      <c r="AW91" s="46"/>
      <c r="AX91" s="36"/>
      <c r="AY91" s="774"/>
      <c r="AZ91" s="41"/>
      <c r="BA91" s="31" t="s">
        <v>47</v>
      </c>
      <c r="BB91" s="41">
        <v>0</v>
      </c>
      <c r="BC91" s="42"/>
      <c r="BD91" s="42"/>
      <c r="BE91" s="42"/>
      <c r="BF91" s="42"/>
      <c r="BG91" s="42"/>
      <c r="BH91" s="221"/>
      <c r="BI91" s="221"/>
      <c r="BJ91" s="221"/>
      <c r="BK91" s="221"/>
      <c r="BL91" s="221"/>
      <c r="BM91" s="221"/>
      <c r="BN91" s="221"/>
      <c r="BO91" s="221"/>
      <c r="BP91" s="221"/>
      <c r="BQ91" s="221"/>
      <c r="BR91" s="221"/>
      <c r="BS91" s="221"/>
      <c r="BT91" s="221"/>
      <c r="BU91" s="221"/>
      <c r="BV91" s="221"/>
      <c r="BW91" s="221"/>
      <c r="BX91" s="221"/>
      <c r="BY91" s="221"/>
      <c r="BZ91" s="221"/>
      <c r="CA91" s="221"/>
      <c r="CB91" s="221"/>
      <c r="CC91" s="221"/>
      <c r="CD91" s="221"/>
      <c r="CE91" s="221"/>
      <c r="CF91" s="221"/>
      <c r="CG91" s="221"/>
      <c r="CH91" s="221"/>
      <c r="CI91" s="221"/>
      <c r="CJ91" s="221"/>
      <c r="CK91" s="221"/>
      <c r="CL91" s="221"/>
      <c r="CM91" s="221"/>
      <c r="CN91" s="221"/>
      <c r="CO91" s="221"/>
      <c r="CP91" s="221"/>
      <c r="CQ91" s="221"/>
      <c r="CR91" s="221"/>
      <c r="CS91" s="221"/>
      <c r="CT91" s="221"/>
      <c r="CU91" s="221"/>
      <c r="CV91" s="221"/>
      <c r="CW91" s="221"/>
      <c r="CX91" s="221"/>
      <c r="CY91" s="221"/>
      <c r="CZ91" s="221"/>
      <c r="DA91" s="221"/>
      <c r="DB91" s="221"/>
      <c r="DC91" s="221"/>
      <c r="DD91" s="221"/>
      <c r="DE91" s="221"/>
      <c r="DF91" s="221"/>
      <c r="DG91" s="221"/>
      <c r="DH91" s="221"/>
      <c r="DI91" s="221"/>
      <c r="DJ91" s="221"/>
      <c r="DK91" s="221"/>
      <c r="DL91" s="221"/>
      <c r="DM91" s="221"/>
      <c r="DN91" s="221"/>
      <c r="DO91" s="221"/>
      <c r="DP91" s="221"/>
      <c r="DQ91" s="221"/>
      <c r="DR91" s="221"/>
      <c r="DS91" s="221"/>
      <c r="DT91" s="221"/>
      <c r="DU91" s="221"/>
      <c r="DV91" s="221"/>
      <c r="DW91" s="221"/>
      <c r="DX91" s="221"/>
      <c r="DY91" s="221"/>
      <c r="DZ91" s="221"/>
      <c r="EA91" s="221"/>
      <c r="EB91" s="221"/>
      <c r="EC91" s="221"/>
      <c r="ED91" s="221"/>
      <c r="EE91" s="221"/>
      <c r="EF91" s="221"/>
      <c r="EG91" s="221"/>
      <c r="EH91" s="221"/>
      <c r="EI91" s="221"/>
      <c r="EJ91" s="221"/>
      <c r="EK91" s="221"/>
      <c r="EL91" s="221"/>
      <c r="EM91" s="221"/>
      <c r="EN91" s="221"/>
      <c r="EO91" s="221"/>
      <c r="EP91" s="221"/>
      <c r="EQ91" s="221"/>
      <c r="ER91" s="221"/>
      <c r="ES91" s="221"/>
      <c r="ET91" s="221"/>
      <c r="EU91" s="221"/>
      <c r="EV91" s="221"/>
      <c r="EW91" s="221"/>
      <c r="EX91" s="221"/>
      <c r="EY91" s="221"/>
      <c r="EZ91" s="221"/>
      <c r="FA91" s="221"/>
      <c r="FB91" s="221"/>
      <c r="FC91" s="221"/>
      <c r="FD91" s="221"/>
      <c r="FE91" s="221"/>
      <c r="FF91" s="221"/>
      <c r="FG91" s="221"/>
      <c r="FH91" s="221"/>
      <c r="FI91" s="221"/>
      <c r="FJ91" s="221"/>
      <c r="FK91" s="221"/>
      <c r="FL91" s="221"/>
      <c r="FM91" s="221"/>
      <c r="FN91" s="221"/>
      <c r="FO91" s="221"/>
      <c r="FP91" s="221"/>
      <c r="FQ91" s="221"/>
      <c r="FR91" s="221"/>
      <c r="FS91" s="221"/>
      <c r="FT91" s="221"/>
      <c r="FU91" s="221"/>
      <c r="FV91" s="221"/>
      <c r="FW91" s="221"/>
      <c r="FX91" s="221"/>
      <c r="FY91" s="221"/>
      <c r="FZ91" s="221"/>
      <c r="GA91" s="221"/>
      <c r="GB91" s="221"/>
      <c r="GC91" s="221"/>
      <c r="GD91" s="221"/>
      <c r="GE91" s="221"/>
      <c r="GF91" s="221"/>
      <c r="GG91" s="221"/>
      <c r="GH91" s="221"/>
      <c r="GI91" s="221"/>
      <c r="GJ91" s="221"/>
      <c r="GK91" s="221"/>
      <c r="GL91" s="221"/>
      <c r="GM91" s="221"/>
      <c r="GN91" s="221"/>
      <c r="GO91" s="221"/>
      <c r="GP91" s="221"/>
      <c r="GQ91" s="221"/>
      <c r="GR91" s="221"/>
      <c r="GS91" s="221"/>
      <c r="GT91" s="221"/>
      <c r="GU91" s="221"/>
      <c r="GV91" s="221"/>
      <c r="GW91" s="221"/>
      <c r="GX91" s="221"/>
      <c r="GY91" s="221"/>
      <c r="GZ91" s="221"/>
      <c r="HA91" s="221"/>
      <c r="HB91" s="221"/>
      <c r="HC91" s="221"/>
      <c r="HD91" s="221"/>
      <c r="HE91" s="221"/>
      <c r="HF91" s="221"/>
      <c r="HG91" s="221"/>
      <c r="HH91" s="221"/>
      <c r="HI91" s="221"/>
      <c r="HJ91" s="221"/>
      <c r="HK91" s="221"/>
      <c r="HL91" s="221"/>
      <c r="HM91" s="221"/>
      <c r="HN91" s="221"/>
      <c r="HO91" s="221"/>
      <c r="HP91" s="221"/>
      <c r="HQ91" s="221"/>
      <c r="HR91" s="221"/>
      <c r="HS91" s="221"/>
      <c r="HT91" s="221"/>
      <c r="HU91" s="221"/>
      <c r="HV91" s="221"/>
      <c r="HW91" s="221"/>
      <c r="HX91" s="221"/>
      <c r="HY91" s="221"/>
      <c r="HZ91" s="221"/>
      <c r="IA91" s="221"/>
      <c r="IB91" s="221"/>
      <c r="IC91" s="221"/>
      <c r="ID91" s="221"/>
      <c r="IE91" s="221"/>
      <c r="IF91" s="221"/>
      <c r="IG91" s="221"/>
      <c r="IH91" s="221"/>
      <c r="II91" s="221"/>
      <c r="IJ91" s="221"/>
      <c r="IK91" s="221"/>
      <c r="IL91" s="221"/>
      <c r="IM91" s="221"/>
      <c r="IN91" s="221"/>
      <c r="IO91" s="221"/>
      <c r="IP91" s="221"/>
      <c r="IQ91" s="221"/>
      <c r="IR91" s="221"/>
      <c r="IS91" s="221"/>
      <c r="IT91" s="221"/>
      <c r="IU91" s="221"/>
      <c r="IV91" s="221"/>
      <c r="IW91" s="221"/>
      <c r="IX91" s="221"/>
      <c r="IY91" s="221"/>
      <c r="IZ91" s="221"/>
      <c r="JA91" s="221"/>
      <c r="JB91" s="221"/>
      <c r="JC91" s="221"/>
      <c r="JD91" s="221"/>
      <c r="JE91" s="221"/>
      <c r="JF91" s="221"/>
      <c r="JG91" s="221"/>
      <c r="JH91" s="221"/>
      <c r="JI91" s="221"/>
      <c r="JJ91" s="221"/>
      <c r="JK91" s="221"/>
      <c r="JL91" s="221"/>
      <c r="JM91" s="221"/>
      <c r="JN91" s="221"/>
      <c r="JO91" s="221"/>
      <c r="JP91" s="221"/>
      <c r="JQ91" s="221"/>
    </row>
    <row r="92" spans="1:277" ht="20" customHeight="1" outlineLevel="1">
      <c r="A92" s="485">
        <v>1902044</v>
      </c>
      <c r="B92" s="25">
        <v>42059</v>
      </c>
      <c r="C92" s="26" t="s">
        <v>67</v>
      </c>
      <c r="D92" s="26" t="s">
        <v>45</v>
      </c>
      <c r="E92" s="533" t="s">
        <v>60</v>
      </c>
      <c r="F92" s="519" t="s">
        <v>47</v>
      </c>
      <c r="G92" s="48" t="s">
        <v>47</v>
      </c>
      <c r="H92" s="291"/>
      <c r="I92" s="29" t="s">
        <v>47</v>
      </c>
      <c r="J92" s="30" t="s">
        <v>62</v>
      </c>
      <c r="K92" s="31" t="s">
        <v>163</v>
      </c>
      <c r="L92" s="32" t="s">
        <v>47</v>
      </c>
      <c r="M92" s="33">
        <v>42059</v>
      </c>
      <c r="N92" s="31" t="s">
        <v>385</v>
      </c>
      <c r="O92" s="26" t="s">
        <v>386</v>
      </c>
      <c r="P92" s="559"/>
      <c r="Q92" s="290"/>
      <c r="R92" s="753">
        <v>0</v>
      </c>
      <c r="S92" s="754">
        <v>0</v>
      </c>
      <c r="T92" s="755">
        <v>0</v>
      </c>
      <c r="U92" s="757">
        <v>0</v>
      </c>
      <c r="V92" s="754">
        <v>0</v>
      </c>
      <c r="W92" s="755">
        <v>0</v>
      </c>
      <c r="X92" s="757">
        <v>0</v>
      </c>
      <c r="Y92" s="754">
        <v>0</v>
      </c>
      <c r="Z92" s="755">
        <v>0</v>
      </c>
      <c r="AA92" s="757">
        <v>0</v>
      </c>
      <c r="AB92" s="754">
        <v>0</v>
      </c>
      <c r="AC92" s="755">
        <v>0</v>
      </c>
      <c r="AD92" s="757">
        <v>0</v>
      </c>
      <c r="AE92" s="757">
        <v>0</v>
      </c>
      <c r="AF92" s="757">
        <v>0</v>
      </c>
      <c r="AG92" s="760">
        <v>0</v>
      </c>
      <c r="AH92" s="761">
        <v>1</v>
      </c>
      <c r="AI92" s="763">
        <v>0</v>
      </c>
      <c r="AJ92" s="763">
        <v>0</v>
      </c>
      <c r="AK92" s="291"/>
      <c r="AL92" s="519" t="s">
        <v>47</v>
      </c>
      <c r="AM92" s="48" t="s">
        <v>47</v>
      </c>
      <c r="AN92" s="36">
        <v>0</v>
      </c>
      <c r="AO92" s="26" t="s">
        <v>47</v>
      </c>
      <c r="AP92" s="37">
        <v>0</v>
      </c>
      <c r="AQ92" s="792">
        <f t="shared" si="5"/>
        <v>0</v>
      </c>
      <c r="AR92" s="828"/>
      <c r="AS92" s="812"/>
      <c r="AT92" s="31" t="s">
        <v>94</v>
      </c>
      <c r="AU92" s="774"/>
      <c r="AV92" s="774"/>
      <c r="AW92" s="46"/>
      <c r="AX92" s="36"/>
      <c r="AY92" s="774"/>
      <c r="AZ92" s="41"/>
      <c r="BA92" s="31" t="s">
        <v>47</v>
      </c>
      <c r="BB92" s="41">
        <v>0</v>
      </c>
      <c r="BC92" s="42"/>
      <c r="BD92" s="42"/>
      <c r="BE92" s="42"/>
      <c r="BF92" s="42"/>
      <c r="BG92" s="42"/>
      <c r="BH92" s="221"/>
      <c r="BI92" s="221"/>
      <c r="BJ92" s="221"/>
      <c r="BK92" s="221"/>
      <c r="BL92" s="221"/>
      <c r="BM92" s="221"/>
      <c r="BN92" s="221"/>
      <c r="BO92" s="221"/>
      <c r="BP92" s="221"/>
      <c r="BQ92" s="221"/>
      <c r="BR92" s="221"/>
      <c r="BS92" s="221"/>
      <c r="BT92" s="221"/>
      <c r="BU92" s="221"/>
      <c r="BV92" s="221"/>
      <c r="BW92" s="221"/>
      <c r="BX92" s="221"/>
      <c r="BY92" s="221"/>
      <c r="BZ92" s="221"/>
      <c r="CA92" s="221"/>
      <c r="CB92" s="221"/>
      <c r="CC92" s="221"/>
      <c r="CD92" s="221"/>
      <c r="CE92" s="221"/>
      <c r="CF92" s="221"/>
      <c r="CG92" s="221"/>
      <c r="CH92" s="221"/>
      <c r="CI92" s="221"/>
      <c r="CJ92" s="221"/>
      <c r="CK92" s="221"/>
      <c r="CL92" s="221"/>
      <c r="CM92" s="221"/>
      <c r="CN92" s="221"/>
      <c r="CO92" s="221"/>
      <c r="CP92" s="221"/>
      <c r="CQ92" s="221"/>
      <c r="CR92" s="221"/>
      <c r="CS92" s="221"/>
      <c r="CT92" s="221"/>
      <c r="CU92" s="221"/>
      <c r="CV92" s="221"/>
      <c r="CW92" s="221"/>
      <c r="CX92" s="221"/>
      <c r="CY92" s="221"/>
      <c r="CZ92" s="221"/>
      <c r="DA92" s="221"/>
      <c r="DB92" s="221"/>
      <c r="DC92" s="221"/>
      <c r="DD92" s="221"/>
      <c r="DE92" s="221"/>
      <c r="DF92" s="221"/>
      <c r="DG92" s="221"/>
      <c r="DH92" s="221"/>
      <c r="DI92" s="221"/>
      <c r="DJ92" s="221"/>
      <c r="DK92" s="221"/>
      <c r="DL92" s="221"/>
      <c r="DM92" s="221"/>
      <c r="DN92" s="221"/>
      <c r="DO92" s="221"/>
      <c r="DP92" s="221"/>
      <c r="DQ92" s="221"/>
      <c r="DR92" s="221"/>
      <c r="DS92" s="221"/>
      <c r="DT92" s="221"/>
      <c r="DU92" s="221"/>
      <c r="DV92" s="221"/>
      <c r="DW92" s="221"/>
      <c r="DX92" s="221"/>
      <c r="DY92" s="221"/>
      <c r="DZ92" s="221"/>
      <c r="EA92" s="221"/>
      <c r="EB92" s="221"/>
      <c r="EC92" s="221"/>
      <c r="ED92" s="221"/>
      <c r="EE92" s="221"/>
      <c r="EF92" s="221"/>
      <c r="EG92" s="221"/>
      <c r="EH92" s="221"/>
      <c r="EI92" s="221"/>
      <c r="EJ92" s="221"/>
      <c r="EK92" s="221"/>
      <c r="EL92" s="221"/>
      <c r="EM92" s="221"/>
      <c r="EN92" s="221"/>
      <c r="EO92" s="221"/>
      <c r="EP92" s="221"/>
      <c r="EQ92" s="221"/>
      <c r="ER92" s="221"/>
      <c r="ES92" s="221"/>
      <c r="ET92" s="221"/>
      <c r="EU92" s="221"/>
      <c r="EV92" s="221"/>
      <c r="EW92" s="221"/>
      <c r="EX92" s="221"/>
      <c r="EY92" s="221"/>
      <c r="EZ92" s="221"/>
      <c r="FA92" s="221"/>
      <c r="FB92" s="221"/>
      <c r="FC92" s="221"/>
      <c r="FD92" s="221"/>
      <c r="FE92" s="221"/>
      <c r="FF92" s="221"/>
      <c r="FG92" s="221"/>
      <c r="FH92" s="221"/>
      <c r="FI92" s="221"/>
      <c r="FJ92" s="221"/>
      <c r="FK92" s="221"/>
      <c r="FL92" s="221"/>
      <c r="FM92" s="221"/>
      <c r="FN92" s="221"/>
      <c r="FO92" s="221"/>
      <c r="FP92" s="221"/>
      <c r="FQ92" s="221"/>
      <c r="FR92" s="221"/>
      <c r="FS92" s="221"/>
      <c r="FT92" s="221"/>
      <c r="FU92" s="221"/>
      <c r="FV92" s="221"/>
      <c r="FW92" s="221"/>
      <c r="FX92" s="221"/>
      <c r="FY92" s="221"/>
      <c r="FZ92" s="221"/>
      <c r="GA92" s="221"/>
      <c r="GB92" s="221"/>
      <c r="GC92" s="221"/>
      <c r="GD92" s="221"/>
      <c r="GE92" s="221"/>
      <c r="GF92" s="221"/>
      <c r="GG92" s="221"/>
      <c r="GH92" s="221"/>
      <c r="GI92" s="221"/>
      <c r="GJ92" s="221"/>
      <c r="GK92" s="221"/>
      <c r="GL92" s="221"/>
      <c r="GM92" s="221"/>
      <c r="GN92" s="221"/>
      <c r="GO92" s="221"/>
      <c r="GP92" s="221"/>
      <c r="GQ92" s="221"/>
      <c r="GR92" s="221"/>
      <c r="GS92" s="221"/>
      <c r="GT92" s="221"/>
      <c r="GU92" s="221"/>
      <c r="GV92" s="221"/>
      <c r="GW92" s="221"/>
      <c r="GX92" s="221"/>
      <c r="GY92" s="221"/>
      <c r="GZ92" s="221"/>
      <c r="HA92" s="221"/>
      <c r="HB92" s="221"/>
      <c r="HC92" s="221"/>
      <c r="HD92" s="221"/>
      <c r="HE92" s="221"/>
      <c r="HF92" s="221"/>
      <c r="HG92" s="221"/>
      <c r="HH92" s="221"/>
      <c r="HI92" s="221"/>
      <c r="HJ92" s="221"/>
      <c r="HK92" s="221"/>
      <c r="HL92" s="221"/>
      <c r="HM92" s="221"/>
      <c r="HN92" s="221"/>
      <c r="HO92" s="221"/>
      <c r="HP92" s="221"/>
      <c r="HQ92" s="221"/>
      <c r="HR92" s="221"/>
      <c r="HS92" s="221"/>
      <c r="HT92" s="221"/>
      <c r="HU92" s="221"/>
      <c r="HV92" s="221"/>
      <c r="HW92" s="221"/>
      <c r="HX92" s="221"/>
      <c r="HY92" s="221"/>
      <c r="HZ92" s="221"/>
      <c r="IA92" s="221"/>
      <c r="IB92" s="221"/>
      <c r="IC92" s="221"/>
      <c r="ID92" s="221"/>
      <c r="IE92" s="221"/>
      <c r="IF92" s="221"/>
      <c r="IG92" s="221"/>
      <c r="IH92" s="221"/>
      <c r="II92" s="221"/>
      <c r="IJ92" s="221"/>
      <c r="IK92" s="221"/>
      <c r="IL92" s="221"/>
      <c r="IM92" s="221"/>
      <c r="IN92" s="221"/>
      <c r="IO92" s="221"/>
      <c r="IP92" s="221"/>
      <c r="IQ92" s="221"/>
      <c r="IR92" s="221"/>
      <c r="IS92" s="221"/>
      <c r="IT92" s="221"/>
      <c r="IU92" s="221"/>
      <c r="IV92" s="221"/>
      <c r="IW92" s="221"/>
      <c r="IX92" s="221"/>
      <c r="IY92" s="221"/>
      <c r="IZ92" s="221"/>
      <c r="JA92" s="221"/>
      <c r="JB92" s="221"/>
      <c r="JC92" s="221"/>
      <c r="JD92" s="221"/>
      <c r="JE92" s="221"/>
      <c r="JF92" s="221"/>
      <c r="JG92" s="221"/>
      <c r="JH92" s="221"/>
      <c r="JI92" s="221"/>
      <c r="JJ92" s="221"/>
      <c r="JK92" s="221"/>
      <c r="JL92" s="221"/>
      <c r="JM92" s="221"/>
      <c r="JN92" s="221"/>
      <c r="JO92" s="221"/>
      <c r="JP92" s="221"/>
      <c r="JQ92" s="221"/>
    </row>
    <row r="93" spans="1:277" ht="20" customHeight="1" outlineLevel="1">
      <c r="A93" s="485">
        <v>1902045</v>
      </c>
      <c r="B93" s="25">
        <v>42059</v>
      </c>
      <c r="C93" s="26" t="s">
        <v>67</v>
      </c>
      <c r="D93" s="26" t="s">
        <v>45</v>
      </c>
      <c r="E93" s="533" t="s">
        <v>387</v>
      </c>
      <c r="F93" s="519" t="s">
        <v>388</v>
      </c>
      <c r="G93" s="48" t="s">
        <v>1309</v>
      </c>
      <c r="H93" s="293" t="s">
        <v>1410</v>
      </c>
      <c r="I93" s="261" t="s">
        <v>1411</v>
      </c>
      <c r="J93" s="30" t="s">
        <v>62</v>
      </c>
      <c r="K93" s="31" t="s">
        <v>1308</v>
      </c>
      <c r="L93" s="341">
        <v>164929357</v>
      </c>
      <c r="M93" s="33">
        <v>42102</v>
      </c>
      <c r="N93" s="31" t="s">
        <v>389</v>
      </c>
      <c r="O93" s="26" t="s">
        <v>390</v>
      </c>
      <c r="P93" s="559"/>
      <c r="Q93" s="290"/>
      <c r="R93" s="753">
        <v>0</v>
      </c>
      <c r="S93" s="754">
        <v>0</v>
      </c>
      <c r="T93" s="755">
        <v>0</v>
      </c>
      <c r="U93" s="757">
        <v>0</v>
      </c>
      <c r="V93" s="754">
        <v>0</v>
      </c>
      <c r="W93" s="755">
        <v>0</v>
      </c>
      <c r="X93" s="757">
        <v>0</v>
      </c>
      <c r="Y93" s="754">
        <v>0</v>
      </c>
      <c r="Z93" s="755">
        <v>0</v>
      </c>
      <c r="AA93" s="757">
        <v>4</v>
      </c>
      <c r="AB93" s="754">
        <v>0</v>
      </c>
      <c r="AC93" s="755">
        <v>0</v>
      </c>
      <c r="AD93" s="757">
        <v>0</v>
      </c>
      <c r="AE93" s="757">
        <v>0</v>
      </c>
      <c r="AF93" s="757">
        <v>0</v>
      </c>
      <c r="AG93" s="760">
        <v>0</v>
      </c>
      <c r="AH93" s="761">
        <v>0</v>
      </c>
      <c r="AI93" s="763">
        <v>0</v>
      </c>
      <c r="AJ93" s="763">
        <v>0</v>
      </c>
      <c r="AK93" s="291"/>
      <c r="AL93" s="519" t="s">
        <v>140</v>
      </c>
      <c r="AM93" s="35">
        <v>190858</v>
      </c>
      <c r="AN93" s="36">
        <v>32</v>
      </c>
      <c r="AO93" s="26" t="s">
        <v>1307</v>
      </c>
      <c r="AP93" s="37">
        <v>387.2</v>
      </c>
      <c r="AQ93" s="792">
        <f t="shared" si="5"/>
        <v>355.2</v>
      </c>
      <c r="AR93" s="828"/>
      <c r="AS93" s="812">
        <v>42101</v>
      </c>
      <c r="AT93" s="31" t="s">
        <v>66</v>
      </c>
      <c r="AU93" s="774"/>
      <c r="AV93" s="774"/>
      <c r="AW93" s="46"/>
      <c r="AX93" s="36"/>
      <c r="AY93" s="774"/>
      <c r="AZ93" s="41"/>
      <c r="BA93" s="31" t="s">
        <v>47</v>
      </c>
      <c r="BB93" s="41">
        <v>0</v>
      </c>
      <c r="BC93" s="42"/>
      <c r="BD93" s="42"/>
      <c r="BE93" s="42"/>
      <c r="BF93" s="42"/>
      <c r="BG93" s="42"/>
      <c r="BH93" s="221"/>
      <c r="BI93" s="221"/>
      <c r="BJ93" s="221"/>
      <c r="BK93" s="221"/>
      <c r="BL93" s="221"/>
      <c r="BM93" s="221"/>
      <c r="BN93" s="221"/>
      <c r="BO93" s="221"/>
      <c r="BP93" s="221"/>
      <c r="BQ93" s="221"/>
      <c r="BR93" s="221"/>
      <c r="BS93" s="221"/>
      <c r="BT93" s="221"/>
      <c r="BU93" s="221"/>
      <c r="BV93" s="221"/>
      <c r="BW93" s="221"/>
      <c r="BX93" s="221"/>
      <c r="BY93" s="221"/>
      <c r="BZ93" s="221"/>
      <c r="CA93" s="221"/>
      <c r="CB93" s="221"/>
      <c r="CC93" s="221"/>
      <c r="CD93" s="221"/>
      <c r="CE93" s="221"/>
      <c r="CF93" s="221"/>
      <c r="CG93" s="221"/>
      <c r="CH93" s="221"/>
      <c r="CI93" s="221"/>
      <c r="CJ93" s="221"/>
      <c r="CK93" s="221"/>
      <c r="CL93" s="221"/>
      <c r="CM93" s="221"/>
      <c r="CN93" s="221"/>
      <c r="CO93" s="221"/>
      <c r="CP93" s="221"/>
      <c r="CQ93" s="221"/>
      <c r="CR93" s="221"/>
      <c r="CS93" s="221"/>
      <c r="CT93" s="221"/>
      <c r="CU93" s="221"/>
      <c r="CV93" s="221"/>
      <c r="CW93" s="221"/>
      <c r="CX93" s="221"/>
      <c r="CY93" s="221"/>
      <c r="CZ93" s="221"/>
      <c r="DA93" s="221"/>
      <c r="DB93" s="221"/>
      <c r="DC93" s="221"/>
      <c r="DD93" s="221"/>
      <c r="DE93" s="221"/>
      <c r="DF93" s="221"/>
      <c r="DG93" s="221"/>
      <c r="DH93" s="221"/>
      <c r="DI93" s="221"/>
      <c r="DJ93" s="221"/>
      <c r="DK93" s="221"/>
      <c r="DL93" s="221"/>
      <c r="DM93" s="221"/>
      <c r="DN93" s="221"/>
      <c r="DO93" s="221"/>
      <c r="DP93" s="221"/>
      <c r="DQ93" s="221"/>
      <c r="DR93" s="221"/>
      <c r="DS93" s="221"/>
      <c r="DT93" s="221"/>
      <c r="DU93" s="221"/>
      <c r="DV93" s="221"/>
      <c r="DW93" s="221"/>
      <c r="DX93" s="221"/>
      <c r="DY93" s="221"/>
      <c r="DZ93" s="221"/>
      <c r="EA93" s="221"/>
      <c r="EB93" s="221"/>
      <c r="EC93" s="221"/>
      <c r="ED93" s="221"/>
      <c r="EE93" s="221"/>
      <c r="EF93" s="221"/>
      <c r="EG93" s="221"/>
      <c r="EH93" s="221"/>
      <c r="EI93" s="221"/>
      <c r="EJ93" s="221"/>
      <c r="EK93" s="221"/>
      <c r="EL93" s="221"/>
      <c r="EM93" s="221"/>
      <c r="EN93" s="221"/>
      <c r="EO93" s="221"/>
      <c r="EP93" s="221"/>
      <c r="EQ93" s="221"/>
      <c r="ER93" s="221"/>
      <c r="ES93" s="221"/>
      <c r="ET93" s="221"/>
      <c r="EU93" s="221"/>
      <c r="EV93" s="221"/>
      <c r="EW93" s="221"/>
      <c r="EX93" s="221"/>
      <c r="EY93" s="221"/>
      <c r="EZ93" s="221"/>
      <c r="FA93" s="221"/>
      <c r="FB93" s="221"/>
      <c r="FC93" s="221"/>
      <c r="FD93" s="221"/>
      <c r="FE93" s="221"/>
      <c r="FF93" s="221"/>
      <c r="FG93" s="221"/>
      <c r="FH93" s="221"/>
      <c r="FI93" s="221"/>
      <c r="FJ93" s="221"/>
      <c r="FK93" s="221"/>
      <c r="FL93" s="221"/>
      <c r="FM93" s="221"/>
      <c r="FN93" s="221"/>
      <c r="FO93" s="221"/>
      <c r="FP93" s="221"/>
      <c r="FQ93" s="221"/>
      <c r="FR93" s="221"/>
      <c r="FS93" s="221"/>
      <c r="FT93" s="221"/>
      <c r="FU93" s="221"/>
      <c r="FV93" s="221"/>
      <c r="FW93" s="221"/>
      <c r="FX93" s="221"/>
      <c r="FY93" s="221"/>
      <c r="FZ93" s="221"/>
      <c r="GA93" s="221"/>
      <c r="GB93" s="221"/>
      <c r="GC93" s="221"/>
      <c r="GD93" s="221"/>
      <c r="GE93" s="221"/>
      <c r="GF93" s="221"/>
      <c r="GG93" s="221"/>
      <c r="GH93" s="221"/>
      <c r="GI93" s="221"/>
      <c r="GJ93" s="221"/>
      <c r="GK93" s="221"/>
      <c r="GL93" s="221"/>
      <c r="GM93" s="221"/>
      <c r="GN93" s="221"/>
      <c r="GO93" s="221"/>
      <c r="GP93" s="221"/>
      <c r="GQ93" s="221"/>
      <c r="GR93" s="221"/>
      <c r="GS93" s="221"/>
      <c r="GT93" s="221"/>
      <c r="GU93" s="221"/>
      <c r="GV93" s="221"/>
      <c r="GW93" s="221"/>
      <c r="GX93" s="221"/>
      <c r="GY93" s="221"/>
      <c r="GZ93" s="221"/>
      <c r="HA93" s="221"/>
      <c r="HB93" s="221"/>
      <c r="HC93" s="221"/>
      <c r="HD93" s="221"/>
      <c r="HE93" s="221"/>
      <c r="HF93" s="221"/>
      <c r="HG93" s="221"/>
      <c r="HH93" s="221"/>
      <c r="HI93" s="221"/>
      <c r="HJ93" s="221"/>
      <c r="HK93" s="221"/>
      <c r="HL93" s="221"/>
      <c r="HM93" s="221"/>
      <c r="HN93" s="221"/>
      <c r="HO93" s="221"/>
      <c r="HP93" s="221"/>
      <c r="HQ93" s="221"/>
      <c r="HR93" s="221"/>
      <c r="HS93" s="221"/>
      <c r="HT93" s="221"/>
      <c r="HU93" s="221"/>
      <c r="HV93" s="221"/>
      <c r="HW93" s="221"/>
      <c r="HX93" s="221"/>
      <c r="HY93" s="221"/>
      <c r="HZ93" s="221"/>
      <c r="IA93" s="221"/>
      <c r="IB93" s="221"/>
      <c r="IC93" s="221"/>
      <c r="ID93" s="221"/>
      <c r="IE93" s="221"/>
      <c r="IF93" s="221"/>
      <c r="IG93" s="221"/>
      <c r="IH93" s="221"/>
      <c r="II93" s="221"/>
      <c r="IJ93" s="221"/>
      <c r="IK93" s="221"/>
      <c r="IL93" s="221"/>
      <c r="IM93" s="221"/>
      <c r="IN93" s="221"/>
      <c r="IO93" s="221"/>
      <c r="IP93" s="221"/>
      <c r="IQ93" s="221"/>
      <c r="IR93" s="221"/>
      <c r="IS93" s="221"/>
      <c r="IT93" s="221"/>
      <c r="IU93" s="221"/>
      <c r="IV93" s="221"/>
      <c r="IW93" s="221"/>
      <c r="IX93" s="221"/>
      <c r="IY93" s="221"/>
      <c r="IZ93" s="221"/>
      <c r="JA93" s="221"/>
      <c r="JB93" s="221"/>
      <c r="JC93" s="221"/>
      <c r="JD93" s="221"/>
      <c r="JE93" s="221"/>
      <c r="JF93" s="221"/>
      <c r="JG93" s="221"/>
      <c r="JH93" s="221"/>
      <c r="JI93" s="221"/>
      <c r="JJ93" s="221"/>
      <c r="JK93" s="221"/>
      <c r="JL93" s="221"/>
      <c r="JM93" s="221"/>
      <c r="JN93" s="221"/>
      <c r="JO93" s="221"/>
      <c r="JP93" s="221"/>
      <c r="JQ93" s="221"/>
    </row>
    <row r="94" spans="1:277" ht="20" customHeight="1" outlineLevel="1">
      <c r="A94" s="485">
        <v>1902046</v>
      </c>
      <c r="B94" s="25">
        <v>42059</v>
      </c>
      <c r="C94" s="26" t="s">
        <v>67</v>
      </c>
      <c r="D94" s="26" t="s">
        <v>45</v>
      </c>
      <c r="E94" s="533" t="s">
        <v>60</v>
      </c>
      <c r="F94" s="519" t="s">
        <v>47</v>
      </c>
      <c r="G94" s="48" t="s">
        <v>47</v>
      </c>
      <c r="H94" s="291" t="s">
        <v>191</v>
      </c>
      <c r="I94" s="29" t="s">
        <v>47</v>
      </c>
      <c r="J94" s="30" t="s">
        <v>62</v>
      </c>
      <c r="K94" s="31" t="s">
        <v>66</v>
      </c>
      <c r="L94" s="50"/>
      <c r="M94" s="33"/>
      <c r="N94" s="31" t="s">
        <v>391</v>
      </c>
      <c r="O94" s="26" t="s">
        <v>392</v>
      </c>
      <c r="P94" s="559"/>
      <c r="Q94" s="290"/>
      <c r="R94" s="753">
        <v>0</v>
      </c>
      <c r="S94" s="754">
        <v>0</v>
      </c>
      <c r="T94" s="755">
        <v>0</v>
      </c>
      <c r="U94" s="757">
        <v>0</v>
      </c>
      <c r="V94" s="754">
        <v>0</v>
      </c>
      <c r="W94" s="755">
        <v>0</v>
      </c>
      <c r="X94" s="757">
        <v>0</v>
      </c>
      <c r="Y94" s="754">
        <v>0</v>
      </c>
      <c r="Z94" s="755">
        <v>1</v>
      </c>
      <c r="AA94" s="757">
        <v>0</v>
      </c>
      <c r="AB94" s="754">
        <v>0</v>
      </c>
      <c r="AC94" s="755">
        <v>1</v>
      </c>
      <c r="AD94" s="757">
        <v>0</v>
      </c>
      <c r="AE94" s="757">
        <v>0</v>
      </c>
      <c r="AF94" s="757">
        <v>0</v>
      </c>
      <c r="AG94" s="760">
        <v>0</v>
      </c>
      <c r="AH94" s="761">
        <v>1</v>
      </c>
      <c r="AI94" s="763">
        <v>0</v>
      </c>
      <c r="AJ94" s="763">
        <v>0</v>
      </c>
      <c r="AK94" s="291"/>
      <c r="AL94" s="519" t="s">
        <v>47</v>
      </c>
      <c r="AM94" s="48" t="s">
        <v>47</v>
      </c>
      <c r="AN94" s="36">
        <f>3*0.11</f>
        <v>0.33</v>
      </c>
      <c r="AO94" s="26" t="s">
        <v>47</v>
      </c>
      <c r="AP94" s="37">
        <v>0</v>
      </c>
      <c r="AQ94" s="792">
        <f t="shared" si="5"/>
        <v>-0.33</v>
      </c>
      <c r="AR94" s="828"/>
      <c r="AS94" s="812" t="s">
        <v>47</v>
      </c>
      <c r="AT94" s="31" t="s">
        <v>94</v>
      </c>
      <c r="AU94" s="38">
        <v>1</v>
      </c>
      <c r="AV94" s="26" t="s">
        <v>123</v>
      </c>
      <c r="AW94" s="39" t="s">
        <v>393</v>
      </c>
      <c r="AX94" s="36">
        <f>6*0.8</f>
        <v>4.8000000000000007</v>
      </c>
      <c r="AY94" s="26" t="s">
        <v>47</v>
      </c>
      <c r="AZ94" s="41">
        <v>0</v>
      </c>
      <c r="BA94" s="31" t="s">
        <v>47</v>
      </c>
      <c r="BB94" s="41">
        <v>0</v>
      </c>
      <c r="BC94" s="42"/>
      <c r="BD94" s="42"/>
      <c r="BE94" s="42"/>
      <c r="BF94" s="42"/>
      <c r="BG94" s="42"/>
      <c r="BH94" s="221"/>
      <c r="BI94" s="221"/>
      <c r="BJ94" s="221"/>
      <c r="BK94" s="221"/>
      <c r="BL94" s="221"/>
      <c r="BM94" s="221"/>
      <c r="BN94" s="221"/>
      <c r="BO94" s="221"/>
      <c r="BP94" s="221"/>
      <c r="BQ94" s="221"/>
      <c r="BR94" s="221"/>
      <c r="BS94" s="221"/>
      <c r="BT94" s="221"/>
      <c r="BU94" s="221"/>
      <c r="BV94" s="221"/>
      <c r="BW94" s="221"/>
      <c r="BX94" s="221"/>
      <c r="BY94" s="221"/>
      <c r="BZ94" s="221"/>
      <c r="CA94" s="221"/>
      <c r="CB94" s="221"/>
      <c r="CC94" s="221"/>
      <c r="CD94" s="221"/>
      <c r="CE94" s="221"/>
      <c r="CF94" s="221"/>
      <c r="CG94" s="221"/>
      <c r="CH94" s="221"/>
      <c r="CI94" s="221"/>
      <c r="CJ94" s="221"/>
      <c r="CK94" s="221"/>
      <c r="CL94" s="221"/>
      <c r="CM94" s="221"/>
      <c r="CN94" s="221"/>
      <c r="CO94" s="221"/>
      <c r="CP94" s="221"/>
      <c r="CQ94" s="221"/>
      <c r="CR94" s="221"/>
      <c r="CS94" s="221"/>
      <c r="CT94" s="221"/>
      <c r="CU94" s="221"/>
      <c r="CV94" s="221"/>
      <c r="CW94" s="221"/>
      <c r="CX94" s="221"/>
      <c r="CY94" s="221"/>
      <c r="CZ94" s="221"/>
      <c r="DA94" s="221"/>
      <c r="DB94" s="221"/>
      <c r="DC94" s="221"/>
      <c r="DD94" s="221"/>
      <c r="DE94" s="221"/>
      <c r="DF94" s="221"/>
      <c r="DG94" s="221"/>
      <c r="DH94" s="221"/>
      <c r="DI94" s="221"/>
      <c r="DJ94" s="221"/>
      <c r="DK94" s="221"/>
      <c r="DL94" s="221"/>
      <c r="DM94" s="221"/>
      <c r="DN94" s="221"/>
      <c r="DO94" s="221"/>
      <c r="DP94" s="221"/>
      <c r="DQ94" s="221"/>
      <c r="DR94" s="221"/>
      <c r="DS94" s="221"/>
      <c r="DT94" s="221"/>
      <c r="DU94" s="221"/>
      <c r="DV94" s="221"/>
      <c r="DW94" s="221"/>
      <c r="DX94" s="221"/>
      <c r="DY94" s="221"/>
      <c r="DZ94" s="221"/>
      <c r="EA94" s="221"/>
      <c r="EB94" s="221"/>
      <c r="EC94" s="221"/>
      <c r="ED94" s="221"/>
      <c r="EE94" s="221"/>
      <c r="EF94" s="221"/>
      <c r="EG94" s="221"/>
      <c r="EH94" s="221"/>
      <c r="EI94" s="221"/>
      <c r="EJ94" s="221"/>
      <c r="EK94" s="221"/>
      <c r="EL94" s="221"/>
      <c r="EM94" s="221"/>
      <c r="EN94" s="221"/>
      <c r="EO94" s="221"/>
      <c r="EP94" s="221"/>
      <c r="EQ94" s="221"/>
      <c r="ER94" s="221"/>
      <c r="ES94" s="221"/>
      <c r="ET94" s="221"/>
      <c r="EU94" s="221"/>
      <c r="EV94" s="221"/>
      <c r="EW94" s="221"/>
      <c r="EX94" s="221"/>
      <c r="EY94" s="221"/>
      <c r="EZ94" s="221"/>
      <c r="FA94" s="221"/>
      <c r="FB94" s="221"/>
      <c r="FC94" s="221"/>
      <c r="FD94" s="221"/>
      <c r="FE94" s="221"/>
      <c r="FF94" s="221"/>
      <c r="FG94" s="221"/>
      <c r="FH94" s="221"/>
      <c r="FI94" s="221"/>
      <c r="FJ94" s="221"/>
      <c r="FK94" s="221"/>
      <c r="FL94" s="221"/>
      <c r="FM94" s="221"/>
      <c r="FN94" s="221"/>
      <c r="FO94" s="221"/>
      <c r="FP94" s="221"/>
      <c r="FQ94" s="221"/>
      <c r="FR94" s="221"/>
      <c r="FS94" s="221"/>
      <c r="FT94" s="221"/>
      <c r="FU94" s="221"/>
      <c r="FV94" s="221"/>
      <c r="FW94" s="221"/>
      <c r="FX94" s="221"/>
      <c r="FY94" s="221"/>
      <c r="FZ94" s="221"/>
      <c r="GA94" s="221"/>
      <c r="GB94" s="221"/>
      <c r="GC94" s="221"/>
      <c r="GD94" s="221"/>
      <c r="GE94" s="221"/>
      <c r="GF94" s="221"/>
      <c r="GG94" s="221"/>
      <c r="GH94" s="221"/>
      <c r="GI94" s="221"/>
      <c r="GJ94" s="221"/>
      <c r="GK94" s="221"/>
      <c r="GL94" s="221"/>
      <c r="GM94" s="221"/>
      <c r="GN94" s="221"/>
      <c r="GO94" s="221"/>
      <c r="GP94" s="221"/>
      <c r="GQ94" s="221"/>
      <c r="GR94" s="221"/>
      <c r="GS94" s="221"/>
      <c r="GT94" s="221"/>
      <c r="GU94" s="221"/>
      <c r="GV94" s="221"/>
      <c r="GW94" s="221"/>
      <c r="GX94" s="221"/>
      <c r="GY94" s="221"/>
      <c r="GZ94" s="221"/>
      <c r="HA94" s="221"/>
      <c r="HB94" s="221"/>
      <c r="HC94" s="221"/>
      <c r="HD94" s="221"/>
      <c r="HE94" s="221"/>
      <c r="HF94" s="221"/>
      <c r="HG94" s="221"/>
      <c r="HH94" s="221"/>
      <c r="HI94" s="221"/>
      <c r="HJ94" s="221"/>
      <c r="HK94" s="221"/>
      <c r="HL94" s="221"/>
      <c r="HM94" s="221"/>
      <c r="HN94" s="221"/>
      <c r="HO94" s="221"/>
      <c r="HP94" s="221"/>
      <c r="HQ94" s="221"/>
      <c r="HR94" s="221"/>
      <c r="HS94" s="221"/>
      <c r="HT94" s="221"/>
      <c r="HU94" s="221"/>
      <c r="HV94" s="221"/>
      <c r="HW94" s="221"/>
      <c r="HX94" s="221"/>
      <c r="HY94" s="221"/>
      <c r="HZ94" s="221"/>
      <c r="IA94" s="221"/>
      <c r="IB94" s="221"/>
      <c r="IC94" s="221"/>
      <c r="ID94" s="221"/>
      <c r="IE94" s="221"/>
      <c r="IF94" s="221"/>
      <c r="IG94" s="221"/>
      <c r="IH94" s="221"/>
      <c r="II94" s="221"/>
      <c r="IJ94" s="221"/>
      <c r="IK94" s="221"/>
      <c r="IL94" s="221"/>
      <c r="IM94" s="221"/>
      <c r="IN94" s="221"/>
      <c r="IO94" s="221"/>
      <c r="IP94" s="221"/>
      <c r="IQ94" s="221"/>
      <c r="IR94" s="221"/>
      <c r="IS94" s="221"/>
      <c r="IT94" s="221"/>
      <c r="IU94" s="221"/>
      <c r="IV94" s="221"/>
      <c r="IW94" s="221"/>
      <c r="IX94" s="221"/>
      <c r="IY94" s="221"/>
      <c r="IZ94" s="221"/>
      <c r="JA94" s="221"/>
      <c r="JB94" s="221"/>
      <c r="JC94" s="221"/>
      <c r="JD94" s="221"/>
      <c r="JE94" s="221"/>
      <c r="JF94" s="221"/>
      <c r="JG94" s="221"/>
      <c r="JH94" s="221"/>
      <c r="JI94" s="221"/>
      <c r="JJ94" s="221"/>
      <c r="JK94" s="221"/>
      <c r="JL94" s="221"/>
      <c r="JM94" s="221"/>
      <c r="JN94" s="221"/>
      <c r="JO94" s="221"/>
      <c r="JP94" s="221"/>
      <c r="JQ94" s="221"/>
    </row>
    <row r="95" spans="1:277" ht="20.25" customHeight="1" outlineLevel="1">
      <c r="A95" s="485">
        <v>1902047</v>
      </c>
      <c r="B95" s="25">
        <v>42060</v>
      </c>
      <c r="C95" s="26" t="s">
        <v>44</v>
      </c>
      <c r="D95" s="26" t="s">
        <v>73</v>
      </c>
      <c r="E95" s="533" t="s">
        <v>101</v>
      </c>
      <c r="F95" s="519" t="s">
        <v>47</v>
      </c>
      <c r="G95" s="48" t="s">
        <v>394</v>
      </c>
      <c r="H95" s="291" t="s">
        <v>191</v>
      </c>
      <c r="I95" s="49">
        <v>190934</v>
      </c>
      <c r="J95" s="30" t="s">
        <v>62</v>
      </c>
      <c r="K95" s="31" t="s">
        <v>50</v>
      </c>
      <c r="L95" s="86">
        <v>157709979</v>
      </c>
      <c r="M95" s="33">
        <v>42073</v>
      </c>
      <c r="N95" s="31" t="s">
        <v>395</v>
      </c>
      <c r="O95" s="26" t="s">
        <v>104</v>
      </c>
      <c r="P95" s="559"/>
      <c r="Q95" s="290"/>
      <c r="R95" s="753">
        <v>0</v>
      </c>
      <c r="S95" s="754">
        <v>0</v>
      </c>
      <c r="T95" s="755">
        <v>0</v>
      </c>
      <c r="U95" s="757">
        <v>2</v>
      </c>
      <c r="V95" s="754">
        <v>0</v>
      </c>
      <c r="W95" s="755">
        <v>0</v>
      </c>
      <c r="X95" s="757">
        <v>0</v>
      </c>
      <c r="Y95" s="754">
        <v>0</v>
      </c>
      <c r="Z95" s="755">
        <v>0</v>
      </c>
      <c r="AA95" s="757">
        <v>0</v>
      </c>
      <c r="AB95" s="754">
        <v>0</v>
      </c>
      <c r="AC95" s="755">
        <v>0</v>
      </c>
      <c r="AD95" s="757">
        <v>0</v>
      </c>
      <c r="AE95" s="757">
        <v>0</v>
      </c>
      <c r="AF95" s="757">
        <v>0</v>
      </c>
      <c r="AG95" s="760">
        <v>0</v>
      </c>
      <c r="AH95" s="761">
        <v>0</v>
      </c>
      <c r="AI95" s="763">
        <v>0</v>
      </c>
      <c r="AJ95" s="763">
        <v>0</v>
      </c>
      <c r="AK95" s="291"/>
      <c r="AL95" s="519" t="s">
        <v>396</v>
      </c>
      <c r="AM95" s="51">
        <v>190578</v>
      </c>
      <c r="AN95" s="36">
        <v>127.2</v>
      </c>
      <c r="AO95" s="26" t="s">
        <v>397</v>
      </c>
      <c r="AP95" s="37">
        <v>227.37</v>
      </c>
      <c r="AQ95" s="792">
        <f t="shared" si="5"/>
        <v>100.17</v>
      </c>
      <c r="AR95" s="828"/>
      <c r="AS95" s="812">
        <v>42083</v>
      </c>
      <c r="AT95" s="31" t="s">
        <v>57</v>
      </c>
      <c r="AU95" s="38">
        <v>1</v>
      </c>
      <c r="AV95" s="26" t="s">
        <v>171</v>
      </c>
      <c r="AW95" s="46">
        <v>3</v>
      </c>
      <c r="AX95" s="36">
        <v>22</v>
      </c>
      <c r="AY95" s="38">
        <v>12564364</v>
      </c>
      <c r="AZ95" s="41">
        <v>18.04</v>
      </c>
      <c r="BA95" s="31" t="s">
        <v>47</v>
      </c>
      <c r="BB95" s="41">
        <v>0</v>
      </c>
      <c r="BC95" s="42"/>
      <c r="BD95" s="42"/>
      <c r="BE95" s="42"/>
      <c r="BF95" s="42"/>
      <c r="BG95" s="42"/>
      <c r="BH95" s="221"/>
      <c r="BI95" s="221"/>
      <c r="BJ95" s="221"/>
      <c r="BK95" s="221"/>
      <c r="BL95" s="221"/>
      <c r="BM95" s="221"/>
      <c r="BN95" s="221"/>
      <c r="BO95" s="221"/>
      <c r="BP95" s="221"/>
      <c r="BQ95" s="221"/>
      <c r="BR95" s="221"/>
      <c r="BS95" s="221"/>
      <c r="BT95" s="221"/>
      <c r="BU95" s="221"/>
      <c r="BV95" s="221"/>
      <c r="BW95" s="221"/>
      <c r="BX95" s="221"/>
      <c r="BY95" s="221"/>
      <c r="BZ95" s="221"/>
      <c r="CA95" s="221"/>
      <c r="CB95" s="221"/>
      <c r="CC95" s="221"/>
      <c r="CD95" s="221"/>
      <c r="CE95" s="221"/>
      <c r="CF95" s="221"/>
      <c r="CG95" s="221"/>
      <c r="CH95" s="221"/>
      <c r="CI95" s="221"/>
      <c r="CJ95" s="221"/>
      <c r="CK95" s="221"/>
      <c r="CL95" s="221"/>
      <c r="CM95" s="221"/>
      <c r="CN95" s="221"/>
      <c r="CO95" s="221"/>
      <c r="CP95" s="221"/>
      <c r="CQ95" s="221"/>
      <c r="CR95" s="221"/>
      <c r="CS95" s="221"/>
      <c r="CT95" s="221"/>
      <c r="CU95" s="221"/>
      <c r="CV95" s="221"/>
      <c r="CW95" s="221"/>
      <c r="CX95" s="221"/>
      <c r="CY95" s="221"/>
      <c r="CZ95" s="221"/>
      <c r="DA95" s="221"/>
      <c r="DB95" s="221"/>
      <c r="DC95" s="221"/>
      <c r="DD95" s="221"/>
      <c r="DE95" s="221"/>
      <c r="DF95" s="221"/>
      <c r="DG95" s="221"/>
      <c r="DH95" s="221"/>
      <c r="DI95" s="221"/>
      <c r="DJ95" s="221"/>
      <c r="DK95" s="221"/>
      <c r="DL95" s="221"/>
      <c r="DM95" s="221"/>
      <c r="DN95" s="221"/>
      <c r="DO95" s="221"/>
      <c r="DP95" s="221"/>
      <c r="DQ95" s="221"/>
      <c r="DR95" s="221"/>
      <c r="DS95" s="221"/>
      <c r="DT95" s="221"/>
      <c r="DU95" s="221"/>
      <c r="DV95" s="221"/>
      <c r="DW95" s="221"/>
      <c r="DX95" s="221"/>
      <c r="DY95" s="221"/>
      <c r="DZ95" s="221"/>
      <c r="EA95" s="221"/>
      <c r="EB95" s="221"/>
      <c r="EC95" s="221"/>
      <c r="ED95" s="221"/>
      <c r="EE95" s="221"/>
      <c r="EF95" s="221"/>
      <c r="EG95" s="221"/>
      <c r="EH95" s="221"/>
      <c r="EI95" s="221"/>
      <c r="EJ95" s="221"/>
      <c r="EK95" s="221"/>
      <c r="EL95" s="221"/>
      <c r="EM95" s="221"/>
      <c r="EN95" s="221"/>
      <c r="EO95" s="221"/>
      <c r="EP95" s="221"/>
      <c r="EQ95" s="221"/>
      <c r="ER95" s="221"/>
      <c r="ES95" s="221"/>
      <c r="ET95" s="221"/>
      <c r="EU95" s="221"/>
      <c r="EV95" s="221"/>
      <c r="EW95" s="221"/>
      <c r="EX95" s="221"/>
      <c r="EY95" s="221"/>
      <c r="EZ95" s="221"/>
      <c r="FA95" s="221"/>
      <c r="FB95" s="221"/>
      <c r="FC95" s="221"/>
      <c r="FD95" s="221"/>
      <c r="FE95" s="221"/>
      <c r="FF95" s="221"/>
      <c r="FG95" s="221"/>
      <c r="FH95" s="221"/>
      <c r="FI95" s="221"/>
      <c r="FJ95" s="221"/>
      <c r="FK95" s="221"/>
      <c r="FL95" s="221"/>
      <c r="FM95" s="221"/>
      <c r="FN95" s="221"/>
      <c r="FO95" s="221"/>
      <c r="FP95" s="221"/>
      <c r="FQ95" s="221"/>
      <c r="FR95" s="221"/>
      <c r="FS95" s="221"/>
      <c r="FT95" s="221"/>
      <c r="FU95" s="221"/>
      <c r="FV95" s="221"/>
      <c r="FW95" s="221"/>
      <c r="FX95" s="221"/>
      <c r="FY95" s="221"/>
      <c r="FZ95" s="221"/>
      <c r="GA95" s="221"/>
      <c r="GB95" s="221"/>
      <c r="GC95" s="221"/>
      <c r="GD95" s="221"/>
      <c r="GE95" s="221"/>
      <c r="GF95" s="221"/>
      <c r="GG95" s="221"/>
      <c r="GH95" s="221"/>
      <c r="GI95" s="221"/>
      <c r="GJ95" s="221"/>
      <c r="GK95" s="221"/>
      <c r="GL95" s="221"/>
      <c r="GM95" s="221"/>
      <c r="GN95" s="221"/>
      <c r="GO95" s="221"/>
      <c r="GP95" s="221"/>
      <c r="GQ95" s="221"/>
      <c r="GR95" s="221"/>
      <c r="GS95" s="221"/>
      <c r="GT95" s="221"/>
      <c r="GU95" s="221"/>
      <c r="GV95" s="221"/>
      <c r="GW95" s="221"/>
      <c r="GX95" s="221"/>
      <c r="GY95" s="221"/>
      <c r="GZ95" s="221"/>
      <c r="HA95" s="221"/>
      <c r="HB95" s="221"/>
      <c r="HC95" s="221"/>
      <c r="HD95" s="221"/>
      <c r="HE95" s="221"/>
      <c r="HF95" s="221"/>
      <c r="HG95" s="221"/>
      <c r="HH95" s="221"/>
      <c r="HI95" s="221"/>
      <c r="HJ95" s="221"/>
      <c r="HK95" s="221"/>
      <c r="HL95" s="221"/>
      <c r="HM95" s="221"/>
      <c r="HN95" s="221"/>
      <c r="HO95" s="221"/>
      <c r="HP95" s="221"/>
      <c r="HQ95" s="221"/>
      <c r="HR95" s="221"/>
      <c r="HS95" s="221"/>
      <c r="HT95" s="221"/>
      <c r="HU95" s="221"/>
      <c r="HV95" s="221"/>
      <c r="HW95" s="221"/>
      <c r="HX95" s="221"/>
      <c r="HY95" s="221"/>
      <c r="HZ95" s="221"/>
      <c r="IA95" s="221"/>
      <c r="IB95" s="221"/>
      <c r="IC95" s="221"/>
      <c r="ID95" s="221"/>
      <c r="IE95" s="221"/>
      <c r="IF95" s="221"/>
      <c r="IG95" s="221"/>
      <c r="IH95" s="221"/>
      <c r="II95" s="221"/>
      <c r="IJ95" s="221"/>
      <c r="IK95" s="221"/>
      <c r="IL95" s="221"/>
      <c r="IM95" s="221"/>
      <c r="IN95" s="221"/>
      <c r="IO95" s="221"/>
      <c r="IP95" s="221"/>
      <c r="IQ95" s="221"/>
      <c r="IR95" s="221"/>
      <c r="IS95" s="221"/>
      <c r="IT95" s="221"/>
      <c r="IU95" s="221"/>
      <c r="IV95" s="221"/>
      <c r="IW95" s="221"/>
      <c r="IX95" s="221"/>
      <c r="IY95" s="221"/>
      <c r="IZ95" s="221"/>
      <c r="JA95" s="221"/>
      <c r="JB95" s="221"/>
      <c r="JC95" s="221"/>
      <c r="JD95" s="221"/>
      <c r="JE95" s="221"/>
      <c r="JF95" s="221"/>
      <c r="JG95" s="221"/>
      <c r="JH95" s="221"/>
      <c r="JI95" s="221"/>
      <c r="JJ95" s="221"/>
      <c r="JK95" s="221"/>
      <c r="JL95" s="221"/>
      <c r="JM95" s="221"/>
      <c r="JN95" s="221"/>
      <c r="JO95" s="221"/>
      <c r="JP95" s="221"/>
      <c r="JQ95" s="221"/>
    </row>
    <row r="96" spans="1:277" ht="21.75" customHeight="1" outlineLevel="1">
      <c r="A96" s="487">
        <v>1902048</v>
      </c>
      <c r="B96" s="503">
        <v>42060</v>
      </c>
      <c r="C96" s="279" t="s">
        <v>59</v>
      </c>
      <c r="D96" s="279" t="s">
        <v>47</v>
      </c>
      <c r="E96" s="537" t="s">
        <v>60</v>
      </c>
      <c r="F96" s="522" t="s">
        <v>47</v>
      </c>
      <c r="G96" s="504" t="s">
        <v>398</v>
      </c>
      <c r="H96" s="291" t="s">
        <v>191</v>
      </c>
      <c r="I96" s="505">
        <v>190811</v>
      </c>
      <c r="J96" s="271" t="s">
        <v>62</v>
      </c>
      <c r="K96" s="272" t="s">
        <v>50</v>
      </c>
      <c r="L96" s="506">
        <v>155804209</v>
      </c>
      <c r="M96" s="274">
        <v>42062</v>
      </c>
      <c r="N96" s="272" t="s">
        <v>59</v>
      </c>
      <c r="O96" s="279" t="s">
        <v>399</v>
      </c>
      <c r="P96" s="563"/>
      <c r="Q96" s="295"/>
      <c r="R96" s="779">
        <v>0</v>
      </c>
      <c r="S96" s="780">
        <v>0</v>
      </c>
      <c r="T96" s="781">
        <v>0</v>
      </c>
      <c r="U96" s="782">
        <v>0</v>
      </c>
      <c r="V96" s="780">
        <v>0</v>
      </c>
      <c r="W96" s="781">
        <v>0</v>
      </c>
      <c r="X96" s="782">
        <v>0</v>
      </c>
      <c r="Y96" s="780">
        <v>0</v>
      </c>
      <c r="Z96" s="781">
        <v>0</v>
      </c>
      <c r="AA96" s="782">
        <v>0</v>
      </c>
      <c r="AB96" s="780">
        <v>0</v>
      </c>
      <c r="AC96" s="781">
        <v>0</v>
      </c>
      <c r="AD96" s="782">
        <v>0</v>
      </c>
      <c r="AE96" s="757">
        <v>0</v>
      </c>
      <c r="AF96" s="757">
        <v>0</v>
      </c>
      <c r="AG96" s="783">
        <v>0</v>
      </c>
      <c r="AH96" s="784">
        <v>10</v>
      </c>
      <c r="AI96" s="785">
        <v>0</v>
      </c>
      <c r="AJ96" s="785">
        <v>0</v>
      </c>
      <c r="AK96" s="786"/>
      <c r="AL96" s="522" t="s">
        <v>47</v>
      </c>
      <c r="AM96" s="507">
        <v>190509</v>
      </c>
      <c r="AN96" s="278">
        <v>155</v>
      </c>
      <c r="AO96" s="279" t="s">
        <v>47</v>
      </c>
      <c r="AP96" s="280">
        <v>0</v>
      </c>
      <c r="AQ96" s="795">
        <f t="shared" si="5"/>
        <v>-155</v>
      </c>
      <c r="AR96" s="828"/>
      <c r="AS96" s="816" t="s">
        <v>47</v>
      </c>
      <c r="AT96" s="272" t="s">
        <v>66</v>
      </c>
      <c r="AU96" s="304"/>
      <c r="AV96" s="304"/>
      <c r="AW96" s="282" t="s">
        <v>400</v>
      </c>
      <c r="AX96" s="278">
        <v>0</v>
      </c>
      <c r="AY96" s="281">
        <v>12543094</v>
      </c>
      <c r="AZ96" s="283">
        <v>8.6199999999999992</v>
      </c>
      <c r="BA96" s="272" t="s">
        <v>47</v>
      </c>
      <c r="BB96" s="283">
        <v>0</v>
      </c>
      <c r="BC96" s="284"/>
      <c r="BD96" s="284"/>
      <c r="BE96" s="284"/>
      <c r="BF96" s="284"/>
      <c r="BG96" s="284"/>
      <c r="BH96" s="221"/>
      <c r="BI96" s="221"/>
      <c r="BJ96" s="221"/>
      <c r="BK96" s="221"/>
      <c r="BL96" s="221"/>
      <c r="BM96" s="221"/>
      <c r="BN96" s="221"/>
      <c r="BO96" s="221"/>
      <c r="BP96" s="221"/>
      <c r="BQ96" s="221"/>
      <c r="BR96" s="221"/>
      <c r="BS96" s="221"/>
      <c r="BT96" s="221"/>
      <c r="BU96" s="221"/>
      <c r="BV96" s="221"/>
      <c r="BW96" s="221"/>
      <c r="BX96" s="221"/>
      <c r="BY96" s="221"/>
      <c r="BZ96" s="221"/>
      <c r="CA96" s="221"/>
      <c r="CB96" s="221"/>
      <c r="CC96" s="221"/>
      <c r="CD96" s="221"/>
      <c r="CE96" s="221"/>
      <c r="CF96" s="221"/>
      <c r="CG96" s="221"/>
      <c r="CH96" s="221"/>
      <c r="CI96" s="221"/>
      <c r="CJ96" s="221"/>
      <c r="CK96" s="221"/>
      <c r="CL96" s="221"/>
      <c r="CM96" s="221"/>
      <c r="CN96" s="221"/>
      <c r="CO96" s="221"/>
      <c r="CP96" s="221"/>
      <c r="CQ96" s="221"/>
      <c r="CR96" s="221"/>
      <c r="CS96" s="221"/>
      <c r="CT96" s="221"/>
      <c r="CU96" s="221"/>
      <c r="CV96" s="221"/>
      <c r="CW96" s="221"/>
      <c r="CX96" s="221"/>
      <c r="CY96" s="221"/>
      <c r="CZ96" s="221"/>
      <c r="DA96" s="221"/>
      <c r="DB96" s="221"/>
      <c r="DC96" s="221"/>
      <c r="DD96" s="221"/>
      <c r="DE96" s="221"/>
      <c r="DF96" s="221"/>
      <c r="DG96" s="221"/>
      <c r="DH96" s="221"/>
      <c r="DI96" s="221"/>
      <c r="DJ96" s="221"/>
      <c r="DK96" s="221"/>
      <c r="DL96" s="221"/>
      <c r="DM96" s="221"/>
      <c r="DN96" s="221"/>
      <c r="DO96" s="221"/>
      <c r="DP96" s="221"/>
      <c r="DQ96" s="221"/>
      <c r="DR96" s="221"/>
      <c r="DS96" s="221"/>
      <c r="DT96" s="221"/>
      <c r="DU96" s="221"/>
      <c r="DV96" s="221"/>
      <c r="DW96" s="221"/>
      <c r="DX96" s="221"/>
      <c r="DY96" s="221"/>
      <c r="DZ96" s="221"/>
      <c r="EA96" s="221"/>
      <c r="EB96" s="221"/>
      <c r="EC96" s="221"/>
      <c r="ED96" s="221"/>
      <c r="EE96" s="221"/>
      <c r="EF96" s="221"/>
      <c r="EG96" s="221"/>
      <c r="EH96" s="221"/>
      <c r="EI96" s="221"/>
      <c r="EJ96" s="221"/>
      <c r="EK96" s="221"/>
      <c r="EL96" s="221"/>
      <c r="EM96" s="221"/>
      <c r="EN96" s="221"/>
      <c r="EO96" s="221"/>
      <c r="EP96" s="221"/>
      <c r="EQ96" s="221"/>
      <c r="ER96" s="221"/>
      <c r="ES96" s="221"/>
      <c r="ET96" s="221"/>
      <c r="EU96" s="221"/>
      <c r="EV96" s="221"/>
      <c r="EW96" s="221"/>
      <c r="EX96" s="221"/>
      <c r="EY96" s="221"/>
      <c r="EZ96" s="221"/>
      <c r="FA96" s="221"/>
      <c r="FB96" s="221"/>
      <c r="FC96" s="221"/>
      <c r="FD96" s="221"/>
      <c r="FE96" s="221"/>
      <c r="FF96" s="221"/>
      <c r="FG96" s="221"/>
      <c r="FH96" s="221"/>
      <c r="FI96" s="221"/>
      <c r="FJ96" s="221"/>
      <c r="FK96" s="221"/>
      <c r="FL96" s="221"/>
      <c r="FM96" s="221"/>
      <c r="FN96" s="221"/>
      <c r="FO96" s="221"/>
      <c r="FP96" s="221"/>
      <c r="FQ96" s="221"/>
      <c r="FR96" s="221"/>
      <c r="FS96" s="221"/>
      <c r="FT96" s="221"/>
      <c r="FU96" s="221"/>
      <c r="FV96" s="221"/>
      <c r="FW96" s="221"/>
      <c r="FX96" s="221"/>
      <c r="FY96" s="221"/>
      <c r="FZ96" s="221"/>
      <c r="GA96" s="221"/>
      <c r="GB96" s="221"/>
      <c r="GC96" s="221"/>
      <c r="GD96" s="221"/>
      <c r="GE96" s="221"/>
      <c r="GF96" s="221"/>
      <c r="GG96" s="221"/>
      <c r="GH96" s="221"/>
      <c r="GI96" s="221"/>
      <c r="GJ96" s="221"/>
      <c r="GK96" s="221"/>
      <c r="GL96" s="221"/>
      <c r="GM96" s="221"/>
      <c r="GN96" s="221"/>
      <c r="GO96" s="221"/>
      <c r="GP96" s="221"/>
      <c r="GQ96" s="221"/>
      <c r="GR96" s="221"/>
      <c r="GS96" s="221"/>
      <c r="GT96" s="221"/>
      <c r="GU96" s="221"/>
      <c r="GV96" s="221"/>
      <c r="GW96" s="221"/>
      <c r="GX96" s="221"/>
      <c r="GY96" s="221"/>
      <c r="GZ96" s="221"/>
      <c r="HA96" s="221"/>
      <c r="HB96" s="221"/>
      <c r="HC96" s="221"/>
      <c r="HD96" s="221"/>
      <c r="HE96" s="221"/>
      <c r="HF96" s="221"/>
      <c r="HG96" s="221"/>
      <c r="HH96" s="221"/>
      <c r="HI96" s="221"/>
      <c r="HJ96" s="221"/>
      <c r="HK96" s="221"/>
      <c r="HL96" s="221"/>
      <c r="HM96" s="221"/>
      <c r="HN96" s="221"/>
      <c r="HO96" s="221"/>
      <c r="HP96" s="221"/>
      <c r="HQ96" s="221"/>
      <c r="HR96" s="221"/>
      <c r="HS96" s="221"/>
      <c r="HT96" s="221"/>
      <c r="HU96" s="221"/>
      <c r="HV96" s="221"/>
      <c r="HW96" s="221"/>
      <c r="HX96" s="221"/>
      <c r="HY96" s="221"/>
      <c r="HZ96" s="221"/>
      <c r="IA96" s="221"/>
      <c r="IB96" s="221"/>
      <c r="IC96" s="221"/>
      <c r="ID96" s="221"/>
      <c r="IE96" s="221"/>
      <c r="IF96" s="221"/>
      <c r="IG96" s="221"/>
      <c r="IH96" s="221"/>
      <c r="II96" s="221"/>
      <c r="IJ96" s="221"/>
      <c r="IK96" s="221"/>
      <c r="IL96" s="221"/>
      <c r="IM96" s="221"/>
      <c r="IN96" s="221"/>
      <c r="IO96" s="221"/>
      <c r="IP96" s="221"/>
      <c r="IQ96" s="221"/>
      <c r="IR96" s="221"/>
      <c r="IS96" s="221"/>
      <c r="IT96" s="221"/>
      <c r="IU96" s="221"/>
      <c r="IV96" s="221"/>
      <c r="IW96" s="221"/>
      <c r="IX96" s="221"/>
      <c r="IY96" s="221"/>
      <c r="IZ96" s="221"/>
      <c r="JA96" s="221"/>
      <c r="JB96" s="221"/>
      <c r="JC96" s="221"/>
      <c r="JD96" s="221"/>
      <c r="JE96" s="221"/>
      <c r="JF96" s="221"/>
      <c r="JG96" s="221"/>
      <c r="JH96" s="221"/>
      <c r="JI96" s="221"/>
      <c r="JJ96" s="221"/>
      <c r="JK96" s="221"/>
      <c r="JL96" s="221"/>
      <c r="JM96" s="221"/>
      <c r="JN96" s="221"/>
      <c r="JO96" s="221"/>
      <c r="JP96" s="221"/>
      <c r="JQ96" s="221"/>
    </row>
    <row r="97" spans="1:277" ht="20" customHeight="1" outlineLevel="1">
      <c r="A97" s="485">
        <v>1902049</v>
      </c>
      <c r="B97" s="503">
        <v>42060</v>
      </c>
      <c r="C97" s="26" t="s">
        <v>1523</v>
      </c>
      <c r="D97" s="26" t="s">
        <v>1259</v>
      </c>
      <c r="E97" s="533" t="s">
        <v>154</v>
      </c>
      <c r="F97" s="519" t="s">
        <v>47</v>
      </c>
      <c r="G97" s="406" t="s">
        <v>1562</v>
      </c>
      <c r="H97" s="291" t="s">
        <v>191</v>
      </c>
      <c r="I97" s="29"/>
      <c r="J97" s="271" t="s">
        <v>62</v>
      </c>
      <c r="K97" s="272" t="s">
        <v>50</v>
      </c>
      <c r="L97" s="44"/>
      <c r="M97" s="33"/>
      <c r="N97" s="313" t="s">
        <v>1112</v>
      </c>
      <c r="O97" s="164" t="s">
        <v>1870</v>
      </c>
      <c r="P97" s="559"/>
      <c r="Q97" s="290"/>
      <c r="R97" s="779">
        <v>0</v>
      </c>
      <c r="S97" s="780">
        <v>0</v>
      </c>
      <c r="T97" s="781">
        <v>0</v>
      </c>
      <c r="U97" s="782">
        <v>0</v>
      </c>
      <c r="V97" s="780">
        <v>0</v>
      </c>
      <c r="W97" s="781">
        <v>0</v>
      </c>
      <c r="X97" s="782">
        <v>0</v>
      </c>
      <c r="Y97" s="780">
        <v>0</v>
      </c>
      <c r="Z97" s="781">
        <v>0</v>
      </c>
      <c r="AA97" s="782">
        <v>0</v>
      </c>
      <c r="AB97" s="780">
        <v>0</v>
      </c>
      <c r="AC97" s="781">
        <v>0</v>
      </c>
      <c r="AD97" s="782">
        <v>0</v>
      </c>
      <c r="AE97" s="757">
        <v>0</v>
      </c>
      <c r="AF97" s="757">
        <v>0</v>
      </c>
      <c r="AG97" s="776">
        <v>1</v>
      </c>
      <c r="AH97" s="777">
        <v>0</v>
      </c>
      <c r="AI97" s="778">
        <v>0</v>
      </c>
      <c r="AJ97" s="778">
        <v>0</v>
      </c>
      <c r="AK97" s="511"/>
      <c r="AL97" s="524" t="s">
        <v>47</v>
      </c>
      <c r="AM97" s="769" t="s">
        <v>411</v>
      </c>
      <c r="AN97" s="36">
        <f>1*PRODUCTS!C3</f>
        <v>63.99</v>
      </c>
      <c r="AO97" s="252" t="s">
        <v>47</v>
      </c>
      <c r="AP97" s="37">
        <v>0</v>
      </c>
      <c r="AQ97" s="795">
        <f t="shared" si="5"/>
        <v>-63.99</v>
      </c>
      <c r="AR97" s="828"/>
      <c r="AS97" s="812" t="s">
        <v>47</v>
      </c>
      <c r="AT97" s="256" t="s">
        <v>1254</v>
      </c>
      <c r="AU97" s="40">
        <v>1</v>
      </c>
      <c r="AV97" s="258" t="s">
        <v>1508</v>
      </c>
      <c r="AW97" s="46">
        <v>5</v>
      </c>
      <c r="AX97" s="36">
        <v>0</v>
      </c>
      <c r="AY97" s="258" t="s">
        <v>118</v>
      </c>
      <c r="AZ97" s="41">
        <v>0</v>
      </c>
      <c r="BA97" s="257" t="s">
        <v>47</v>
      </c>
      <c r="BB97" s="41">
        <v>0</v>
      </c>
      <c r="BC97" s="42"/>
      <c r="BD97" s="42"/>
      <c r="BE97" s="42"/>
      <c r="BF97" s="42"/>
      <c r="BG97" s="42"/>
    </row>
    <row r="98" spans="1:277" ht="20" customHeight="1" outlineLevel="1">
      <c r="A98" s="487">
        <v>1902050</v>
      </c>
      <c r="B98" s="503">
        <v>42060</v>
      </c>
      <c r="C98" s="26" t="s">
        <v>1523</v>
      </c>
      <c r="D98" s="26" t="s">
        <v>1259</v>
      </c>
      <c r="E98" s="533" t="s">
        <v>154</v>
      </c>
      <c r="F98" s="519" t="s">
        <v>47</v>
      </c>
      <c r="G98" s="406" t="s">
        <v>1563</v>
      </c>
      <c r="H98" s="291" t="s">
        <v>191</v>
      </c>
      <c r="I98" s="29"/>
      <c r="J98" s="271" t="s">
        <v>62</v>
      </c>
      <c r="K98" s="272" t="s">
        <v>50</v>
      </c>
      <c r="L98" s="32"/>
      <c r="M98" s="33"/>
      <c r="N98" s="164" t="s">
        <v>1115</v>
      </c>
      <c r="O98" s="164" t="s">
        <v>1870</v>
      </c>
      <c r="P98" s="559"/>
      <c r="Q98" s="290"/>
      <c r="R98" s="779">
        <v>0</v>
      </c>
      <c r="S98" s="780">
        <v>0</v>
      </c>
      <c r="T98" s="781">
        <v>0</v>
      </c>
      <c r="U98" s="782">
        <v>0</v>
      </c>
      <c r="V98" s="780">
        <v>0</v>
      </c>
      <c r="W98" s="781">
        <v>0</v>
      </c>
      <c r="X98" s="782">
        <v>0</v>
      </c>
      <c r="Y98" s="780">
        <v>0</v>
      </c>
      <c r="Z98" s="781">
        <v>0</v>
      </c>
      <c r="AA98" s="782">
        <v>0</v>
      </c>
      <c r="AB98" s="780">
        <v>0</v>
      </c>
      <c r="AC98" s="781">
        <v>0</v>
      </c>
      <c r="AD98" s="782">
        <v>0</v>
      </c>
      <c r="AE98" s="757">
        <v>0</v>
      </c>
      <c r="AF98" s="757">
        <v>0</v>
      </c>
      <c r="AG98" s="776">
        <v>1</v>
      </c>
      <c r="AH98" s="777">
        <v>0</v>
      </c>
      <c r="AI98" s="778">
        <v>0</v>
      </c>
      <c r="AJ98" s="778">
        <v>0</v>
      </c>
      <c r="AK98" s="291"/>
      <c r="AL98" s="524" t="s">
        <v>47</v>
      </c>
      <c r="AM98" s="769" t="s">
        <v>411</v>
      </c>
      <c r="AN98" s="36">
        <f>1*PRODUCTS!C3</f>
        <v>63.99</v>
      </c>
      <c r="AO98" s="252" t="s">
        <v>47</v>
      </c>
      <c r="AP98" s="37">
        <v>0</v>
      </c>
      <c r="AQ98" s="795">
        <f t="shared" si="5"/>
        <v>-63.99</v>
      </c>
      <c r="AR98" s="828"/>
      <c r="AS98" s="812" t="s">
        <v>47</v>
      </c>
      <c r="AT98" s="256" t="s">
        <v>1254</v>
      </c>
      <c r="AU98" s="774">
        <v>1</v>
      </c>
      <c r="AV98" s="258" t="s">
        <v>1508</v>
      </c>
      <c r="AW98" s="46">
        <v>5</v>
      </c>
      <c r="AX98" s="36">
        <v>0</v>
      </c>
      <c r="AY98" s="258" t="s">
        <v>118</v>
      </c>
      <c r="AZ98" s="41">
        <v>0</v>
      </c>
      <c r="BA98" s="257" t="s">
        <v>47</v>
      </c>
      <c r="BB98" s="41">
        <v>0</v>
      </c>
      <c r="BC98" s="42"/>
      <c r="BD98" s="42"/>
      <c r="BE98" s="42"/>
      <c r="BF98" s="42"/>
      <c r="BG98" s="42"/>
    </row>
    <row r="99" spans="1:277" ht="44" customHeight="1" outlineLevel="1">
      <c r="A99" s="485">
        <v>1902051</v>
      </c>
      <c r="B99" s="503">
        <v>42060</v>
      </c>
      <c r="C99" s="26" t="s">
        <v>1523</v>
      </c>
      <c r="D99" s="26" t="s">
        <v>1259</v>
      </c>
      <c r="E99" s="533" t="s">
        <v>154</v>
      </c>
      <c r="F99" s="519" t="s">
        <v>47</v>
      </c>
      <c r="G99" s="406" t="s">
        <v>1564</v>
      </c>
      <c r="H99" s="291" t="s">
        <v>191</v>
      </c>
      <c r="I99" s="29"/>
      <c r="J99" s="271" t="s">
        <v>62</v>
      </c>
      <c r="K99" s="272" t="s">
        <v>50</v>
      </c>
      <c r="L99" s="32"/>
      <c r="M99" s="33"/>
      <c r="N99" s="313" t="s">
        <v>1344</v>
      </c>
      <c r="O99" s="164" t="s">
        <v>1870</v>
      </c>
      <c r="P99" s="559"/>
      <c r="Q99" s="290"/>
      <c r="R99" s="779">
        <v>0</v>
      </c>
      <c r="S99" s="780">
        <v>0</v>
      </c>
      <c r="T99" s="781">
        <v>0</v>
      </c>
      <c r="U99" s="782">
        <v>0</v>
      </c>
      <c r="V99" s="780">
        <v>0</v>
      </c>
      <c r="W99" s="781">
        <v>0</v>
      </c>
      <c r="X99" s="782">
        <v>0</v>
      </c>
      <c r="Y99" s="780">
        <v>0</v>
      </c>
      <c r="Z99" s="781">
        <v>0</v>
      </c>
      <c r="AA99" s="782">
        <v>0</v>
      </c>
      <c r="AB99" s="780">
        <v>0</v>
      </c>
      <c r="AC99" s="781">
        <v>0</v>
      </c>
      <c r="AD99" s="782">
        <v>0</v>
      </c>
      <c r="AE99" s="757">
        <v>0</v>
      </c>
      <c r="AF99" s="757">
        <v>0</v>
      </c>
      <c r="AG99" s="776">
        <v>1</v>
      </c>
      <c r="AH99" s="777">
        <v>0</v>
      </c>
      <c r="AI99" s="778">
        <v>0</v>
      </c>
      <c r="AJ99" s="778">
        <v>0</v>
      </c>
      <c r="AK99" s="291"/>
      <c r="AL99" s="524" t="s">
        <v>47</v>
      </c>
      <c r="AM99" s="769" t="s">
        <v>411</v>
      </c>
      <c r="AN99" s="36">
        <f>1*PRODUCTS!C3</f>
        <v>63.99</v>
      </c>
      <c r="AO99" s="252" t="s">
        <v>47</v>
      </c>
      <c r="AP99" s="37">
        <v>0</v>
      </c>
      <c r="AQ99" s="795">
        <f t="shared" si="5"/>
        <v>-63.99</v>
      </c>
      <c r="AR99" s="828"/>
      <c r="AS99" s="812" t="s">
        <v>47</v>
      </c>
      <c r="AT99" s="256" t="s">
        <v>1254</v>
      </c>
      <c r="AU99" s="774">
        <v>1</v>
      </c>
      <c r="AV99" s="258" t="s">
        <v>1508</v>
      </c>
      <c r="AW99" s="46">
        <v>5</v>
      </c>
      <c r="AX99" s="36">
        <v>0</v>
      </c>
      <c r="AY99" s="258" t="s">
        <v>118</v>
      </c>
      <c r="AZ99" s="41">
        <v>0</v>
      </c>
      <c r="BA99" s="257" t="s">
        <v>47</v>
      </c>
      <c r="BB99" s="41">
        <v>0</v>
      </c>
      <c r="BC99" s="42"/>
      <c r="BD99" s="42"/>
      <c r="BE99" s="42"/>
      <c r="BF99" s="42"/>
      <c r="BG99" s="42"/>
    </row>
    <row r="100" spans="1:277" ht="20" customHeight="1" outlineLevel="1">
      <c r="A100" s="487">
        <v>1902052</v>
      </c>
      <c r="B100" s="503">
        <v>42060</v>
      </c>
      <c r="C100" s="26" t="s">
        <v>1523</v>
      </c>
      <c r="D100" s="26" t="s">
        <v>1259</v>
      </c>
      <c r="E100" s="533" t="s">
        <v>154</v>
      </c>
      <c r="F100" s="519" t="s">
        <v>47</v>
      </c>
      <c r="G100" s="406" t="s">
        <v>1565</v>
      </c>
      <c r="H100" s="291" t="s">
        <v>191</v>
      </c>
      <c r="I100" s="261"/>
      <c r="J100" s="271" t="s">
        <v>62</v>
      </c>
      <c r="K100" s="272" t="s">
        <v>50</v>
      </c>
      <c r="L100" s="50"/>
      <c r="M100" s="33"/>
      <c r="N100" s="342" t="s">
        <v>1324</v>
      </c>
      <c r="O100" s="164" t="s">
        <v>1870</v>
      </c>
      <c r="P100" s="559"/>
      <c r="Q100" s="290"/>
      <c r="R100" s="779">
        <v>0</v>
      </c>
      <c r="S100" s="780">
        <v>0</v>
      </c>
      <c r="T100" s="781">
        <v>0</v>
      </c>
      <c r="U100" s="782">
        <v>0</v>
      </c>
      <c r="V100" s="780">
        <v>0</v>
      </c>
      <c r="W100" s="781">
        <v>0</v>
      </c>
      <c r="X100" s="782">
        <v>0</v>
      </c>
      <c r="Y100" s="780">
        <v>0</v>
      </c>
      <c r="Z100" s="781">
        <v>0</v>
      </c>
      <c r="AA100" s="782">
        <v>0</v>
      </c>
      <c r="AB100" s="780">
        <v>0</v>
      </c>
      <c r="AC100" s="781">
        <v>0</v>
      </c>
      <c r="AD100" s="782">
        <v>0</v>
      </c>
      <c r="AE100" s="757">
        <v>0</v>
      </c>
      <c r="AF100" s="757">
        <v>0</v>
      </c>
      <c r="AG100" s="776">
        <v>1</v>
      </c>
      <c r="AH100" s="777">
        <v>0</v>
      </c>
      <c r="AI100" s="778">
        <v>0</v>
      </c>
      <c r="AJ100" s="778">
        <v>0</v>
      </c>
      <c r="AK100" s="291"/>
      <c r="AL100" s="524" t="s">
        <v>47</v>
      </c>
      <c r="AM100" s="769" t="s">
        <v>411</v>
      </c>
      <c r="AN100" s="36">
        <f>1*PRODUCTS!C3</f>
        <v>63.99</v>
      </c>
      <c r="AO100" s="252" t="s">
        <v>47</v>
      </c>
      <c r="AP100" s="37">
        <v>0</v>
      </c>
      <c r="AQ100" s="795">
        <f t="shared" si="5"/>
        <v>-63.99</v>
      </c>
      <c r="AR100" s="828"/>
      <c r="AS100" s="812" t="s">
        <v>47</v>
      </c>
      <c r="AT100" s="256" t="s">
        <v>1254</v>
      </c>
      <c r="AU100" s="774">
        <v>1</v>
      </c>
      <c r="AV100" s="258" t="s">
        <v>1508</v>
      </c>
      <c r="AW100" s="46">
        <v>5</v>
      </c>
      <c r="AX100" s="36">
        <v>0</v>
      </c>
      <c r="AY100" s="258" t="s">
        <v>118</v>
      </c>
      <c r="AZ100" s="41">
        <v>0</v>
      </c>
      <c r="BA100" s="257" t="s">
        <v>47</v>
      </c>
      <c r="BB100" s="41">
        <v>0</v>
      </c>
      <c r="BC100" s="42"/>
      <c r="BD100" s="42"/>
      <c r="BE100" s="42"/>
      <c r="BF100" s="42"/>
      <c r="BG100" s="42"/>
    </row>
    <row r="101" spans="1:277" ht="32" customHeight="1" outlineLevel="1">
      <c r="A101" s="485">
        <v>1902053</v>
      </c>
      <c r="B101" s="503">
        <v>42060</v>
      </c>
      <c r="C101" s="26" t="s">
        <v>1523</v>
      </c>
      <c r="D101" s="26" t="s">
        <v>1259</v>
      </c>
      <c r="E101" s="533" t="s">
        <v>154</v>
      </c>
      <c r="F101" s="519" t="s">
        <v>47</v>
      </c>
      <c r="G101" s="406" t="s">
        <v>1566</v>
      </c>
      <c r="H101" s="291" t="s">
        <v>191</v>
      </c>
      <c r="I101" s="261"/>
      <c r="J101" s="271" t="s">
        <v>62</v>
      </c>
      <c r="K101" s="272" t="s">
        <v>50</v>
      </c>
      <c r="L101" s="50"/>
      <c r="M101" s="33"/>
      <c r="N101" s="95" t="s">
        <v>1326</v>
      </c>
      <c r="O101" s="164" t="s">
        <v>1870</v>
      </c>
      <c r="P101" s="559"/>
      <c r="Q101" s="290"/>
      <c r="R101" s="779">
        <v>0</v>
      </c>
      <c r="S101" s="780">
        <v>0</v>
      </c>
      <c r="T101" s="781">
        <v>0</v>
      </c>
      <c r="U101" s="782">
        <v>0</v>
      </c>
      <c r="V101" s="780">
        <v>0</v>
      </c>
      <c r="W101" s="781">
        <v>0</v>
      </c>
      <c r="X101" s="782">
        <v>0</v>
      </c>
      <c r="Y101" s="780">
        <v>0</v>
      </c>
      <c r="Z101" s="781">
        <v>0</v>
      </c>
      <c r="AA101" s="782">
        <v>0</v>
      </c>
      <c r="AB101" s="780">
        <v>0</v>
      </c>
      <c r="AC101" s="781">
        <v>0</v>
      </c>
      <c r="AD101" s="782">
        <v>0</v>
      </c>
      <c r="AE101" s="757">
        <v>0</v>
      </c>
      <c r="AF101" s="757">
        <v>0</v>
      </c>
      <c r="AG101" s="776">
        <v>1</v>
      </c>
      <c r="AH101" s="777">
        <v>0</v>
      </c>
      <c r="AI101" s="778">
        <v>0</v>
      </c>
      <c r="AJ101" s="778">
        <v>0</v>
      </c>
      <c r="AK101" s="291"/>
      <c r="AL101" s="524" t="s">
        <v>47</v>
      </c>
      <c r="AM101" s="769" t="s">
        <v>411</v>
      </c>
      <c r="AN101" s="36">
        <f>1*PRODUCTS!C3</f>
        <v>63.99</v>
      </c>
      <c r="AO101" s="252" t="s">
        <v>47</v>
      </c>
      <c r="AP101" s="37">
        <v>0</v>
      </c>
      <c r="AQ101" s="795">
        <f t="shared" si="5"/>
        <v>-63.99</v>
      </c>
      <c r="AR101" s="828"/>
      <c r="AS101" s="812" t="s">
        <v>47</v>
      </c>
      <c r="AT101" s="256" t="s">
        <v>1254</v>
      </c>
      <c r="AU101" s="774">
        <v>1</v>
      </c>
      <c r="AV101" s="258" t="s">
        <v>1508</v>
      </c>
      <c r="AW101" s="46">
        <v>5</v>
      </c>
      <c r="AX101" s="36">
        <v>0</v>
      </c>
      <c r="AY101" s="258" t="s">
        <v>118</v>
      </c>
      <c r="AZ101" s="41">
        <v>0</v>
      </c>
      <c r="BA101" s="257" t="s">
        <v>47</v>
      </c>
      <c r="BB101" s="41">
        <v>0</v>
      </c>
      <c r="BC101" s="42"/>
      <c r="BD101" s="42"/>
      <c r="BE101" s="42"/>
      <c r="BF101" s="42"/>
      <c r="BG101" s="42"/>
    </row>
    <row r="102" spans="1:277" ht="20.25" customHeight="1" outlineLevel="1">
      <c r="A102" s="487">
        <v>1902054</v>
      </c>
      <c r="B102" s="503">
        <v>42060</v>
      </c>
      <c r="C102" s="26" t="s">
        <v>1523</v>
      </c>
      <c r="D102" s="26" t="s">
        <v>1259</v>
      </c>
      <c r="E102" s="533" t="s">
        <v>154</v>
      </c>
      <c r="F102" s="519" t="s">
        <v>47</v>
      </c>
      <c r="G102" s="406" t="s">
        <v>1567</v>
      </c>
      <c r="H102" s="291" t="s">
        <v>191</v>
      </c>
      <c r="I102" s="49"/>
      <c r="J102" s="271" t="s">
        <v>62</v>
      </c>
      <c r="K102" s="272" t="s">
        <v>50</v>
      </c>
      <c r="L102" s="88"/>
      <c r="M102" s="33"/>
      <c r="N102" s="342" t="s">
        <v>1460</v>
      </c>
      <c r="O102" s="164" t="s">
        <v>1870</v>
      </c>
      <c r="P102" s="559"/>
      <c r="Q102" s="290"/>
      <c r="R102" s="779">
        <v>0</v>
      </c>
      <c r="S102" s="780">
        <v>0</v>
      </c>
      <c r="T102" s="781">
        <v>0</v>
      </c>
      <c r="U102" s="782">
        <v>0</v>
      </c>
      <c r="V102" s="780">
        <v>0</v>
      </c>
      <c r="W102" s="781">
        <v>0</v>
      </c>
      <c r="X102" s="782">
        <v>0</v>
      </c>
      <c r="Y102" s="780">
        <v>0</v>
      </c>
      <c r="Z102" s="781">
        <v>0</v>
      </c>
      <c r="AA102" s="782">
        <v>0</v>
      </c>
      <c r="AB102" s="780">
        <v>0</v>
      </c>
      <c r="AC102" s="781">
        <v>0</v>
      </c>
      <c r="AD102" s="782">
        <v>0</v>
      </c>
      <c r="AE102" s="757">
        <v>0</v>
      </c>
      <c r="AF102" s="757">
        <v>0</v>
      </c>
      <c r="AG102" s="776">
        <v>1</v>
      </c>
      <c r="AH102" s="777">
        <v>0</v>
      </c>
      <c r="AI102" s="778">
        <v>0</v>
      </c>
      <c r="AJ102" s="778">
        <v>0</v>
      </c>
      <c r="AK102" s="291"/>
      <c r="AL102" s="524" t="s">
        <v>47</v>
      </c>
      <c r="AM102" s="769" t="s">
        <v>411</v>
      </c>
      <c r="AN102" s="36">
        <f>1*PRODUCTS!C3</f>
        <v>63.99</v>
      </c>
      <c r="AO102" s="252" t="s">
        <v>47</v>
      </c>
      <c r="AP102" s="37">
        <v>0</v>
      </c>
      <c r="AQ102" s="795">
        <f t="shared" si="5"/>
        <v>-63.99</v>
      </c>
      <c r="AR102" s="828"/>
      <c r="AS102" s="812" t="s">
        <v>47</v>
      </c>
      <c r="AT102" s="256" t="s">
        <v>1254</v>
      </c>
      <c r="AU102" s="774">
        <v>1</v>
      </c>
      <c r="AV102" s="258" t="s">
        <v>1508</v>
      </c>
      <c r="AW102" s="46">
        <v>5</v>
      </c>
      <c r="AX102" s="36">
        <v>0</v>
      </c>
      <c r="AY102" s="258" t="s">
        <v>118</v>
      </c>
      <c r="AZ102" s="41">
        <v>0</v>
      </c>
      <c r="BA102" s="257" t="s">
        <v>47</v>
      </c>
      <c r="BB102" s="41">
        <v>0</v>
      </c>
      <c r="BC102" s="42"/>
      <c r="BD102" s="42"/>
      <c r="BE102" s="42"/>
      <c r="BF102" s="42"/>
      <c r="BG102" s="42"/>
    </row>
    <row r="103" spans="1:277" ht="20" customHeight="1" outlineLevel="1" thickBot="1">
      <c r="A103" s="485">
        <v>1902055</v>
      </c>
      <c r="B103" s="503">
        <v>42060</v>
      </c>
      <c r="C103" s="26" t="s">
        <v>1523</v>
      </c>
      <c r="D103" s="26" t="s">
        <v>1259</v>
      </c>
      <c r="E103" s="533" t="s">
        <v>154</v>
      </c>
      <c r="F103" s="519" t="s">
        <v>47</v>
      </c>
      <c r="G103" s="406" t="s">
        <v>1568</v>
      </c>
      <c r="H103" s="291" t="s">
        <v>191</v>
      </c>
      <c r="I103" s="29"/>
      <c r="J103" s="271" t="s">
        <v>62</v>
      </c>
      <c r="K103" s="272" t="s">
        <v>50</v>
      </c>
      <c r="L103" s="32"/>
      <c r="M103" s="33"/>
      <c r="N103" s="372" t="s">
        <v>1459</v>
      </c>
      <c r="O103" s="164" t="s">
        <v>1870</v>
      </c>
      <c r="P103" s="559"/>
      <c r="Q103" s="290"/>
      <c r="R103" s="779">
        <v>0</v>
      </c>
      <c r="S103" s="780">
        <v>0</v>
      </c>
      <c r="T103" s="781">
        <v>0</v>
      </c>
      <c r="U103" s="782">
        <v>0</v>
      </c>
      <c r="V103" s="780">
        <v>0</v>
      </c>
      <c r="W103" s="781">
        <v>0</v>
      </c>
      <c r="X103" s="782">
        <v>0</v>
      </c>
      <c r="Y103" s="780">
        <v>0</v>
      </c>
      <c r="Z103" s="781">
        <v>0</v>
      </c>
      <c r="AA103" s="782">
        <v>0</v>
      </c>
      <c r="AB103" s="780">
        <v>0</v>
      </c>
      <c r="AC103" s="781">
        <v>0</v>
      </c>
      <c r="AD103" s="782">
        <v>0</v>
      </c>
      <c r="AE103" s="757">
        <v>0</v>
      </c>
      <c r="AF103" s="757">
        <v>0</v>
      </c>
      <c r="AG103" s="776">
        <v>1</v>
      </c>
      <c r="AH103" s="777">
        <v>0</v>
      </c>
      <c r="AI103" s="778">
        <v>0</v>
      </c>
      <c r="AJ103" s="778">
        <v>0</v>
      </c>
      <c r="AK103" s="291"/>
      <c r="AL103" s="524" t="s">
        <v>47</v>
      </c>
      <c r="AM103" s="769" t="s">
        <v>411</v>
      </c>
      <c r="AN103" s="36">
        <f>1*PRODUCTS!C3</f>
        <v>63.99</v>
      </c>
      <c r="AO103" s="252" t="s">
        <v>47</v>
      </c>
      <c r="AP103" s="37">
        <v>0</v>
      </c>
      <c r="AQ103" s="795">
        <f t="shared" si="5"/>
        <v>-63.99</v>
      </c>
      <c r="AR103" s="828"/>
      <c r="AS103" s="812" t="s">
        <v>47</v>
      </c>
      <c r="AT103" s="256" t="s">
        <v>1254</v>
      </c>
      <c r="AU103" s="774">
        <v>1</v>
      </c>
      <c r="AV103" s="258" t="s">
        <v>1508</v>
      </c>
      <c r="AW103" s="46">
        <v>5</v>
      </c>
      <c r="AX103" s="36">
        <v>0</v>
      </c>
      <c r="AY103" s="258" t="s">
        <v>118</v>
      </c>
      <c r="AZ103" s="41">
        <v>0</v>
      </c>
      <c r="BA103" s="257" t="s">
        <v>47</v>
      </c>
      <c r="BB103" s="41">
        <v>0</v>
      </c>
      <c r="BC103" s="42"/>
      <c r="BD103" s="42"/>
      <c r="BE103" s="42"/>
      <c r="BF103" s="42"/>
      <c r="BG103" s="42"/>
    </row>
    <row r="104" spans="1:277" s="654" customFormat="1" ht="15" thickBot="1">
      <c r="A104" s="630" t="s">
        <v>1773</v>
      </c>
      <c r="B104" s="631" t="s">
        <v>1844</v>
      </c>
      <c r="C104" s="632">
        <f>AQ104+AV104-BB104</f>
        <v>7900.5214906375959</v>
      </c>
      <c r="D104" s="633" t="s">
        <v>2025</v>
      </c>
      <c r="E104" s="634">
        <f>R104+U104+X104+AA104+AD104+AE104+AF104+AJ104</f>
        <v>64</v>
      </c>
      <c r="F104" s="635"/>
      <c r="G104" s="636"/>
      <c r="H104" s="636"/>
      <c r="I104" s="637"/>
      <c r="J104" s="638"/>
      <c r="K104" s="633"/>
      <c r="L104" s="639"/>
      <c r="M104" s="640"/>
      <c r="N104" s="641"/>
      <c r="O104" s="641"/>
      <c r="P104" s="642"/>
      <c r="Q104" s="643"/>
      <c r="R104" s="678">
        <f t="shared" ref="R104:AJ104" si="6">SUM(R49:R103)</f>
        <v>8</v>
      </c>
      <c r="S104" s="678">
        <f t="shared" si="6"/>
        <v>3</v>
      </c>
      <c r="T104" s="678">
        <f t="shared" si="6"/>
        <v>1</v>
      </c>
      <c r="U104" s="679">
        <f t="shared" si="6"/>
        <v>6</v>
      </c>
      <c r="V104" s="679">
        <f t="shared" si="6"/>
        <v>2</v>
      </c>
      <c r="W104" s="679">
        <f t="shared" si="6"/>
        <v>12</v>
      </c>
      <c r="X104" s="680">
        <f t="shared" si="6"/>
        <v>5</v>
      </c>
      <c r="Y104" s="680">
        <f t="shared" si="6"/>
        <v>5</v>
      </c>
      <c r="Z104" s="680">
        <f t="shared" si="6"/>
        <v>4</v>
      </c>
      <c r="AA104" s="681">
        <f t="shared" si="6"/>
        <v>30</v>
      </c>
      <c r="AB104" s="681">
        <f t="shared" si="6"/>
        <v>3</v>
      </c>
      <c r="AC104" s="681">
        <f t="shared" si="6"/>
        <v>3</v>
      </c>
      <c r="AD104" s="682">
        <f t="shared" si="6"/>
        <v>15</v>
      </c>
      <c r="AE104" s="682">
        <f t="shared" si="6"/>
        <v>0</v>
      </c>
      <c r="AF104" s="682">
        <f t="shared" si="6"/>
        <v>0</v>
      </c>
      <c r="AG104" s="682">
        <f t="shared" si="6"/>
        <v>361</v>
      </c>
      <c r="AH104" s="682">
        <f t="shared" si="6"/>
        <v>124</v>
      </c>
      <c r="AI104" s="683">
        <f t="shared" ref="AI104" si="7">SUM(AI49:AI103)</f>
        <v>0</v>
      </c>
      <c r="AJ104" s="683">
        <f t="shared" si="6"/>
        <v>0</v>
      </c>
      <c r="AK104" s="737"/>
      <c r="AL104" s="644"/>
      <c r="AM104" s="645"/>
      <c r="AN104" s="646">
        <f>SUM(AN49:AN103)</f>
        <v>28122.245860602095</v>
      </c>
      <c r="AO104" s="645"/>
      <c r="AP104" s="646">
        <f>SUM(AP49:AP103)</f>
        <v>36354.138264462817</v>
      </c>
      <c r="AQ104" s="808">
        <f>SUM(AQ49:AQ103)</f>
        <v>8231.8924038607365</v>
      </c>
      <c r="AR104" s="830"/>
      <c r="AS104" s="817"/>
      <c r="AT104" s="645" t="s">
        <v>1845</v>
      </c>
      <c r="AU104" s="647"/>
      <c r="AV104" s="648">
        <f>AX104-AZ104</f>
        <v>-142.98000000000013</v>
      </c>
      <c r="AW104" s="649"/>
      <c r="AX104" s="646">
        <f>SUM(AX49:AX103)</f>
        <v>886.46999999999991</v>
      </c>
      <c r="AY104" s="647"/>
      <c r="AZ104" s="646">
        <f>SUM(AZ49:AZ103)</f>
        <v>1029.45</v>
      </c>
      <c r="BA104" s="650" t="s">
        <v>1864</v>
      </c>
      <c r="BB104" s="651">
        <f>SUM(BB49:BB103)</f>
        <v>188.3909132231405</v>
      </c>
      <c r="BC104" s="646"/>
      <c r="BD104" s="646"/>
      <c r="BE104" s="646"/>
      <c r="BF104" s="646"/>
      <c r="BG104" s="652"/>
      <c r="BH104" s="653"/>
      <c r="BI104" s="653"/>
      <c r="BJ104" s="653"/>
      <c r="BK104" s="653"/>
      <c r="BL104" s="653"/>
      <c r="BM104" s="653"/>
      <c r="BN104" s="653"/>
      <c r="BO104" s="653"/>
      <c r="BP104" s="653"/>
      <c r="BQ104" s="653"/>
      <c r="BR104" s="653"/>
      <c r="BS104" s="653"/>
      <c r="BT104" s="653"/>
      <c r="BU104" s="653"/>
      <c r="BV104" s="653"/>
      <c r="BW104" s="653"/>
      <c r="BX104" s="653"/>
      <c r="BY104" s="653"/>
      <c r="BZ104" s="653"/>
      <c r="CA104" s="653"/>
      <c r="CB104" s="653"/>
      <c r="CC104" s="653"/>
      <c r="CD104" s="653"/>
      <c r="CE104" s="653"/>
      <c r="CF104" s="653"/>
      <c r="CG104" s="653"/>
      <c r="CH104" s="653"/>
      <c r="CI104" s="653"/>
      <c r="CJ104" s="653"/>
      <c r="CK104" s="653"/>
      <c r="CL104" s="653"/>
      <c r="CM104" s="653"/>
      <c r="CN104" s="653"/>
      <c r="CO104" s="653"/>
      <c r="CP104" s="653"/>
      <c r="CQ104" s="653"/>
      <c r="CR104" s="653"/>
      <c r="CS104" s="653"/>
      <c r="CT104" s="653"/>
      <c r="CU104" s="653"/>
      <c r="CV104" s="653"/>
      <c r="CW104" s="653"/>
      <c r="CX104" s="653"/>
      <c r="CY104" s="653"/>
      <c r="CZ104" s="653"/>
      <c r="DA104" s="653"/>
      <c r="DB104" s="653"/>
      <c r="DC104" s="653"/>
      <c r="DD104" s="653"/>
      <c r="DE104" s="653"/>
      <c r="DF104" s="653"/>
      <c r="DG104" s="653"/>
      <c r="DH104" s="653"/>
      <c r="DI104" s="653"/>
      <c r="DJ104" s="653"/>
      <c r="DK104" s="653"/>
      <c r="DL104" s="653"/>
      <c r="DM104" s="653"/>
      <c r="DN104" s="653"/>
      <c r="DO104" s="653"/>
      <c r="DP104" s="653"/>
      <c r="DQ104" s="653"/>
      <c r="DR104" s="653"/>
      <c r="DS104" s="653"/>
      <c r="DT104" s="653"/>
      <c r="DU104" s="653"/>
      <c r="DV104" s="653"/>
      <c r="DW104" s="653"/>
      <c r="DX104" s="653"/>
      <c r="DY104" s="653"/>
      <c r="DZ104" s="653"/>
      <c r="EA104" s="653"/>
      <c r="EB104" s="653"/>
      <c r="EC104" s="653"/>
      <c r="ED104" s="653"/>
      <c r="EE104" s="653"/>
      <c r="EF104" s="653"/>
      <c r="EG104" s="653"/>
      <c r="EH104" s="653"/>
      <c r="EI104" s="653"/>
      <c r="EJ104" s="653"/>
      <c r="EK104" s="653"/>
      <c r="EL104" s="653"/>
      <c r="EM104" s="653"/>
      <c r="EN104" s="653"/>
      <c r="EO104" s="653"/>
      <c r="EP104" s="653"/>
      <c r="EQ104" s="653"/>
      <c r="ER104" s="653"/>
      <c r="ES104" s="653"/>
      <c r="ET104" s="653"/>
      <c r="EU104" s="653"/>
      <c r="EV104" s="653"/>
      <c r="EW104" s="653"/>
      <c r="EX104" s="653"/>
      <c r="EY104" s="653"/>
      <c r="EZ104" s="653"/>
      <c r="FA104" s="653"/>
      <c r="FB104" s="653"/>
      <c r="FC104" s="653"/>
      <c r="FD104" s="653"/>
      <c r="FE104" s="653"/>
      <c r="FF104" s="653"/>
      <c r="FG104" s="653"/>
      <c r="FH104" s="653"/>
      <c r="FI104" s="653"/>
      <c r="FJ104" s="653"/>
      <c r="FK104" s="653"/>
      <c r="FL104" s="653"/>
      <c r="FM104" s="653"/>
      <c r="FN104" s="653"/>
      <c r="FO104" s="653"/>
      <c r="FP104" s="653"/>
      <c r="FQ104" s="653"/>
      <c r="FR104" s="653"/>
      <c r="FS104" s="653"/>
      <c r="FT104" s="653"/>
      <c r="FU104" s="653"/>
      <c r="FV104" s="653"/>
      <c r="FW104" s="653"/>
      <c r="FX104" s="653"/>
      <c r="FY104" s="653"/>
      <c r="FZ104" s="653"/>
      <c r="GA104" s="653"/>
      <c r="GB104" s="653"/>
      <c r="GC104" s="653"/>
      <c r="GD104" s="653"/>
      <c r="GE104" s="653"/>
      <c r="GF104" s="653"/>
      <c r="GG104" s="653"/>
      <c r="GH104" s="653"/>
      <c r="GI104" s="653"/>
      <c r="GJ104" s="653"/>
      <c r="GK104" s="653"/>
      <c r="GL104" s="653"/>
      <c r="GM104" s="653"/>
      <c r="GN104" s="653"/>
      <c r="GO104" s="653"/>
      <c r="GP104" s="653"/>
      <c r="GQ104" s="653"/>
      <c r="GR104" s="653"/>
      <c r="GS104" s="653"/>
      <c r="GT104" s="653"/>
      <c r="GU104" s="653"/>
      <c r="GV104" s="653"/>
      <c r="GW104" s="653"/>
      <c r="GX104" s="653"/>
      <c r="GY104" s="653"/>
      <c r="GZ104" s="653"/>
      <c r="HA104" s="653"/>
      <c r="HB104" s="653"/>
      <c r="HC104" s="653"/>
      <c r="HD104" s="653"/>
      <c r="HE104" s="653"/>
      <c r="HF104" s="653"/>
      <c r="HG104" s="653"/>
      <c r="HH104" s="653"/>
      <c r="HI104" s="653"/>
      <c r="HJ104" s="653"/>
      <c r="HK104" s="653"/>
      <c r="HL104" s="653"/>
      <c r="HM104" s="653"/>
      <c r="HN104" s="653"/>
      <c r="HO104" s="653"/>
      <c r="HP104" s="653"/>
      <c r="HQ104" s="653"/>
      <c r="HR104" s="653"/>
      <c r="HS104" s="653"/>
      <c r="HT104" s="653"/>
      <c r="HU104" s="653"/>
      <c r="HV104" s="653"/>
      <c r="HW104" s="653"/>
      <c r="HX104" s="653"/>
      <c r="HY104" s="653"/>
      <c r="HZ104" s="653"/>
      <c r="IA104" s="653"/>
      <c r="IB104" s="653"/>
      <c r="IC104" s="653"/>
      <c r="ID104" s="653"/>
      <c r="IE104" s="653"/>
      <c r="IF104" s="653"/>
      <c r="IG104" s="653"/>
      <c r="IH104" s="653"/>
      <c r="II104" s="653"/>
      <c r="IJ104" s="653"/>
      <c r="IK104" s="653"/>
      <c r="IL104" s="653"/>
      <c r="IM104" s="653"/>
      <c r="IN104" s="653"/>
      <c r="IO104" s="653"/>
      <c r="IP104" s="653"/>
      <c r="IQ104" s="653"/>
      <c r="IR104" s="653"/>
      <c r="IS104" s="653"/>
      <c r="IT104" s="653"/>
      <c r="IU104" s="653"/>
      <c r="IV104" s="653"/>
      <c r="IW104" s="653"/>
      <c r="IX104" s="653"/>
      <c r="IY104" s="653"/>
      <c r="IZ104" s="653"/>
      <c r="JA104" s="653"/>
      <c r="JB104" s="653"/>
      <c r="JC104" s="653"/>
      <c r="JD104" s="653"/>
      <c r="JE104" s="653"/>
      <c r="JF104" s="653"/>
      <c r="JG104" s="653"/>
      <c r="JH104" s="653"/>
      <c r="JI104" s="653"/>
      <c r="JJ104" s="653"/>
      <c r="JK104" s="653"/>
      <c r="JL104" s="653"/>
      <c r="JM104" s="653"/>
      <c r="JN104" s="653"/>
      <c r="JO104" s="653"/>
      <c r="JP104" s="653"/>
      <c r="JQ104" s="653"/>
    </row>
    <row r="105" spans="1:277" ht="21.75" customHeight="1" outlineLevel="1">
      <c r="A105" s="508">
        <v>1903001</v>
      </c>
      <c r="B105" s="509">
        <v>42063</v>
      </c>
      <c r="C105" s="498" t="s">
        <v>67</v>
      </c>
      <c r="D105" s="498" t="s">
        <v>45</v>
      </c>
      <c r="E105" s="532" t="s">
        <v>60</v>
      </c>
      <c r="F105" s="523" t="s">
        <v>47</v>
      </c>
      <c r="G105" s="510" t="s">
        <v>47</v>
      </c>
      <c r="H105" s="511"/>
      <c r="I105" s="512" t="s">
        <v>47</v>
      </c>
      <c r="J105" s="492" t="s">
        <v>62</v>
      </c>
      <c r="K105" s="468" t="s">
        <v>163</v>
      </c>
      <c r="L105" s="513" t="s">
        <v>47</v>
      </c>
      <c r="M105" s="494">
        <v>42063</v>
      </c>
      <c r="N105" s="468" t="s">
        <v>401</v>
      </c>
      <c r="O105" s="498" t="s">
        <v>402</v>
      </c>
      <c r="P105" s="564"/>
      <c r="Q105" s="624"/>
      <c r="R105" s="583">
        <v>0</v>
      </c>
      <c r="S105" s="584">
        <v>0</v>
      </c>
      <c r="T105" s="601">
        <v>0</v>
      </c>
      <c r="U105" s="593">
        <v>0</v>
      </c>
      <c r="V105" s="584">
        <v>0</v>
      </c>
      <c r="W105" s="601">
        <v>1</v>
      </c>
      <c r="X105" s="593">
        <v>0</v>
      </c>
      <c r="Y105" s="584">
        <v>0</v>
      </c>
      <c r="Z105" s="601">
        <v>0</v>
      </c>
      <c r="AA105" s="593">
        <v>0</v>
      </c>
      <c r="AB105" s="584">
        <v>0</v>
      </c>
      <c r="AC105" s="601">
        <v>0</v>
      </c>
      <c r="AD105" s="593">
        <v>0</v>
      </c>
      <c r="AE105" s="593"/>
      <c r="AF105" s="593"/>
      <c r="AG105" s="584">
        <v>0</v>
      </c>
      <c r="AH105" s="601">
        <v>0</v>
      </c>
      <c r="AI105" s="608">
        <v>0</v>
      </c>
      <c r="AJ105" s="608">
        <v>0</v>
      </c>
      <c r="AK105" s="738"/>
      <c r="AL105" s="523" t="s">
        <v>47</v>
      </c>
      <c r="AM105" s="510" t="s">
        <v>47</v>
      </c>
      <c r="AN105" s="497">
        <v>0</v>
      </c>
      <c r="AO105" s="498" t="s">
        <v>47</v>
      </c>
      <c r="AP105" s="499">
        <v>0</v>
      </c>
      <c r="AQ105" s="791">
        <f t="shared" si="4"/>
        <v>0</v>
      </c>
      <c r="AR105" s="831" t="e">
        <f t="shared" ref="AR105:AR168" si="8">AQ105/AP105</f>
        <v>#DIV/0!</v>
      </c>
      <c r="AS105" s="818"/>
      <c r="AT105" s="468" t="s">
        <v>94</v>
      </c>
      <c r="AU105" s="500">
        <v>1</v>
      </c>
      <c r="AV105" s="498" t="s">
        <v>47</v>
      </c>
      <c r="AW105" s="501" t="s">
        <v>403</v>
      </c>
      <c r="AX105" s="497">
        <v>0</v>
      </c>
      <c r="AY105" s="498" t="s">
        <v>404</v>
      </c>
      <c r="AZ105" s="469">
        <v>2.4</v>
      </c>
      <c r="BA105" s="468" t="s">
        <v>47</v>
      </c>
      <c r="BB105" s="469">
        <v>0</v>
      </c>
      <c r="BC105" s="502"/>
      <c r="BD105" s="502"/>
      <c r="BE105" s="502"/>
      <c r="BF105" s="502"/>
      <c r="BG105" s="502"/>
    </row>
    <row r="106" spans="1:277" ht="32" customHeight="1" outlineLevel="1">
      <c r="A106" s="485">
        <v>1903002</v>
      </c>
      <c r="B106" s="25">
        <v>42066</v>
      </c>
      <c r="C106" s="26" t="s">
        <v>59</v>
      </c>
      <c r="D106" s="26" t="s">
        <v>47</v>
      </c>
      <c r="E106" s="533" t="s">
        <v>60</v>
      </c>
      <c r="F106" s="519" t="s">
        <v>47</v>
      </c>
      <c r="G106" s="48" t="s">
        <v>405</v>
      </c>
      <c r="H106" s="291"/>
      <c r="I106" s="49">
        <v>190998</v>
      </c>
      <c r="J106" s="30" t="s">
        <v>62</v>
      </c>
      <c r="K106" s="31" t="s">
        <v>65</v>
      </c>
      <c r="L106" s="90" t="s">
        <v>47</v>
      </c>
      <c r="M106" s="33">
        <v>42074</v>
      </c>
      <c r="N106" s="31" t="s">
        <v>59</v>
      </c>
      <c r="O106" s="26" t="s">
        <v>406</v>
      </c>
      <c r="P106" s="559"/>
      <c r="Q106" s="290"/>
      <c r="R106" s="583">
        <v>0</v>
      </c>
      <c r="S106" s="584">
        <v>0</v>
      </c>
      <c r="T106" s="601">
        <v>0</v>
      </c>
      <c r="U106" s="593">
        <v>0</v>
      </c>
      <c r="V106" s="584">
        <v>0</v>
      </c>
      <c r="W106" s="601">
        <v>0</v>
      </c>
      <c r="X106" s="593">
        <v>0</v>
      </c>
      <c r="Y106" s="584">
        <v>0</v>
      </c>
      <c r="Z106" s="601">
        <v>0</v>
      </c>
      <c r="AA106" s="593">
        <v>0</v>
      </c>
      <c r="AB106" s="584">
        <v>0</v>
      </c>
      <c r="AC106" s="601">
        <v>0</v>
      </c>
      <c r="AD106" s="593">
        <v>22</v>
      </c>
      <c r="AE106" s="593"/>
      <c r="AF106" s="593"/>
      <c r="AG106" s="584">
        <v>0</v>
      </c>
      <c r="AH106" s="601">
        <v>0</v>
      </c>
      <c r="AI106" s="608">
        <v>0</v>
      </c>
      <c r="AJ106" s="608">
        <v>0</v>
      </c>
      <c r="AK106" s="738"/>
      <c r="AL106" s="519" t="s">
        <v>47</v>
      </c>
      <c r="AM106" s="48" t="s">
        <v>407</v>
      </c>
      <c r="AN106" s="36">
        <f>215+21.5</f>
        <v>236.5</v>
      </c>
      <c r="AO106" s="26" t="s">
        <v>47</v>
      </c>
      <c r="AP106" s="37">
        <v>0</v>
      </c>
      <c r="AQ106" s="792">
        <f t="shared" si="4"/>
        <v>-236.5</v>
      </c>
      <c r="AR106" s="831" t="e">
        <f t="shared" si="8"/>
        <v>#DIV/0!</v>
      </c>
      <c r="AS106" s="812"/>
      <c r="AT106" s="31" t="s">
        <v>66</v>
      </c>
      <c r="AU106" s="40"/>
      <c r="AV106" s="40"/>
      <c r="AW106" s="46"/>
      <c r="AX106" s="36"/>
      <c r="AY106" s="40"/>
      <c r="AZ106" s="41"/>
      <c r="BA106" s="31" t="s">
        <v>47</v>
      </c>
      <c r="BB106" s="41">
        <v>0</v>
      </c>
      <c r="BC106" s="42"/>
      <c r="BD106" s="42"/>
      <c r="BE106" s="42"/>
      <c r="BF106" s="42"/>
      <c r="BG106" s="42"/>
    </row>
    <row r="107" spans="1:277" ht="20" customHeight="1" outlineLevel="1">
      <c r="A107" s="485">
        <v>1903003</v>
      </c>
      <c r="B107" s="25">
        <v>42066</v>
      </c>
      <c r="C107" s="26" t="s">
        <v>67</v>
      </c>
      <c r="D107" s="26" t="s">
        <v>45</v>
      </c>
      <c r="E107" s="533" t="s">
        <v>60</v>
      </c>
      <c r="F107" s="519" t="s">
        <v>408</v>
      </c>
      <c r="G107" s="48" t="s">
        <v>409</v>
      </c>
      <c r="H107" s="291"/>
      <c r="I107" s="49">
        <v>190853</v>
      </c>
      <c r="J107" s="30" t="s">
        <v>62</v>
      </c>
      <c r="K107" s="31" t="s">
        <v>50</v>
      </c>
      <c r="L107" s="91">
        <v>156340039</v>
      </c>
      <c r="M107" s="33">
        <v>42066</v>
      </c>
      <c r="N107" s="31" t="s">
        <v>302</v>
      </c>
      <c r="O107" s="26" t="s">
        <v>410</v>
      </c>
      <c r="P107" s="559"/>
      <c r="Q107" s="290"/>
      <c r="R107" s="583">
        <v>0</v>
      </c>
      <c r="S107" s="584">
        <v>0</v>
      </c>
      <c r="T107" s="601">
        <v>0</v>
      </c>
      <c r="U107" s="593">
        <v>0</v>
      </c>
      <c r="V107" s="584">
        <v>0</v>
      </c>
      <c r="W107" s="601">
        <v>1</v>
      </c>
      <c r="X107" s="593">
        <v>0</v>
      </c>
      <c r="Y107" s="584">
        <v>0</v>
      </c>
      <c r="Z107" s="601">
        <v>0</v>
      </c>
      <c r="AA107" s="593">
        <v>0</v>
      </c>
      <c r="AB107" s="584">
        <v>0</v>
      </c>
      <c r="AC107" s="601">
        <v>1</v>
      </c>
      <c r="AD107" s="593">
        <v>0</v>
      </c>
      <c r="AE107" s="593"/>
      <c r="AF107" s="593"/>
      <c r="AG107" s="584">
        <v>0</v>
      </c>
      <c r="AH107" s="601">
        <v>0</v>
      </c>
      <c r="AI107" s="608">
        <v>0</v>
      </c>
      <c r="AJ107" s="608">
        <v>0</v>
      </c>
      <c r="AK107" s="738"/>
      <c r="AL107" s="519" t="s">
        <v>133</v>
      </c>
      <c r="AM107" s="48" t="s">
        <v>411</v>
      </c>
      <c r="AN107" s="36">
        <f>PRODUCTS!F3+PRODUCTS!D3</f>
        <v>124.72999999999999</v>
      </c>
      <c r="AO107" s="26" t="s">
        <v>412</v>
      </c>
      <c r="AP107" s="37">
        <v>239.99</v>
      </c>
      <c r="AQ107" s="792">
        <f t="shared" si="4"/>
        <v>115.26000000000002</v>
      </c>
      <c r="AR107" s="831">
        <f t="shared" si="8"/>
        <v>0.48027001125046881</v>
      </c>
      <c r="AS107" s="812" t="s">
        <v>191</v>
      </c>
      <c r="AT107" s="31" t="s">
        <v>57</v>
      </c>
      <c r="AU107" s="38">
        <v>1</v>
      </c>
      <c r="AV107" s="26" t="s">
        <v>268</v>
      </c>
      <c r="AW107" s="46">
        <v>10</v>
      </c>
      <c r="AX107" s="36"/>
      <c r="AY107" s="40"/>
      <c r="AZ107" s="41"/>
      <c r="BA107" s="256" t="s">
        <v>1802</v>
      </c>
      <c r="BB107" s="41">
        <f>AP107*5%</f>
        <v>11.999500000000001</v>
      </c>
      <c r="BC107" s="42"/>
      <c r="BD107" s="42"/>
      <c r="BE107" s="42"/>
      <c r="BF107" s="42"/>
      <c r="BG107" s="42"/>
    </row>
    <row r="108" spans="1:277" ht="32" customHeight="1" outlineLevel="1">
      <c r="A108" s="485">
        <v>1903004</v>
      </c>
      <c r="B108" s="25">
        <v>42066</v>
      </c>
      <c r="C108" s="26" t="s">
        <v>44</v>
      </c>
      <c r="D108" s="26" t="s">
        <v>73</v>
      </c>
      <c r="E108" s="533" t="s">
        <v>89</v>
      </c>
      <c r="F108" s="519" t="s">
        <v>47</v>
      </c>
      <c r="G108" s="48" t="s">
        <v>413</v>
      </c>
      <c r="H108" s="291"/>
      <c r="I108" s="49">
        <v>191107</v>
      </c>
      <c r="J108" s="30" t="s">
        <v>49</v>
      </c>
      <c r="K108" s="31" t="s">
        <v>87</v>
      </c>
      <c r="L108" s="32" t="s">
        <v>414</v>
      </c>
      <c r="M108" s="33">
        <v>42083</v>
      </c>
      <c r="N108" s="31" t="s">
        <v>90</v>
      </c>
      <c r="O108" s="26" t="s">
        <v>415</v>
      </c>
      <c r="P108" s="515" t="s">
        <v>416</v>
      </c>
      <c r="Q108" s="291"/>
      <c r="R108" s="583">
        <v>0</v>
      </c>
      <c r="S108" s="584">
        <v>0</v>
      </c>
      <c r="T108" s="601">
        <v>0</v>
      </c>
      <c r="U108" s="593">
        <v>1</v>
      </c>
      <c r="V108" s="584">
        <v>0</v>
      </c>
      <c r="W108" s="601">
        <v>0</v>
      </c>
      <c r="X108" s="593">
        <v>0</v>
      </c>
      <c r="Y108" s="584">
        <v>0</v>
      </c>
      <c r="Z108" s="601">
        <v>0</v>
      </c>
      <c r="AA108" s="593">
        <v>0</v>
      </c>
      <c r="AB108" s="584">
        <v>0</v>
      </c>
      <c r="AC108" s="601">
        <v>0</v>
      </c>
      <c r="AD108" s="593">
        <v>0</v>
      </c>
      <c r="AE108" s="593"/>
      <c r="AF108" s="593"/>
      <c r="AG108" s="584">
        <v>0</v>
      </c>
      <c r="AH108" s="601">
        <v>0</v>
      </c>
      <c r="AI108" s="608">
        <v>0</v>
      </c>
      <c r="AJ108" s="608">
        <v>0</v>
      </c>
      <c r="AK108" s="738"/>
      <c r="AL108" s="519" t="s">
        <v>55</v>
      </c>
      <c r="AM108" s="48" t="s">
        <v>417</v>
      </c>
      <c r="AN108" s="36">
        <v>0</v>
      </c>
      <c r="AO108" s="26" t="s">
        <v>418</v>
      </c>
      <c r="AP108" s="37">
        <v>0</v>
      </c>
      <c r="AQ108" s="792">
        <f t="shared" si="4"/>
        <v>0</v>
      </c>
      <c r="AR108" s="831" t="e">
        <f t="shared" si="8"/>
        <v>#DIV/0!</v>
      </c>
      <c r="AS108" s="812"/>
      <c r="AT108" s="31" t="s">
        <v>57</v>
      </c>
      <c r="AU108" s="38">
        <v>2</v>
      </c>
      <c r="AV108" s="26" t="s">
        <v>419</v>
      </c>
      <c r="AW108" s="46">
        <v>4</v>
      </c>
      <c r="AX108" s="36">
        <v>0</v>
      </c>
      <c r="AY108" s="26" t="s">
        <v>125</v>
      </c>
      <c r="AZ108" s="41">
        <v>0</v>
      </c>
      <c r="BA108" s="31" t="s">
        <v>47</v>
      </c>
      <c r="BB108" s="41">
        <v>0</v>
      </c>
      <c r="BC108" s="42"/>
      <c r="BD108" s="42"/>
      <c r="BE108" s="42"/>
      <c r="BF108" s="42"/>
      <c r="BG108" s="42"/>
    </row>
    <row r="109" spans="1:277" ht="32" customHeight="1" outlineLevel="1">
      <c r="A109" s="485">
        <v>1903005</v>
      </c>
      <c r="B109" s="25">
        <v>42066</v>
      </c>
      <c r="C109" s="26" t="s">
        <v>67</v>
      </c>
      <c r="D109" s="26" t="s">
        <v>45</v>
      </c>
      <c r="E109" s="533" t="s">
        <v>69</v>
      </c>
      <c r="F109" s="519" t="s">
        <v>420</v>
      </c>
      <c r="G109" s="35"/>
      <c r="H109" s="290"/>
      <c r="I109" s="54"/>
      <c r="J109" s="30" t="s">
        <v>62</v>
      </c>
      <c r="K109" s="31" t="s">
        <v>66</v>
      </c>
      <c r="L109" s="50"/>
      <c r="M109" s="33"/>
      <c r="N109" s="31" t="s">
        <v>421</v>
      </c>
      <c r="O109" s="26" t="s">
        <v>422</v>
      </c>
      <c r="P109" s="559"/>
      <c r="Q109" s="290"/>
      <c r="R109" s="583">
        <v>0</v>
      </c>
      <c r="S109" s="584">
        <v>0</v>
      </c>
      <c r="T109" s="601">
        <v>0</v>
      </c>
      <c r="U109" s="593">
        <v>0</v>
      </c>
      <c r="V109" s="584">
        <v>0</v>
      </c>
      <c r="W109" s="601">
        <v>0</v>
      </c>
      <c r="X109" s="593">
        <v>0</v>
      </c>
      <c r="Y109" s="584">
        <v>0</v>
      </c>
      <c r="Z109" s="601">
        <v>0</v>
      </c>
      <c r="AA109" s="593">
        <v>0</v>
      </c>
      <c r="AB109" s="584">
        <v>0</v>
      </c>
      <c r="AC109" s="601">
        <v>0</v>
      </c>
      <c r="AD109" s="593">
        <v>0</v>
      </c>
      <c r="AE109" s="593"/>
      <c r="AF109" s="593"/>
      <c r="AG109" s="584">
        <v>0</v>
      </c>
      <c r="AH109" s="601">
        <v>0</v>
      </c>
      <c r="AI109" s="608">
        <v>0</v>
      </c>
      <c r="AJ109" s="608">
        <v>0</v>
      </c>
      <c r="AK109" s="738"/>
      <c r="AL109" s="519" t="s">
        <v>71</v>
      </c>
      <c r="AM109" s="35"/>
      <c r="AN109" s="36"/>
      <c r="AO109" s="26"/>
      <c r="AP109" s="37"/>
      <c r="AQ109" s="792">
        <f t="shared" ref="AQ109:AQ138" si="9">AP109-AN109</f>
        <v>0</v>
      </c>
      <c r="AR109" s="831" t="e">
        <f t="shared" si="8"/>
        <v>#DIV/0!</v>
      </c>
      <c r="AS109" s="812"/>
      <c r="AT109" s="31" t="s">
        <v>66</v>
      </c>
      <c r="AU109" s="40"/>
      <c r="AV109" s="40"/>
      <c r="AW109" s="46"/>
      <c r="AX109" s="36"/>
      <c r="AY109" s="40"/>
      <c r="AZ109" s="41"/>
      <c r="BA109" s="31" t="s">
        <v>47</v>
      </c>
      <c r="BB109" s="41">
        <v>0</v>
      </c>
      <c r="BC109" s="42"/>
      <c r="BD109" s="42"/>
      <c r="BE109" s="42"/>
      <c r="BF109" s="42"/>
      <c r="BG109" s="42"/>
    </row>
    <row r="110" spans="1:277" ht="20" customHeight="1" outlineLevel="1">
      <c r="A110" s="485">
        <v>1903006</v>
      </c>
      <c r="B110" s="25">
        <v>42066</v>
      </c>
      <c r="C110" s="26" t="s">
        <v>67</v>
      </c>
      <c r="D110" s="26" t="s">
        <v>45</v>
      </c>
      <c r="E110" s="533" t="s">
        <v>60</v>
      </c>
      <c r="F110" s="519" t="s">
        <v>47</v>
      </c>
      <c r="G110" s="48" t="s">
        <v>47</v>
      </c>
      <c r="H110" s="291"/>
      <c r="I110" s="29" t="s">
        <v>47</v>
      </c>
      <c r="J110" s="30" t="s">
        <v>62</v>
      </c>
      <c r="K110" s="31" t="s">
        <v>163</v>
      </c>
      <c r="L110" s="32" t="s">
        <v>47</v>
      </c>
      <c r="M110" s="33">
        <v>42066</v>
      </c>
      <c r="N110" s="31" t="s">
        <v>423</v>
      </c>
      <c r="O110" s="26" t="s">
        <v>424</v>
      </c>
      <c r="P110" s="559"/>
      <c r="Q110" s="290"/>
      <c r="R110" s="583">
        <v>0</v>
      </c>
      <c r="S110" s="584">
        <v>0</v>
      </c>
      <c r="T110" s="601">
        <v>0</v>
      </c>
      <c r="U110" s="593">
        <v>0</v>
      </c>
      <c r="V110" s="584">
        <v>0</v>
      </c>
      <c r="W110" s="601">
        <v>2</v>
      </c>
      <c r="X110" s="593">
        <v>0</v>
      </c>
      <c r="Y110" s="584">
        <v>0</v>
      </c>
      <c r="Z110" s="601">
        <v>0</v>
      </c>
      <c r="AA110" s="593">
        <v>0</v>
      </c>
      <c r="AB110" s="584">
        <v>0</v>
      </c>
      <c r="AC110" s="601">
        <v>0</v>
      </c>
      <c r="AD110" s="593">
        <v>0</v>
      </c>
      <c r="AE110" s="593"/>
      <c r="AF110" s="593"/>
      <c r="AG110" s="584">
        <v>0</v>
      </c>
      <c r="AH110" s="601">
        <v>0</v>
      </c>
      <c r="AI110" s="608">
        <v>0</v>
      </c>
      <c r="AJ110" s="608">
        <v>0</v>
      </c>
      <c r="AK110" s="738"/>
      <c r="AL110" s="519" t="s">
        <v>47</v>
      </c>
      <c r="AM110" s="48" t="s">
        <v>47</v>
      </c>
      <c r="AN110" s="38">
        <v>0</v>
      </c>
      <c r="AO110" s="26" t="s">
        <v>47</v>
      </c>
      <c r="AP110" s="37">
        <v>0</v>
      </c>
      <c r="AQ110" s="792">
        <f t="shared" si="9"/>
        <v>0</v>
      </c>
      <c r="AR110" s="831" t="e">
        <f t="shared" si="8"/>
        <v>#DIV/0!</v>
      </c>
      <c r="AS110" s="812"/>
      <c r="AT110" s="31" t="s">
        <v>94</v>
      </c>
      <c r="AU110" s="38">
        <v>1</v>
      </c>
      <c r="AV110" s="26" t="s">
        <v>123</v>
      </c>
      <c r="AW110" s="39" t="s">
        <v>403</v>
      </c>
      <c r="AX110" s="36">
        <v>0</v>
      </c>
      <c r="AY110" s="26" t="s">
        <v>404</v>
      </c>
      <c r="AZ110" s="41">
        <v>2.4</v>
      </c>
      <c r="BA110" s="31" t="s">
        <v>47</v>
      </c>
      <c r="BB110" s="41">
        <v>0</v>
      </c>
      <c r="BC110" s="42"/>
      <c r="BD110" s="42"/>
      <c r="BE110" s="42"/>
      <c r="BF110" s="42"/>
      <c r="BG110" s="42"/>
    </row>
    <row r="111" spans="1:277" ht="20" customHeight="1" outlineLevel="1">
      <c r="A111" s="485">
        <v>1903007</v>
      </c>
      <c r="B111" s="25">
        <v>42067</v>
      </c>
      <c r="C111" s="26" t="s">
        <v>67</v>
      </c>
      <c r="D111" s="26" t="s">
        <v>45</v>
      </c>
      <c r="E111" s="533" t="s">
        <v>69</v>
      </c>
      <c r="F111" s="519" t="s">
        <v>47</v>
      </c>
      <c r="G111" s="48" t="s">
        <v>47</v>
      </c>
      <c r="H111" s="291"/>
      <c r="I111" s="29" t="s">
        <v>47</v>
      </c>
      <c r="J111" s="30" t="s">
        <v>62</v>
      </c>
      <c r="K111" s="31" t="s">
        <v>163</v>
      </c>
      <c r="L111" s="50"/>
      <c r="M111" s="33"/>
      <c r="N111" s="92" t="s">
        <v>425</v>
      </c>
      <c r="O111" s="26" t="s">
        <v>426</v>
      </c>
      <c r="P111" s="559"/>
      <c r="Q111" s="290"/>
      <c r="R111" s="583">
        <v>0</v>
      </c>
      <c r="S111" s="584">
        <v>0</v>
      </c>
      <c r="T111" s="601">
        <v>0</v>
      </c>
      <c r="U111" s="593">
        <v>0</v>
      </c>
      <c r="V111" s="584">
        <v>0</v>
      </c>
      <c r="W111" s="601">
        <v>0</v>
      </c>
      <c r="X111" s="593">
        <v>0</v>
      </c>
      <c r="Y111" s="584">
        <v>0</v>
      </c>
      <c r="Z111" s="601">
        <v>0</v>
      </c>
      <c r="AA111" s="593">
        <v>0</v>
      </c>
      <c r="AB111" s="584">
        <v>0</v>
      </c>
      <c r="AC111" s="601">
        <v>1</v>
      </c>
      <c r="AD111" s="593">
        <v>0</v>
      </c>
      <c r="AE111" s="593"/>
      <c r="AF111" s="593"/>
      <c r="AG111" s="584">
        <v>0</v>
      </c>
      <c r="AH111" s="601">
        <v>1</v>
      </c>
      <c r="AI111" s="608">
        <v>0</v>
      </c>
      <c r="AJ111" s="608">
        <v>0</v>
      </c>
      <c r="AK111" s="738"/>
      <c r="AL111" s="519" t="s">
        <v>47</v>
      </c>
      <c r="AM111" s="48" t="s">
        <v>47</v>
      </c>
      <c r="AN111" s="36">
        <v>0</v>
      </c>
      <c r="AO111" s="26" t="s">
        <v>47</v>
      </c>
      <c r="AP111" s="37">
        <v>0</v>
      </c>
      <c r="AQ111" s="792">
        <f t="shared" si="9"/>
        <v>0</v>
      </c>
      <c r="AR111" s="831" t="e">
        <f t="shared" si="8"/>
        <v>#DIV/0!</v>
      </c>
      <c r="AS111" s="812"/>
      <c r="AT111" s="31" t="s">
        <v>94</v>
      </c>
      <c r="AU111" s="38">
        <v>1</v>
      </c>
      <c r="AV111" s="26" t="s">
        <v>124</v>
      </c>
      <c r="AW111" s="39" t="s">
        <v>427</v>
      </c>
      <c r="AX111" s="36">
        <v>0</v>
      </c>
      <c r="AY111" s="26" t="s">
        <v>47</v>
      </c>
      <c r="AZ111" s="41">
        <f>1*0.8</f>
        <v>0.8</v>
      </c>
      <c r="BA111" s="31" t="s">
        <v>47</v>
      </c>
      <c r="BB111" s="41">
        <v>0</v>
      </c>
      <c r="BC111" s="42"/>
      <c r="BD111" s="42"/>
      <c r="BE111" s="42"/>
      <c r="BF111" s="42"/>
      <c r="BG111" s="42"/>
    </row>
    <row r="112" spans="1:277" ht="20" customHeight="1" outlineLevel="1">
      <c r="A112" s="485">
        <v>1903008</v>
      </c>
      <c r="B112" s="25">
        <v>42067</v>
      </c>
      <c r="C112" s="26" t="s">
        <v>67</v>
      </c>
      <c r="D112" s="26" t="s">
        <v>73</v>
      </c>
      <c r="E112" s="533" t="s">
        <v>276</v>
      </c>
      <c r="F112" s="519" t="s">
        <v>428</v>
      </c>
      <c r="G112" s="48" t="s">
        <v>429</v>
      </c>
      <c r="H112" s="291" t="s">
        <v>47</v>
      </c>
      <c r="I112" s="29" t="s">
        <v>1315</v>
      </c>
      <c r="J112" s="30" t="s">
        <v>62</v>
      </c>
      <c r="K112" s="256" t="s">
        <v>1248</v>
      </c>
      <c r="L112" s="50"/>
      <c r="M112" s="33">
        <v>42088</v>
      </c>
      <c r="N112" s="31" t="s">
        <v>279</v>
      </c>
      <c r="O112" s="252" t="s">
        <v>1271</v>
      </c>
      <c r="P112" s="559"/>
      <c r="Q112" s="290"/>
      <c r="R112" s="583">
        <v>0</v>
      </c>
      <c r="S112" s="584">
        <v>0</v>
      </c>
      <c r="T112" s="601">
        <v>0</v>
      </c>
      <c r="U112" s="593">
        <v>0</v>
      </c>
      <c r="V112" s="584">
        <v>0</v>
      </c>
      <c r="W112" s="601">
        <v>0</v>
      </c>
      <c r="X112" s="593">
        <v>4</v>
      </c>
      <c r="Y112" s="584">
        <v>0</v>
      </c>
      <c r="Z112" s="601">
        <v>0</v>
      </c>
      <c r="AA112" s="593">
        <v>8</v>
      </c>
      <c r="AB112" s="584">
        <v>0</v>
      </c>
      <c r="AC112" s="601">
        <v>0</v>
      </c>
      <c r="AD112" s="593">
        <v>0</v>
      </c>
      <c r="AE112" s="593"/>
      <c r="AF112" s="593"/>
      <c r="AG112" s="584">
        <v>0</v>
      </c>
      <c r="AH112" s="601">
        <v>0</v>
      </c>
      <c r="AI112" s="608">
        <v>0</v>
      </c>
      <c r="AJ112" s="608">
        <v>0</v>
      </c>
      <c r="AK112" s="738"/>
      <c r="AL112" s="519" t="s">
        <v>266</v>
      </c>
      <c r="AM112" s="35">
        <v>190724</v>
      </c>
      <c r="AN112" s="36">
        <v>99.2</v>
      </c>
      <c r="AO112" s="26" t="s">
        <v>430</v>
      </c>
      <c r="AP112" s="37">
        <f>1433-863.4</f>
        <v>569.6</v>
      </c>
      <c r="AQ112" s="792">
        <f t="shared" si="9"/>
        <v>470.40000000000003</v>
      </c>
      <c r="AR112" s="831">
        <f t="shared" si="8"/>
        <v>0.8258426966292135</v>
      </c>
      <c r="AS112" s="812">
        <v>42087</v>
      </c>
      <c r="AT112" s="31" t="s">
        <v>57</v>
      </c>
      <c r="AU112" s="40">
        <v>2</v>
      </c>
      <c r="AV112" s="258" t="s">
        <v>123</v>
      </c>
      <c r="AW112" s="46">
        <v>5.3</v>
      </c>
      <c r="AX112" s="36">
        <v>70</v>
      </c>
      <c r="AY112" s="40">
        <v>12585475</v>
      </c>
      <c r="AZ112" s="41">
        <v>50.63</v>
      </c>
      <c r="BA112" s="31" t="s">
        <v>47</v>
      </c>
      <c r="BB112" s="41">
        <v>0</v>
      </c>
      <c r="BC112" s="42"/>
      <c r="BD112" s="42"/>
      <c r="BE112" s="42"/>
      <c r="BF112" s="42"/>
      <c r="BG112" s="42"/>
    </row>
    <row r="113" spans="1:59" ht="20" customHeight="1" outlineLevel="1">
      <c r="A113" s="485">
        <v>1903009</v>
      </c>
      <c r="B113" s="25">
        <v>42068</v>
      </c>
      <c r="C113" s="26" t="s">
        <v>44</v>
      </c>
      <c r="D113" s="26" t="s">
        <v>73</v>
      </c>
      <c r="E113" s="533" t="s">
        <v>89</v>
      </c>
      <c r="F113" s="519" t="s">
        <v>47</v>
      </c>
      <c r="G113" s="48" t="s">
        <v>431</v>
      </c>
      <c r="H113" s="291"/>
      <c r="I113" s="49">
        <v>191107</v>
      </c>
      <c r="J113" s="30" t="s">
        <v>62</v>
      </c>
      <c r="K113" s="31" t="s">
        <v>87</v>
      </c>
      <c r="L113" s="32" t="s">
        <v>414</v>
      </c>
      <c r="M113" s="33">
        <v>42083</v>
      </c>
      <c r="N113" s="31" t="s">
        <v>90</v>
      </c>
      <c r="O113" s="26" t="s">
        <v>432</v>
      </c>
      <c r="P113" s="515" t="s">
        <v>433</v>
      </c>
      <c r="Q113" s="291"/>
      <c r="R113" s="583">
        <v>3</v>
      </c>
      <c r="S113" s="584">
        <v>0</v>
      </c>
      <c r="T113" s="601">
        <v>0</v>
      </c>
      <c r="U113" s="593">
        <v>0</v>
      </c>
      <c r="V113" s="584">
        <v>0</v>
      </c>
      <c r="W113" s="601">
        <v>0</v>
      </c>
      <c r="X113" s="593">
        <v>0</v>
      </c>
      <c r="Y113" s="584">
        <v>0</v>
      </c>
      <c r="Z113" s="601">
        <v>0</v>
      </c>
      <c r="AA113" s="593">
        <v>0</v>
      </c>
      <c r="AB113" s="584">
        <v>0</v>
      </c>
      <c r="AC113" s="601">
        <v>0</v>
      </c>
      <c r="AD113" s="593">
        <v>0</v>
      </c>
      <c r="AE113" s="593"/>
      <c r="AF113" s="593"/>
      <c r="AG113" s="584">
        <v>0</v>
      </c>
      <c r="AH113" s="601">
        <v>0</v>
      </c>
      <c r="AI113" s="608">
        <v>0</v>
      </c>
      <c r="AJ113" s="608">
        <v>0</v>
      </c>
      <c r="AK113" s="738"/>
      <c r="AL113" s="519" t="s">
        <v>55</v>
      </c>
      <c r="AM113" s="35"/>
      <c r="AN113" s="36"/>
      <c r="AO113" s="26" t="s">
        <v>418</v>
      </c>
      <c r="AP113" s="37">
        <v>222.3</v>
      </c>
      <c r="AQ113" s="792">
        <f t="shared" si="9"/>
        <v>222.3</v>
      </c>
      <c r="AR113" s="831">
        <f t="shared" si="8"/>
        <v>1</v>
      </c>
      <c r="AS113" s="812"/>
      <c r="AT113" s="31" t="s">
        <v>66</v>
      </c>
      <c r="AU113" s="40"/>
      <c r="AV113" s="40"/>
      <c r="AW113" s="46"/>
      <c r="AX113" s="36"/>
      <c r="AY113" s="40"/>
      <c r="AZ113" s="41"/>
      <c r="BA113" s="31" t="s">
        <v>47</v>
      </c>
      <c r="BB113" s="41">
        <v>0</v>
      </c>
      <c r="BC113" s="42"/>
      <c r="BD113" s="42"/>
      <c r="BE113" s="42"/>
      <c r="BF113" s="42"/>
      <c r="BG113" s="42"/>
    </row>
    <row r="114" spans="1:59" ht="20" customHeight="1" outlineLevel="1">
      <c r="A114" s="485">
        <v>1903010</v>
      </c>
      <c r="B114" s="25">
        <v>42069</v>
      </c>
      <c r="C114" s="26" t="s">
        <v>67</v>
      </c>
      <c r="D114" s="26" t="s">
        <v>73</v>
      </c>
      <c r="E114" s="533" t="s">
        <v>434</v>
      </c>
      <c r="F114" s="519" t="s">
        <v>435</v>
      </c>
      <c r="G114" s="35"/>
      <c r="H114" s="290"/>
      <c r="I114" s="54"/>
      <c r="J114" s="30" t="s">
        <v>62</v>
      </c>
      <c r="K114" s="31" t="s">
        <v>66</v>
      </c>
      <c r="L114" s="50"/>
      <c r="M114" s="33"/>
      <c r="N114" s="31" t="s">
        <v>436</v>
      </c>
      <c r="O114" s="26" t="s">
        <v>437</v>
      </c>
      <c r="P114" s="559"/>
      <c r="Q114" s="290"/>
      <c r="R114" s="583">
        <v>0</v>
      </c>
      <c r="S114" s="584">
        <v>0</v>
      </c>
      <c r="T114" s="601">
        <v>0</v>
      </c>
      <c r="U114" s="593">
        <v>0</v>
      </c>
      <c r="V114" s="584">
        <v>0</v>
      </c>
      <c r="W114" s="601">
        <v>0</v>
      </c>
      <c r="X114" s="593">
        <v>0</v>
      </c>
      <c r="Y114" s="584">
        <v>0</v>
      </c>
      <c r="Z114" s="601">
        <v>0</v>
      </c>
      <c r="AA114" s="593">
        <v>0</v>
      </c>
      <c r="AB114" s="584">
        <v>0</v>
      </c>
      <c r="AC114" s="601">
        <v>0</v>
      </c>
      <c r="AD114" s="593">
        <v>0</v>
      </c>
      <c r="AE114" s="593"/>
      <c r="AF114" s="593"/>
      <c r="AG114" s="584">
        <v>0</v>
      </c>
      <c r="AH114" s="601">
        <v>0</v>
      </c>
      <c r="AI114" s="608">
        <v>0</v>
      </c>
      <c r="AJ114" s="608">
        <v>0</v>
      </c>
      <c r="AK114" s="738"/>
      <c r="AL114" s="519" t="s">
        <v>266</v>
      </c>
      <c r="AM114" s="35"/>
      <c r="AN114" s="36"/>
      <c r="AO114" s="26"/>
      <c r="AP114" s="37"/>
      <c r="AQ114" s="792">
        <f t="shared" si="9"/>
        <v>0</v>
      </c>
      <c r="AR114" s="831" t="e">
        <f t="shared" si="8"/>
        <v>#DIV/0!</v>
      </c>
      <c r="AS114" s="812"/>
      <c r="AT114" s="31" t="s">
        <v>66</v>
      </c>
      <c r="AU114" s="40"/>
      <c r="AV114" s="40"/>
      <c r="AW114" s="46"/>
      <c r="AX114" s="36"/>
      <c r="AY114" s="40"/>
      <c r="AZ114" s="41"/>
      <c r="BA114" s="31" t="s">
        <v>47</v>
      </c>
      <c r="BB114" s="41">
        <v>0</v>
      </c>
      <c r="BC114" s="42"/>
      <c r="BD114" s="42"/>
      <c r="BE114" s="42"/>
      <c r="BF114" s="42"/>
      <c r="BG114" s="42"/>
    </row>
    <row r="115" spans="1:59" ht="20" customHeight="1" outlineLevel="1">
      <c r="A115" s="485">
        <v>1903011</v>
      </c>
      <c r="B115" s="25">
        <v>42070</v>
      </c>
      <c r="C115" s="26" t="s">
        <v>67</v>
      </c>
      <c r="D115" s="26" t="s">
        <v>73</v>
      </c>
      <c r="E115" s="533" t="s">
        <v>60</v>
      </c>
      <c r="F115" s="519" t="s">
        <v>47</v>
      </c>
      <c r="G115" s="48" t="s">
        <v>47</v>
      </c>
      <c r="H115" s="291"/>
      <c r="I115" s="29" t="s">
        <v>47</v>
      </c>
      <c r="J115" s="30" t="s">
        <v>62</v>
      </c>
      <c r="K115" s="31" t="s">
        <v>163</v>
      </c>
      <c r="L115" s="90" t="s">
        <v>47</v>
      </c>
      <c r="M115" s="33">
        <v>42070</v>
      </c>
      <c r="N115" s="31" t="s">
        <v>438</v>
      </c>
      <c r="O115" s="26" t="s">
        <v>439</v>
      </c>
      <c r="P115" s="559"/>
      <c r="Q115" s="290"/>
      <c r="R115" s="583">
        <v>0</v>
      </c>
      <c r="S115" s="584">
        <v>0</v>
      </c>
      <c r="T115" s="601">
        <v>0</v>
      </c>
      <c r="U115" s="593">
        <v>0</v>
      </c>
      <c r="V115" s="584">
        <v>0</v>
      </c>
      <c r="W115" s="601">
        <v>0</v>
      </c>
      <c r="X115" s="593">
        <v>0</v>
      </c>
      <c r="Y115" s="584">
        <v>0</v>
      </c>
      <c r="Z115" s="601">
        <v>1</v>
      </c>
      <c r="AA115" s="593">
        <v>0</v>
      </c>
      <c r="AB115" s="584">
        <v>0</v>
      </c>
      <c r="AC115" s="601">
        <v>0</v>
      </c>
      <c r="AD115" s="593">
        <v>0</v>
      </c>
      <c r="AE115" s="593"/>
      <c r="AF115" s="593"/>
      <c r="AG115" s="584">
        <v>0</v>
      </c>
      <c r="AH115" s="601">
        <v>0</v>
      </c>
      <c r="AI115" s="608">
        <v>0</v>
      </c>
      <c r="AJ115" s="608">
        <v>0</v>
      </c>
      <c r="AK115" s="738"/>
      <c r="AL115" s="519" t="s">
        <v>47</v>
      </c>
      <c r="AM115" s="48" t="s">
        <v>47</v>
      </c>
      <c r="AN115" s="36">
        <v>0</v>
      </c>
      <c r="AO115" s="26" t="s">
        <v>47</v>
      </c>
      <c r="AP115" s="37">
        <v>0</v>
      </c>
      <c r="AQ115" s="792">
        <f t="shared" si="9"/>
        <v>0</v>
      </c>
      <c r="AR115" s="831" t="e">
        <f t="shared" si="8"/>
        <v>#DIV/0!</v>
      </c>
      <c r="AS115" s="812"/>
      <c r="AT115" s="31" t="s">
        <v>94</v>
      </c>
      <c r="AU115" s="38">
        <v>1</v>
      </c>
      <c r="AV115" s="26" t="s">
        <v>124</v>
      </c>
      <c r="AW115" s="46"/>
      <c r="AX115" s="36"/>
      <c r="AY115" s="40"/>
      <c r="AZ115" s="41"/>
      <c r="BA115" s="31" t="s">
        <v>47</v>
      </c>
      <c r="BB115" s="41">
        <v>0</v>
      </c>
      <c r="BC115" s="42"/>
      <c r="BD115" s="42"/>
      <c r="BE115" s="42"/>
      <c r="BF115" s="42"/>
      <c r="BG115" s="42"/>
    </row>
    <row r="116" spans="1:59" ht="20" customHeight="1" outlineLevel="1">
      <c r="A116" s="485">
        <v>1903012</v>
      </c>
      <c r="B116" s="25">
        <v>42070</v>
      </c>
      <c r="C116" s="26" t="s">
        <v>44</v>
      </c>
      <c r="D116" s="26" t="s">
        <v>96</v>
      </c>
      <c r="E116" s="533" t="s">
        <v>46</v>
      </c>
      <c r="F116" s="519" t="s">
        <v>47</v>
      </c>
      <c r="G116" s="48" t="s">
        <v>47</v>
      </c>
      <c r="H116" s="291"/>
      <c r="I116" s="29" t="s">
        <v>47</v>
      </c>
      <c r="J116" s="30" t="s">
        <v>62</v>
      </c>
      <c r="K116" s="31" t="s">
        <v>50</v>
      </c>
      <c r="L116" s="93">
        <v>157342393</v>
      </c>
      <c r="M116" s="33">
        <v>42073</v>
      </c>
      <c r="N116" s="31" t="s">
        <v>440</v>
      </c>
      <c r="O116" s="26" t="s">
        <v>441</v>
      </c>
      <c r="P116" s="559"/>
      <c r="Q116" s="290"/>
      <c r="R116" s="583">
        <v>0</v>
      </c>
      <c r="S116" s="584">
        <v>0</v>
      </c>
      <c r="T116" s="601">
        <v>0</v>
      </c>
      <c r="U116" s="593">
        <v>0</v>
      </c>
      <c r="V116" s="584">
        <v>0</v>
      </c>
      <c r="W116" s="601">
        <v>0</v>
      </c>
      <c r="X116" s="593">
        <v>0</v>
      </c>
      <c r="Y116" s="584">
        <v>0</v>
      </c>
      <c r="Z116" s="601">
        <v>0</v>
      </c>
      <c r="AA116" s="593">
        <v>0</v>
      </c>
      <c r="AB116" s="584">
        <v>0</v>
      </c>
      <c r="AC116" s="601">
        <v>0</v>
      </c>
      <c r="AD116" s="593">
        <v>0</v>
      </c>
      <c r="AE116" s="593"/>
      <c r="AF116" s="593"/>
      <c r="AG116" s="584">
        <v>0</v>
      </c>
      <c r="AH116" s="601">
        <v>0</v>
      </c>
      <c r="AI116" s="608">
        <v>0</v>
      </c>
      <c r="AJ116" s="608">
        <v>0</v>
      </c>
      <c r="AK116" s="738"/>
      <c r="AL116" s="519" t="s">
        <v>47</v>
      </c>
      <c r="AM116" s="48" t="s">
        <v>47</v>
      </c>
      <c r="AN116" s="36">
        <f>12*25.38</f>
        <v>304.56</v>
      </c>
      <c r="AO116" s="26" t="s">
        <v>47</v>
      </c>
      <c r="AP116" s="37">
        <v>0</v>
      </c>
      <c r="AQ116" s="792">
        <f t="shared" si="9"/>
        <v>-304.56</v>
      </c>
      <c r="AR116" s="831" t="e">
        <f t="shared" si="8"/>
        <v>#DIV/0!</v>
      </c>
      <c r="AS116" s="812"/>
      <c r="AT116" s="31" t="s">
        <v>57</v>
      </c>
      <c r="AU116" s="38">
        <v>1</v>
      </c>
      <c r="AV116" s="26" t="s">
        <v>442</v>
      </c>
      <c r="AW116" s="46">
        <v>7</v>
      </c>
      <c r="AX116" s="36">
        <v>0</v>
      </c>
      <c r="AY116" s="40"/>
      <c r="AZ116" s="41">
        <v>21.38</v>
      </c>
      <c r="BA116" s="31" t="s">
        <v>47</v>
      </c>
      <c r="BB116" s="41">
        <v>0</v>
      </c>
      <c r="BC116" s="42"/>
      <c r="BD116" s="42"/>
      <c r="BE116" s="42"/>
      <c r="BF116" s="42"/>
      <c r="BG116" s="42"/>
    </row>
    <row r="117" spans="1:59" ht="20" customHeight="1" outlineLevel="1">
      <c r="A117" s="485">
        <v>1903013</v>
      </c>
      <c r="B117" s="25">
        <v>42070</v>
      </c>
      <c r="C117" s="26" t="s">
        <v>44</v>
      </c>
      <c r="D117" s="26" t="s">
        <v>45</v>
      </c>
      <c r="E117" s="533" t="s">
        <v>89</v>
      </c>
      <c r="F117" s="519" t="s">
        <v>47</v>
      </c>
      <c r="G117" s="48" t="s">
        <v>47</v>
      </c>
      <c r="H117" s="291"/>
      <c r="I117" s="29" t="s">
        <v>47</v>
      </c>
      <c r="J117" s="30" t="s">
        <v>62</v>
      </c>
      <c r="K117" s="31" t="s">
        <v>50</v>
      </c>
      <c r="L117" s="91">
        <v>157426059</v>
      </c>
      <c r="M117" s="33">
        <v>42073</v>
      </c>
      <c r="N117" s="31" t="s">
        <v>443</v>
      </c>
      <c r="O117" s="26" t="s">
        <v>441</v>
      </c>
      <c r="P117" s="559"/>
      <c r="Q117" s="290"/>
      <c r="R117" s="583">
        <v>0</v>
      </c>
      <c r="S117" s="584">
        <v>0</v>
      </c>
      <c r="T117" s="601">
        <v>0</v>
      </c>
      <c r="U117" s="593">
        <v>0</v>
      </c>
      <c r="V117" s="584">
        <v>0</v>
      </c>
      <c r="W117" s="601">
        <v>0</v>
      </c>
      <c r="X117" s="593">
        <v>0</v>
      </c>
      <c r="Y117" s="584">
        <v>0</v>
      </c>
      <c r="Z117" s="601">
        <v>0</v>
      </c>
      <c r="AA117" s="593">
        <v>0</v>
      </c>
      <c r="AB117" s="584">
        <v>0</v>
      </c>
      <c r="AC117" s="601">
        <v>0</v>
      </c>
      <c r="AD117" s="593">
        <v>0</v>
      </c>
      <c r="AE117" s="593"/>
      <c r="AF117" s="593"/>
      <c r="AG117" s="584">
        <v>0</v>
      </c>
      <c r="AH117" s="601">
        <v>0</v>
      </c>
      <c r="AI117" s="608">
        <v>0</v>
      </c>
      <c r="AJ117" s="608">
        <v>0</v>
      </c>
      <c r="AK117" s="738"/>
      <c r="AL117" s="519" t="s">
        <v>47</v>
      </c>
      <c r="AM117" s="48" t="s">
        <v>47</v>
      </c>
      <c r="AN117" s="36">
        <f>1*25.38</f>
        <v>25.38</v>
      </c>
      <c r="AO117" s="26" t="s">
        <v>47</v>
      </c>
      <c r="AP117" s="37">
        <v>0</v>
      </c>
      <c r="AQ117" s="792">
        <f t="shared" si="9"/>
        <v>-25.38</v>
      </c>
      <c r="AR117" s="831" t="e">
        <f t="shared" si="8"/>
        <v>#DIV/0!</v>
      </c>
      <c r="AS117" s="812"/>
      <c r="AT117" s="31" t="s">
        <v>57</v>
      </c>
      <c r="AU117" s="38">
        <v>1</v>
      </c>
      <c r="AV117" s="26" t="s">
        <v>444</v>
      </c>
      <c r="AW117" s="46">
        <v>2</v>
      </c>
      <c r="AX117" s="36">
        <v>0</v>
      </c>
      <c r="AY117" s="40"/>
      <c r="AZ117" s="41">
        <v>20.94</v>
      </c>
      <c r="BA117" s="31" t="s">
        <v>47</v>
      </c>
      <c r="BB117" s="41">
        <v>0</v>
      </c>
      <c r="BC117" s="42"/>
      <c r="BD117" s="42"/>
      <c r="BE117" s="42"/>
      <c r="BF117" s="42"/>
      <c r="BG117" s="42"/>
    </row>
    <row r="118" spans="1:59" ht="20" customHeight="1" outlineLevel="1">
      <c r="A118" s="485">
        <v>1903014</v>
      </c>
      <c r="B118" s="25">
        <v>42073</v>
      </c>
      <c r="C118" s="26" t="s">
        <v>67</v>
      </c>
      <c r="D118" s="26" t="s">
        <v>96</v>
      </c>
      <c r="E118" s="533" t="s">
        <v>60</v>
      </c>
      <c r="F118" s="519" t="s">
        <v>47</v>
      </c>
      <c r="G118" s="48" t="s">
        <v>445</v>
      </c>
      <c r="H118" s="291"/>
      <c r="I118" s="49">
        <v>191101</v>
      </c>
      <c r="J118" s="30" t="s">
        <v>49</v>
      </c>
      <c r="K118" s="31" t="s">
        <v>50</v>
      </c>
      <c r="L118" s="44">
        <v>160043672</v>
      </c>
      <c r="M118" s="33">
        <v>42082</v>
      </c>
      <c r="N118" s="31" t="s">
        <v>270</v>
      </c>
      <c r="O118" s="26" t="s">
        <v>446</v>
      </c>
      <c r="P118" s="515" t="s">
        <v>447</v>
      </c>
      <c r="Q118" s="291"/>
      <c r="R118" s="583">
        <v>0</v>
      </c>
      <c r="S118" s="584">
        <v>0</v>
      </c>
      <c r="T118" s="601">
        <v>0</v>
      </c>
      <c r="U118" s="593">
        <v>0</v>
      </c>
      <c r="V118" s="584">
        <v>0</v>
      </c>
      <c r="W118" s="601">
        <v>0</v>
      </c>
      <c r="X118" s="593">
        <v>4</v>
      </c>
      <c r="Y118" s="584">
        <v>0</v>
      </c>
      <c r="Z118" s="601">
        <v>0</v>
      </c>
      <c r="AA118" s="593">
        <v>0</v>
      </c>
      <c r="AB118" s="584">
        <v>0</v>
      </c>
      <c r="AC118" s="601">
        <v>0</v>
      </c>
      <c r="AD118" s="593">
        <v>0</v>
      </c>
      <c r="AE118" s="593"/>
      <c r="AF118" s="593"/>
      <c r="AG118" s="584">
        <v>0</v>
      </c>
      <c r="AH118" s="601">
        <v>0</v>
      </c>
      <c r="AI118" s="608">
        <v>0</v>
      </c>
      <c r="AJ118" s="608">
        <v>0</v>
      </c>
      <c r="AK118" s="738"/>
      <c r="AL118" s="519" t="s">
        <v>65</v>
      </c>
      <c r="AM118" s="51">
        <v>190665</v>
      </c>
      <c r="AN118" s="36">
        <v>266.76</v>
      </c>
      <c r="AO118" s="26" t="s">
        <v>47</v>
      </c>
      <c r="AP118" s="37">
        <v>0</v>
      </c>
      <c r="AQ118" s="792">
        <f t="shared" si="9"/>
        <v>-266.76</v>
      </c>
      <c r="AR118" s="831" t="e">
        <f t="shared" si="8"/>
        <v>#DIV/0!</v>
      </c>
      <c r="AS118" s="815" t="s">
        <v>47</v>
      </c>
      <c r="AT118" s="31" t="s">
        <v>57</v>
      </c>
      <c r="AU118" s="38">
        <v>2</v>
      </c>
      <c r="AV118" s="26" t="s">
        <v>448</v>
      </c>
      <c r="AW118" s="46">
        <v>6</v>
      </c>
      <c r="AX118" s="36">
        <v>0</v>
      </c>
      <c r="AY118" s="40">
        <v>12574346</v>
      </c>
      <c r="AZ118" s="41">
        <v>19.34</v>
      </c>
      <c r="BA118" s="31" t="s">
        <v>47</v>
      </c>
      <c r="BB118" s="41">
        <v>0</v>
      </c>
      <c r="BC118" s="42"/>
      <c r="BD118" s="42"/>
      <c r="BE118" s="42"/>
      <c r="BF118" s="42"/>
      <c r="BG118" s="42"/>
    </row>
    <row r="119" spans="1:59" ht="20" customHeight="1" outlineLevel="1">
      <c r="A119" s="485">
        <v>1903015</v>
      </c>
      <c r="B119" s="25">
        <v>42073</v>
      </c>
      <c r="C119" s="26" t="s">
        <v>44</v>
      </c>
      <c r="D119" s="26" t="s">
        <v>73</v>
      </c>
      <c r="E119" s="685" t="s">
        <v>146</v>
      </c>
      <c r="F119" s="519" t="s">
        <v>47</v>
      </c>
      <c r="G119" s="48" t="s">
        <v>449</v>
      </c>
      <c r="H119" s="291"/>
      <c r="I119" s="49">
        <v>190989</v>
      </c>
      <c r="J119" s="30" t="s">
        <v>62</v>
      </c>
      <c r="K119" s="31" t="s">
        <v>50</v>
      </c>
      <c r="L119" s="44">
        <v>158019431</v>
      </c>
      <c r="M119" s="33">
        <v>42074</v>
      </c>
      <c r="N119" s="31" t="s">
        <v>450</v>
      </c>
      <c r="O119" s="26" t="s">
        <v>451</v>
      </c>
      <c r="P119" s="565">
        <v>2</v>
      </c>
      <c r="Q119" s="625"/>
      <c r="R119" s="583">
        <v>0</v>
      </c>
      <c r="S119" s="584">
        <v>0</v>
      </c>
      <c r="T119" s="601">
        <v>0</v>
      </c>
      <c r="U119" s="593">
        <v>0</v>
      </c>
      <c r="V119" s="584">
        <v>0</v>
      </c>
      <c r="W119" s="601">
        <v>0</v>
      </c>
      <c r="X119" s="593">
        <v>0</v>
      </c>
      <c r="Y119" s="584">
        <v>0</v>
      </c>
      <c r="Z119" s="601">
        <v>0</v>
      </c>
      <c r="AA119" s="593">
        <v>3</v>
      </c>
      <c r="AB119" s="584">
        <v>0</v>
      </c>
      <c r="AC119" s="601">
        <v>0</v>
      </c>
      <c r="AD119" s="593">
        <v>0</v>
      </c>
      <c r="AE119" s="593"/>
      <c r="AF119" s="593"/>
      <c r="AG119" s="584">
        <v>0</v>
      </c>
      <c r="AH119" s="601">
        <v>0</v>
      </c>
      <c r="AI119" s="608">
        <v>0</v>
      </c>
      <c r="AJ119" s="608">
        <v>0</v>
      </c>
      <c r="AK119" s="738"/>
      <c r="AL119" s="519" t="s">
        <v>396</v>
      </c>
      <c r="AM119" s="51">
        <v>190587</v>
      </c>
      <c r="AN119" s="36">
        <v>25.2</v>
      </c>
      <c r="AO119" s="26" t="s">
        <v>452</v>
      </c>
      <c r="AP119" s="37">
        <v>60</v>
      </c>
      <c r="AQ119" s="792">
        <f t="shared" si="9"/>
        <v>34.799999999999997</v>
      </c>
      <c r="AR119" s="831">
        <f t="shared" si="8"/>
        <v>0.57999999999999996</v>
      </c>
      <c r="AS119" s="812"/>
      <c r="AT119" s="31" t="s">
        <v>57</v>
      </c>
      <c r="AU119" s="38">
        <v>1</v>
      </c>
      <c r="AV119" s="40"/>
      <c r="AW119" s="46"/>
      <c r="AX119" s="36"/>
      <c r="AY119" s="40"/>
      <c r="AZ119" s="41"/>
      <c r="BA119" s="31" t="s">
        <v>47</v>
      </c>
      <c r="BB119" s="41">
        <v>0</v>
      </c>
      <c r="BC119" s="42"/>
      <c r="BD119" s="42"/>
      <c r="BE119" s="42"/>
      <c r="BF119" s="42"/>
      <c r="BG119" s="42"/>
    </row>
    <row r="120" spans="1:59" ht="20" customHeight="1" outlineLevel="1">
      <c r="A120" s="485">
        <v>1903016</v>
      </c>
      <c r="B120" s="25">
        <v>42073</v>
      </c>
      <c r="C120" s="26" t="s">
        <v>44</v>
      </c>
      <c r="D120" s="26" t="s">
        <v>73</v>
      </c>
      <c r="E120" s="533" t="s">
        <v>46</v>
      </c>
      <c r="F120" s="519" t="s">
        <v>47</v>
      </c>
      <c r="G120" s="48" t="s">
        <v>453</v>
      </c>
      <c r="H120" s="293" t="s">
        <v>1314</v>
      </c>
      <c r="I120" s="49">
        <v>191100</v>
      </c>
      <c r="J120" s="30" t="s">
        <v>62</v>
      </c>
      <c r="K120" s="31" t="s">
        <v>50</v>
      </c>
      <c r="L120" s="44">
        <v>160327365</v>
      </c>
      <c r="M120" s="33">
        <v>42083</v>
      </c>
      <c r="N120" s="31" t="s">
        <v>454</v>
      </c>
      <c r="O120" s="26" t="s">
        <v>455</v>
      </c>
      <c r="P120" s="565">
        <v>900198</v>
      </c>
      <c r="Q120" s="625"/>
      <c r="R120" s="583">
        <v>0</v>
      </c>
      <c r="S120" s="584">
        <v>0</v>
      </c>
      <c r="T120" s="601">
        <v>0</v>
      </c>
      <c r="U120" s="593">
        <v>2</v>
      </c>
      <c r="V120" s="584">
        <v>0</v>
      </c>
      <c r="W120" s="601">
        <v>0</v>
      </c>
      <c r="X120" s="593">
        <v>0</v>
      </c>
      <c r="Y120" s="584">
        <v>0</v>
      </c>
      <c r="Z120" s="601">
        <v>0</v>
      </c>
      <c r="AA120" s="593">
        <v>0</v>
      </c>
      <c r="AB120" s="584">
        <v>0</v>
      </c>
      <c r="AC120" s="601">
        <v>0</v>
      </c>
      <c r="AD120" s="593">
        <v>0</v>
      </c>
      <c r="AE120" s="593"/>
      <c r="AF120" s="593"/>
      <c r="AG120" s="584">
        <v>0</v>
      </c>
      <c r="AH120" s="601">
        <v>0</v>
      </c>
      <c r="AI120" s="608">
        <v>0</v>
      </c>
      <c r="AJ120" s="608">
        <v>0</v>
      </c>
      <c r="AK120" s="738"/>
      <c r="AL120" s="519" t="s">
        <v>55</v>
      </c>
      <c r="AM120" s="51">
        <v>190679</v>
      </c>
      <c r="AN120" s="36">
        <v>205.2</v>
      </c>
      <c r="AO120" s="26" t="s">
        <v>456</v>
      </c>
      <c r="AP120" s="37">
        <v>322.92</v>
      </c>
      <c r="AQ120" s="792">
        <f t="shared" si="9"/>
        <v>117.72000000000003</v>
      </c>
      <c r="AR120" s="831">
        <f t="shared" si="8"/>
        <v>0.36454849498327768</v>
      </c>
      <c r="AS120" s="812"/>
      <c r="AT120" s="31" t="s">
        <v>57</v>
      </c>
      <c r="AU120" s="38">
        <v>1</v>
      </c>
      <c r="AV120" s="26" t="s">
        <v>457</v>
      </c>
      <c r="AW120" s="46">
        <v>5</v>
      </c>
      <c r="AX120" s="36">
        <v>0</v>
      </c>
      <c r="AY120" s="26" t="s">
        <v>125</v>
      </c>
      <c r="AZ120" s="41">
        <v>0</v>
      </c>
      <c r="BA120" s="31" t="s">
        <v>47</v>
      </c>
      <c r="BB120" s="41">
        <v>0</v>
      </c>
      <c r="BC120" s="42"/>
      <c r="BD120" s="42"/>
      <c r="BE120" s="42"/>
      <c r="BF120" s="42"/>
      <c r="BG120" s="42"/>
    </row>
    <row r="121" spans="1:59" ht="20" customHeight="1" outlineLevel="1">
      <c r="A121" s="485">
        <v>1903017</v>
      </c>
      <c r="B121" s="25">
        <v>42073</v>
      </c>
      <c r="C121" s="26" t="s">
        <v>44</v>
      </c>
      <c r="D121" s="26" t="s">
        <v>73</v>
      </c>
      <c r="E121" s="533" t="s">
        <v>46</v>
      </c>
      <c r="F121" s="519" t="s">
        <v>458</v>
      </c>
      <c r="G121" s="253" t="s">
        <v>1513</v>
      </c>
      <c r="H121" s="294" t="s">
        <v>1314</v>
      </c>
      <c r="I121" s="261" t="s">
        <v>1812</v>
      </c>
      <c r="J121" s="255" t="s">
        <v>62</v>
      </c>
      <c r="K121" s="256" t="s">
        <v>50</v>
      </c>
      <c r="L121" s="50">
        <v>166019274</v>
      </c>
      <c r="M121" s="33" t="s">
        <v>1511</v>
      </c>
      <c r="N121" s="31" t="s">
        <v>440</v>
      </c>
      <c r="O121" s="26" t="s">
        <v>459</v>
      </c>
      <c r="P121" s="559"/>
      <c r="Q121" s="290"/>
      <c r="R121" s="583">
        <v>0</v>
      </c>
      <c r="S121" s="584">
        <v>0</v>
      </c>
      <c r="T121" s="601">
        <v>0</v>
      </c>
      <c r="U121" s="593">
        <v>0</v>
      </c>
      <c r="V121" s="584">
        <v>0</v>
      </c>
      <c r="W121" s="601">
        <v>0</v>
      </c>
      <c r="X121" s="593">
        <v>0</v>
      </c>
      <c r="Y121" s="584">
        <v>0</v>
      </c>
      <c r="Z121" s="601">
        <v>0</v>
      </c>
      <c r="AA121" s="593">
        <v>0</v>
      </c>
      <c r="AB121" s="584">
        <v>0</v>
      </c>
      <c r="AC121" s="601">
        <v>0</v>
      </c>
      <c r="AD121" s="593">
        <v>0</v>
      </c>
      <c r="AE121" s="593"/>
      <c r="AF121" s="593"/>
      <c r="AG121" s="584">
        <v>60</v>
      </c>
      <c r="AH121" s="601">
        <v>0</v>
      </c>
      <c r="AI121" s="608">
        <v>0</v>
      </c>
      <c r="AJ121" s="608">
        <v>0</v>
      </c>
      <c r="AK121" s="738"/>
      <c r="AL121" s="519" t="s">
        <v>65</v>
      </c>
      <c r="AM121" s="48" t="s">
        <v>411</v>
      </c>
      <c r="AN121" s="36">
        <f>60*PRODUCTS!C3</f>
        <v>3839.4</v>
      </c>
      <c r="AO121" s="252" t="s">
        <v>1512</v>
      </c>
      <c r="AP121" s="37">
        <v>4473</v>
      </c>
      <c r="AQ121" s="792">
        <f t="shared" si="9"/>
        <v>633.59999999999991</v>
      </c>
      <c r="AR121" s="831">
        <f t="shared" si="8"/>
        <v>0.14164989939637826</v>
      </c>
      <c r="AS121" s="812">
        <v>42138</v>
      </c>
      <c r="AT121" s="31" t="s">
        <v>57</v>
      </c>
      <c r="AU121" s="40">
        <v>15</v>
      </c>
      <c r="AV121" s="40"/>
      <c r="AW121" s="46">
        <f>15*20</f>
        <v>300</v>
      </c>
      <c r="AX121" s="36">
        <v>0</v>
      </c>
      <c r="AY121" s="26" t="s">
        <v>125</v>
      </c>
      <c r="AZ121" s="41">
        <v>0</v>
      </c>
      <c r="BA121" s="31" t="s">
        <v>47</v>
      </c>
      <c r="BB121" s="41">
        <v>0</v>
      </c>
      <c r="BC121" s="42"/>
      <c r="BD121" s="42"/>
      <c r="BE121" s="42"/>
      <c r="BF121" s="42"/>
      <c r="BG121" s="42"/>
    </row>
    <row r="122" spans="1:59" ht="20" customHeight="1" outlineLevel="1">
      <c r="A122" s="485">
        <v>1903018</v>
      </c>
      <c r="B122" s="25">
        <v>42073</v>
      </c>
      <c r="C122" s="26" t="s">
        <v>44</v>
      </c>
      <c r="D122" s="26" t="s">
        <v>73</v>
      </c>
      <c r="E122" s="533" t="s">
        <v>101</v>
      </c>
      <c r="F122" s="519" t="s">
        <v>47</v>
      </c>
      <c r="G122" s="48" t="s">
        <v>47</v>
      </c>
      <c r="H122" s="291"/>
      <c r="I122" s="29" t="s">
        <v>47</v>
      </c>
      <c r="J122" s="30" t="s">
        <v>62</v>
      </c>
      <c r="K122" s="31" t="s">
        <v>50</v>
      </c>
      <c r="L122" s="44">
        <v>157766049</v>
      </c>
      <c r="M122" s="33">
        <v>42074</v>
      </c>
      <c r="N122" s="31" t="s">
        <v>395</v>
      </c>
      <c r="O122" s="26" t="s">
        <v>460</v>
      </c>
      <c r="P122" s="559"/>
      <c r="Q122" s="290"/>
      <c r="R122" s="583">
        <v>0</v>
      </c>
      <c r="S122" s="584">
        <v>0</v>
      </c>
      <c r="T122" s="601">
        <v>0</v>
      </c>
      <c r="U122" s="593">
        <v>0</v>
      </c>
      <c r="V122" s="584">
        <v>0</v>
      </c>
      <c r="W122" s="601">
        <v>0</v>
      </c>
      <c r="X122" s="593">
        <v>0</v>
      </c>
      <c r="Y122" s="584">
        <v>0</v>
      </c>
      <c r="Z122" s="601">
        <v>0</v>
      </c>
      <c r="AA122" s="593">
        <v>0</v>
      </c>
      <c r="AB122" s="584">
        <v>0</v>
      </c>
      <c r="AC122" s="601">
        <v>0</v>
      </c>
      <c r="AD122" s="593">
        <v>0</v>
      </c>
      <c r="AE122" s="593"/>
      <c r="AF122" s="593"/>
      <c r="AG122" s="584">
        <v>1</v>
      </c>
      <c r="AH122" s="601">
        <v>0</v>
      </c>
      <c r="AI122" s="608">
        <v>0</v>
      </c>
      <c r="AJ122" s="608">
        <v>0</v>
      </c>
      <c r="AK122" s="738"/>
      <c r="AL122" s="519" t="s">
        <v>47</v>
      </c>
      <c r="AM122" s="48" t="s">
        <v>411</v>
      </c>
      <c r="AN122" s="36">
        <f>PRODUCTS!C3</f>
        <v>63.99</v>
      </c>
      <c r="AO122" s="26" t="s">
        <v>461</v>
      </c>
      <c r="AP122" s="37">
        <v>0</v>
      </c>
      <c r="AQ122" s="792">
        <f t="shared" si="9"/>
        <v>-63.99</v>
      </c>
      <c r="AR122" s="831" t="e">
        <f t="shared" si="8"/>
        <v>#DIV/0!</v>
      </c>
      <c r="AS122" s="815" t="s">
        <v>47</v>
      </c>
      <c r="AT122" s="31" t="s">
        <v>57</v>
      </c>
      <c r="AU122" s="38">
        <v>1</v>
      </c>
      <c r="AV122" s="26" t="s">
        <v>238</v>
      </c>
      <c r="AW122" s="46">
        <v>7</v>
      </c>
      <c r="AX122" s="36">
        <v>30</v>
      </c>
      <c r="AY122" s="38">
        <v>12564364</v>
      </c>
      <c r="AZ122" s="41">
        <v>22.39</v>
      </c>
      <c r="BA122" s="31" t="s">
        <v>47</v>
      </c>
      <c r="BB122" s="41">
        <v>0</v>
      </c>
      <c r="BC122" s="42"/>
      <c r="BD122" s="42"/>
      <c r="BE122" s="42"/>
      <c r="BF122" s="42"/>
      <c r="BG122" s="42"/>
    </row>
    <row r="123" spans="1:59" ht="20" customHeight="1" outlineLevel="1">
      <c r="A123" s="485">
        <v>1903019</v>
      </c>
      <c r="B123" s="25">
        <v>42073</v>
      </c>
      <c r="C123" s="26" t="s">
        <v>67</v>
      </c>
      <c r="D123" s="26" t="s">
        <v>73</v>
      </c>
      <c r="E123" s="533" t="s">
        <v>116</v>
      </c>
      <c r="F123" s="519" t="s">
        <v>47</v>
      </c>
      <c r="G123" s="48" t="s">
        <v>47</v>
      </c>
      <c r="H123" s="291"/>
      <c r="I123" s="29" t="s">
        <v>47</v>
      </c>
      <c r="J123" s="30" t="s">
        <v>62</v>
      </c>
      <c r="K123" s="31" t="s">
        <v>163</v>
      </c>
      <c r="L123" s="32" t="s">
        <v>47</v>
      </c>
      <c r="M123" s="33">
        <v>42073</v>
      </c>
      <c r="N123" s="31" t="s">
        <v>463</v>
      </c>
      <c r="O123" s="26" t="s">
        <v>464</v>
      </c>
      <c r="P123" s="559"/>
      <c r="Q123" s="290"/>
      <c r="R123" s="583">
        <v>0</v>
      </c>
      <c r="S123" s="584">
        <v>0</v>
      </c>
      <c r="T123" s="601">
        <v>0</v>
      </c>
      <c r="U123" s="593">
        <v>0</v>
      </c>
      <c r="V123" s="584">
        <v>0</v>
      </c>
      <c r="W123" s="601">
        <v>1</v>
      </c>
      <c r="X123" s="593">
        <v>0</v>
      </c>
      <c r="Y123" s="584">
        <v>0</v>
      </c>
      <c r="Z123" s="601">
        <v>0</v>
      </c>
      <c r="AA123" s="593">
        <v>0</v>
      </c>
      <c r="AB123" s="584">
        <v>0</v>
      </c>
      <c r="AC123" s="601">
        <v>0</v>
      </c>
      <c r="AD123" s="593">
        <v>0</v>
      </c>
      <c r="AE123" s="593"/>
      <c r="AF123" s="593"/>
      <c r="AG123" s="584">
        <v>0</v>
      </c>
      <c r="AH123" s="601">
        <v>0</v>
      </c>
      <c r="AI123" s="608">
        <v>0</v>
      </c>
      <c r="AJ123" s="608">
        <v>0</v>
      </c>
      <c r="AK123" s="738"/>
      <c r="AL123" s="519" t="s">
        <v>47</v>
      </c>
      <c r="AM123" s="48" t="s">
        <v>47</v>
      </c>
      <c r="AN123" s="36">
        <v>0</v>
      </c>
      <c r="AO123" s="26" t="s">
        <v>47</v>
      </c>
      <c r="AP123" s="37">
        <v>0</v>
      </c>
      <c r="AQ123" s="792">
        <f t="shared" si="9"/>
        <v>0</v>
      </c>
      <c r="AR123" s="831" t="e">
        <f t="shared" si="8"/>
        <v>#DIV/0!</v>
      </c>
      <c r="AS123" s="815" t="s">
        <v>47</v>
      </c>
      <c r="AT123" s="31" t="s">
        <v>94</v>
      </c>
      <c r="AU123" s="38">
        <v>1</v>
      </c>
      <c r="AV123" s="26" t="s">
        <v>465</v>
      </c>
      <c r="AW123" s="38">
        <v>0.5</v>
      </c>
      <c r="AX123" s="94">
        <v>0</v>
      </c>
      <c r="AY123" s="26" t="s">
        <v>47</v>
      </c>
      <c r="AZ123" s="41">
        <v>4.2</v>
      </c>
      <c r="BA123" s="31" t="s">
        <v>47</v>
      </c>
      <c r="BB123" s="41">
        <v>0</v>
      </c>
      <c r="BC123" s="42"/>
      <c r="BD123" s="42"/>
      <c r="BE123" s="42"/>
      <c r="BF123" s="42"/>
      <c r="BG123" s="42"/>
    </row>
    <row r="124" spans="1:59" ht="20" customHeight="1" outlineLevel="1">
      <c r="A124" s="485">
        <v>1903020</v>
      </c>
      <c r="B124" s="25">
        <v>42075</v>
      </c>
      <c r="C124" s="26" t="s">
        <v>67</v>
      </c>
      <c r="D124" s="26" t="s">
        <v>73</v>
      </c>
      <c r="E124" s="533" t="s">
        <v>466</v>
      </c>
      <c r="F124" s="519" t="s">
        <v>467</v>
      </c>
      <c r="G124" s="35"/>
      <c r="H124" s="290"/>
      <c r="I124" s="54"/>
      <c r="J124" s="30" t="s">
        <v>66</v>
      </c>
      <c r="K124" s="31" t="s">
        <v>66</v>
      </c>
      <c r="L124" s="50"/>
      <c r="M124" s="33"/>
      <c r="N124" s="31" t="s">
        <v>468</v>
      </c>
      <c r="O124" s="26" t="s">
        <v>469</v>
      </c>
      <c r="P124" s="559"/>
      <c r="Q124" s="290"/>
      <c r="R124" s="583">
        <v>0</v>
      </c>
      <c r="S124" s="584">
        <v>0</v>
      </c>
      <c r="T124" s="601">
        <v>0</v>
      </c>
      <c r="U124" s="593">
        <v>0</v>
      </c>
      <c r="V124" s="584">
        <v>0</v>
      </c>
      <c r="W124" s="601">
        <v>0</v>
      </c>
      <c r="X124" s="593">
        <v>0</v>
      </c>
      <c r="Y124" s="584">
        <v>0</v>
      </c>
      <c r="Z124" s="601">
        <v>0</v>
      </c>
      <c r="AA124" s="593">
        <v>0</v>
      </c>
      <c r="AB124" s="584">
        <v>0</v>
      </c>
      <c r="AC124" s="601">
        <v>0</v>
      </c>
      <c r="AD124" s="593">
        <v>0</v>
      </c>
      <c r="AE124" s="593"/>
      <c r="AF124" s="593"/>
      <c r="AG124" s="584">
        <v>0</v>
      </c>
      <c r="AH124" s="601">
        <v>0</v>
      </c>
      <c r="AI124" s="608">
        <v>0</v>
      </c>
      <c r="AJ124" s="608">
        <v>0</v>
      </c>
      <c r="AK124" s="738"/>
      <c r="AL124" s="519" t="s">
        <v>266</v>
      </c>
      <c r="AM124" s="35"/>
      <c r="AN124" s="36"/>
      <c r="AO124" s="26"/>
      <c r="AP124" s="37"/>
      <c r="AQ124" s="792">
        <f t="shared" si="9"/>
        <v>0</v>
      </c>
      <c r="AR124" s="831" t="e">
        <f t="shared" si="8"/>
        <v>#DIV/0!</v>
      </c>
      <c r="AS124" s="812"/>
      <c r="AT124" s="31" t="s">
        <v>94</v>
      </c>
      <c r="AU124" s="38">
        <v>1</v>
      </c>
      <c r="AV124" s="26" t="s">
        <v>465</v>
      </c>
      <c r="AW124" s="38">
        <v>0.5</v>
      </c>
      <c r="AX124" s="94">
        <v>0</v>
      </c>
      <c r="AY124" s="26" t="s">
        <v>47</v>
      </c>
      <c r="AZ124" s="41">
        <v>2.4</v>
      </c>
      <c r="BA124" s="31" t="s">
        <v>47</v>
      </c>
      <c r="BB124" s="41">
        <v>0</v>
      </c>
      <c r="BC124" s="42"/>
      <c r="BD124" s="42"/>
      <c r="BE124" s="42"/>
      <c r="BF124" s="42"/>
      <c r="BG124" s="42"/>
    </row>
    <row r="125" spans="1:59" ht="20" customHeight="1" outlineLevel="1">
      <c r="A125" s="485">
        <v>1903021</v>
      </c>
      <c r="B125" s="25">
        <v>42075</v>
      </c>
      <c r="C125" s="26" t="s">
        <v>67</v>
      </c>
      <c r="D125" s="26" t="s">
        <v>73</v>
      </c>
      <c r="E125" s="533" t="s">
        <v>69</v>
      </c>
      <c r="F125" s="519" t="s">
        <v>470</v>
      </c>
      <c r="G125" s="35"/>
      <c r="H125" s="290"/>
      <c r="I125" s="54"/>
      <c r="J125" s="30" t="s">
        <v>66</v>
      </c>
      <c r="K125" s="31" t="s">
        <v>66</v>
      </c>
      <c r="L125" s="50"/>
      <c r="M125" s="33"/>
      <c r="N125" s="31" t="s">
        <v>471</v>
      </c>
      <c r="O125" s="26" t="s">
        <v>472</v>
      </c>
      <c r="P125" s="559"/>
      <c r="Q125" s="290"/>
      <c r="R125" s="583">
        <v>0</v>
      </c>
      <c r="S125" s="584">
        <v>0</v>
      </c>
      <c r="T125" s="601">
        <v>0</v>
      </c>
      <c r="U125" s="593">
        <v>0</v>
      </c>
      <c r="V125" s="584">
        <v>0</v>
      </c>
      <c r="W125" s="601">
        <v>0</v>
      </c>
      <c r="X125" s="593">
        <v>0</v>
      </c>
      <c r="Y125" s="584">
        <v>0</v>
      </c>
      <c r="Z125" s="601">
        <v>0</v>
      </c>
      <c r="AA125" s="593">
        <v>0</v>
      </c>
      <c r="AB125" s="584">
        <v>0</v>
      </c>
      <c r="AC125" s="601">
        <v>0</v>
      </c>
      <c r="AD125" s="593">
        <v>0</v>
      </c>
      <c r="AE125" s="593"/>
      <c r="AF125" s="593"/>
      <c r="AG125" s="584">
        <v>0</v>
      </c>
      <c r="AH125" s="601">
        <v>0</v>
      </c>
      <c r="AI125" s="608">
        <v>0</v>
      </c>
      <c r="AJ125" s="608">
        <v>0</v>
      </c>
      <c r="AK125" s="738"/>
      <c r="AL125" s="519" t="s">
        <v>71</v>
      </c>
      <c r="AM125" s="35"/>
      <c r="AN125" s="36"/>
      <c r="AO125" s="26"/>
      <c r="AP125" s="37"/>
      <c r="AQ125" s="792">
        <f t="shared" si="9"/>
        <v>0</v>
      </c>
      <c r="AR125" s="831" t="e">
        <f t="shared" si="8"/>
        <v>#DIV/0!</v>
      </c>
      <c r="AS125" s="812"/>
      <c r="AT125" s="31" t="s">
        <v>66</v>
      </c>
      <c r="AU125" s="40"/>
      <c r="AV125" s="40"/>
      <c r="AW125" s="46"/>
      <c r="AX125" s="36"/>
      <c r="AY125" s="40"/>
      <c r="AZ125" s="41"/>
      <c r="BA125" s="31" t="s">
        <v>47</v>
      </c>
      <c r="BB125" s="41">
        <v>0</v>
      </c>
      <c r="BC125" s="42"/>
      <c r="BD125" s="42"/>
      <c r="BE125" s="42"/>
      <c r="BF125" s="42"/>
      <c r="BG125" s="42"/>
    </row>
    <row r="126" spans="1:59" ht="20" customHeight="1" outlineLevel="1">
      <c r="A126" s="485">
        <v>1903022</v>
      </c>
      <c r="B126" s="25">
        <v>42076</v>
      </c>
      <c r="C126" s="26" t="s">
        <v>44</v>
      </c>
      <c r="D126" s="26" t="s">
        <v>73</v>
      </c>
      <c r="E126" s="533" t="s">
        <v>162</v>
      </c>
      <c r="F126" s="519" t="s">
        <v>47</v>
      </c>
      <c r="G126" s="48" t="s">
        <v>473</v>
      </c>
      <c r="H126" s="291"/>
      <c r="I126" s="49">
        <v>190136</v>
      </c>
      <c r="J126" s="30" t="s">
        <v>62</v>
      </c>
      <c r="K126" s="31" t="s">
        <v>50</v>
      </c>
      <c r="L126" s="44">
        <v>158742857</v>
      </c>
      <c r="M126" s="33">
        <v>42076</v>
      </c>
      <c r="N126" s="31" t="s">
        <v>474</v>
      </c>
      <c r="O126" s="26" t="s">
        <v>475</v>
      </c>
      <c r="P126" s="565">
        <v>58719</v>
      </c>
      <c r="Q126" s="625"/>
      <c r="R126" s="583">
        <v>1</v>
      </c>
      <c r="S126" s="584">
        <v>0</v>
      </c>
      <c r="T126" s="601">
        <v>0</v>
      </c>
      <c r="U126" s="593">
        <v>0</v>
      </c>
      <c r="V126" s="584">
        <v>0</v>
      </c>
      <c r="W126" s="601">
        <v>0</v>
      </c>
      <c r="X126" s="593">
        <v>0</v>
      </c>
      <c r="Y126" s="584">
        <v>0</v>
      </c>
      <c r="Z126" s="601">
        <v>0</v>
      </c>
      <c r="AA126" s="593">
        <v>0</v>
      </c>
      <c r="AB126" s="584">
        <v>0</v>
      </c>
      <c r="AC126" s="601">
        <v>0</v>
      </c>
      <c r="AD126" s="593">
        <v>0</v>
      </c>
      <c r="AE126" s="593"/>
      <c r="AF126" s="593"/>
      <c r="AG126" s="584">
        <v>0</v>
      </c>
      <c r="AH126" s="601">
        <v>0</v>
      </c>
      <c r="AI126" s="608">
        <v>0</v>
      </c>
      <c r="AJ126" s="608">
        <v>0</v>
      </c>
      <c r="AK126" s="738"/>
      <c r="AL126" s="519" t="s">
        <v>476</v>
      </c>
      <c r="AM126" s="51">
        <v>190614</v>
      </c>
      <c r="AN126" s="36">
        <v>8</v>
      </c>
      <c r="AO126" s="26" t="s">
        <v>477</v>
      </c>
      <c r="AP126" s="37">
        <f>12.6-3</f>
        <v>9.6</v>
      </c>
      <c r="AQ126" s="792">
        <f t="shared" si="9"/>
        <v>1.5999999999999996</v>
      </c>
      <c r="AR126" s="831">
        <f t="shared" si="8"/>
        <v>0.16666666666666663</v>
      </c>
      <c r="AS126" s="812"/>
      <c r="AT126" s="31" t="s">
        <v>57</v>
      </c>
      <c r="AU126" s="38">
        <v>1</v>
      </c>
      <c r="AV126" s="26" t="s">
        <v>229</v>
      </c>
      <c r="AW126" s="39" t="s">
        <v>478</v>
      </c>
      <c r="AX126" s="36">
        <v>10</v>
      </c>
      <c r="AY126" s="38">
        <v>12564364</v>
      </c>
      <c r="AZ126" s="41">
        <v>12.06</v>
      </c>
      <c r="BA126" s="31" t="s">
        <v>47</v>
      </c>
      <c r="BB126" s="41">
        <v>0</v>
      </c>
      <c r="BC126" s="42"/>
      <c r="BD126" s="42"/>
      <c r="BE126" s="42"/>
      <c r="BF126" s="42"/>
      <c r="BG126" s="42"/>
    </row>
    <row r="127" spans="1:59" ht="20" customHeight="1" outlineLevel="1">
      <c r="A127" s="485">
        <v>1903023</v>
      </c>
      <c r="B127" s="25">
        <v>42076</v>
      </c>
      <c r="C127" s="26" t="s">
        <v>44</v>
      </c>
      <c r="D127" s="26" t="s">
        <v>73</v>
      </c>
      <c r="E127" s="533" t="s">
        <v>69</v>
      </c>
      <c r="F127" s="519" t="s">
        <v>47</v>
      </c>
      <c r="G127" s="48" t="s">
        <v>479</v>
      </c>
      <c r="H127" s="293" t="s">
        <v>47</v>
      </c>
      <c r="I127" s="261" t="s">
        <v>1804</v>
      </c>
      <c r="J127" s="30" t="s">
        <v>62</v>
      </c>
      <c r="K127" s="256" t="s">
        <v>118</v>
      </c>
      <c r="L127" s="399" t="s">
        <v>47</v>
      </c>
      <c r="M127" s="33">
        <v>42116</v>
      </c>
      <c r="N127" s="31" t="s">
        <v>345</v>
      </c>
      <c r="O127" s="26" t="s">
        <v>480</v>
      </c>
      <c r="P127" s="515" t="s">
        <v>481</v>
      </c>
      <c r="Q127" s="291"/>
      <c r="R127" s="583">
        <v>0</v>
      </c>
      <c r="S127" s="584">
        <v>0</v>
      </c>
      <c r="T127" s="601">
        <v>0</v>
      </c>
      <c r="U127" s="593">
        <v>0</v>
      </c>
      <c r="V127" s="584">
        <v>0</v>
      </c>
      <c r="W127" s="601">
        <v>0</v>
      </c>
      <c r="X127" s="593">
        <v>0</v>
      </c>
      <c r="Y127" s="584">
        <v>0</v>
      </c>
      <c r="Z127" s="601">
        <v>0</v>
      </c>
      <c r="AA127" s="593">
        <v>0</v>
      </c>
      <c r="AB127" s="584">
        <v>0</v>
      </c>
      <c r="AC127" s="601">
        <v>0</v>
      </c>
      <c r="AD127" s="593">
        <f>24*24</f>
        <v>576</v>
      </c>
      <c r="AE127" s="593"/>
      <c r="AF127" s="593"/>
      <c r="AG127" s="584">
        <v>0</v>
      </c>
      <c r="AH127" s="601">
        <v>0</v>
      </c>
      <c r="AI127" s="608">
        <v>0</v>
      </c>
      <c r="AJ127" s="608">
        <v>0</v>
      </c>
      <c r="AK127" s="738"/>
      <c r="AL127" s="519" t="s">
        <v>65</v>
      </c>
      <c r="AM127" s="35">
        <v>190930</v>
      </c>
      <c r="AN127" s="36">
        <v>3536.4</v>
      </c>
      <c r="AO127" s="252" t="s">
        <v>1805</v>
      </c>
      <c r="AP127" s="37">
        <v>5473.2</v>
      </c>
      <c r="AQ127" s="792">
        <f t="shared" si="9"/>
        <v>1936.7999999999997</v>
      </c>
      <c r="AR127" s="831">
        <f t="shared" si="8"/>
        <v>0.35386976540232401</v>
      </c>
      <c r="AS127" s="812" t="s">
        <v>1314</v>
      </c>
      <c r="AT127" s="256" t="s">
        <v>1806</v>
      </c>
      <c r="AU127" s="40">
        <v>1</v>
      </c>
      <c r="AV127" s="258" t="s">
        <v>123</v>
      </c>
      <c r="AW127" s="571" t="s">
        <v>123</v>
      </c>
      <c r="AX127" s="36">
        <v>0</v>
      </c>
      <c r="AY127" s="258" t="s">
        <v>118</v>
      </c>
      <c r="AZ127" s="41">
        <v>0</v>
      </c>
      <c r="BA127" s="31" t="s">
        <v>47</v>
      </c>
      <c r="BB127" s="41">
        <v>0</v>
      </c>
      <c r="BC127" s="42"/>
      <c r="BD127" s="42"/>
      <c r="BE127" s="42"/>
      <c r="BF127" s="42"/>
      <c r="BG127" s="42"/>
    </row>
    <row r="128" spans="1:59" ht="20.25" customHeight="1" outlineLevel="1">
      <c r="A128" s="485">
        <v>1903024</v>
      </c>
      <c r="B128" s="25">
        <v>42076</v>
      </c>
      <c r="C128" s="26" t="s">
        <v>44</v>
      </c>
      <c r="D128" s="26" t="s">
        <v>73</v>
      </c>
      <c r="E128" s="533" t="s">
        <v>69</v>
      </c>
      <c r="F128" s="519" t="s">
        <v>47</v>
      </c>
      <c r="G128" s="48" t="s">
        <v>482</v>
      </c>
      <c r="H128" s="291" t="s">
        <v>47</v>
      </c>
      <c r="I128" s="29" t="s">
        <v>1317</v>
      </c>
      <c r="J128" s="30" t="s">
        <v>62</v>
      </c>
      <c r="K128" s="31" t="s">
        <v>50</v>
      </c>
      <c r="L128" s="86">
        <v>159055191</v>
      </c>
      <c r="M128" s="33">
        <v>42077</v>
      </c>
      <c r="N128" s="31" t="s">
        <v>345</v>
      </c>
      <c r="O128" s="26" t="s">
        <v>483</v>
      </c>
      <c r="P128" s="515" t="s">
        <v>484</v>
      </c>
      <c r="Q128" s="291"/>
      <c r="R128" s="583">
        <v>0</v>
      </c>
      <c r="S128" s="584">
        <v>0</v>
      </c>
      <c r="T128" s="601">
        <v>0</v>
      </c>
      <c r="U128" s="593">
        <v>0</v>
      </c>
      <c r="V128" s="584">
        <v>0</v>
      </c>
      <c r="W128" s="601">
        <v>0</v>
      </c>
      <c r="X128" s="593">
        <v>0</v>
      </c>
      <c r="Y128" s="584">
        <v>0</v>
      </c>
      <c r="Z128" s="601">
        <v>0</v>
      </c>
      <c r="AA128" s="593">
        <v>0</v>
      </c>
      <c r="AB128" s="584">
        <v>0</v>
      </c>
      <c r="AC128" s="601">
        <v>0</v>
      </c>
      <c r="AD128" s="593">
        <v>26</v>
      </c>
      <c r="AE128" s="593"/>
      <c r="AF128" s="593"/>
      <c r="AG128" s="584">
        <v>0</v>
      </c>
      <c r="AH128" s="601">
        <v>0</v>
      </c>
      <c r="AI128" s="608">
        <v>0</v>
      </c>
      <c r="AJ128" s="608">
        <v>0</v>
      </c>
      <c r="AK128" s="738"/>
      <c r="AL128" s="519" t="s">
        <v>476</v>
      </c>
      <c r="AM128" s="51">
        <v>190628</v>
      </c>
      <c r="AN128" s="36">
        <v>324.25</v>
      </c>
      <c r="AO128" s="26" t="s">
        <v>485</v>
      </c>
      <c r="AP128" s="37">
        <v>489.12</v>
      </c>
      <c r="AQ128" s="792">
        <f t="shared" si="9"/>
        <v>164.87</v>
      </c>
      <c r="AR128" s="831">
        <f t="shared" si="8"/>
        <v>0.33707474648348057</v>
      </c>
      <c r="AS128" s="812" t="s">
        <v>191</v>
      </c>
      <c r="AT128" s="31" t="s">
        <v>57</v>
      </c>
      <c r="AU128" s="38">
        <v>3</v>
      </c>
      <c r="AV128" s="26" t="s">
        <v>486</v>
      </c>
      <c r="AW128" s="46">
        <v>7</v>
      </c>
      <c r="AX128" s="36">
        <v>26</v>
      </c>
      <c r="AY128" s="38">
        <v>12564364</v>
      </c>
      <c r="AZ128" s="41">
        <f>13.91+16.58</f>
        <v>30.49</v>
      </c>
      <c r="BA128" s="31" t="s">
        <v>47</v>
      </c>
      <c r="BB128" s="41">
        <v>0</v>
      </c>
      <c r="BC128" s="42"/>
      <c r="BD128" s="42"/>
      <c r="BE128" s="42"/>
      <c r="BF128" s="42"/>
      <c r="BG128" s="42"/>
    </row>
    <row r="129" spans="1:277" ht="20" customHeight="1" outlineLevel="1">
      <c r="A129" s="485">
        <v>1903025</v>
      </c>
      <c r="B129" s="25">
        <v>42077</v>
      </c>
      <c r="C129" s="26" t="s">
        <v>67</v>
      </c>
      <c r="D129" s="26" t="s">
        <v>73</v>
      </c>
      <c r="E129" s="533" t="s">
        <v>69</v>
      </c>
      <c r="F129" s="519" t="s">
        <v>47</v>
      </c>
      <c r="G129" s="48" t="s">
        <v>47</v>
      </c>
      <c r="H129" s="291"/>
      <c r="I129" s="29" t="s">
        <v>47</v>
      </c>
      <c r="J129" s="30" t="s">
        <v>62</v>
      </c>
      <c r="K129" s="31" t="s">
        <v>163</v>
      </c>
      <c r="L129" s="32" t="s">
        <v>47</v>
      </c>
      <c r="M129" s="33">
        <v>42077</v>
      </c>
      <c r="N129" s="31" t="s">
        <v>487</v>
      </c>
      <c r="O129" s="26" t="s">
        <v>488</v>
      </c>
      <c r="P129" s="515" t="s">
        <v>47</v>
      </c>
      <c r="Q129" s="291"/>
      <c r="R129" s="583">
        <v>0</v>
      </c>
      <c r="S129" s="584">
        <v>0</v>
      </c>
      <c r="T129" s="601">
        <v>0</v>
      </c>
      <c r="U129" s="593">
        <v>0</v>
      </c>
      <c r="V129" s="584">
        <v>0</v>
      </c>
      <c r="W129" s="601">
        <v>3</v>
      </c>
      <c r="X129" s="593">
        <v>0</v>
      </c>
      <c r="Y129" s="584">
        <v>0</v>
      </c>
      <c r="Z129" s="601">
        <v>0</v>
      </c>
      <c r="AA129" s="593">
        <v>0</v>
      </c>
      <c r="AB129" s="584">
        <v>0</v>
      </c>
      <c r="AC129" s="601">
        <v>3</v>
      </c>
      <c r="AD129" s="593">
        <v>0</v>
      </c>
      <c r="AE129" s="593"/>
      <c r="AF129" s="593"/>
      <c r="AG129" s="584">
        <v>0</v>
      </c>
      <c r="AH129" s="601">
        <v>0</v>
      </c>
      <c r="AI129" s="608">
        <v>0</v>
      </c>
      <c r="AJ129" s="608">
        <v>0</v>
      </c>
      <c r="AK129" s="738"/>
      <c r="AL129" s="519" t="s">
        <v>47</v>
      </c>
      <c r="AM129" s="253" t="s">
        <v>92</v>
      </c>
      <c r="AN129" s="36">
        <f>(3*PRODUCTS!C12)+(3*PRODUCTS!D12)</f>
        <v>1.2000000000000002</v>
      </c>
      <c r="AO129" s="252" t="s">
        <v>47</v>
      </c>
      <c r="AP129" s="37">
        <v>0</v>
      </c>
      <c r="AQ129" s="792">
        <f t="shared" si="9"/>
        <v>-1.2000000000000002</v>
      </c>
      <c r="AR129" s="831" t="e">
        <f t="shared" si="8"/>
        <v>#DIV/0!</v>
      </c>
      <c r="AS129" s="815" t="s">
        <v>47</v>
      </c>
      <c r="AT129" s="31" t="s">
        <v>94</v>
      </c>
      <c r="AU129" s="38">
        <v>1</v>
      </c>
      <c r="AV129" s="26" t="s">
        <v>489</v>
      </c>
      <c r="AW129" s="39" t="s">
        <v>490</v>
      </c>
      <c r="AX129" s="36">
        <v>0</v>
      </c>
      <c r="AY129" s="26" t="s">
        <v>47</v>
      </c>
      <c r="AZ129" s="41">
        <f>6*1.4</f>
        <v>8.3999999999999986</v>
      </c>
      <c r="BA129" s="31" t="s">
        <v>47</v>
      </c>
      <c r="BB129" s="41">
        <v>0</v>
      </c>
      <c r="BC129" s="42"/>
      <c r="BD129" s="42"/>
      <c r="BE129" s="42"/>
      <c r="BF129" s="42"/>
      <c r="BG129" s="42"/>
    </row>
    <row r="130" spans="1:277" ht="20" customHeight="1" outlineLevel="1">
      <c r="A130" s="485">
        <v>1903026</v>
      </c>
      <c r="B130" s="25">
        <v>42080</v>
      </c>
      <c r="C130" s="26" t="s">
        <v>67</v>
      </c>
      <c r="D130" s="26" t="s">
        <v>73</v>
      </c>
      <c r="E130" s="533" t="s">
        <v>162</v>
      </c>
      <c r="F130" s="519" t="s">
        <v>47</v>
      </c>
      <c r="G130" s="48" t="s">
        <v>47</v>
      </c>
      <c r="H130" s="291"/>
      <c r="I130" s="29" t="s">
        <v>47</v>
      </c>
      <c r="J130" s="30" t="s">
        <v>62</v>
      </c>
      <c r="K130" s="31" t="s">
        <v>163</v>
      </c>
      <c r="L130" s="32" t="s">
        <v>47</v>
      </c>
      <c r="M130" s="33">
        <v>42080</v>
      </c>
      <c r="N130" s="31" t="s">
        <v>491</v>
      </c>
      <c r="O130" s="26" t="s">
        <v>488</v>
      </c>
      <c r="P130" s="515" t="s">
        <v>47</v>
      </c>
      <c r="Q130" s="291"/>
      <c r="R130" s="583">
        <v>0</v>
      </c>
      <c r="S130" s="584">
        <v>0</v>
      </c>
      <c r="T130" s="601">
        <v>0</v>
      </c>
      <c r="U130" s="593">
        <v>0</v>
      </c>
      <c r="V130" s="584">
        <v>0</v>
      </c>
      <c r="W130" s="601">
        <v>1</v>
      </c>
      <c r="X130" s="593">
        <v>0</v>
      </c>
      <c r="Y130" s="584">
        <v>0</v>
      </c>
      <c r="Z130" s="601">
        <v>0</v>
      </c>
      <c r="AA130" s="593">
        <v>0</v>
      </c>
      <c r="AB130" s="584">
        <v>0</v>
      </c>
      <c r="AC130" s="601">
        <v>0</v>
      </c>
      <c r="AD130" s="593">
        <v>0</v>
      </c>
      <c r="AE130" s="593"/>
      <c r="AF130" s="593"/>
      <c r="AG130" s="584">
        <v>0</v>
      </c>
      <c r="AH130" s="601">
        <v>0</v>
      </c>
      <c r="AI130" s="608">
        <v>0</v>
      </c>
      <c r="AJ130" s="608">
        <v>0</v>
      </c>
      <c r="AK130" s="738"/>
      <c r="AL130" s="519" t="s">
        <v>47</v>
      </c>
      <c r="AM130" s="48" t="s">
        <v>411</v>
      </c>
      <c r="AN130" s="36">
        <f>1*PRODUCTS!C14</f>
        <v>1.32</v>
      </c>
      <c r="AO130" s="26" t="s">
        <v>47</v>
      </c>
      <c r="AP130" s="37">
        <v>0</v>
      </c>
      <c r="AQ130" s="792">
        <f t="shared" si="9"/>
        <v>-1.32</v>
      </c>
      <c r="AR130" s="831" t="e">
        <f t="shared" si="8"/>
        <v>#DIV/0!</v>
      </c>
      <c r="AS130" s="815" t="s">
        <v>47</v>
      </c>
      <c r="AT130" s="31" t="s">
        <v>94</v>
      </c>
      <c r="AU130" s="38">
        <v>1</v>
      </c>
      <c r="AV130" s="26" t="s">
        <v>492</v>
      </c>
      <c r="AW130" s="39" t="s">
        <v>493</v>
      </c>
      <c r="AX130" s="36">
        <v>0</v>
      </c>
      <c r="AY130" s="26" t="s">
        <v>47</v>
      </c>
      <c r="AZ130" s="41">
        <f>3*1.4</f>
        <v>4.1999999999999993</v>
      </c>
      <c r="BA130" s="31" t="s">
        <v>47</v>
      </c>
      <c r="BB130" s="41">
        <v>0</v>
      </c>
      <c r="BC130" s="42"/>
      <c r="BD130" s="42"/>
      <c r="BE130" s="42"/>
      <c r="BF130" s="42"/>
      <c r="BG130" s="42"/>
    </row>
    <row r="131" spans="1:277" ht="20" customHeight="1" outlineLevel="1">
      <c r="A131" s="485">
        <v>1903027</v>
      </c>
      <c r="B131" s="25">
        <v>42080</v>
      </c>
      <c r="C131" s="26" t="s">
        <v>44</v>
      </c>
      <c r="D131" s="26" t="s">
        <v>96</v>
      </c>
      <c r="E131" s="533" t="s">
        <v>74</v>
      </c>
      <c r="F131" s="519" t="s">
        <v>47</v>
      </c>
      <c r="G131" s="48" t="s">
        <v>494</v>
      </c>
      <c r="H131" s="291" t="s">
        <v>123</v>
      </c>
      <c r="I131" s="49">
        <v>191099</v>
      </c>
      <c r="J131" s="30" t="s">
        <v>49</v>
      </c>
      <c r="K131" s="31" t="s">
        <v>50</v>
      </c>
      <c r="L131" s="44">
        <v>1603206662</v>
      </c>
      <c r="M131" s="33">
        <v>42083</v>
      </c>
      <c r="N131" s="31" t="s">
        <v>75</v>
      </c>
      <c r="O131" s="26" t="s">
        <v>495</v>
      </c>
      <c r="P131" s="515" t="s">
        <v>47</v>
      </c>
      <c r="Q131" s="291"/>
      <c r="R131" s="583">
        <v>0</v>
      </c>
      <c r="S131" s="584">
        <v>0</v>
      </c>
      <c r="T131" s="601">
        <v>0</v>
      </c>
      <c r="U131" s="593">
        <v>1</v>
      </c>
      <c r="V131" s="584">
        <v>0</v>
      </c>
      <c r="W131" s="601">
        <v>0</v>
      </c>
      <c r="X131" s="593">
        <v>0</v>
      </c>
      <c r="Y131" s="584">
        <v>0</v>
      </c>
      <c r="Z131" s="601">
        <v>0</v>
      </c>
      <c r="AA131" s="593">
        <v>0</v>
      </c>
      <c r="AB131" s="584">
        <v>0</v>
      </c>
      <c r="AC131" s="601">
        <v>0</v>
      </c>
      <c r="AD131" s="593">
        <v>0</v>
      </c>
      <c r="AE131" s="593"/>
      <c r="AF131" s="593"/>
      <c r="AG131" s="584">
        <v>0</v>
      </c>
      <c r="AH131" s="601">
        <v>0</v>
      </c>
      <c r="AI131" s="608">
        <v>0</v>
      </c>
      <c r="AJ131" s="608">
        <v>0</v>
      </c>
      <c r="AK131" s="738"/>
      <c r="AL131" s="519" t="s">
        <v>78</v>
      </c>
      <c r="AM131" s="51">
        <v>190680</v>
      </c>
      <c r="AN131" s="36">
        <v>93.79</v>
      </c>
      <c r="AO131" s="26" t="s">
        <v>496</v>
      </c>
      <c r="AP131" s="37">
        <v>108.11</v>
      </c>
      <c r="AQ131" s="792">
        <f t="shared" si="9"/>
        <v>14.319999999999993</v>
      </c>
      <c r="AR131" s="831">
        <f t="shared" si="8"/>
        <v>0.1324576819905651</v>
      </c>
      <c r="AS131" s="812"/>
      <c r="AT131" s="31" t="s">
        <v>57</v>
      </c>
      <c r="AU131" s="38">
        <v>1</v>
      </c>
      <c r="AV131" s="26" t="s">
        <v>457</v>
      </c>
      <c r="AW131" s="46">
        <v>2.5</v>
      </c>
      <c r="AX131" s="36">
        <v>70</v>
      </c>
      <c r="AY131" s="40">
        <v>12574347</v>
      </c>
      <c r="AZ131" s="41">
        <v>67.510000000000005</v>
      </c>
      <c r="BA131" s="31" t="s">
        <v>47</v>
      </c>
      <c r="BB131" s="41">
        <v>0</v>
      </c>
      <c r="BC131" s="42"/>
      <c r="BD131" s="42"/>
      <c r="BE131" s="42"/>
      <c r="BF131" s="42"/>
      <c r="BG131" s="42"/>
    </row>
    <row r="132" spans="1:277" ht="20" customHeight="1" outlineLevel="1">
      <c r="A132" s="485">
        <v>1903028</v>
      </c>
      <c r="B132" s="25">
        <v>42081</v>
      </c>
      <c r="C132" s="26" t="s">
        <v>67</v>
      </c>
      <c r="D132" s="26" t="s">
        <v>73</v>
      </c>
      <c r="E132" s="533" t="s">
        <v>60</v>
      </c>
      <c r="F132" s="519" t="s">
        <v>47</v>
      </c>
      <c r="G132" s="48" t="s">
        <v>47</v>
      </c>
      <c r="H132" s="291"/>
      <c r="I132" s="29" t="s">
        <v>47</v>
      </c>
      <c r="J132" s="30" t="s">
        <v>62</v>
      </c>
      <c r="K132" s="31" t="s">
        <v>50</v>
      </c>
      <c r="L132" s="44">
        <v>160286855</v>
      </c>
      <c r="M132" s="33">
        <v>42083</v>
      </c>
      <c r="N132" s="31" t="s">
        <v>497</v>
      </c>
      <c r="O132" s="26" t="s">
        <v>498</v>
      </c>
      <c r="P132" s="515" t="s">
        <v>47</v>
      </c>
      <c r="Q132" s="291"/>
      <c r="R132" s="583">
        <v>0</v>
      </c>
      <c r="S132" s="584">
        <v>0</v>
      </c>
      <c r="T132" s="601">
        <v>0</v>
      </c>
      <c r="U132" s="593">
        <v>0</v>
      </c>
      <c r="V132" s="584">
        <v>0</v>
      </c>
      <c r="W132" s="601">
        <v>0</v>
      </c>
      <c r="X132" s="593">
        <v>0</v>
      </c>
      <c r="Y132" s="584">
        <v>0</v>
      </c>
      <c r="Z132" s="601">
        <v>2</v>
      </c>
      <c r="AA132" s="593">
        <v>0</v>
      </c>
      <c r="AB132" s="584">
        <v>0</v>
      </c>
      <c r="AC132" s="601">
        <v>1</v>
      </c>
      <c r="AD132" s="593">
        <v>0</v>
      </c>
      <c r="AE132" s="593"/>
      <c r="AF132" s="593"/>
      <c r="AG132" s="584">
        <v>0</v>
      </c>
      <c r="AH132" s="601">
        <v>1</v>
      </c>
      <c r="AI132" s="608">
        <v>0</v>
      </c>
      <c r="AJ132" s="608">
        <v>0</v>
      </c>
      <c r="AK132" s="738"/>
      <c r="AL132" s="519" t="s">
        <v>47</v>
      </c>
      <c r="AM132" s="35"/>
      <c r="AN132" s="36"/>
      <c r="AO132" s="26" t="s">
        <v>47</v>
      </c>
      <c r="AP132" s="37">
        <v>0</v>
      </c>
      <c r="AQ132" s="792">
        <f t="shared" si="9"/>
        <v>0</v>
      </c>
      <c r="AR132" s="831" t="e">
        <f t="shared" si="8"/>
        <v>#DIV/0!</v>
      </c>
      <c r="AS132" s="815" t="s">
        <v>47</v>
      </c>
      <c r="AT132" s="31" t="s">
        <v>57</v>
      </c>
      <c r="AU132" s="38">
        <v>1</v>
      </c>
      <c r="AV132" s="26" t="s">
        <v>499</v>
      </c>
      <c r="AW132" s="46">
        <v>1.5</v>
      </c>
      <c r="AX132" s="36">
        <v>0</v>
      </c>
      <c r="AY132" s="40">
        <v>12574346</v>
      </c>
      <c r="AZ132" s="41">
        <v>7.29</v>
      </c>
      <c r="BA132" s="31" t="s">
        <v>47</v>
      </c>
      <c r="BB132" s="41">
        <v>0</v>
      </c>
      <c r="BC132" s="42"/>
      <c r="BD132" s="42"/>
      <c r="BE132" s="42"/>
      <c r="BF132" s="42"/>
      <c r="BG132" s="42"/>
    </row>
    <row r="133" spans="1:277" ht="20" customHeight="1" outlineLevel="1">
      <c r="A133" s="485">
        <v>1903029</v>
      </c>
      <c r="B133" s="25">
        <v>42082</v>
      </c>
      <c r="C133" s="26" t="s">
        <v>44</v>
      </c>
      <c r="D133" s="26" t="s">
        <v>73</v>
      </c>
      <c r="E133" s="533" t="s">
        <v>500</v>
      </c>
      <c r="F133" s="519" t="s">
        <v>501</v>
      </c>
      <c r="G133" s="48" t="s">
        <v>1697</v>
      </c>
      <c r="H133" s="291" t="s">
        <v>47</v>
      </c>
      <c r="I133" s="29" t="s">
        <v>1698</v>
      </c>
      <c r="J133" s="30" t="s">
        <v>62</v>
      </c>
      <c r="K133" s="31" t="s">
        <v>50</v>
      </c>
      <c r="L133" s="32" t="s">
        <v>1699</v>
      </c>
      <c r="M133" s="33">
        <v>42117</v>
      </c>
      <c r="N133" s="31" t="s">
        <v>502</v>
      </c>
      <c r="O133" s="26" t="s">
        <v>1702</v>
      </c>
      <c r="P133" s="515" t="s">
        <v>47</v>
      </c>
      <c r="Q133" s="291"/>
      <c r="R133" s="583">
        <v>0</v>
      </c>
      <c r="S133" s="584">
        <v>0</v>
      </c>
      <c r="T133" s="601">
        <v>0</v>
      </c>
      <c r="U133" s="593">
        <v>0</v>
      </c>
      <c r="V133" s="584">
        <v>0</v>
      </c>
      <c r="W133" s="601">
        <v>0</v>
      </c>
      <c r="X133" s="593">
        <v>0</v>
      </c>
      <c r="Y133" s="584">
        <v>0</v>
      </c>
      <c r="Z133" s="601">
        <v>0</v>
      </c>
      <c r="AA133" s="593">
        <v>0</v>
      </c>
      <c r="AB133" s="584">
        <v>0</v>
      </c>
      <c r="AC133" s="601">
        <v>0</v>
      </c>
      <c r="AD133" s="593"/>
      <c r="AE133" s="593"/>
      <c r="AF133" s="593"/>
      <c r="AG133" s="584">
        <v>4</v>
      </c>
      <c r="AH133" s="601">
        <v>0</v>
      </c>
      <c r="AI133" s="608">
        <v>0</v>
      </c>
      <c r="AJ133" s="608">
        <v>0</v>
      </c>
      <c r="AK133" s="738"/>
      <c r="AL133" s="519" t="s">
        <v>78</v>
      </c>
      <c r="AM133" s="35" t="s">
        <v>157</v>
      </c>
      <c r="AN133" s="36">
        <f>4*PRODUCTS!C3+4*PRODUCTS!D3+4*PRODUCTS!E3+4*PRODUCTS!F3</f>
        <v>1068.96</v>
      </c>
      <c r="AO133" s="26" t="s">
        <v>1700</v>
      </c>
      <c r="AP133" s="37">
        <v>1216</v>
      </c>
      <c r="AQ133" s="792">
        <f t="shared" si="9"/>
        <v>147.03999999999996</v>
      </c>
      <c r="AR133" s="831">
        <f t="shared" si="8"/>
        <v>0.12092105263157892</v>
      </c>
      <c r="AS133" s="819">
        <v>42119</v>
      </c>
      <c r="AT133" s="31" t="s">
        <v>66</v>
      </c>
      <c r="AU133" s="40"/>
      <c r="AV133" s="40"/>
      <c r="AW133" s="46"/>
      <c r="AX133" s="36">
        <v>208.9</v>
      </c>
      <c r="AY133" s="40"/>
      <c r="AZ133" s="41">
        <v>189.94</v>
      </c>
      <c r="BA133" s="31" t="s">
        <v>47</v>
      </c>
      <c r="BB133" s="41">
        <v>0</v>
      </c>
      <c r="BC133" s="42"/>
      <c r="BD133" s="42"/>
      <c r="BE133" s="42"/>
      <c r="BF133" s="42"/>
      <c r="BG133" s="42"/>
    </row>
    <row r="134" spans="1:277" ht="20" customHeight="1" outlineLevel="1">
      <c r="A134" s="485">
        <v>1903030</v>
      </c>
      <c r="B134" s="25">
        <v>42082</v>
      </c>
      <c r="C134" s="26" t="s">
        <v>67</v>
      </c>
      <c r="D134" s="26" t="s">
        <v>73</v>
      </c>
      <c r="E134" s="533" t="s">
        <v>60</v>
      </c>
      <c r="F134" s="519" t="s">
        <v>47</v>
      </c>
      <c r="G134" s="48" t="s">
        <v>47</v>
      </c>
      <c r="H134" s="291"/>
      <c r="I134" s="29" t="s">
        <v>47</v>
      </c>
      <c r="J134" s="30" t="s">
        <v>62</v>
      </c>
      <c r="K134" s="31" t="s">
        <v>163</v>
      </c>
      <c r="L134" s="32" t="s">
        <v>47</v>
      </c>
      <c r="M134" s="33">
        <v>42082</v>
      </c>
      <c r="N134" s="31" t="s">
        <v>503</v>
      </c>
      <c r="O134" s="26" t="s">
        <v>504</v>
      </c>
      <c r="P134" s="515" t="s">
        <v>47</v>
      </c>
      <c r="Q134" s="291"/>
      <c r="R134" s="583">
        <v>0</v>
      </c>
      <c r="S134" s="584">
        <v>0</v>
      </c>
      <c r="T134" s="601">
        <v>0</v>
      </c>
      <c r="U134" s="593">
        <v>0</v>
      </c>
      <c r="V134" s="584">
        <v>0</v>
      </c>
      <c r="W134" s="601">
        <v>0</v>
      </c>
      <c r="X134" s="593">
        <v>0</v>
      </c>
      <c r="Y134" s="584">
        <v>0</v>
      </c>
      <c r="Z134" s="601">
        <v>0</v>
      </c>
      <c r="AA134" s="593">
        <v>0</v>
      </c>
      <c r="AB134" s="584">
        <v>0</v>
      </c>
      <c r="AC134" s="601">
        <v>0</v>
      </c>
      <c r="AD134" s="593">
        <v>0</v>
      </c>
      <c r="AE134" s="593"/>
      <c r="AF134" s="593"/>
      <c r="AG134" s="584">
        <v>0</v>
      </c>
      <c r="AH134" s="601">
        <v>2</v>
      </c>
      <c r="AI134" s="608">
        <v>0</v>
      </c>
      <c r="AJ134" s="608">
        <v>0</v>
      </c>
      <c r="AK134" s="738"/>
      <c r="AL134" s="519" t="s">
        <v>47</v>
      </c>
      <c r="AM134" s="48" t="s">
        <v>92</v>
      </c>
      <c r="AN134" s="36">
        <f>2*PRODUCTS!C14</f>
        <v>2.64</v>
      </c>
      <c r="AO134" s="26" t="s">
        <v>47</v>
      </c>
      <c r="AP134" s="37">
        <v>0</v>
      </c>
      <c r="AQ134" s="792">
        <f t="shared" si="9"/>
        <v>-2.64</v>
      </c>
      <c r="AR134" s="831" t="e">
        <f t="shared" si="8"/>
        <v>#DIV/0!</v>
      </c>
      <c r="AS134" s="815" t="s">
        <v>47</v>
      </c>
      <c r="AT134" s="31" t="s">
        <v>94</v>
      </c>
      <c r="AU134" s="38">
        <v>1</v>
      </c>
      <c r="AV134" s="26" t="s">
        <v>505</v>
      </c>
      <c r="AW134" s="39" t="s">
        <v>403</v>
      </c>
      <c r="AX134" s="36">
        <v>0</v>
      </c>
      <c r="AY134" s="26" t="s">
        <v>506</v>
      </c>
      <c r="AZ134" s="41">
        <f>3*0.7</f>
        <v>2.0999999999999996</v>
      </c>
      <c r="BA134" s="31" t="s">
        <v>47</v>
      </c>
      <c r="BB134" s="41">
        <v>0</v>
      </c>
      <c r="BC134" s="42"/>
      <c r="BD134" s="42"/>
      <c r="BE134" s="42"/>
      <c r="BF134" s="42"/>
      <c r="BG134" s="42"/>
    </row>
    <row r="135" spans="1:277" ht="28" outlineLevel="1">
      <c r="A135" s="485">
        <v>1903031</v>
      </c>
      <c r="B135" s="25">
        <v>42083</v>
      </c>
      <c r="C135" s="26" t="s">
        <v>44</v>
      </c>
      <c r="D135" s="26" t="s">
        <v>73</v>
      </c>
      <c r="E135" s="533" t="s">
        <v>69</v>
      </c>
      <c r="F135" s="519" t="s">
        <v>47</v>
      </c>
      <c r="G135" s="48" t="s">
        <v>507</v>
      </c>
      <c r="H135" s="291" t="s">
        <v>47</v>
      </c>
      <c r="I135" s="29" t="s">
        <v>1317</v>
      </c>
      <c r="J135" s="30" t="s">
        <v>62</v>
      </c>
      <c r="K135" s="31" t="s">
        <v>50</v>
      </c>
      <c r="L135" s="44">
        <v>160413205</v>
      </c>
      <c r="M135" s="33">
        <v>42083</v>
      </c>
      <c r="N135" s="31" t="s">
        <v>345</v>
      </c>
      <c r="O135" s="26" t="s">
        <v>483</v>
      </c>
      <c r="P135" s="515" t="s">
        <v>508</v>
      </c>
      <c r="Q135" s="291"/>
      <c r="R135" s="583">
        <v>3</v>
      </c>
      <c r="S135" s="584">
        <v>0</v>
      </c>
      <c r="T135" s="601">
        <v>0</v>
      </c>
      <c r="U135" s="593">
        <v>0</v>
      </c>
      <c r="V135" s="584">
        <v>0</v>
      </c>
      <c r="W135" s="601">
        <v>0</v>
      </c>
      <c r="X135" s="593">
        <v>0</v>
      </c>
      <c r="Y135" s="584">
        <v>0</v>
      </c>
      <c r="Z135" s="601">
        <v>0</v>
      </c>
      <c r="AA135" s="593">
        <v>0</v>
      </c>
      <c r="AB135" s="584">
        <v>0</v>
      </c>
      <c r="AC135" s="601">
        <v>0</v>
      </c>
      <c r="AD135" s="593">
        <v>0</v>
      </c>
      <c r="AE135" s="593"/>
      <c r="AF135" s="593"/>
      <c r="AG135" s="584">
        <v>0</v>
      </c>
      <c r="AH135" s="601">
        <v>0</v>
      </c>
      <c r="AI135" s="608">
        <v>0</v>
      </c>
      <c r="AJ135" s="608">
        <v>0</v>
      </c>
      <c r="AK135" s="738"/>
      <c r="AL135" s="519" t="s">
        <v>476</v>
      </c>
      <c r="AM135" s="51">
        <v>190673</v>
      </c>
      <c r="AN135" s="36">
        <v>40.25</v>
      </c>
      <c r="AO135" s="26" t="s">
        <v>509</v>
      </c>
      <c r="AP135" s="37">
        <v>46.8</v>
      </c>
      <c r="AQ135" s="792">
        <f t="shared" si="9"/>
        <v>6.5499999999999972</v>
      </c>
      <c r="AR135" s="831">
        <f t="shared" si="8"/>
        <v>0.1399572649572649</v>
      </c>
      <c r="AS135" s="812" t="s">
        <v>1314</v>
      </c>
      <c r="AT135" s="31" t="s">
        <v>57</v>
      </c>
      <c r="AU135" s="38">
        <v>1</v>
      </c>
      <c r="AV135" s="26" t="s">
        <v>305</v>
      </c>
      <c r="AW135" s="46">
        <v>4</v>
      </c>
      <c r="AX135" s="36">
        <v>22</v>
      </c>
      <c r="AY135" s="40">
        <v>12574347</v>
      </c>
      <c r="AZ135" s="41">
        <v>16.079999999999998</v>
      </c>
      <c r="BA135" s="31" t="s">
        <v>47</v>
      </c>
      <c r="BB135" s="41">
        <v>0</v>
      </c>
      <c r="BC135" s="42"/>
      <c r="BD135" s="42"/>
      <c r="BE135" s="42"/>
      <c r="BF135" s="42"/>
      <c r="BG135" s="42"/>
    </row>
    <row r="136" spans="1:277" ht="20" customHeight="1" outlineLevel="1">
      <c r="A136" s="485">
        <v>1903032</v>
      </c>
      <c r="B136" s="25">
        <v>38432</v>
      </c>
      <c r="C136" s="26" t="s">
        <v>67</v>
      </c>
      <c r="D136" s="26" t="s">
        <v>73</v>
      </c>
      <c r="E136" s="533" t="s">
        <v>212</v>
      </c>
      <c r="F136" s="544" t="s">
        <v>47</v>
      </c>
      <c r="G136" s="35" t="s">
        <v>47</v>
      </c>
      <c r="H136" s="290" t="s">
        <v>47</v>
      </c>
      <c r="I136" s="54" t="s">
        <v>47</v>
      </c>
      <c r="J136" s="30" t="s">
        <v>62</v>
      </c>
      <c r="K136" s="31" t="s">
        <v>50</v>
      </c>
      <c r="L136" s="50">
        <v>161169127</v>
      </c>
      <c r="M136" s="33">
        <v>42088</v>
      </c>
      <c r="N136" s="31" t="s">
        <v>468</v>
      </c>
      <c r="O136" s="26" t="s">
        <v>510</v>
      </c>
      <c r="P136" s="559" t="s">
        <v>47</v>
      </c>
      <c r="Q136" s="290"/>
      <c r="R136" s="583">
        <v>0</v>
      </c>
      <c r="S136" s="584">
        <v>0</v>
      </c>
      <c r="T136" s="601">
        <v>0</v>
      </c>
      <c r="U136" s="593">
        <v>0</v>
      </c>
      <c r="V136" s="584">
        <v>0</v>
      </c>
      <c r="W136" s="601">
        <v>0</v>
      </c>
      <c r="X136" s="593">
        <v>0</v>
      </c>
      <c r="Y136" s="584">
        <v>0</v>
      </c>
      <c r="Z136" s="601">
        <v>0</v>
      </c>
      <c r="AA136" s="593">
        <v>0</v>
      </c>
      <c r="AB136" s="584">
        <v>0</v>
      </c>
      <c r="AC136" s="601">
        <v>5</v>
      </c>
      <c r="AD136" s="593">
        <v>0</v>
      </c>
      <c r="AE136" s="593"/>
      <c r="AF136" s="593"/>
      <c r="AG136" s="584">
        <v>0</v>
      </c>
      <c r="AH136" s="601">
        <v>0</v>
      </c>
      <c r="AI136" s="608">
        <v>0</v>
      </c>
      <c r="AJ136" s="608">
        <v>0</v>
      </c>
      <c r="AK136" s="738"/>
      <c r="AL136" s="519" t="s">
        <v>266</v>
      </c>
      <c r="AM136" s="35" t="s">
        <v>92</v>
      </c>
      <c r="AN136" s="36"/>
      <c r="AO136" s="26" t="s">
        <v>47</v>
      </c>
      <c r="AP136" s="37">
        <v>0</v>
      </c>
      <c r="AQ136" s="792">
        <f t="shared" si="9"/>
        <v>0</v>
      </c>
      <c r="AR136" s="831" t="e">
        <f t="shared" si="8"/>
        <v>#DIV/0!</v>
      </c>
      <c r="AS136" s="812"/>
      <c r="AT136" s="31" t="s">
        <v>66</v>
      </c>
      <c r="AU136" s="40"/>
      <c r="AV136" s="40"/>
      <c r="AW136" s="46"/>
      <c r="AX136" s="36"/>
      <c r="AY136" s="40">
        <v>12585475</v>
      </c>
      <c r="AZ136" s="41">
        <v>27.42</v>
      </c>
      <c r="BA136" s="31" t="s">
        <v>47</v>
      </c>
      <c r="BB136" s="41">
        <v>0</v>
      </c>
      <c r="BC136" s="42"/>
      <c r="BD136" s="42"/>
      <c r="BE136" s="42"/>
      <c r="BF136" s="42"/>
      <c r="BG136" s="42"/>
    </row>
    <row r="137" spans="1:277" ht="20" customHeight="1" outlineLevel="1">
      <c r="A137" s="485">
        <v>1903033</v>
      </c>
      <c r="B137" s="249">
        <v>42084</v>
      </c>
      <c r="C137" s="26" t="s">
        <v>67</v>
      </c>
      <c r="D137" s="26" t="s">
        <v>73</v>
      </c>
      <c r="E137" s="551" t="s">
        <v>60</v>
      </c>
      <c r="F137" s="544" t="s">
        <v>47</v>
      </c>
      <c r="G137" s="35" t="s">
        <v>47</v>
      </c>
      <c r="H137" s="290"/>
      <c r="I137" s="54" t="s">
        <v>47</v>
      </c>
      <c r="J137" s="30" t="s">
        <v>62</v>
      </c>
      <c r="K137" s="31" t="s">
        <v>163</v>
      </c>
      <c r="L137" s="50" t="s">
        <v>47</v>
      </c>
      <c r="M137" s="33">
        <v>42084</v>
      </c>
      <c r="N137" s="45" t="s">
        <v>1223</v>
      </c>
      <c r="O137" s="40" t="s">
        <v>1224</v>
      </c>
      <c r="P137" s="559" t="s">
        <v>47</v>
      </c>
      <c r="Q137" s="290"/>
      <c r="R137" s="583">
        <v>0</v>
      </c>
      <c r="S137" s="584">
        <v>0</v>
      </c>
      <c r="T137" s="601">
        <v>0</v>
      </c>
      <c r="U137" s="593">
        <v>0</v>
      </c>
      <c r="V137" s="584">
        <v>0</v>
      </c>
      <c r="W137" s="601">
        <v>1</v>
      </c>
      <c r="X137" s="593">
        <v>0</v>
      </c>
      <c r="Y137" s="584">
        <v>0</v>
      </c>
      <c r="Z137" s="601">
        <v>0</v>
      </c>
      <c r="AA137" s="593">
        <v>0</v>
      </c>
      <c r="AB137" s="584">
        <v>0</v>
      </c>
      <c r="AC137" s="601">
        <v>1</v>
      </c>
      <c r="AD137" s="593">
        <v>0</v>
      </c>
      <c r="AE137" s="593"/>
      <c r="AF137" s="593"/>
      <c r="AG137" s="584">
        <v>0</v>
      </c>
      <c r="AH137" s="601">
        <v>1</v>
      </c>
      <c r="AI137" s="608">
        <v>0</v>
      </c>
      <c r="AJ137" s="608">
        <v>0</v>
      </c>
      <c r="AK137" s="738"/>
      <c r="AL137" s="519" t="s">
        <v>47</v>
      </c>
      <c r="AM137" s="35" t="s">
        <v>92</v>
      </c>
      <c r="AN137" s="36">
        <v>0</v>
      </c>
      <c r="AO137" s="26" t="s">
        <v>47</v>
      </c>
      <c r="AP137" s="37">
        <v>0</v>
      </c>
      <c r="AQ137" s="792">
        <f t="shared" si="9"/>
        <v>0</v>
      </c>
      <c r="AR137" s="831" t="e">
        <f t="shared" si="8"/>
        <v>#DIV/0!</v>
      </c>
      <c r="AS137" s="812" t="s">
        <v>47</v>
      </c>
      <c r="AT137" s="31" t="s">
        <v>94</v>
      </c>
      <c r="AU137" s="38">
        <v>1</v>
      </c>
      <c r="AV137" s="26" t="s">
        <v>492</v>
      </c>
      <c r="AW137" s="39" t="s">
        <v>1225</v>
      </c>
      <c r="AX137" s="36">
        <v>0</v>
      </c>
      <c r="AY137" s="26" t="s">
        <v>47</v>
      </c>
      <c r="AZ137" s="41">
        <f>3*0.7</f>
        <v>2.0999999999999996</v>
      </c>
      <c r="BA137" s="31" t="s">
        <v>47</v>
      </c>
      <c r="BB137" s="41">
        <v>0</v>
      </c>
      <c r="BC137" s="42"/>
      <c r="BD137" s="42"/>
      <c r="BE137" s="42"/>
      <c r="BF137" s="42"/>
      <c r="BG137" s="42"/>
    </row>
    <row r="138" spans="1:277" ht="20" customHeight="1" outlineLevel="1">
      <c r="A138" s="485">
        <v>1903034</v>
      </c>
      <c r="B138" s="249" t="s">
        <v>1226</v>
      </c>
      <c r="C138" s="26" t="s">
        <v>67</v>
      </c>
      <c r="D138" s="26" t="s">
        <v>73</v>
      </c>
      <c r="E138" s="551" t="s">
        <v>60</v>
      </c>
      <c r="F138" s="544" t="s">
        <v>47</v>
      </c>
      <c r="G138" s="35" t="s">
        <v>1227</v>
      </c>
      <c r="H138" s="290"/>
      <c r="I138" s="54">
        <v>191385</v>
      </c>
      <c r="J138" s="30" t="s">
        <v>1269</v>
      </c>
      <c r="K138" s="31" t="s">
        <v>50</v>
      </c>
      <c r="L138" s="50">
        <v>164174259</v>
      </c>
      <c r="M138" s="33">
        <v>42098</v>
      </c>
      <c r="N138" s="45" t="s">
        <v>1228</v>
      </c>
      <c r="O138" s="248" t="s">
        <v>1229</v>
      </c>
      <c r="P138" s="559" t="s">
        <v>1230</v>
      </c>
      <c r="Q138" s="290"/>
      <c r="R138" s="583">
        <v>0</v>
      </c>
      <c r="S138" s="584">
        <v>0</v>
      </c>
      <c r="T138" s="601">
        <v>0</v>
      </c>
      <c r="U138" s="593">
        <v>0</v>
      </c>
      <c r="V138" s="584">
        <v>0</v>
      </c>
      <c r="W138" s="601">
        <v>0</v>
      </c>
      <c r="X138" s="593">
        <v>0</v>
      </c>
      <c r="Y138" s="584">
        <v>0</v>
      </c>
      <c r="Z138" s="601">
        <v>0</v>
      </c>
      <c r="AA138" s="593">
        <v>0</v>
      </c>
      <c r="AB138" s="584">
        <v>0</v>
      </c>
      <c r="AC138" s="601">
        <v>0</v>
      </c>
      <c r="AD138" s="593">
        <v>0</v>
      </c>
      <c r="AE138" s="593"/>
      <c r="AF138" s="593"/>
      <c r="AG138" s="584">
        <v>0</v>
      </c>
      <c r="AH138" s="601">
        <v>0</v>
      </c>
      <c r="AI138" s="608">
        <v>1</v>
      </c>
      <c r="AJ138" s="608">
        <v>0</v>
      </c>
      <c r="AK138" s="738"/>
      <c r="AL138" s="519" t="s">
        <v>71</v>
      </c>
      <c r="AM138" s="35">
        <v>190831</v>
      </c>
      <c r="AN138" s="36">
        <v>129.94999999999999</v>
      </c>
      <c r="AO138" s="26" t="s">
        <v>1311</v>
      </c>
      <c r="AP138" s="37">
        <v>418.28</v>
      </c>
      <c r="AQ138" s="792">
        <f t="shared" si="9"/>
        <v>288.33</v>
      </c>
      <c r="AR138" s="831">
        <f t="shared" si="8"/>
        <v>0.68932294157023999</v>
      </c>
      <c r="AS138" s="812"/>
      <c r="AT138" s="31"/>
      <c r="AU138" s="38"/>
      <c r="AV138" s="26"/>
      <c r="AW138" s="39"/>
      <c r="AX138" s="36"/>
      <c r="AY138" s="26"/>
      <c r="AZ138" s="41"/>
      <c r="BA138" s="31" t="s">
        <v>47</v>
      </c>
      <c r="BB138" s="41">
        <v>0</v>
      </c>
      <c r="BC138" s="42"/>
      <c r="BD138" s="42"/>
      <c r="BE138" s="42"/>
      <c r="BF138" s="42"/>
      <c r="BG138" s="42"/>
      <c r="BH138" s="221"/>
      <c r="BI138" s="221"/>
      <c r="BJ138" s="221"/>
      <c r="BK138" s="221"/>
      <c r="BL138" s="221"/>
      <c r="BM138" s="221"/>
      <c r="BN138" s="221"/>
      <c r="BO138" s="221"/>
      <c r="BP138" s="221"/>
      <c r="BQ138" s="221"/>
      <c r="BR138" s="221"/>
      <c r="BS138" s="221"/>
      <c r="BT138" s="221"/>
      <c r="BU138" s="221"/>
      <c r="BV138" s="221"/>
      <c r="BW138" s="221"/>
      <c r="BX138" s="221"/>
      <c r="BY138" s="221"/>
      <c r="BZ138" s="221"/>
      <c r="CA138" s="221"/>
      <c r="CB138" s="221"/>
      <c r="CC138" s="221"/>
      <c r="CD138" s="221"/>
      <c r="CE138" s="221"/>
      <c r="CF138" s="221"/>
      <c r="CG138" s="221"/>
      <c r="CH138" s="221"/>
      <c r="CI138" s="221"/>
      <c r="CJ138" s="221"/>
      <c r="CK138" s="221"/>
      <c r="CL138" s="221"/>
      <c r="CM138" s="221"/>
      <c r="CN138" s="221"/>
      <c r="CO138" s="221"/>
      <c r="CP138" s="221"/>
      <c r="CQ138" s="221"/>
      <c r="CR138" s="221"/>
      <c r="CS138" s="221"/>
      <c r="CT138" s="221"/>
      <c r="CU138" s="221"/>
      <c r="CV138" s="221"/>
      <c r="CW138" s="221"/>
      <c r="CX138" s="221"/>
      <c r="CY138" s="221"/>
      <c r="CZ138" s="221"/>
      <c r="DA138" s="221"/>
      <c r="DB138" s="221"/>
      <c r="DC138" s="221"/>
      <c r="DD138" s="221"/>
      <c r="DE138" s="221"/>
      <c r="DF138" s="221"/>
      <c r="DG138" s="221"/>
      <c r="DH138" s="221"/>
      <c r="DI138" s="221"/>
      <c r="DJ138" s="221"/>
      <c r="DK138" s="221"/>
      <c r="DL138" s="221"/>
      <c r="DM138" s="221"/>
      <c r="DN138" s="221"/>
      <c r="DO138" s="221"/>
      <c r="DP138" s="221"/>
      <c r="DQ138" s="221"/>
      <c r="DR138" s="221"/>
      <c r="DS138" s="221"/>
      <c r="DT138" s="221"/>
      <c r="DU138" s="221"/>
      <c r="DV138" s="221"/>
      <c r="DW138" s="221"/>
      <c r="DX138" s="221"/>
      <c r="DY138" s="221"/>
      <c r="DZ138" s="221"/>
      <c r="EA138" s="221"/>
      <c r="EB138" s="221"/>
      <c r="EC138" s="221"/>
      <c r="ED138" s="221"/>
      <c r="EE138" s="221"/>
      <c r="EF138" s="221"/>
      <c r="EG138" s="221"/>
      <c r="EH138" s="221"/>
      <c r="EI138" s="221"/>
      <c r="EJ138" s="221"/>
      <c r="EK138" s="221"/>
      <c r="EL138" s="221"/>
      <c r="EM138" s="221"/>
      <c r="EN138" s="221"/>
      <c r="EO138" s="221"/>
      <c r="EP138" s="221"/>
      <c r="EQ138" s="221"/>
      <c r="ER138" s="221"/>
      <c r="ES138" s="221"/>
      <c r="ET138" s="221"/>
      <c r="EU138" s="221"/>
      <c r="EV138" s="221"/>
      <c r="EW138" s="221"/>
      <c r="EX138" s="221"/>
      <c r="EY138" s="221"/>
      <c r="EZ138" s="221"/>
      <c r="FA138" s="221"/>
      <c r="FB138" s="221"/>
      <c r="FC138" s="221"/>
      <c r="FD138" s="221"/>
      <c r="FE138" s="221"/>
      <c r="FF138" s="221"/>
      <c r="FG138" s="221"/>
      <c r="FH138" s="221"/>
      <c r="FI138" s="221"/>
      <c r="FJ138" s="221"/>
      <c r="FK138" s="221"/>
      <c r="FL138" s="221"/>
      <c r="FM138" s="221"/>
      <c r="FN138" s="221"/>
      <c r="FO138" s="221"/>
      <c r="FP138" s="221"/>
      <c r="FQ138" s="221"/>
      <c r="FR138" s="221"/>
      <c r="FS138" s="221"/>
      <c r="FT138" s="221"/>
      <c r="FU138" s="221"/>
      <c r="FV138" s="221"/>
      <c r="FW138" s="221"/>
      <c r="FX138" s="221"/>
      <c r="FY138" s="221"/>
      <c r="FZ138" s="221"/>
      <c r="GA138" s="221"/>
      <c r="GB138" s="221"/>
      <c r="GC138" s="221"/>
      <c r="GD138" s="221"/>
      <c r="GE138" s="221"/>
      <c r="GF138" s="221"/>
      <c r="GG138" s="221"/>
      <c r="GH138" s="221"/>
      <c r="GI138" s="221"/>
      <c r="GJ138" s="221"/>
      <c r="GK138" s="221"/>
      <c r="GL138" s="221"/>
      <c r="GM138" s="221"/>
      <c r="GN138" s="221"/>
      <c r="GO138" s="221"/>
      <c r="GP138" s="221"/>
      <c r="GQ138" s="221"/>
      <c r="GR138" s="221"/>
      <c r="GS138" s="221"/>
      <c r="GT138" s="221"/>
      <c r="GU138" s="221"/>
      <c r="GV138" s="221"/>
      <c r="GW138" s="221"/>
      <c r="GX138" s="221"/>
      <c r="GY138" s="221"/>
      <c r="GZ138" s="221"/>
      <c r="HA138" s="221"/>
      <c r="HB138" s="221"/>
      <c r="HC138" s="221"/>
      <c r="HD138" s="221"/>
      <c r="HE138" s="221"/>
      <c r="HF138" s="221"/>
      <c r="HG138" s="221"/>
      <c r="HH138" s="221"/>
      <c r="HI138" s="221"/>
      <c r="HJ138" s="221"/>
      <c r="HK138" s="221"/>
      <c r="HL138" s="221"/>
      <c r="HM138" s="221"/>
      <c r="HN138" s="221"/>
      <c r="HO138" s="221"/>
      <c r="HP138" s="221"/>
      <c r="HQ138" s="221"/>
      <c r="HR138" s="221"/>
      <c r="HS138" s="221"/>
      <c r="HT138" s="221"/>
      <c r="HU138" s="221"/>
      <c r="HV138" s="221"/>
      <c r="HW138" s="221"/>
      <c r="HX138" s="221"/>
      <c r="HY138" s="221"/>
      <c r="HZ138" s="221"/>
      <c r="IA138" s="221"/>
      <c r="IB138" s="221"/>
      <c r="IC138" s="221"/>
      <c r="ID138" s="221"/>
      <c r="IE138" s="221"/>
      <c r="IF138" s="221"/>
      <c r="IG138" s="221"/>
      <c r="IH138" s="221"/>
      <c r="II138" s="221"/>
      <c r="IJ138" s="221"/>
      <c r="IK138" s="221"/>
      <c r="IL138" s="221"/>
      <c r="IM138" s="221"/>
      <c r="IN138" s="221"/>
      <c r="IO138" s="221"/>
      <c r="IP138" s="221"/>
      <c r="IQ138" s="221"/>
      <c r="IR138" s="221"/>
      <c r="IS138" s="221"/>
      <c r="IT138" s="221"/>
      <c r="IU138" s="221"/>
      <c r="IV138" s="221"/>
      <c r="IW138" s="221"/>
      <c r="IX138" s="221"/>
      <c r="IY138" s="221"/>
      <c r="IZ138" s="221"/>
      <c r="JA138" s="221"/>
      <c r="JB138" s="221"/>
      <c r="JC138" s="221"/>
      <c r="JD138" s="221"/>
      <c r="JE138" s="221"/>
      <c r="JF138" s="221"/>
      <c r="JG138" s="221"/>
      <c r="JH138" s="221"/>
      <c r="JI138" s="221"/>
      <c r="JJ138" s="221"/>
      <c r="JK138" s="221"/>
      <c r="JL138" s="221"/>
      <c r="JM138" s="221"/>
      <c r="JN138" s="221"/>
      <c r="JO138" s="221"/>
      <c r="JP138" s="221"/>
      <c r="JQ138" s="221"/>
    </row>
    <row r="139" spans="1:277" ht="20" customHeight="1" outlineLevel="1">
      <c r="A139" s="485">
        <v>1903035</v>
      </c>
      <c r="B139" s="250">
        <v>42087</v>
      </c>
      <c r="C139" s="26" t="s">
        <v>67</v>
      </c>
      <c r="D139" s="26" t="s">
        <v>45</v>
      </c>
      <c r="E139" s="552" t="s">
        <v>146</v>
      </c>
      <c r="F139" s="544" t="s">
        <v>1231</v>
      </c>
      <c r="G139" s="253" t="s">
        <v>1777</v>
      </c>
      <c r="H139" s="290" t="s">
        <v>1314</v>
      </c>
      <c r="I139" s="254">
        <v>192177</v>
      </c>
      <c r="J139" s="255" t="s">
        <v>1269</v>
      </c>
      <c r="K139" s="31" t="s">
        <v>50</v>
      </c>
      <c r="L139" s="50">
        <v>104415301</v>
      </c>
      <c r="M139" s="33">
        <v>42144</v>
      </c>
      <c r="N139" s="257" t="s">
        <v>1232</v>
      </c>
      <c r="O139" s="248" t="s">
        <v>1468</v>
      </c>
      <c r="P139" s="559" t="s">
        <v>47</v>
      </c>
      <c r="Q139" s="290"/>
      <c r="R139" s="583">
        <v>0</v>
      </c>
      <c r="S139" s="584">
        <v>0</v>
      </c>
      <c r="T139" s="601">
        <v>0</v>
      </c>
      <c r="U139" s="593">
        <v>2</v>
      </c>
      <c r="V139" s="584">
        <v>0</v>
      </c>
      <c r="W139" s="601">
        <v>0</v>
      </c>
      <c r="X139" s="593">
        <v>0</v>
      </c>
      <c r="Y139" s="584">
        <v>0</v>
      </c>
      <c r="Z139" s="601">
        <v>0</v>
      </c>
      <c r="AA139" s="593">
        <v>0</v>
      </c>
      <c r="AB139" s="584">
        <v>0</v>
      </c>
      <c r="AC139" s="601">
        <v>0</v>
      </c>
      <c r="AD139" s="593">
        <v>0</v>
      </c>
      <c r="AE139" s="593">
        <v>0</v>
      </c>
      <c r="AF139" s="593">
        <v>0</v>
      </c>
      <c r="AG139" s="584">
        <v>0</v>
      </c>
      <c r="AH139" s="601">
        <v>0</v>
      </c>
      <c r="AI139" s="608">
        <v>0</v>
      </c>
      <c r="AJ139" s="608">
        <v>0</v>
      </c>
      <c r="AK139" s="738"/>
      <c r="AL139" s="519" t="s">
        <v>71</v>
      </c>
      <c r="AM139" s="35">
        <v>191345</v>
      </c>
      <c r="AN139" s="36">
        <v>113.6</v>
      </c>
      <c r="AO139" s="26" t="s">
        <v>1469</v>
      </c>
      <c r="AP139" s="37">
        <v>598</v>
      </c>
      <c r="AQ139" s="792">
        <f>AP139-AN139</f>
        <v>484.4</v>
      </c>
      <c r="AR139" s="832">
        <f t="shared" si="8"/>
        <v>0.81003344481605344</v>
      </c>
      <c r="AS139" s="812">
        <v>42126</v>
      </c>
      <c r="AT139" s="31" t="s">
        <v>57</v>
      </c>
      <c r="AU139" s="38">
        <v>1</v>
      </c>
      <c r="AV139" s="26"/>
      <c r="AW139" s="39"/>
      <c r="AX139" s="36">
        <v>32</v>
      </c>
      <c r="AY139" s="26"/>
      <c r="AZ139" s="41"/>
      <c r="BA139" s="31" t="s">
        <v>47</v>
      </c>
      <c r="BB139" s="41">
        <v>0</v>
      </c>
      <c r="BC139" s="42"/>
      <c r="BD139" s="42"/>
      <c r="BE139" s="42"/>
      <c r="BF139" s="42"/>
      <c r="BG139" s="42"/>
      <c r="BH139" s="221"/>
      <c r="BI139" s="221"/>
      <c r="BJ139" s="221"/>
      <c r="BK139" s="221"/>
      <c r="BL139" s="221"/>
      <c r="BM139" s="221"/>
      <c r="BN139" s="221"/>
      <c r="BO139" s="221"/>
      <c r="BP139" s="221"/>
      <c r="BQ139" s="221"/>
      <c r="BR139" s="221"/>
      <c r="BS139" s="221"/>
      <c r="BT139" s="221"/>
      <c r="BU139" s="221"/>
      <c r="BV139" s="221"/>
      <c r="BW139" s="221"/>
      <c r="BX139" s="221"/>
      <c r="BY139" s="221"/>
      <c r="BZ139" s="221"/>
      <c r="CA139" s="221"/>
      <c r="CB139" s="221"/>
      <c r="CC139" s="221"/>
      <c r="CD139" s="221"/>
      <c r="CE139" s="221"/>
      <c r="CF139" s="221"/>
      <c r="CG139" s="221"/>
      <c r="CH139" s="221"/>
      <c r="CI139" s="221"/>
      <c r="CJ139" s="221"/>
      <c r="CK139" s="221"/>
      <c r="CL139" s="221"/>
      <c r="CM139" s="221"/>
      <c r="CN139" s="221"/>
      <c r="CO139" s="221"/>
      <c r="CP139" s="221"/>
      <c r="CQ139" s="221"/>
      <c r="CR139" s="221"/>
      <c r="CS139" s="221"/>
      <c r="CT139" s="221"/>
      <c r="CU139" s="221"/>
      <c r="CV139" s="221"/>
      <c r="CW139" s="221"/>
      <c r="CX139" s="221"/>
      <c r="CY139" s="221"/>
      <c r="CZ139" s="221"/>
      <c r="DA139" s="221"/>
      <c r="DB139" s="221"/>
      <c r="DC139" s="221"/>
      <c r="DD139" s="221"/>
      <c r="DE139" s="221"/>
      <c r="DF139" s="221"/>
      <c r="DG139" s="221"/>
      <c r="DH139" s="221"/>
      <c r="DI139" s="221"/>
      <c r="DJ139" s="221"/>
      <c r="DK139" s="221"/>
      <c r="DL139" s="221"/>
      <c r="DM139" s="221"/>
      <c r="DN139" s="221"/>
      <c r="DO139" s="221"/>
      <c r="DP139" s="221"/>
      <c r="DQ139" s="221"/>
      <c r="DR139" s="221"/>
      <c r="DS139" s="221"/>
      <c r="DT139" s="221"/>
      <c r="DU139" s="221"/>
      <c r="DV139" s="221"/>
      <c r="DW139" s="221"/>
      <c r="DX139" s="221"/>
      <c r="DY139" s="221"/>
      <c r="DZ139" s="221"/>
      <c r="EA139" s="221"/>
      <c r="EB139" s="221"/>
      <c r="EC139" s="221"/>
      <c r="ED139" s="221"/>
      <c r="EE139" s="221"/>
      <c r="EF139" s="221"/>
      <c r="EG139" s="221"/>
      <c r="EH139" s="221"/>
      <c r="EI139" s="221"/>
      <c r="EJ139" s="221"/>
      <c r="EK139" s="221"/>
      <c r="EL139" s="221"/>
      <c r="EM139" s="221"/>
      <c r="EN139" s="221"/>
      <c r="EO139" s="221"/>
      <c r="EP139" s="221"/>
      <c r="EQ139" s="221"/>
      <c r="ER139" s="221"/>
      <c r="ES139" s="221"/>
      <c r="ET139" s="221"/>
      <c r="EU139" s="221"/>
      <c r="EV139" s="221"/>
      <c r="EW139" s="221"/>
      <c r="EX139" s="221"/>
      <c r="EY139" s="221"/>
      <c r="EZ139" s="221"/>
      <c r="FA139" s="221"/>
      <c r="FB139" s="221"/>
      <c r="FC139" s="221"/>
      <c r="FD139" s="221"/>
      <c r="FE139" s="221"/>
      <c r="FF139" s="221"/>
      <c r="FG139" s="221"/>
      <c r="FH139" s="221"/>
      <c r="FI139" s="221"/>
      <c r="FJ139" s="221"/>
      <c r="FK139" s="221"/>
      <c r="FL139" s="221"/>
      <c r="FM139" s="221"/>
      <c r="FN139" s="221"/>
      <c r="FO139" s="221"/>
      <c r="FP139" s="221"/>
      <c r="FQ139" s="221"/>
      <c r="FR139" s="221"/>
      <c r="FS139" s="221"/>
      <c r="FT139" s="221"/>
      <c r="FU139" s="221"/>
      <c r="FV139" s="221"/>
      <c r="FW139" s="221"/>
      <c r="FX139" s="221"/>
      <c r="FY139" s="221"/>
      <c r="FZ139" s="221"/>
      <c r="GA139" s="221"/>
      <c r="GB139" s="221"/>
      <c r="GC139" s="221"/>
      <c r="GD139" s="221"/>
      <c r="GE139" s="221"/>
      <c r="GF139" s="221"/>
      <c r="GG139" s="221"/>
      <c r="GH139" s="221"/>
      <c r="GI139" s="221"/>
      <c r="GJ139" s="221"/>
      <c r="GK139" s="221"/>
      <c r="GL139" s="221"/>
      <c r="GM139" s="221"/>
      <c r="GN139" s="221"/>
      <c r="GO139" s="221"/>
      <c r="GP139" s="221"/>
      <c r="GQ139" s="221"/>
      <c r="GR139" s="221"/>
      <c r="GS139" s="221"/>
      <c r="GT139" s="221"/>
      <c r="GU139" s="221"/>
      <c r="GV139" s="221"/>
      <c r="GW139" s="221"/>
      <c r="GX139" s="221"/>
      <c r="GY139" s="221"/>
      <c r="GZ139" s="221"/>
      <c r="HA139" s="221"/>
      <c r="HB139" s="221"/>
      <c r="HC139" s="221"/>
      <c r="HD139" s="221"/>
      <c r="HE139" s="221"/>
      <c r="HF139" s="221"/>
      <c r="HG139" s="221"/>
      <c r="HH139" s="221"/>
      <c r="HI139" s="221"/>
      <c r="HJ139" s="221"/>
      <c r="HK139" s="221"/>
      <c r="HL139" s="221"/>
      <c r="HM139" s="221"/>
      <c r="HN139" s="221"/>
      <c r="HO139" s="221"/>
      <c r="HP139" s="221"/>
      <c r="HQ139" s="221"/>
      <c r="HR139" s="221"/>
      <c r="HS139" s="221"/>
      <c r="HT139" s="221"/>
      <c r="HU139" s="221"/>
      <c r="HV139" s="221"/>
      <c r="HW139" s="221"/>
      <c r="HX139" s="221"/>
      <c r="HY139" s="221"/>
      <c r="HZ139" s="221"/>
      <c r="IA139" s="221"/>
      <c r="IB139" s="221"/>
      <c r="IC139" s="221"/>
      <c r="ID139" s="221"/>
      <c r="IE139" s="221"/>
      <c r="IF139" s="221"/>
      <c r="IG139" s="221"/>
      <c r="IH139" s="221"/>
      <c r="II139" s="221"/>
      <c r="IJ139" s="221"/>
      <c r="IK139" s="221"/>
      <c r="IL139" s="221"/>
      <c r="IM139" s="221"/>
      <c r="IN139" s="221"/>
      <c r="IO139" s="221"/>
      <c r="IP139" s="221"/>
      <c r="IQ139" s="221"/>
      <c r="IR139" s="221"/>
      <c r="IS139" s="221"/>
      <c r="IT139" s="221"/>
      <c r="IU139" s="221"/>
      <c r="IV139" s="221"/>
      <c r="IW139" s="221"/>
      <c r="IX139" s="221"/>
      <c r="IY139" s="221"/>
      <c r="IZ139" s="221"/>
      <c r="JA139" s="221"/>
      <c r="JB139" s="221"/>
      <c r="JC139" s="221"/>
      <c r="JD139" s="221"/>
      <c r="JE139" s="221"/>
      <c r="JF139" s="221"/>
      <c r="JG139" s="221"/>
      <c r="JH139" s="221"/>
      <c r="JI139" s="221"/>
      <c r="JJ139" s="221"/>
      <c r="JK139" s="221"/>
      <c r="JL139" s="221"/>
      <c r="JM139" s="221"/>
      <c r="JN139" s="221"/>
      <c r="JO139" s="221"/>
      <c r="JP139" s="221"/>
      <c r="JQ139" s="221"/>
    </row>
    <row r="140" spans="1:277" ht="20" customHeight="1" outlineLevel="1">
      <c r="A140" s="485">
        <v>1903036</v>
      </c>
      <c r="B140" s="249">
        <v>42087</v>
      </c>
      <c r="C140" s="26" t="s">
        <v>67</v>
      </c>
      <c r="D140" s="26" t="s">
        <v>73</v>
      </c>
      <c r="E140" s="551" t="s">
        <v>69</v>
      </c>
      <c r="F140" s="544" t="s">
        <v>47</v>
      </c>
      <c r="G140" s="35" t="s">
        <v>47</v>
      </c>
      <c r="H140" s="290"/>
      <c r="I140" s="54" t="s">
        <v>47</v>
      </c>
      <c r="J140" s="30" t="s">
        <v>62</v>
      </c>
      <c r="K140" s="31" t="s">
        <v>163</v>
      </c>
      <c r="L140" s="50" t="s">
        <v>47</v>
      </c>
      <c r="M140" s="33">
        <v>42087</v>
      </c>
      <c r="N140" s="45" t="s">
        <v>1233</v>
      </c>
      <c r="O140" s="248" t="s">
        <v>1234</v>
      </c>
      <c r="P140" s="559" t="s">
        <v>47</v>
      </c>
      <c r="Q140" s="290"/>
      <c r="R140" s="583">
        <v>0</v>
      </c>
      <c r="S140" s="584">
        <v>0</v>
      </c>
      <c r="T140" s="601">
        <v>0</v>
      </c>
      <c r="U140" s="593">
        <v>0</v>
      </c>
      <c r="V140" s="584">
        <v>0</v>
      </c>
      <c r="W140" s="601">
        <v>0</v>
      </c>
      <c r="X140" s="593">
        <v>0</v>
      </c>
      <c r="Y140" s="584">
        <v>0</v>
      </c>
      <c r="Z140" s="601">
        <v>1</v>
      </c>
      <c r="AA140" s="593">
        <v>0</v>
      </c>
      <c r="AB140" s="584">
        <v>0</v>
      </c>
      <c r="AC140" s="601">
        <v>0</v>
      </c>
      <c r="AD140" s="593">
        <v>0</v>
      </c>
      <c r="AE140" s="593"/>
      <c r="AF140" s="593"/>
      <c r="AG140" s="584">
        <v>0</v>
      </c>
      <c r="AH140" s="601">
        <v>0</v>
      </c>
      <c r="AI140" s="608">
        <v>0</v>
      </c>
      <c r="AJ140" s="608">
        <v>0</v>
      </c>
      <c r="AK140" s="738"/>
      <c r="AL140" s="519" t="s">
        <v>123</v>
      </c>
      <c r="AM140" s="35" t="s">
        <v>92</v>
      </c>
      <c r="AN140" s="36">
        <f>PRODUCTS!E14</f>
        <v>1.0069999999999999</v>
      </c>
      <c r="AO140" s="26" t="s">
        <v>47</v>
      </c>
      <c r="AP140" s="37">
        <v>0</v>
      </c>
      <c r="AQ140" s="792">
        <f>AP140-AN140</f>
        <v>-1.0069999999999999</v>
      </c>
      <c r="AR140" s="831" t="e">
        <f t="shared" si="8"/>
        <v>#DIV/0!</v>
      </c>
      <c r="AS140" s="812" t="s">
        <v>47</v>
      </c>
      <c r="AT140" s="31"/>
      <c r="AU140" s="38"/>
      <c r="AV140" s="26"/>
      <c r="AW140" s="39"/>
      <c r="AX140" s="36"/>
      <c r="AY140" s="26"/>
      <c r="AZ140" s="41"/>
      <c r="BA140" s="31" t="s">
        <v>47</v>
      </c>
      <c r="BB140" s="41">
        <v>0</v>
      </c>
      <c r="BC140" s="42"/>
      <c r="BD140" s="42"/>
      <c r="BE140" s="42"/>
      <c r="BF140" s="42"/>
      <c r="BG140" s="42"/>
      <c r="BH140" s="221"/>
      <c r="BI140" s="221"/>
      <c r="BJ140" s="221"/>
      <c r="BK140" s="221"/>
      <c r="BL140" s="221"/>
      <c r="BM140" s="221"/>
      <c r="BN140" s="221"/>
      <c r="BO140" s="221"/>
      <c r="BP140" s="221"/>
      <c r="BQ140" s="221"/>
      <c r="BR140" s="221"/>
      <c r="BS140" s="221"/>
      <c r="BT140" s="221"/>
      <c r="BU140" s="221"/>
      <c r="BV140" s="221"/>
      <c r="BW140" s="221"/>
      <c r="BX140" s="221"/>
      <c r="BY140" s="221"/>
      <c r="BZ140" s="221"/>
      <c r="CA140" s="221"/>
      <c r="CB140" s="221"/>
      <c r="CC140" s="221"/>
      <c r="CD140" s="221"/>
      <c r="CE140" s="221"/>
      <c r="CF140" s="221"/>
      <c r="CG140" s="221"/>
      <c r="CH140" s="221"/>
      <c r="CI140" s="221"/>
      <c r="CJ140" s="221"/>
      <c r="CK140" s="221"/>
      <c r="CL140" s="221"/>
      <c r="CM140" s="221"/>
      <c r="CN140" s="221"/>
      <c r="CO140" s="221"/>
      <c r="CP140" s="221"/>
      <c r="CQ140" s="221"/>
      <c r="CR140" s="221"/>
      <c r="CS140" s="221"/>
      <c r="CT140" s="221"/>
      <c r="CU140" s="221"/>
      <c r="CV140" s="221"/>
      <c r="CW140" s="221"/>
      <c r="CX140" s="221"/>
      <c r="CY140" s="221"/>
      <c r="CZ140" s="221"/>
      <c r="DA140" s="221"/>
      <c r="DB140" s="221"/>
      <c r="DC140" s="221"/>
      <c r="DD140" s="221"/>
      <c r="DE140" s="221"/>
      <c r="DF140" s="221"/>
      <c r="DG140" s="221"/>
      <c r="DH140" s="221"/>
      <c r="DI140" s="221"/>
      <c r="DJ140" s="221"/>
      <c r="DK140" s="221"/>
      <c r="DL140" s="221"/>
      <c r="DM140" s="221"/>
      <c r="DN140" s="221"/>
      <c r="DO140" s="221"/>
      <c r="DP140" s="221"/>
      <c r="DQ140" s="221"/>
      <c r="DR140" s="221"/>
      <c r="DS140" s="221"/>
      <c r="DT140" s="221"/>
      <c r="DU140" s="221"/>
      <c r="DV140" s="221"/>
      <c r="DW140" s="221"/>
      <c r="DX140" s="221"/>
      <c r="DY140" s="221"/>
      <c r="DZ140" s="221"/>
      <c r="EA140" s="221"/>
      <c r="EB140" s="221"/>
      <c r="EC140" s="221"/>
      <c r="ED140" s="221"/>
      <c r="EE140" s="221"/>
      <c r="EF140" s="221"/>
      <c r="EG140" s="221"/>
      <c r="EH140" s="221"/>
      <c r="EI140" s="221"/>
      <c r="EJ140" s="221"/>
      <c r="EK140" s="221"/>
      <c r="EL140" s="221"/>
      <c r="EM140" s="221"/>
      <c r="EN140" s="221"/>
      <c r="EO140" s="221"/>
      <c r="EP140" s="221"/>
      <c r="EQ140" s="221"/>
      <c r="ER140" s="221"/>
      <c r="ES140" s="221"/>
      <c r="ET140" s="221"/>
      <c r="EU140" s="221"/>
      <c r="EV140" s="221"/>
      <c r="EW140" s="221"/>
      <c r="EX140" s="221"/>
      <c r="EY140" s="221"/>
      <c r="EZ140" s="221"/>
      <c r="FA140" s="221"/>
      <c r="FB140" s="221"/>
      <c r="FC140" s="221"/>
      <c r="FD140" s="221"/>
      <c r="FE140" s="221"/>
      <c r="FF140" s="221"/>
      <c r="FG140" s="221"/>
      <c r="FH140" s="221"/>
      <c r="FI140" s="221"/>
      <c r="FJ140" s="221"/>
      <c r="FK140" s="221"/>
      <c r="FL140" s="221"/>
      <c r="FM140" s="221"/>
      <c r="FN140" s="221"/>
      <c r="FO140" s="221"/>
      <c r="FP140" s="221"/>
      <c r="FQ140" s="221"/>
      <c r="FR140" s="221"/>
      <c r="FS140" s="221"/>
      <c r="FT140" s="221"/>
      <c r="FU140" s="221"/>
      <c r="FV140" s="221"/>
      <c r="FW140" s="221"/>
      <c r="FX140" s="221"/>
      <c r="FY140" s="221"/>
      <c r="FZ140" s="221"/>
      <c r="GA140" s="221"/>
      <c r="GB140" s="221"/>
      <c r="GC140" s="221"/>
      <c r="GD140" s="221"/>
      <c r="GE140" s="221"/>
      <c r="GF140" s="221"/>
      <c r="GG140" s="221"/>
      <c r="GH140" s="221"/>
      <c r="GI140" s="221"/>
      <c r="GJ140" s="221"/>
      <c r="GK140" s="221"/>
      <c r="GL140" s="221"/>
      <c r="GM140" s="221"/>
      <c r="GN140" s="221"/>
      <c r="GO140" s="221"/>
      <c r="GP140" s="221"/>
      <c r="GQ140" s="221"/>
      <c r="GR140" s="221"/>
      <c r="GS140" s="221"/>
      <c r="GT140" s="221"/>
      <c r="GU140" s="221"/>
      <c r="GV140" s="221"/>
      <c r="GW140" s="221"/>
      <c r="GX140" s="221"/>
      <c r="GY140" s="221"/>
      <c r="GZ140" s="221"/>
      <c r="HA140" s="221"/>
      <c r="HB140" s="221"/>
      <c r="HC140" s="221"/>
      <c r="HD140" s="221"/>
      <c r="HE140" s="221"/>
      <c r="HF140" s="221"/>
      <c r="HG140" s="221"/>
      <c r="HH140" s="221"/>
      <c r="HI140" s="221"/>
      <c r="HJ140" s="221"/>
      <c r="HK140" s="221"/>
      <c r="HL140" s="221"/>
      <c r="HM140" s="221"/>
      <c r="HN140" s="221"/>
      <c r="HO140" s="221"/>
      <c r="HP140" s="221"/>
      <c r="HQ140" s="221"/>
      <c r="HR140" s="221"/>
      <c r="HS140" s="221"/>
      <c r="HT140" s="221"/>
      <c r="HU140" s="221"/>
      <c r="HV140" s="221"/>
      <c r="HW140" s="221"/>
      <c r="HX140" s="221"/>
      <c r="HY140" s="221"/>
      <c r="HZ140" s="221"/>
      <c r="IA140" s="221"/>
      <c r="IB140" s="221"/>
      <c r="IC140" s="221"/>
      <c r="ID140" s="221"/>
      <c r="IE140" s="221"/>
      <c r="IF140" s="221"/>
      <c r="IG140" s="221"/>
      <c r="IH140" s="221"/>
      <c r="II140" s="221"/>
      <c r="IJ140" s="221"/>
      <c r="IK140" s="221"/>
      <c r="IL140" s="221"/>
      <c r="IM140" s="221"/>
      <c r="IN140" s="221"/>
      <c r="IO140" s="221"/>
      <c r="IP140" s="221"/>
      <c r="IQ140" s="221"/>
      <c r="IR140" s="221"/>
      <c r="IS140" s="221"/>
      <c r="IT140" s="221"/>
      <c r="IU140" s="221"/>
      <c r="IV140" s="221"/>
      <c r="IW140" s="221"/>
      <c r="IX140" s="221"/>
      <c r="IY140" s="221"/>
      <c r="IZ140" s="221"/>
      <c r="JA140" s="221"/>
      <c r="JB140" s="221"/>
      <c r="JC140" s="221"/>
      <c r="JD140" s="221"/>
      <c r="JE140" s="221"/>
      <c r="JF140" s="221"/>
      <c r="JG140" s="221"/>
      <c r="JH140" s="221"/>
      <c r="JI140" s="221"/>
      <c r="JJ140" s="221"/>
      <c r="JK140" s="221"/>
      <c r="JL140" s="221"/>
      <c r="JM140" s="221"/>
      <c r="JN140" s="221"/>
      <c r="JO140" s="221"/>
      <c r="JP140" s="221"/>
      <c r="JQ140" s="221"/>
    </row>
    <row r="141" spans="1:277" ht="20" customHeight="1" outlineLevel="1">
      <c r="A141" s="485">
        <v>1903037</v>
      </c>
      <c r="B141" s="249">
        <v>42087</v>
      </c>
      <c r="C141" s="26" t="s">
        <v>67</v>
      </c>
      <c r="D141" s="26" t="s">
        <v>1238</v>
      </c>
      <c r="E141" s="551" t="s">
        <v>1239</v>
      </c>
      <c r="F141" s="544" t="s">
        <v>47</v>
      </c>
      <c r="G141" s="35" t="s">
        <v>47</v>
      </c>
      <c r="H141" s="290"/>
      <c r="I141" s="54" t="s">
        <v>47</v>
      </c>
      <c r="J141" s="30" t="s">
        <v>62</v>
      </c>
      <c r="K141" s="31" t="s">
        <v>50</v>
      </c>
      <c r="L141" s="50">
        <v>161094707</v>
      </c>
      <c r="M141" s="33">
        <v>42087</v>
      </c>
      <c r="N141" s="45" t="s">
        <v>1240</v>
      </c>
      <c r="O141" s="248" t="s">
        <v>1241</v>
      </c>
      <c r="P141" s="559" t="s">
        <v>123</v>
      </c>
      <c r="Q141" s="290"/>
      <c r="R141" s="583">
        <v>0</v>
      </c>
      <c r="S141" s="584">
        <v>0</v>
      </c>
      <c r="T141" s="601">
        <v>0</v>
      </c>
      <c r="U141" s="593">
        <v>0</v>
      </c>
      <c r="V141" s="584">
        <v>0</v>
      </c>
      <c r="W141" s="601">
        <v>0</v>
      </c>
      <c r="X141" s="593">
        <v>0</v>
      </c>
      <c r="Y141" s="584">
        <v>0</v>
      </c>
      <c r="Z141" s="601">
        <v>0</v>
      </c>
      <c r="AA141" s="593">
        <v>0</v>
      </c>
      <c r="AB141" s="584">
        <v>0</v>
      </c>
      <c r="AC141" s="601">
        <v>1</v>
      </c>
      <c r="AD141" s="593">
        <v>0</v>
      </c>
      <c r="AE141" s="593"/>
      <c r="AF141" s="593"/>
      <c r="AG141" s="584">
        <v>0</v>
      </c>
      <c r="AH141" s="601">
        <v>0</v>
      </c>
      <c r="AI141" s="608">
        <v>0</v>
      </c>
      <c r="AJ141" s="608">
        <v>0</v>
      </c>
      <c r="AK141" s="738"/>
      <c r="AL141" s="519" t="s">
        <v>124</v>
      </c>
      <c r="AM141" s="35" t="s">
        <v>92</v>
      </c>
      <c r="AN141" s="36">
        <f>5*PRODUCTS!D12</f>
        <v>0.6</v>
      </c>
      <c r="AO141" s="252" t="s">
        <v>47</v>
      </c>
      <c r="AP141" s="37">
        <v>0</v>
      </c>
      <c r="AQ141" s="792">
        <f t="shared" ref="AQ141:AQ148" si="10">AP141-AN141</f>
        <v>-0.6</v>
      </c>
      <c r="AR141" s="831" t="e">
        <f t="shared" si="8"/>
        <v>#DIV/0!</v>
      </c>
      <c r="AS141" s="812" t="s">
        <v>123</v>
      </c>
      <c r="AT141" s="31"/>
      <c r="AU141" s="38"/>
      <c r="AV141" s="26"/>
      <c r="AW141" s="39"/>
      <c r="AX141" s="36">
        <v>0</v>
      </c>
      <c r="AY141" s="26" t="s">
        <v>1322</v>
      </c>
      <c r="AZ141" s="41">
        <v>7.25</v>
      </c>
      <c r="BA141" s="31" t="s">
        <v>47</v>
      </c>
      <c r="BB141" s="41">
        <v>0</v>
      </c>
      <c r="BC141" s="42"/>
      <c r="BD141" s="42"/>
      <c r="BE141" s="42"/>
      <c r="BF141" s="42"/>
      <c r="BG141" s="42"/>
      <c r="BH141" s="221"/>
      <c r="BI141" s="221"/>
      <c r="BJ141" s="221"/>
      <c r="BK141" s="221"/>
      <c r="BL141" s="221"/>
      <c r="BM141" s="221"/>
      <c r="BN141" s="221"/>
      <c r="BO141" s="221"/>
      <c r="BP141" s="221"/>
      <c r="BQ141" s="221"/>
      <c r="BR141" s="221"/>
      <c r="BS141" s="221"/>
      <c r="BT141" s="221"/>
      <c r="BU141" s="221"/>
      <c r="BV141" s="221"/>
      <c r="BW141" s="221"/>
      <c r="BX141" s="221"/>
      <c r="BY141" s="221"/>
      <c r="BZ141" s="221"/>
      <c r="CA141" s="221"/>
      <c r="CB141" s="221"/>
      <c r="CC141" s="221"/>
      <c r="CD141" s="221"/>
      <c r="CE141" s="221"/>
      <c r="CF141" s="221"/>
      <c r="CG141" s="221"/>
      <c r="CH141" s="221"/>
      <c r="CI141" s="221"/>
      <c r="CJ141" s="221"/>
      <c r="CK141" s="221"/>
      <c r="CL141" s="221"/>
      <c r="CM141" s="221"/>
      <c r="CN141" s="221"/>
      <c r="CO141" s="221"/>
      <c r="CP141" s="221"/>
      <c r="CQ141" s="221"/>
      <c r="CR141" s="221"/>
      <c r="CS141" s="221"/>
      <c r="CT141" s="221"/>
      <c r="CU141" s="221"/>
      <c r="CV141" s="221"/>
      <c r="CW141" s="221"/>
      <c r="CX141" s="221"/>
      <c r="CY141" s="221"/>
      <c r="CZ141" s="221"/>
      <c r="DA141" s="221"/>
      <c r="DB141" s="221"/>
      <c r="DC141" s="221"/>
      <c r="DD141" s="221"/>
      <c r="DE141" s="221"/>
      <c r="DF141" s="221"/>
      <c r="DG141" s="221"/>
      <c r="DH141" s="221"/>
      <c r="DI141" s="221"/>
      <c r="DJ141" s="221"/>
      <c r="DK141" s="221"/>
      <c r="DL141" s="221"/>
      <c r="DM141" s="221"/>
      <c r="DN141" s="221"/>
      <c r="DO141" s="221"/>
      <c r="DP141" s="221"/>
      <c r="DQ141" s="221"/>
      <c r="DR141" s="221"/>
      <c r="DS141" s="221"/>
      <c r="DT141" s="221"/>
      <c r="DU141" s="221"/>
      <c r="DV141" s="221"/>
      <c r="DW141" s="221"/>
      <c r="DX141" s="221"/>
      <c r="DY141" s="221"/>
      <c r="DZ141" s="221"/>
      <c r="EA141" s="221"/>
      <c r="EB141" s="221"/>
      <c r="EC141" s="221"/>
      <c r="ED141" s="221"/>
      <c r="EE141" s="221"/>
      <c r="EF141" s="221"/>
      <c r="EG141" s="221"/>
      <c r="EH141" s="221"/>
      <c r="EI141" s="221"/>
      <c r="EJ141" s="221"/>
      <c r="EK141" s="221"/>
      <c r="EL141" s="221"/>
      <c r="EM141" s="221"/>
      <c r="EN141" s="221"/>
      <c r="EO141" s="221"/>
      <c r="EP141" s="221"/>
      <c r="EQ141" s="221"/>
      <c r="ER141" s="221"/>
      <c r="ES141" s="221"/>
      <c r="ET141" s="221"/>
      <c r="EU141" s="221"/>
      <c r="EV141" s="221"/>
      <c r="EW141" s="221"/>
      <c r="EX141" s="221"/>
      <c r="EY141" s="221"/>
      <c r="EZ141" s="221"/>
      <c r="FA141" s="221"/>
      <c r="FB141" s="221"/>
      <c r="FC141" s="221"/>
      <c r="FD141" s="221"/>
      <c r="FE141" s="221"/>
      <c r="FF141" s="221"/>
      <c r="FG141" s="221"/>
      <c r="FH141" s="221"/>
      <c r="FI141" s="221"/>
      <c r="FJ141" s="221"/>
      <c r="FK141" s="221"/>
      <c r="FL141" s="221"/>
      <c r="FM141" s="221"/>
      <c r="FN141" s="221"/>
      <c r="FO141" s="221"/>
      <c r="FP141" s="221"/>
      <c r="FQ141" s="221"/>
      <c r="FR141" s="221"/>
      <c r="FS141" s="221"/>
      <c r="FT141" s="221"/>
      <c r="FU141" s="221"/>
      <c r="FV141" s="221"/>
      <c r="FW141" s="221"/>
      <c r="FX141" s="221"/>
      <c r="FY141" s="221"/>
      <c r="FZ141" s="221"/>
      <c r="GA141" s="221"/>
      <c r="GB141" s="221"/>
      <c r="GC141" s="221"/>
      <c r="GD141" s="221"/>
      <c r="GE141" s="221"/>
      <c r="GF141" s="221"/>
      <c r="GG141" s="221"/>
      <c r="GH141" s="221"/>
      <c r="GI141" s="221"/>
      <c r="GJ141" s="221"/>
      <c r="GK141" s="221"/>
      <c r="GL141" s="221"/>
      <c r="GM141" s="221"/>
      <c r="GN141" s="221"/>
      <c r="GO141" s="221"/>
      <c r="GP141" s="221"/>
      <c r="GQ141" s="221"/>
      <c r="GR141" s="221"/>
      <c r="GS141" s="221"/>
      <c r="GT141" s="221"/>
      <c r="GU141" s="221"/>
      <c r="GV141" s="221"/>
      <c r="GW141" s="221"/>
      <c r="GX141" s="221"/>
      <c r="GY141" s="221"/>
      <c r="GZ141" s="221"/>
      <c r="HA141" s="221"/>
      <c r="HB141" s="221"/>
      <c r="HC141" s="221"/>
      <c r="HD141" s="221"/>
      <c r="HE141" s="221"/>
      <c r="HF141" s="221"/>
      <c r="HG141" s="221"/>
      <c r="HH141" s="221"/>
      <c r="HI141" s="221"/>
      <c r="HJ141" s="221"/>
      <c r="HK141" s="221"/>
      <c r="HL141" s="221"/>
      <c r="HM141" s="221"/>
      <c r="HN141" s="221"/>
      <c r="HO141" s="221"/>
      <c r="HP141" s="221"/>
      <c r="HQ141" s="221"/>
      <c r="HR141" s="221"/>
      <c r="HS141" s="221"/>
      <c r="HT141" s="221"/>
      <c r="HU141" s="221"/>
      <c r="HV141" s="221"/>
      <c r="HW141" s="221"/>
      <c r="HX141" s="221"/>
      <c r="HY141" s="221"/>
      <c r="HZ141" s="221"/>
      <c r="IA141" s="221"/>
      <c r="IB141" s="221"/>
      <c r="IC141" s="221"/>
      <c r="ID141" s="221"/>
      <c r="IE141" s="221"/>
      <c r="IF141" s="221"/>
      <c r="IG141" s="221"/>
      <c r="IH141" s="221"/>
      <c r="II141" s="221"/>
      <c r="IJ141" s="221"/>
      <c r="IK141" s="221"/>
      <c r="IL141" s="221"/>
      <c r="IM141" s="221"/>
      <c r="IN141" s="221"/>
      <c r="IO141" s="221"/>
      <c r="IP141" s="221"/>
      <c r="IQ141" s="221"/>
      <c r="IR141" s="221"/>
      <c r="IS141" s="221"/>
      <c r="IT141" s="221"/>
      <c r="IU141" s="221"/>
      <c r="IV141" s="221"/>
      <c r="IW141" s="221"/>
      <c r="IX141" s="221"/>
      <c r="IY141" s="221"/>
      <c r="IZ141" s="221"/>
      <c r="JA141" s="221"/>
      <c r="JB141" s="221"/>
      <c r="JC141" s="221"/>
      <c r="JD141" s="221"/>
      <c r="JE141" s="221"/>
      <c r="JF141" s="221"/>
      <c r="JG141" s="221"/>
      <c r="JH141" s="221"/>
      <c r="JI141" s="221"/>
      <c r="JJ141" s="221"/>
      <c r="JK141" s="221"/>
      <c r="JL141" s="221"/>
      <c r="JM141" s="221"/>
      <c r="JN141" s="221"/>
      <c r="JO141" s="221"/>
      <c r="JP141" s="221"/>
      <c r="JQ141" s="221"/>
    </row>
    <row r="142" spans="1:277" ht="20" customHeight="1" outlineLevel="1">
      <c r="A142" s="485">
        <v>1903038</v>
      </c>
      <c r="B142" s="249">
        <v>42087</v>
      </c>
      <c r="C142" s="252" t="s">
        <v>67</v>
      </c>
      <c r="D142" s="252" t="s">
        <v>73</v>
      </c>
      <c r="E142" s="552" t="s">
        <v>1242</v>
      </c>
      <c r="F142" s="545" t="s">
        <v>467</v>
      </c>
      <c r="G142" s="253" t="s">
        <v>47</v>
      </c>
      <c r="H142" s="294"/>
      <c r="I142" s="254" t="s">
        <v>47</v>
      </c>
      <c r="J142" s="255" t="s">
        <v>62</v>
      </c>
      <c r="K142" s="256" t="s">
        <v>50</v>
      </c>
      <c r="L142" s="50">
        <v>161169127</v>
      </c>
      <c r="M142" s="33">
        <v>42088</v>
      </c>
      <c r="N142" s="257" t="s">
        <v>1243</v>
      </c>
      <c r="O142" s="258" t="s">
        <v>1244</v>
      </c>
      <c r="P142" s="566" t="s">
        <v>47</v>
      </c>
      <c r="Q142" s="294"/>
      <c r="R142" s="583">
        <v>0</v>
      </c>
      <c r="S142" s="584">
        <v>0</v>
      </c>
      <c r="T142" s="601">
        <v>1</v>
      </c>
      <c r="U142" s="593">
        <v>0</v>
      </c>
      <c r="V142" s="584">
        <v>0</v>
      </c>
      <c r="W142" s="601">
        <v>0</v>
      </c>
      <c r="X142" s="593">
        <v>0</v>
      </c>
      <c r="Y142" s="584">
        <v>0</v>
      </c>
      <c r="Z142" s="601">
        <v>0</v>
      </c>
      <c r="AA142" s="593">
        <v>0</v>
      </c>
      <c r="AB142" s="584">
        <v>0</v>
      </c>
      <c r="AC142" s="601">
        <v>0</v>
      </c>
      <c r="AD142" s="593">
        <v>0</v>
      </c>
      <c r="AE142" s="593"/>
      <c r="AF142" s="593"/>
      <c r="AG142" s="584">
        <v>0</v>
      </c>
      <c r="AH142" s="601">
        <v>0</v>
      </c>
      <c r="AI142" s="608">
        <v>0</v>
      </c>
      <c r="AJ142" s="608">
        <v>0</v>
      </c>
      <c r="AK142" s="738"/>
      <c r="AL142" s="524" t="s">
        <v>47</v>
      </c>
      <c r="AM142" s="253" t="s">
        <v>92</v>
      </c>
      <c r="AN142" s="36">
        <f>2*PRODUCTS!G12</f>
        <v>0.21006831158907488</v>
      </c>
      <c r="AO142" s="252" t="s">
        <v>47</v>
      </c>
      <c r="AP142" s="37">
        <v>0</v>
      </c>
      <c r="AQ142" s="792">
        <f t="shared" si="10"/>
        <v>-0.21006831158907488</v>
      </c>
      <c r="AR142" s="831" t="e">
        <f t="shared" si="8"/>
        <v>#DIV/0!</v>
      </c>
      <c r="AS142" s="820" t="s">
        <v>47</v>
      </c>
      <c r="AT142" s="256" t="s">
        <v>1245</v>
      </c>
      <c r="AU142" s="38">
        <v>1</v>
      </c>
      <c r="AV142" s="252" t="s">
        <v>489</v>
      </c>
      <c r="AW142" s="259" t="s">
        <v>403</v>
      </c>
      <c r="AX142" s="36">
        <v>30</v>
      </c>
      <c r="AY142" s="26"/>
      <c r="AZ142" s="41">
        <v>27.42</v>
      </c>
      <c r="BA142" s="31" t="s">
        <v>47</v>
      </c>
      <c r="BB142" s="41">
        <v>0</v>
      </c>
      <c r="BC142" s="42"/>
      <c r="BD142" s="42"/>
      <c r="BE142" s="42"/>
      <c r="BF142" s="42"/>
      <c r="BG142" s="42"/>
      <c r="BH142" s="221"/>
      <c r="BI142" s="221"/>
      <c r="BJ142" s="221"/>
      <c r="BK142" s="221"/>
      <c r="BL142" s="221"/>
      <c r="BM142" s="221"/>
      <c r="BN142" s="221"/>
      <c r="BO142" s="221"/>
      <c r="BP142" s="221"/>
      <c r="BQ142" s="221"/>
      <c r="BR142" s="221"/>
      <c r="BS142" s="221"/>
      <c r="BT142" s="221"/>
      <c r="BU142" s="221"/>
      <c r="BV142" s="221"/>
      <c r="BW142" s="221"/>
      <c r="BX142" s="221"/>
      <c r="BY142" s="221"/>
      <c r="BZ142" s="221"/>
      <c r="CA142" s="221"/>
      <c r="CB142" s="221"/>
      <c r="CC142" s="221"/>
      <c r="CD142" s="221"/>
      <c r="CE142" s="221"/>
      <c r="CF142" s="221"/>
      <c r="CG142" s="221"/>
      <c r="CH142" s="221"/>
      <c r="CI142" s="221"/>
      <c r="CJ142" s="221"/>
      <c r="CK142" s="221"/>
      <c r="CL142" s="221"/>
      <c r="CM142" s="221"/>
      <c r="CN142" s="221"/>
      <c r="CO142" s="221"/>
      <c r="CP142" s="221"/>
      <c r="CQ142" s="221"/>
      <c r="CR142" s="221"/>
      <c r="CS142" s="221"/>
      <c r="CT142" s="221"/>
      <c r="CU142" s="221"/>
      <c r="CV142" s="221"/>
      <c r="CW142" s="221"/>
      <c r="CX142" s="221"/>
      <c r="CY142" s="221"/>
      <c r="CZ142" s="221"/>
      <c r="DA142" s="221"/>
      <c r="DB142" s="221"/>
      <c r="DC142" s="221"/>
      <c r="DD142" s="221"/>
      <c r="DE142" s="221"/>
      <c r="DF142" s="221"/>
      <c r="DG142" s="221"/>
      <c r="DH142" s="221"/>
      <c r="DI142" s="221"/>
      <c r="DJ142" s="221"/>
      <c r="DK142" s="221"/>
      <c r="DL142" s="221"/>
      <c r="DM142" s="221"/>
      <c r="DN142" s="221"/>
      <c r="DO142" s="221"/>
      <c r="DP142" s="221"/>
      <c r="DQ142" s="221"/>
      <c r="DR142" s="221"/>
      <c r="DS142" s="221"/>
      <c r="DT142" s="221"/>
      <c r="DU142" s="221"/>
      <c r="DV142" s="221"/>
      <c r="DW142" s="221"/>
      <c r="DX142" s="221"/>
      <c r="DY142" s="221"/>
      <c r="DZ142" s="221"/>
      <c r="EA142" s="221"/>
      <c r="EB142" s="221"/>
      <c r="EC142" s="221"/>
      <c r="ED142" s="221"/>
      <c r="EE142" s="221"/>
      <c r="EF142" s="221"/>
      <c r="EG142" s="221"/>
      <c r="EH142" s="221"/>
      <c r="EI142" s="221"/>
      <c r="EJ142" s="221"/>
      <c r="EK142" s="221"/>
      <c r="EL142" s="221"/>
      <c r="EM142" s="221"/>
      <c r="EN142" s="221"/>
      <c r="EO142" s="221"/>
      <c r="EP142" s="221"/>
      <c r="EQ142" s="221"/>
      <c r="ER142" s="221"/>
      <c r="ES142" s="221"/>
      <c r="ET142" s="221"/>
      <c r="EU142" s="221"/>
      <c r="EV142" s="221"/>
      <c r="EW142" s="221"/>
      <c r="EX142" s="221"/>
      <c r="EY142" s="221"/>
      <c r="EZ142" s="221"/>
      <c r="FA142" s="221"/>
      <c r="FB142" s="221"/>
      <c r="FC142" s="221"/>
      <c r="FD142" s="221"/>
      <c r="FE142" s="221"/>
      <c r="FF142" s="221"/>
      <c r="FG142" s="221"/>
      <c r="FH142" s="221"/>
      <c r="FI142" s="221"/>
      <c r="FJ142" s="221"/>
      <c r="FK142" s="221"/>
      <c r="FL142" s="221"/>
      <c r="FM142" s="221"/>
      <c r="FN142" s="221"/>
      <c r="FO142" s="221"/>
      <c r="FP142" s="221"/>
      <c r="FQ142" s="221"/>
      <c r="FR142" s="221"/>
      <c r="FS142" s="221"/>
      <c r="FT142" s="221"/>
      <c r="FU142" s="221"/>
      <c r="FV142" s="221"/>
      <c r="FW142" s="221"/>
      <c r="FX142" s="221"/>
      <c r="FY142" s="221"/>
      <c r="FZ142" s="221"/>
      <c r="GA142" s="221"/>
      <c r="GB142" s="221"/>
      <c r="GC142" s="221"/>
      <c r="GD142" s="221"/>
      <c r="GE142" s="221"/>
      <c r="GF142" s="221"/>
      <c r="GG142" s="221"/>
      <c r="GH142" s="221"/>
      <c r="GI142" s="221"/>
      <c r="GJ142" s="221"/>
      <c r="GK142" s="221"/>
      <c r="GL142" s="221"/>
      <c r="GM142" s="221"/>
      <c r="GN142" s="221"/>
      <c r="GO142" s="221"/>
      <c r="GP142" s="221"/>
      <c r="GQ142" s="221"/>
      <c r="GR142" s="221"/>
      <c r="GS142" s="221"/>
      <c r="GT142" s="221"/>
      <c r="GU142" s="221"/>
      <c r="GV142" s="221"/>
      <c r="GW142" s="221"/>
      <c r="GX142" s="221"/>
      <c r="GY142" s="221"/>
      <c r="GZ142" s="221"/>
      <c r="HA142" s="221"/>
      <c r="HB142" s="221"/>
      <c r="HC142" s="221"/>
      <c r="HD142" s="221"/>
      <c r="HE142" s="221"/>
      <c r="HF142" s="221"/>
      <c r="HG142" s="221"/>
      <c r="HH142" s="221"/>
      <c r="HI142" s="221"/>
      <c r="HJ142" s="221"/>
      <c r="HK142" s="221"/>
      <c r="HL142" s="221"/>
      <c r="HM142" s="221"/>
      <c r="HN142" s="221"/>
      <c r="HO142" s="221"/>
      <c r="HP142" s="221"/>
      <c r="HQ142" s="221"/>
      <c r="HR142" s="221"/>
      <c r="HS142" s="221"/>
      <c r="HT142" s="221"/>
      <c r="HU142" s="221"/>
      <c r="HV142" s="221"/>
      <c r="HW142" s="221"/>
      <c r="HX142" s="221"/>
      <c r="HY142" s="221"/>
      <c r="HZ142" s="221"/>
      <c r="IA142" s="221"/>
      <c r="IB142" s="221"/>
      <c r="IC142" s="221"/>
      <c r="ID142" s="221"/>
      <c r="IE142" s="221"/>
      <c r="IF142" s="221"/>
      <c r="IG142" s="221"/>
      <c r="IH142" s="221"/>
      <c r="II142" s="221"/>
      <c r="IJ142" s="221"/>
      <c r="IK142" s="221"/>
      <c r="IL142" s="221"/>
      <c r="IM142" s="221"/>
      <c r="IN142" s="221"/>
      <c r="IO142" s="221"/>
      <c r="IP142" s="221"/>
      <c r="IQ142" s="221"/>
      <c r="IR142" s="221"/>
      <c r="IS142" s="221"/>
      <c r="IT142" s="221"/>
      <c r="IU142" s="221"/>
      <c r="IV142" s="221"/>
      <c r="IW142" s="221"/>
      <c r="IX142" s="221"/>
      <c r="IY142" s="221"/>
      <c r="IZ142" s="221"/>
      <c r="JA142" s="221"/>
      <c r="JB142" s="221"/>
      <c r="JC142" s="221"/>
      <c r="JD142" s="221"/>
      <c r="JE142" s="221"/>
      <c r="JF142" s="221"/>
      <c r="JG142" s="221"/>
      <c r="JH142" s="221"/>
      <c r="JI142" s="221"/>
      <c r="JJ142" s="221"/>
      <c r="JK142" s="221"/>
      <c r="JL142" s="221"/>
      <c r="JM142" s="221"/>
      <c r="JN142" s="221"/>
      <c r="JO142" s="221"/>
      <c r="JP142" s="221"/>
      <c r="JQ142" s="221"/>
    </row>
    <row r="143" spans="1:277" ht="20" customHeight="1" outlineLevel="1">
      <c r="A143" s="485">
        <v>1903039</v>
      </c>
      <c r="B143" s="249">
        <v>42088</v>
      </c>
      <c r="C143" s="252" t="s">
        <v>67</v>
      </c>
      <c r="D143" s="252" t="s">
        <v>73</v>
      </c>
      <c r="E143" s="552" t="s">
        <v>1250</v>
      </c>
      <c r="F143" s="545" t="s">
        <v>47</v>
      </c>
      <c r="G143" s="253" t="s">
        <v>1246</v>
      </c>
      <c r="H143" s="294" t="s">
        <v>191</v>
      </c>
      <c r="I143" s="254" t="s">
        <v>1314</v>
      </c>
      <c r="J143" s="255" t="s">
        <v>62</v>
      </c>
      <c r="K143" s="256" t="s">
        <v>1248</v>
      </c>
      <c r="L143" s="262">
        <v>161454524</v>
      </c>
      <c r="M143" s="33">
        <v>42088</v>
      </c>
      <c r="N143" s="257" t="s">
        <v>378</v>
      </c>
      <c r="O143" s="258" t="s">
        <v>1249</v>
      </c>
      <c r="P143" s="559"/>
      <c r="Q143" s="290"/>
      <c r="R143" s="583">
        <v>0</v>
      </c>
      <c r="S143" s="584">
        <v>0</v>
      </c>
      <c r="T143" s="601">
        <v>0</v>
      </c>
      <c r="U143" s="593">
        <v>0</v>
      </c>
      <c r="V143" s="584">
        <v>0</v>
      </c>
      <c r="W143" s="601">
        <v>0</v>
      </c>
      <c r="X143" s="593">
        <v>0</v>
      </c>
      <c r="Y143" s="584">
        <v>1</v>
      </c>
      <c r="Z143" s="601">
        <v>0</v>
      </c>
      <c r="AA143" s="593">
        <v>0</v>
      </c>
      <c r="AB143" s="584">
        <v>0</v>
      </c>
      <c r="AC143" s="601">
        <v>0</v>
      </c>
      <c r="AD143" s="593">
        <v>0</v>
      </c>
      <c r="AE143" s="593"/>
      <c r="AF143" s="593"/>
      <c r="AG143" s="584">
        <v>0</v>
      </c>
      <c r="AH143" s="601">
        <v>0</v>
      </c>
      <c r="AI143" s="608">
        <v>0</v>
      </c>
      <c r="AJ143" s="608">
        <v>0</v>
      </c>
      <c r="AK143" s="738"/>
      <c r="AL143" s="519"/>
      <c r="AM143" s="253" t="s">
        <v>157</v>
      </c>
      <c r="AN143" s="36">
        <v>0</v>
      </c>
      <c r="AO143" s="252" t="s">
        <v>1850</v>
      </c>
      <c r="AP143" s="37">
        <v>0</v>
      </c>
      <c r="AQ143" s="792">
        <f t="shared" si="10"/>
        <v>0</v>
      </c>
      <c r="AR143" s="831" t="e">
        <f t="shared" si="8"/>
        <v>#DIV/0!</v>
      </c>
      <c r="AS143" s="812" t="s">
        <v>1314</v>
      </c>
      <c r="AT143" s="31"/>
      <c r="AU143" s="38"/>
      <c r="AV143" s="26"/>
      <c r="AW143" s="39"/>
      <c r="AX143" s="36"/>
      <c r="AY143" s="26"/>
      <c r="AZ143" s="41"/>
      <c r="BA143" s="31" t="s">
        <v>47</v>
      </c>
      <c r="BB143" s="41">
        <v>0</v>
      </c>
      <c r="BC143" s="42"/>
      <c r="BD143" s="42"/>
      <c r="BE143" s="42"/>
      <c r="BF143" s="42"/>
      <c r="BG143" s="42"/>
      <c r="BH143" s="221"/>
      <c r="BI143" s="221"/>
      <c r="BJ143" s="221"/>
      <c r="BK143" s="221"/>
      <c r="BL143" s="221"/>
      <c r="BM143" s="221"/>
      <c r="BN143" s="221"/>
      <c r="BO143" s="221"/>
      <c r="BP143" s="221"/>
      <c r="BQ143" s="221"/>
      <c r="BR143" s="221"/>
      <c r="BS143" s="221"/>
      <c r="BT143" s="221"/>
      <c r="BU143" s="221"/>
      <c r="BV143" s="221"/>
      <c r="BW143" s="221"/>
      <c r="BX143" s="221"/>
      <c r="BY143" s="221"/>
      <c r="BZ143" s="221"/>
      <c r="CA143" s="221"/>
      <c r="CB143" s="221"/>
      <c r="CC143" s="221"/>
      <c r="CD143" s="221"/>
      <c r="CE143" s="221"/>
      <c r="CF143" s="221"/>
      <c r="CG143" s="221"/>
      <c r="CH143" s="221"/>
      <c r="CI143" s="221"/>
      <c r="CJ143" s="221"/>
      <c r="CK143" s="221"/>
      <c r="CL143" s="221"/>
      <c r="CM143" s="221"/>
      <c r="CN143" s="221"/>
      <c r="CO143" s="221"/>
      <c r="CP143" s="221"/>
      <c r="CQ143" s="221"/>
      <c r="CR143" s="221"/>
      <c r="CS143" s="221"/>
      <c r="CT143" s="221"/>
      <c r="CU143" s="221"/>
      <c r="CV143" s="221"/>
      <c r="CW143" s="221"/>
      <c r="CX143" s="221"/>
      <c r="CY143" s="221"/>
      <c r="CZ143" s="221"/>
      <c r="DA143" s="221"/>
      <c r="DB143" s="221"/>
      <c r="DC143" s="221"/>
      <c r="DD143" s="221"/>
      <c r="DE143" s="221"/>
      <c r="DF143" s="221"/>
      <c r="DG143" s="221"/>
      <c r="DH143" s="221"/>
      <c r="DI143" s="221"/>
      <c r="DJ143" s="221"/>
      <c r="DK143" s="221"/>
      <c r="DL143" s="221"/>
      <c r="DM143" s="221"/>
      <c r="DN143" s="221"/>
      <c r="DO143" s="221"/>
      <c r="DP143" s="221"/>
      <c r="DQ143" s="221"/>
      <c r="DR143" s="221"/>
      <c r="DS143" s="221"/>
      <c r="DT143" s="221"/>
      <c r="DU143" s="221"/>
      <c r="DV143" s="221"/>
      <c r="DW143" s="221"/>
      <c r="DX143" s="221"/>
      <c r="DY143" s="221"/>
      <c r="DZ143" s="221"/>
      <c r="EA143" s="221"/>
      <c r="EB143" s="221"/>
      <c r="EC143" s="221"/>
      <c r="ED143" s="221"/>
      <c r="EE143" s="221"/>
      <c r="EF143" s="221"/>
      <c r="EG143" s="221"/>
      <c r="EH143" s="221"/>
      <c r="EI143" s="221"/>
      <c r="EJ143" s="221"/>
      <c r="EK143" s="221"/>
      <c r="EL143" s="221"/>
      <c r="EM143" s="221"/>
      <c r="EN143" s="221"/>
      <c r="EO143" s="221"/>
      <c r="EP143" s="221"/>
      <c r="EQ143" s="221"/>
      <c r="ER143" s="221"/>
      <c r="ES143" s="221"/>
      <c r="ET143" s="221"/>
      <c r="EU143" s="221"/>
      <c r="EV143" s="221"/>
      <c r="EW143" s="221"/>
      <c r="EX143" s="221"/>
      <c r="EY143" s="221"/>
      <c r="EZ143" s="221"/>
      <c r="FA143" s="221"/>
      <c r="FB143" s="221"/>
      <c r="FC143" s="221"/>
      <c r="FD143" s="221"/>
      <c r="FE143" s="221"/>
      <c r="FF143" s="221"/>
      <c r="FG143" s="221"/>
      <c r="FH143" s="221"/>
      <c r="FI143" s="221"/>
      <c r="FJ143" s="221"/>
      <c r="FK143" s="221"/>
      <c r="FL143" s="221"/>
      <c r="FM143" s="221"/>
      <c r="FN143" s="221"/>
      <c r="FO143" s="221"/>
      <c r="FP143" s="221"/>
      <c r="FQ143" s="221"/>
      <c r="FR143" s="221"/>
      <c r="FS143" s="221"/>
      <c r="FT143" s="221"/>
      <c r="FU143" s="221"/>
      <c r="FV143" s="221"/>
      <c r="FW143" s="221"/>
      <c r="FX143" s="221"/>
      <c r="FY143" s="221"/>
      <c r="FZ143" s="221"/>
      <c r="GA143" s="221"/>
      <c r="GB143" s="221"/>
      <c r="GC143" s="221"/>
      <c r="GD143" s="221"/>
      <c r="GE143" s="221"/>
      <c r="GF143" s="221"/>
      <c r="GG143" s="221"/>
      <c r="GH143" s="221"/>
      <c r="GI143" s="221"/>
      <c r="GJ143" s="221"/>
      <c r="GK143" s="221"/>
      <c r="GL143" s="221"/>
      <c r="GM143" s="221"/>
      <c r="GN143" s="221"/>
      <c r="GO143" s="221"/>
      <c r="GP143" s="221"/>
      <c r="GQ143" s="221"/>
      <c r="GR143" s="221"/>
      <c r="GS143" s="221"/>
      <c r="GT143" s="221"/>
      <c r="GU143" s="221"/>
      <c r="GV143" s="221"/>
      <c r="GW143" s="221"/>
      <c r="GX143" s="221"/>
      <c r="GY143" s="221"/>
      <c r="GZ143" s="221"/>
      <c r="HA143" s="221"/>
      <c r="HB143" s="221"/>
      <c r="HC143" s="221"/>
      <c r="HD143" s="221"/>
      <c r="HE143" s="221"/>
      <c r="HF143" s="221"/>
      <c r="HG143" s="221"/>
      <c r="HH143" s="221"/>
      <c r="HI143" s="221"/>
      <c r="HJ143" s="221"/>
      <c r="HK143" s="221"/>
      <c r="HL143" s="221"/>
      <c r="HM143" s="221"/>
      <c r="HN143" s="221"/>
      <c r="HO143" s="221"/>
      <c r="HP143" s="221"/>
      <c r="HQ143" s="221"/>
      <c r="HR143" s="221"/>
      <c r="HS143" s="221"/>
      <c r="HT143" s="221"/>
      <c r="HU143" s="221"/>
      <c r="HV143" s="221"/>
      <c r="HW143" s="221"/>
      <c r="HX143" s="221"/>
      <c r="HY143" s="221"/>
      <c r="HZ143" s="221"/>
      <c r="IA143" s="221"/>
      <c r="IB143" s="221"/>
      <c r="IC143" s="221"/>
      <c r="ID143" s="221"/>
      <c r="IE143" s="221"/>
      <c r="IF143" s="221"/>
      <c r="IG143" s="221"/>
      <c r="IH143" s="221"/>
      <c r="II143" s="221"/>
      <c r="IJ143" s="221"/>
      <c r="IK143" s="221"/>
      <c r="IL143" s="221"/>
      <c r="IM143" s="221"/>
      <c r="IN143" s="221"/>
      <c r="IO143" s="221"/>
      <c r="IP143" s="221"/>
      <c r="IQ143" s="221"/>
      <c r="IR143" s="221"/>
      <c r="IS143" s="221"/>
      <c r="IT143" s="221"/>
      <c r="IU143" s="221"/>
      <c r="IV143" s="221"/>
      <c r="IW143" s="221"/>
      <c r="IX143" s="221"/>
      <c r="IY143" s="221"/>
      <c r="IZ143" s="221"/>
      <c r="JA143" s="221"/>
      <c r="JB143" s="221"/>
      <c r="JC143" s="221"/>
      <c r="JD143" s="221"/>
      <c r="JE143" s="221"/>
      <c r="JF143" s="221"/>
      <c r="JG143" s="221"/>
      <c r="JH143" s="221"/>
      <c r="JI143" s="221"/>
      <c r="JJ143" s="221"/>
      <c r="JK143" s="221"/>
      <c r="JL143" s="221"/>
      <c r="JM143" s="221"/>
      <c r="JN143" s="221"/>
      <c r="JO143" s="221"/>
      <c r="JP143" s="221"/>
      <c r="JQ143" s="221"/>
    </row>
    <row r="144" spans="1:277" ht="20" customHeight="1" outlineLevel="1">
      <c r="A144" s="485">
        <v>1903040</v>
      </c>
      <c r="B144" s="249">
        <v>42088</v>
      </c>
      <c r="C144" s="252" t="s">
        <v>44</v>
      </c>
      <c r="D144" s="252" t="s">
        <v>73</v>
      </c>
      <c r="E144" s="552" t="s">
        <v>74</v>
      </c>
      <c r="F144" s="545" t="s">
        <v>47</v>
      </c>
      <c r="G144" s="253" t="s">
        <v>1251</v>
      </c>
      <c r="H144" s="294"/>
      <c r="I144" s="254">
        <v>1913232</v>
      </c>
      <c r="J144" s="255" t="s">
        <v>62</v>
      </c>
      <c r="K144" s="256" t="s">
        <v>50</v>
      </c>
      <c r="L144" s="265">
        <v>161807544</v>
      </c>
      <c r="M144" s="33">
        <v>42089</v>
      </c>
      <c r="N144" s="257" t="s">
        <v>258</v>
      </c>
      <c r="O144" s="258" t="s">
        <v>1252</v>
      </c>
      <c r="P144" s="566" t="s">
        <v>47</v>
      </c>
      <c r="Q144" s="294"/>
      <c r="R144" s="583">
        <v>1</v>
      </c>
      <c r="S144" s="584">
        <v>0</v>
      </c>
      <c r="T144" s="601">
        <v>0</v>
      </c>
      <c r="U144" s="593">
        <v>0</v>
      </c>
      <c r="V144" s="584">
        <v>0</v>
      </c>
      <c r="W144" s="601">
        <v>0</v>
      </c>
      <c r="X144" s="593">
        <v>0</v>
      </c>
      <c r="Y144" s="584">
        <v>0</v>
      </c>
      <c r="Z144" s="601">
        <v>0</v>
      </c>
      <c r="AA144" s="593">
        <v>0</v>
      </c>
      <c r="AB144" s="584">
        <v>0</v>
      </c>
      <c r="AC144" s="601">
        <v>0</v>
      </c>
      <c r="AD144" s="593">
        <v>0</v>
      </c>
      <c r="AE144" s="593"/>
      <c r="AF144" s="593"/>
      <c r="AG144" s="584">
        <v>0</v>
      </c>
      <c r="AH144" s="601">
        <v>0</v>
      </c>
      <c r="AI144" s="608">
        <v>0</v>
      </c>
      <c r="AJ144" s="608">
        <v>0</v>
      </c>
      <c r="AK144" s="738"/>
      <c r="AL144" s="524" t="s">
        <v>396</v>
      </c>
      <c r="AM144" s="35">
        <v>190737</v>
      </c>
      <c r="AN144" s="36">
        <v>33.6</v>
      </c>
      <c r="AO144" s="252" t="s">
        <v>1253</v>
      </c>
      <c r="AP144" s="37">
        <v>105.6</v>
      </c>
      <c r="AQ144" s="792">
        <f t="shared" si="10"/>
        <v>72</v>
      </c>
      <c r="AR144" s="831">
        <f t="shared" si="8"/>
        <v>0.68181818181818188</v>
      </c>
      <c r="AS144" s="812"/>
      <c r="AT144" s="256" t="s">
        <v>1254</v>
      </c>
      <c r="AU144" s="38">
        <v>1</v>
      </c>
      <c r="AV144" s="252" t="s">
        <v>1255</v>
      </c>
      <c r="AW144" s="259" t="s">
        <v>1256</v>
      </c>
      <c r="AX144" s="36">
        <v>70</v>
      </c>
      <c r="AY144" s="26" t="s">
        <v>1322</v>
      </c>
      <c r="AZ144" s="41">
        <v>66.73</v>
      </c>
      <c r="BA144" s="31" t="s">
        <v>47</v>
      </c>
      <c r="BB144" s="41">
        <v>0</v>
      </c>
      <c r="BC144" s="42"/>
      <c r="BD144" s="42"/>
      <c r="BE144" s="42"/>
      <c r="BF144" s="42"/>
      <c r="BG144" s="42"/>
      <c r="BH144" s="221"/>
      <c r="BI144" s="221"/>
      <c r="BJ144" s="221"/>
      <c r="BK144" s="221"/>
      <c r="BL144" s="221"/>
      <c r="BM144" s="221"/>
      <c r="BN144" s="221"/>
      <c r="BO144" s="221"/>
      <c r="BP144" s="221"/>
      <c r="BQ144" s="221"/>
      <c r="BR144" s="221"/>
      <c r="BS144" s="221"/>
      <c r="BT144" s="221"/>
      <c r="BU144" s="221"/>
      <c r="BV144" s="221"/>
      <c r="BW144" s="221"/>
      <c r="BX144" s="221"/>
      <c r="BY144" s="221"/>
      <c r="BZ144" s="221"/>
      <c r="CA144" s="221"/>
      <c r="CB144" s="221"/>
      <c r="CC144" s="221"/>
      <c r="CD144" s="221"/>
      <c r="CE144" s="221"/>
      <c r="CF144" s="221"/>
      <c r="CG144" s="221"/>
      <c r="CH144" s="221"/>
      <c r="CI144" s="221"/>
      <c r="CJ144" s="221"/>
      <c r="CK144" s="221"/>
      <c r="CL144" s="221"/>
      <c r="CM144" s="221"/>
      <c r="CN144" s="221"/>
      <c r="CO144" s="221"/>
      <c r="CP144" s="221"/>
      <c r="CQ144" s="221"/>
      <c r="CR144" s="221"/>
      <c r="CS144" s="221"/>
      <c r="CT144" s="221"/>
      <c r="CU144" s="221"/>
      <c r="CV144" s="221"/>
      <c r="CW144" s="221"/>
      <c r="CX144" s="221"/>
      <c r="CY144" s="221"/>
      <c r="CZ144" s="221"/>
      <c r="DA144" s="221"/>
      <c r="DB144" s="221"/>
      <c r="DC144" s="221"/>
      <c r="DD144" s="221"/>
      <c r="DE144" s="221"/>
      <c r="DF144" s="221"/>
      <c r="DG144" s="221"/>
      <c r="DH144" s="221"/>
      <c r="DI144" s="221"/>
      <c r="DJ144" s="221"/>
      <c r="DK144" s="221"/>
      <c r="DL144" s="221"/>
      <c r="DM144" s="221"/>
      <c r="DN144" s="221"/>
      <c r="DO144" s="221"/>
      <c r="DP144" s="221"/>
      <c r="DQ144" s="221"/>
      <c r="DR144" s="221"/>
      <c r="DS144" s="221"/>
      <c r="DT144" s="221"/>
      <c r="DU144" s="221"/>
      <c r="DV144" s="221"/>
      <c r="DW144" s="221"/>
      <c r="DX144" s="221"/>
      <c r="DY144" s="221"/>
      <c r="DZ144" s="221"/>
      <c r="EA144" s="221"/>
      <c r="EB144" s="221"/>
      <c r="EC144" s="221"/>
      <c r="ED144" s="221"/>
      <c r="EE144" s="221"/>
      <c r="EF144" s="221"/>
      <c r="EG144" s="221"/>
      <c r="EH144" s="221"/>
      <c r="EI144" s="221"/>
      <c r="EJ144" s="221"/>
      <c r="EK144" s="221"/>
      <c r="EL144" s="221"/>
      <c r="EM144" s="221"/>
      <c r="EN144" s="221"/>
      <c r="EO144" s="221"/>
      <c r="EP144" s="221"/>
      <c r="EQ144" s="221"/>
      <c r="ER144" s="221"/>
      <c r="ES144" s="221"/>
      <c r="ET144" s="221"/>
      <c r="EU144" s="221"/>
      <c r="EV144" s="221"/>
      <c r="EW144" s="221"/>
      <c r="EX144" s="221"/>
      <c r="EY144" s="221"/>
      <c r="EZ144" s="221"/>
      <c r="FA144" s="221"/>
      <c r="FB144" s="221"/>
      <c r="FC144" s="221"/>
      <c r="FD144" s="221"/>
      <c r="FE144" s="221"/>
      <c r="FF144" s="221"/>
      <c r="FG144" s="221"/>
      <c r="FH144" s="221"/>
      <c r="FI144" s="221"/>
      <c r="FJ144" s="221"/>
      <c r="FK144" s="221"/>
      <c r="FL144" s="221"/>
      <c r="FM144" s="221"/>
      <c r="FN144" s="221"/>
      <c r="FO144" s="221"/>
      <c r="FP144" s="221"/>
      <c r="FQ144" s="221"/>
      <c r="FR144" s="221"/>
      <c r="FS144" s="221"/>
      <c r="FT144" s="221"/>
      <c r="FU144" s="221"/>
      <c r="FV144" s="221"/>
      <c r="FW144" s="221"/>
      <c r="FX144" s="221"/>
      <c r="FY144" s="221"/>
      <c r="FZ144" s="221"/>
      <c r="GA144" s="221"/>
      <c r="GB144" s="221"/>
      <c r="GC144" s="221"/>
      <c r="GD144" s="221"/>
      <c r="GE144" s="221"/>
      <c r="GF144" s="221"/>
      <c r="GG144" s="221"/>
      <c r="GH144" s="221"/>
      <c r="GI144" s="221"/>
      <c r="GJ144" s="221"/>
      <c r="GK144" s="221"/>
      <c r="GL144" s="221"/>
      <c r="GM144" s="221"/>
      <c r="GN144" s="221"/>
      <c r="GO144" s="221"/>
      <c r="GP144" s="221"/>
      <c r="GQ144" s="221"/>
      <c r="GR144" s="221"/>
      <c r="GS144" s="221"/>
      <c r="GT144" s="221"/>
      <c r="GU144" s="221"/>
      <c r="GV144" s="221"/>
      <c r="GW144" s="221"/>
      <c r="GX144" s="221"/>
      <c r="GY144" s="221"/>
      <c r="GZ144" s="221"/>
      <c r="HA144" s="221"/>
      <c r="HB144" s="221"/>
      <c r="HC144" s="221"/>
      <c r="HD144" s="221"/>
      <c r="HE144" s="221"/>
      <c r="HF144" s="221"/>
      <c r="HG144" s="221"/>
      <c r="HH144" s="221"/>
      <c r="HI144" s="221"/>
      <c r="HJ144" s="221"/>
      <c r="HK144" s="221"/>
      <c r="HL144" s="221"/>
      <c r="HM144" s="221"/>
      <c r="HN144" s="221"/>
      <c r="HO144" s="221"/>
      <c r="HP144" s="221"/>
      <c r="HQ144" s="221"/>
      <c r="HR144" s="221"/>
      <c r="HS144" s="221"/>
      <c r="HT144" s="221"/>
      <c r="HU144" s="221"/>
      <c r="HV144" s="221"/>
      <c r="HW144" s="221"/>
      <c r="HX144" s="221"/>
      <c r="HY144" s="221"/>
      <c r="HZ144" s="221"/>
      <c r="IA144" s="221"/>
      <c r="IB144" s="221"/>
      <c r="IC144" s="221"/>
      <c r="ID144" s="221"/>
      <c r="IE144" s="221"/>
      <c r="IF144" s="221"/>
      <c r="IG144" s="221"/>
      <c r="IH144" s="221"/>
      <c r="II144" s="221"/>
      <c r="IJ144" s="221"/>
      <c r="IK144" s="221"/>
      <c r="IL144" s="221"/>
      <c r="IM144" s="221"/>
      <c r="IN144" s="221"/>
      <c r="IO144" s="221"/>
      <c r="IP144" s="221"/>
      <c r="IQ144" s="221"/>
      <c r="IR144" s="221"/>
      <c r="IS144" s="221"/>
      <c r="IT144" s="221"/>
      <c r="IU144" s="221"/>
      <c r="IV144" s="221"/>
      <c r="IW144" s="221"/>
      <c r="IX144" s="221"/>
      <c r="IY144" s="221"/>
      <c r="IZ144" s="221"/>
      <c r="JA144" s="221"/>
      <c r="JB144" s="221"/>
      <c r="JC144" s="221"/>
      <c r="JD144" s="221"/>
      <c r="JE144" s="221"/>
      <c r="JF144" s="221"/>
      <c r="JG144" s="221"/>
      <c r="JH144" s="221"/>
      <c r="JI144" s="221"/>
      <c r="JJ144" s="221"/>
      <c r="JK144" s="221"/>
      <c r="JL144" s="221"/>
      <c r="JM144" s="221"/>
      <c r="JN144" s="221"/>
      <c r="JO144" s="221"/>
      <c r="JP144" s="221"/>
      <c r="JQ144" s="221"/>
    </row>
    <row r="145" spans="1:277" ht="20" customHeight="1" outlineLevel="1">
      <c r="A145" s="485">
        <v>1903041</v>
      </c>
      <c r="B145" s="249">
        <v>42088</v>
      </c>
      <c r="C145" s="252" t="s">
        <v>44</v>
      </c>
      <c r="D145" s="252" t="s">
        <v>73</v>
      </c>
      <c r="E145" s="552" t="s">
        <v>1257</v>
      </c>
      <c r="F145" s="545" t="s">
        <v>47</v>
      </c>
      <c r="G145" s="253" t="s">
        <v>1258</v>
      </c>
      <c r="H145" s="294" t="s">
        <v>47</v>
      </c>
      <c r="I145" s="54">
        <v>191383</v>
      </c>
      <c r="J145" s="255" t="s">
        <v>1269</v>
      </c>
      <c r="K145" s="256" t="s">
        <v>50</v>
      </c>
      <c r="L145" s="287">
        <v>164188289</v>
      </c>
      <c r="M145" s="33">
        <v>42098</v>
      </c>
      <c r="N145" s="257" t="s">
        <v>258</v>
      </c>
      <c r="O145" s="258" t="s">
        <v>1305</v>
      </c>
      <c r="P145" s="559"/>
      <c r="Q145" s="290"/>
      <c r="R145" s="583">
        <v>0</v>
      </c>
      <c r="S145" s="584">
        <v>0</v>
      </c>
      <c r="T145" s="601">
        <v>0</v>
      </c>
      <c r="U145" s="593">
        <v>0</v>
      </c>
      <c r="V145" s="584">
        <v>0</v>
      </c>
      <c r="W145" s="601">
        <v>0</v>
      </c>
      <c r="X145" s="593">
        <v>0</v>
      </c>
      <c r="Y145" s="584">
        <v>0</v>
      </c>
      <c r="Z145" s="601">
        <v>0</v>
      </c>
      <c r="AA145" s="593">
        <v>0</v>
      </c>
      <c r="AB145" s="584">
        <v>0</v>
      </c>
      <c r="AC145" s="601">
        <v>0</v>
      </c>
      <c r="AD145" s="593">
        <v>0</v>
      </c>
      <c r="AE145" s="593"/>
      <c r="AF145" s="593"/>
      <c r="AG145" s="584">
        <v>0</v>
      </c>
      <c r="AH145" s="601">
        <v>0</v>
      </c>
      <c r="AI145" s="608">
        <v>0</v>
      </c>
      <c r="AJ145" s="608">
        <v>0</v>
      </c>
      <c r="AK145" s="738"/>
      <c r="AL145" s="524" t="s">
        <v>78</v>
      </c>
      <c r="AM145" s="35">
        <v>190829</v>
      </c>
      <c r="AN145" s="36">
        <v>102.13</v>
      </c>
      <c r="AO145" s="26" t="s">
        <v>1316</v>
      </c>
      <c r="AP145" s="37">
        <v>176.84</v>
      </c>
      <c r="AQ145" s="792">
        <f t="shared" si="10"/>
        <v>74.710000000000008</v>
      </c>
      <c r="AR145" s="831">
        <f t="shared" si="8"/>
        <v>0.42247229133680164</v>
      </c>
      <c r="AS145" s="812"/>
      <c r="AT145" s="256" t="s">
        <v>1254</v>
      </c>
      <c r="AU145" s="38">
        <v>1</v>
      </c>
      <c r="AV145" s="252" t="s">
        <v>1306</v>
      </c>
      <c r="AW145" s="39"/>
      <c r="AX145" s="36">
        <v>72</v>
      </c>
      <c r="AY145" s="26"/>
      <c r="AZ145" s="41">
        <v>67.209999999999994</v>
      </c>
      <c r="BA145" s="31" t="s">
        <v>47</v>
      </c>
      <c r="BB145" s="41">
        <v>0</v>
      </c>
      <c r="BC145" s="42"/>
      <c r="BD145" s="42"/>
      <c r="BE145" s="42"/>
      <c r="BF145" s="42"/>
      <c r="BG145" s="42"/>
      <c r="BH145" s="221"/>
      <c r="BI145" s="221"/>
      <c r="BJ145" s="221"/>
      <c r="BK145" s="221"/>
      <c r="BL145" s="221"/>
      <c r="BM145" s="221"/>
      <c r="BN145" s="221"/>
      <c r="BO145" s="221"/>
      <c r="BP145" s="221"/>
      <c r="BQ145" s="221"/>
      <c r="BR145" s="221"/>
      <c r="BS145" s="221"/>
      <c r="BT145" s="221"/>
      <c r="BU145" s="221"/>
      <c r="BV145" s="221"/>
      <c r="BW145" s="221"/>
      <c r="BX145" s="221"/>
      <c r="BY145" s="221"/>
      <c r="BZ145" s="221"/>
      <c r="CA145" s="221"/>
      <c r="CB145" s="221"/>
      <c r="CC145" s="221"/>
      <c r="CD145" s="221"/>
      <c r="CE145" s="221"/>
      <c r="CF145" s="221"/>
      <c r="CG145" s="221"/>
      <c r="CH145" s="221"/>
      <c r="CI145" s="221"/>
      <c r="CJ145" s="221"/>
      <c r="CK145" s="221"/>
      <c r="CL145" s="221"/>
      <c r="CM145" s="221"/>
      <c r="CN145" s="221"/>
      <c r="CO145" s="221"/>
      <c r="CP145" s="221"/>
      <c r="CQ145" s="221"/>
      <c r="CR145" s="221"/>
      <c r="CS145" s="221"/>
      <c r="CT145" s="221"/>
      <c r="CU145" s="221"/>
      <c r="CV145" s="221"/>
      <c r="CW145" s="221"/>
      <c r="CX145" s="221"/>
      <c r="CY145" s="221"/>
      <c r="CZ145" s="221"/>
      <c r="DA145" s="221"/>
      <c r="DB145" s="221"/>
      <c r="DC145" s="221"/>
      <c r="DD145" s="221"/>
      <c r="DE145" s="221"/>
      <c r="DF145" s="221"/>
      <c r="DG145" s="221"/>
      <c r="DH145" s="221"/>
      <c r="DI145" s="221"/>
      <c r="DJ145" s="221"/>
      <c r="DK145" s="221"/>
      <c r="DL145" s="221"/>
      <c r="DM145" s="221"/>
      <c r="DN145" s="221"/>
      <c r="DO145" s="221"/>
      <c r="DP145" s="221"/>
      <c r="DQ145" s="221"/>
      <c r="DR145" s="221"/>
      <c r="DS145" s="221"/>
      <c r="DT145" s="221"/>
      <c r="DU145" s="221"/>
      <c r="DV145" s="221"/>
      <c r="DW145" s="221"/>
      <c r="DX145" s="221"/>
      <c r="DY145" s="221"/>
      <c r="DZ145" s="221"/>
      <c r="EA145" s="221"/>
      <c r="EB145" s="221"/>
      <c r="EC145" s="221"/>
      <c r="ED145" s="221"/>
      <c r="EE145" s="221"/>
      <c r="EF145" s="221"/>
      <c r="EG145" s="221"/>
      <c r="EH145" s="221"/>
      <c r="EI145" s="221"/>
      <c r="EJ145" s="221"/>
      <c r="EK145" s="221"/>
      <c r="EL145" s="221"/>
      <c r="EM145" s="221"/>
      <c r="EN145" s="221"/>
      <c r="EO145" s="221"/>
      <c r="EP145" s="221"/>
      <c r="EQ145" s="221"/>
      <c r="ER145" s="221"/>
      <c r="ES145" s="221"/>
      <c r="ET145" s="221"/>
      <c r="EU145" s="221"/>
      <c r="EV145" s="221"/>
      <c r="EW145" s="221"/>
      <c r="EX145" s="221"/>
      <c r="EY145" s="221"/>
      <c r="EZ145" s="221"/>
      <c r="FA145" s="221"/>
      <c r="FB145" s="221"/>
      <c r="FC145" s="221"/>
      <c r="FD145" s="221"/>
      <c r="FE145" s="221"/>
      <c r="FF145" s="221"/>
      <c r="FG145" s="221"/>
      <c r="FH145" s="221"/>
      <c r="FI145" s="221"/>
      <c r="FJ145" s="221"/>
      <c r="FK145" s="221"/>
      <c r="FL145" s="221"/>
      <c r="FM145" s="221"/>
      <c r="FN145" s="221"/>
      <c r="FO145" s="221"/>
      <c r="FP145" s="221"/>
      <c r="FQ145" s="221"/>
      <c r="FR145" s="221"/>
      <c r="FS145" s="221"/>
      <c r="FT145" s="221"/>
      <c r="FU145" s="221"/>
      <c r="FV145" s="221"/>
      <c r="FW145" s="221"/>
      <c r="FX145" s="221"/>
      <c r="FY145" s="221"/>
      <c r="FZ145" s="221"/>
      <c r="GA145" s="221"/>
      <c r="GB145" s="221"/>
      <c r="GC145" s="221"/>
      <c r="GD145" s="221"/>
      <c r="GE145" s="221"/>
      <c r="GF145" s="221"/>
      <c r="GG145" s="221"/>
      <c r="GH145" s="221"/>
      <c r="GI145" s="221"/>
      <c r="GJ145" s="221"/>
      <c r="GK145" s="221"/>
      <c r="GL145" s="221"/>
      <c r="GM145" s="221"/>
      <c r="GN145" s="221"/>
      <c r="GO145" s="221"/>
      <c r="GP145" s="221"/>
      <c r="GQ145" s="221"/>
      <c r="GR145" s="221"/>
      <c r="GS145" s="221"/>
      <c r="GT145" s="221"/>
      <c r="GU145" s="221"/>
      <c r="GV145" s="221"/>
      <c r="GW145" s="221"/>
      <c r="GX145" s="221"/>
      <c r="GY145" s="221"/>
      <c r="GZ145" s="221"/>
      <c r="HA145" s="221"/>
      <c r="HB145" s="221"/>
      <c r="HC145" s="221"/>
      <c r="HD145" s="221"/>
      <c r="HE145" s="221"/>
      <c r="HF145" s="221"/>
      <c r="HG145" s="221"/>
      <c r="HH145" s="221"/>
      <c r="HI145" s="221"/>
      <c r="HJ145" s="221"/>
      <c r="HK145" s="221"/>
      <c r="HL145" s="221"/>
      <c r="HM145" s="221"/>
      <c r="HN145" s="221"/>
      <c r="HO145" s="221"/>
      <c r="HP145" s="221"/>
      <c r="HQ145" s="221"/>
      <c r="HR145" s="221"/>
      <c r="HS145" s="221"/>
      <c r="HT145" s="221"/>
      <c r="HU145" s="221"/>
      <c r="HV145" s="221"/>
      <c r="HW145" s="221"/>
      <c r="HX145" s="221"/>
      <c r="HY145" s="221"/>
      <c r="HZ145" s="221"/>
      <c r="IA145" s="221"/>
      <c r="IB145" s="221"/>
      <c r="IC145" s="221"/>
      <c r="ID145" s="221"/>
      <c r="IE145" s="221"/>
      <c r="IF145" s="221"/>
      <c r="IG145" s="221"/>
      <c r="IH145" s="221"/>
      <c r="II145" s="221"/>
      <c r="IJ145" s="221"/>
      <c r="IK145" s="221"/>
      <c r="IL145" s="221"/>
      <c r="IM145" s="221"/>
      <c r="IN145" s="221"/>
      <c r="IO145" s="221"/>
      <c r="IP145" s="221"/>
      <c r="IQ145" s="221"/>
      <c r="IR145" s="221"/>
      <c r="IS145" s="221"/>
      <c r="IT145" s="221"/>
      <c r="IU145" s="221"/>
      <c r="IV145" s="221"/>
      <c r="IW145" s="221"/>
      <c r="IX145" s="221"/>
      <c r="IY145" s="221"/>
      <c r="IZ145" s="221"/>
      <c r="JA145" s="221"/>
      <c r="JB145" s="221"/>
      <c r="JC145" s="221"/>
      <c r="JD145" s="221"/>
      <c r="JE145" s="221"/>
      <c r="JF145" s="221"/>
      <c r="JG145" s="221"/>
      <c r="JH145" s="221"/>
      <c r="JI145" s="221"/>
      <c r="JJ145" s="221"/>
      <c r="JK145" s="221"/>
      <c r="JL145" s="221"/>
      <c r="JM145" s="221"/>
      <c r="JN145" s="221"/>
      <c r="JO145" s="221"/>
      <c r="JP145" s="221"/>
      <c r="JQ145" s="221"/>
    </row>
    <row r="146" spans="1:277" ht="20" customHeight="1" outlineLevel="1">
      <c r="A146" s="485">
        <v>1903042</v>
      </c>
      <c r="B146" s="249">
        <v>42088</v>
      </c>
      <c r="C146" s="252" t="s">
        <v>67</v>
      </c>
      <c r="D146" s="252" t="s">
        <v>1259</v>
      </c>
      <c r="E146" s="552" t="s">
        <v>276</v>
      </c>
      <c r="F146" s="545" t="s">
        <v>47</v>
      </c>
      <c r="G146" s="253" t="s">
        <v>1272</v>
      </c>
      <c r="H146" s="294" t="s">
        <v>47</v>
      </c>
      <c r="I146" s="254">
        <v>191384</v>
      </c>
      <c r="J146" s="255" t="s">
        <v>1269</v>
      </c>
      <c r="K146" s="256" t="s">
        <v>50</v>
      </c>
      <c r="L146" s="50">
        <v>164182581</v>
      </c>
      <c r="M146" s="33">
        <v>42098</v>
      </c>
      <c r="N146" s="257" t="s">
        <v>279</v>
      </c>
      <c r="O146" s="258" t="s">
        <v>1270</v>
      </c>
      <c r="P146" s="559" t="s">
        <v>123</v>
      </c>
      <c r="Q146" s="290"/>
      <c r="R146" s="583">
        <v>0</v>
      </c>
      <c r="S146" s="584">
        <v>0</v>
      </c>
      <c r="T146" s="601">
        <v>0</v>
      </c>
      <c r="U146" s="593">
        <v>1</v>
      </c>
      <c r="V146" s="584">
        <v>0</v>
      </c>
      <c r="W146" s="601">
        <v>0</v>
      </c>
      <c r="X146" s="593">
        <v>0</v>
      </c>
      <c r="Y146" s="584">
        <v>0</v>
      </c>
      <c r="Z146" s="601">
        <v>0</v>
      </c>
      <c r="AA146" s="593">
        <v>0</v>
      </c>
      <c r="AB146" s="584">
        <v>0</v>
      </c>
      <c r="AC146" s="601">
        <v>0</v>
      </c>
      <c r="AD146" s="593">
        <v>0</v>
      </c>
      <c r="AE146" s="593"/>
      <c r="AF146" s="593"/>
      <c r="AG146" s="584">
        <v>0</v>
      </c>
      <c r="AH146" s="601">
        <v>0</v>
      </c>
      <c r="AI146" s="608">
        <v>0</v>
      </c>
      <c r="AJ146" s="608">
        <v>0</v>
      </c>
      <c r="AK146" s="738"/>
      <c r="AL146" s="519" t="s">
        <v>1313</v>
      </c>
      <c r="AM146" s="35">
        <v>190830</v>
      </c>
      <c r="AN146" s="36">
        <v>292.39999999999998</v>
      </c>
      <c r="AO146" s="252" t="s">
        <v>430</v>
      </c>
      <c r="AP146" s="37">
        <v>863.4</v>
      </c>
      <c r="AQ146" s="792">
        <f t="shared" si="10"/>
        <v>571</v>
      </c>
      <c r="AR146" s="831">
        <f t="shared" si="8"/>
        <v>0.66133889274959468</v>
      </c>
      <c r="AS146" s="812" t="s">
        <v>1314</v>
      </c>
      <c r="AT146" s="256" t="s">
        <v>1254</v>
      </c>
      <c r="AU146" s="38">
        <v>1</v>
      </c>
      <c r="AV146" s="252" t="s">
        <v>1852</v>
      </c>
      <c r="AW146" s="259" t="s">
        <v>1722</v>
      </c>
      <c r="AX146" s="36">
        <v>90</v>
      </c>
      <c r="AY146" s="26"/>
      <c r="AZ146" s="41">
        <v>39.33</v>
      </c>
      <c r="BA146" s="31" t="s">
        <v>47</v>
      </c>
      <c r="BB146" s="41">
        <v>0</v>
      </c>
      <c r="BC146" s="42"/>
      <c r="BD146" s="42"/>
      <c r="BE146" s="42"/>
      <c r="BF146" s="42"/>
      <c r="BG146" s="42"/>
      <c r="BH146" s="221"/>
      <c r="BI146" s="221"/>
      <c r="BJ146" s="221"/>
      <c r="BK146" s="221"/>
      <c r="BL146" s="221"/>
      <c r="BM146" s="221"/>
      <c r="BN146" s="221"/>
      <c r="BO146" s="221"/>
      <c r="BP146" s="221"/>
      <c r="BQ146" s="221"/>
      <c r="BR146" s="221"/>
      <c r="BS146" s="221"/>
      <c r="BT146" s="221"/>
      <c r="BU146" s="221"/>
      <c r="BV146" s="221"/>
      <c r="BW146" s="221"/>
      <c r="BX146" s="221"/>
      <c r="BY146" s="221"/>
      <c r="BZ146" s="221"/>
      <c r="CA146" s="221"/>
      <c r="CB146" s="221"/>
      <c r="CC146" s="221"/>
      <c r="CD146" s="221"/>
      <c r="CE146" s="221"/>
      <c r="CF146" s="221"/>
      <c r="CG146" s="221"/>
      <c r="CH146" s="221"/>
      <c r="CI146" s="221"/>
      <c r="CJ146" s="221"/>
      <c r="CK146" s="221"/>
      <c r="CL146" s="221"/>
      <c r="CM146" s="221"/>
      <c r="CN146" s="221"/>
      <c r="CO146" s="221"/>
      <c r="CP146" s="221"/>
      <c r="CQ146" s="221"/>
      <c r="CR146" s="221"/>
      <c r="CS146" s="221"/>
      <c r="CT146" s="221"/>
      <c r="CU146" s="221"/>
      <c r="CV146" s="221"/>
      <c r="CW146" s="221"/>
      <c r="CX146" s="221"/>
      <c r="CY146" s="221"/>
      <c r="CZ146" s="221"/>
      <c r="DA146" s="221"/>
      <c r="DB146" s="221"/>
      <c r="DC146" s="221"/>
      <c r="DD146" s="221"/>
      <c r="DE146" s="221"/>
      <c r="DF146" s="221"/>
      <c r="DG146" s="221"/>
      <c r="DH146" s="221"/>
      <c r="DI146" s="221"/>
      <c r="DJ146" s="221"/>
      <c r="DK146" s="221"/>
      <c r="DL146" s="221"/>
      <c r="DM146" s="221"/>
      <c r="DN146" s="221"/>
      <c r="DO146" s="221"/>
      <c r="DP146" s="221"/>
      <c r="DQ146" s="221"/>
      <c r="DR146" s="221"/>
      <c r="DS146" s="221"/>
      <c r="DT146" s="221"/>
      <c r="DU146" s="221"/>
      <c r="DV146" s="221"/>
      <c r="DW146" s="221"/>
      <c r="DX146" s="221"/>
      <c r="DY146" s="221"/>
      <c r="DZ146" s="221"/>
      <c r="EA146" s="221"/>
      <c r="EB146" s="221"/>
      <c r="EC146" s="221"/>
      <c r="ED146" s="221"/>
      <c r="EE146" s="221"/>
      <c r="EF146" s="221"/>
      <c r="EG146" s="221"/>
      <c r="EH146" s="221"/>
      <c r="EI146" s="221"/>
      <c r="EJ146" s="221"/>
      <c r="EK146" s="221"/>
      <c r="EL146" s="221"/>
      <c r="EM146" s="221"/>
      <c r="EN146" s="221"/>
      <c r="EO146" s="221"/>
      <c r="EP146" s="221"/>
      <c r="EQ146" s="221"/>
      <c r="ER146" s="221"/>
      <c r="ES146" s="221"/>
      <c r="ET146" s="221"/>
      <c r="EU146" s="221"/>
      <c r="EV146" s="221"/>
      <c r="EW146" s="221"/>
      <c r="EX146" s="221"/>
      <c r="EY146" s="221"/>
      <c r="EZ146" s="221"/>
      <c r="FA146" s="221"/>
      <c r="FB146" s="221"/>
      <c r="FC146" s="221"/>
      <c r="FD146" s="221"/>
      <c r="FE146" s="221"/>
      <c r="FF146" s="221"/>
      <c r="FG146" s="221"/>
      <c r="FH146" s="221"/>
      <c r="FI146" s="221"/>
      <c r="FJ146" s="221"/>
      <c r="FK146" s="221"/>
      <c r="FL146" s="221"/>
      <c r="FM146" s="221"/>
      <c r="FN146" s="221"/>
      <c r="FO146" s="221"/>
      <c r="FP146" s="221"/>
      <c r="FQ146" s="221"/>
      <c r="FR146" s="221"/>
      <c r="FS146" s="221"/>
      <c r="FT146" s="221"/>
      <c r="FU146" s="221"/>
      <c r="FV146" s="221"/>
      <c r="FW146" s="221"/>
      <c r="FX146" s="221"/>
      <c r="FY146" s="221"/>
      <c r="FZ146" s="221"/>
      <c r="GA146" s="221"/>
      <c r="GB146" s="221"/>
      <c r="GC146" s="221"/>
      <c r="GD146" s="221"/>
      <c r="GE146" s="221"/>
      <c r="GF146" s="221"/>
      <c r="GG146" s="221"/>
      <c r="GH146" s="221"/>
      <c r="GI146" s="221"/>
      <c r="GJ146" s="221"/>
      <c r="GK146" s="221"/>
      <c r="GL146" s="221"/>
      <c r="GM146" s="221"/>
      <c r="GN146" s="221"/>
      <c r="GO146" s="221"/>
      <c r="GP146" s="221"/>
      <c r="GQ146" s="221"/>
      <c r="GR146" s="221"/>
      <c r="GS146" s="221"/>
      <c r="GT146" s="221"/>
      <c r="GU146" s="221"/>
      <c r="GV146" s="221"/>
      <c r="GW146" s="221"/>
      <c r="GX146" s="221"/>
      <c r="GY146" s="221"/>
      <c r="GZ146" s="221"/>
      <c r="HA146" s="221"/>
      <c r="HB146" s="221"/>
      <c r="HC146" s="221"/>
      <c r="HD146" s="221"/>
      <c r="HE146" s="221"/>
      <c r="HF146" s="221"/>
      <c r="HG146" s="221"/>
      <c r="HH146" s="221"/>
      <c r="HI146" s="221"/>
      <c r="HJ146" s="221"/>
      <c r="HK146" s="221"/>
      <c r="HL146" s="221"/>
      <c r="HM146" s="221"/>
      <c r="HN146" s="221"/>
      <c r="HO146" s="221"/>
      <c r="HP146" s="221"/>
      <c r="HQ146" s="221"/>
      <c r="HR146" s="221"/>
      <c r="HS146" s="221"/>
      <c r="HT146" s="221"/>
      <c r="HU146" s="221"/>
      <c r="HV146" s="221"/>
      <c r="HW146" s="221"/>
      <c r="HX146" s="221"/>
      <c r="HY146" s="221"/>
      <c r="HZ146" s="221"/>
      <c r="IA146" s="221"/>
      <c r="IB146" s="221"/>
      <c r="IC146" s="221"/>
      <c r="ID146" s="221"/>
      <c r="IE146" s="221"/>
      <c r="IF146" s="221"/>
      <c r="IG146" s="221"/>
      <c r="IH146" s="221"/>
      <c r="II146" s="221"/>
      <c r="IJ146" s="221"/>
      <c r="IK146" s="221"/>
      <c r="IL146" s="221"/>
      <c r="IM146" s="221"/>
      <c r="IN146" s="221"/>
      <c r="IO146" s="221"/>
      <c r="IP146" s="221"/>
      <c r="IQ146" s="221"/>
      <c r="IR146" s="221"/>
      <c r="IS146" s="221"/>
      <c r="IT146" s="221"/>
      <c r="IU146" s="221"/>
      <c r="IV146" s="221"/>
      <c r="IW146" s="221"/>
      <c r="IX146" s="221"/>
      <c r="IY146" s="221"/>
      <c r="IZ146" s="221"/>
      <c r="JA146" s="221"/>
      <c r="JB146" s="221"/>
      <c r="JC146" s="221"/>
      <c r="JD146" s="221"/>
      <c r="JE146" s="221"/>
      <c r="JF146" s="221"/>
      <c r="JG146" s="221"/>
      <c r="JH146" s="221"/>
      <c r="JI146" s="221"/>
      <c r="JJ146" s="221"/>
      <c r="JK146" s="221"/>
      <c r="JL146" s="221"/>
      <c r="JM146" s="221"/>
      <c r="JN146" s="221"/>
      <c r="JO146" s="221"/>
      <c r="JP146" s="221"/>
      <c r="JQ146" s="221"/>
    </row>
    <row r="147" spans="1:277" ht="20" customHeight="1" outlineLevel="1">
      <c r="A147" s="485">
        <v>1903043</v>
      </c>
      <c r="B147" s="249">
        <v>42088</v>
      </c>
      <c r="C147" s="252" t="s">
        <v>67</v>
      </c>
      <c r="D147" s="252" t="s">
        <v>73</v>
      </c>
      <c r="E147" s="552" t="s">
        <v>69</v>
      </c>
      <c r="F147" s="545" t="s">
        <v>1261</v>
      </c>
      <c r="G147" s="35" t="s">
        <v>1304</v>
      </c>
      <c r="H147" s="296">
        <v>42101</v>
      </c>
      <c r="I147" s="54">
        <v>191568</v>
      </c>
      <c r="J147" s="30" t="s">
        <v>62</v>
      </c>
      <c r="K147" s="256" t="s">
        <v>50</v>
      </c>
      <c r="L147" s="50">
        <v>167389228</v>
      </c>
      <c r="M147" s="33">
        <v>42111</v>
      </c>
      <c r="N147" s="257" t="s">
        <v>221</v>
      </c>
      <c r="O147" s="258" t="s">
        <v>1260</v>
      </c>
      <c r="P147" s="566" t="s">
        <v>1263</v>
      </c>
      <c r="Q147" s="294"/>
      <c r="R147" s="583">
        <v>0</v>
      </c>
      <c r="S147" s="584">
        <v>0</v>
      </c>
      <c r="T147" s="601">
        <v>0</v>
      </c>
      <c r="U147" s="593">
        <v>1</v>
      </c>
      <c r="V147" s="584">
        <v>0</v>
      </c>
      <c r="W147" s="601">
        <v>0</v>
      </c>
      <c r="X147" s="593">
        <v>0</v>
      </c>
      <c r="Y147" s="584">
        <v>0</v>
      </c>
      <c r="Z147" s="601">
        <v>0</v>
      </c>
      <c r="AA147" s="593">
        <v>0</v>
      </c>
      <c r="AB147" s="584">
        <v>0</v>
      </c>
      <c r="AC147" s="601">
        <v>0</v>
      </c>
      <c r="AD147" s="593">
        <v>0</v>
      </c>
      <c r="AE147" s="593"/>
      <c r="AF147" s="593"/>
      <c r="AG147" s="584">
        <v>0</v>
      </c>
      <c r="AH147" s="601">
        <v>0</v>
      </c>
      <c r="AI147" s="608">
        <v>0</v>
      </c>
      <c r="AJ147" s="608">
        <v>0</v>
      </c>
      <c r="AK147" s="738"/>
      <c r="AL147" s="524" t="s">
        <v>1262</v>
      </c>
      <c r="AM147" s="35">
        <v>191947</v>
      </c>
      <c r="AN147" s="36">
        <v>64.8</v>
      </c>
      <c r="AO147" s="252" t="s">
        <v>1851</v>
      </c>
      <c r="AP147" s="37">
        <f>344.03-18</f>
        <v>326.02999999999997</v>
      </c>
      <c r="AQ147" s="792">
        <f t="shared" si="10"/>
        <v>261.22999999999996</v>
      </c>
      <c r="AR147" s="831">
        <f t="shared" si="8"/>
        <v>0.8012452841763027</v>
      </c>
      <c r="AS147" s="812">
        <v>42097</v>
      </c>
      <c r="AT147" s="256" t="s">
        <v>1254</v>
      </c>
      <c r="AU147" s="38">
        <v>1</v>
      </c>
      <c r="AV147" s="26"/>
      <c r="AW147" s="39"/>
      <c r="AX147" s="36">
        <v>18</v>
      </c>
      <c r="AY147" s="26"/>
      <c r="AZ147" s="41">
        <v>11.38</v>
      </c>
      <c r="BA147" s="31" t="s">
        <v>47</v>
      </c>
      <c r="BB147" s="41">
        <v>0</v>
      </c>
      <c r="BC147" s="42"/>
      <c r="BD147" s="42"/>
      <c r="BE147" s="42"/>
      <c r="BF147" s="42"/>
      <c r="BG147" s="42"/>
      <c r="BH147" s="221"/>
      <c r="BI147" s="221"/>
      <c r="BJ147" s="221"/>
      <c r="BK147" s="221"/>
      <c r="BL147" s="221"/>
      <c r="BM147" s="221"/>
      <c r="BN147" s="221"/>
      <c r="BO147" s="221"/>
      <c r="BP147" s="221"/>
      <c r="BQ147" s="221"/>
      <c r="BR147" s="221"/>
      <c r="BS147" s="221"/>
      <c r="BT147" s="221"/>
      <c r="BU147" s="221"/>
      <c r="BV147" s="221"/>
      <c r="BW147" s="221"/>
      <c r="BX147" s="221"/>
      <c r="BY147" s="221"/>
      <c r="BZ147" s="221"/>
      <c r="CA147" s="221"/>
      <c r="CB147" s="221"/>
      <c r="CC147" s="221"/>
      <c r="CD147" s="221"/>
      <c r="CE147" s="221"/>
      <c r="CF147" s="221"/>
      <c r="CG147" s="221"/>
      <c r="CH147" s="221"/>
      <c r="CI147" s="221"/>
      <c r="CJ147" s="221"/>
      <c r="CK147" s="221"/>
      <c r="CL147" s="221"/>
      <c r="CM147" s="221"/>
      <c r="CN147" s="221"/>
      <c r="CO147" s="221"/>
      <c r="CP147" s="221"/>
      <c r="CQ147" s="221"/>
      <c r="CR147" s="221"/>
      <c r="CS147" s="221"/>
      <c r="CT147" s="221"/>
      <c r="CU147" s="221"/>
      <c r="CV147" s="221"/>
      <c r="CW147" s="221"/>
      <c r="CX147" s="221"/>
      <c r="CY147" s="221"/>
      <c r="CZ147" s="221"/>
      <c r="DA147" s="221"/>
      <c r="DB147" s="221"/>
      <c r="DC147" s="221"/>
      <c r="DD147" s="221"/>
      <c r="DE147" s="221"/>
      <c r="DF147" s="221"/>
      <c r="DG147" s="221"/>
      <c r="DH147" s="221"/>
      <c r="DI147" s="221"/>
      <c r="DJ147" s="221"/>
      <c r="DK147" s="221"/>
      <c r="DL147" s="221"/>
      <c r="DM147" s="221"/>
      <c r="DN147" s="221"/>
      <c r="DO147" s="221"/>
      <c r="DP147" s="221"/>
      <c r="DQ147" s="221"/>
      <c r="DR147" s="221"/>
      <c r="DS147" s="221"/>
      <c r="DT147" s="221"/>
      <c r="DU147" s="221"/>
      <c r="DV147" s="221"/>
      <c r="DW147" s="221"/>
      <c r="DX147" s="221"/>
      <c r="DY147" s="221"/>
      <c r="DZ147" s="221"/>
      <c r="EA147" s="221"/>
      <c r="EB147" s="221"/>
      <c r="EC147" s="221"/>
      <c r="ED147" s="221"/>
      <c r="EE147" s="221"/>
      <c r="EF147" s="221"/>
      <c r="EG147" s="221"/>
      <c r="EH147" s="221"/>
      <c r="EI147" s="221"/>
      <c r="EJ147" s="221"/>
      <c r="EK147" s="221"/>
      <c r="EL147" s="221"/>
      <c r="EM147" s="221"/>
      <c r="EN147" s="221"/>
      <c r="EO147" s="221"/>
      <c r="EP147" s="221"/>
      <c r="EQ147" s="221"/>
      <c r="ER147" s="221"/>
      <c r="ES147" s="221"/>
      <c r="ET147" s="221"/>
      <c r="EU147" s="221"/>
      <c r="EV147" s="221"/>
      <c r="EW147" s="221"/>
      <c r="EX147" s="221"/>
      <c r="EY147" s="221"/>
      <c r="EZ147" s="221"/>
      <c r="FA147" s="221"/>
      <c r="FB147" s="221"/>
      <c r="FC147" s="221"/>
      <c r="FD147" s="221"/>
      <c r="FE147" s="221"/>
      <c r="FF147" s="221"/>
      <c r="FG147" s="221"/>
      <c r="FH147" s="221"/>
      <c r="FI147" s="221"/>
      <c r="FJ147" s="221"/>
      <c r="FK147" s="221"/>
      <c r="FL147" s="221"/>
      <c r="FM147" s="221"/>
      <c r="FN147" s="221"/>
      <c r="FO147" s="221"/>
      <c r="FP147" s="221"/>
      <c r="FQ147" s="221"/>
      <c r="FR147" s="221"/>
      <c r="FS147" s="221"/>
      <c r="FT147" s="221"/>
      <c r="FU147" s="221"/>
      <c r="FV147" s="221"/>
      <c r="FW147" s="221"/>
      <c r="FX147" s="221"/>
      <c r="FY147" s="221"/>
      <c r="FZ147" s="221"/>
      <c r="GA147" s="221"/>
      <c r="GB147" s="221"/>
      <c r="GC147" s="221"/>
      <c r="GD147" s="221"/>
      <c r="GE147" s="221"/>
      <c r="GF147" s="221"/>
      <c r="GG147" s="221"/>
      <c r="GH147" s="221"/>
      <c r="GI147" s="221"/>
      <c r="GJ147" s="221"/>
      <c r="GK147" s="221"/>
      <c r="GL147" s="221"/>
      <c r="GM147" s="221"/>
      <c r="GN147" s="221"/>
      <c r="GO147" s="221"/>
      <c r="GP147" s="221"/>
      <c r="GQ147" s="221"/>
      <c r="GR147" s="221"/>
      <c r="GS147" s="221"/>
      <c r="GT147" s="221"/>
      <c r="GU147" s="221"/>
      <c r="GV147" s="221"/>
      <c r="GW147" s="221"/>
      <c r="GX147" s="221"/>
      <c r="GY147" s="221"/>
      <c r="GZ147" s="221"/>
      <c r="HA147" s="221"/>
      <c r="HB147" s="221"/>
      <c r="HC147" s="221"/>
      <c r="HD147" s="221"/>
      <c r="HE147" s="221"/>
      <c r="HF147" s="221"/>
      <c r="HG147" s="221"/>
      <c r="HH147" s="221"/>
      <c r="HI147" s="221"/>
      <c r="HJ147" s="221"/>
      <c r="HK147" s="221"/>
      <c r="HL147" s="221"/>
      <c r="HM147" s="221"/>
      <c r="HN147" s="221"/>
      <c r="HO147" s="221"/>
      <c r="HP147" s="221"/>
      <c r="HQ147" s="221"/>
      <c r="HR147" s="221"/>
      <c r="HS147" s="221"/>
      <c r="HT147" s="221"/>
      <c r="HU147" s="221"/>
      <c r="HV147" s="221"/>
      <c r="HW147" s="221"/>
      <c r="HX147" s="221"/>
      <c r="HY147" s="221"/>
      <c r="HZ147" s="221"/>
      <c r="IA147" s="221"/>
      <c r="IB147" s="221"/>
      <c r="IC147" s="221"/>
      <c r="ID147" s="221"/>
      <c r="IE147" s="221"/>
      <c r="IF147" s="221"/>
      <c r="IG147" s="221"/>
      <c r="IH147" s="221"/>
      <c r="II147" s="221"/>
      <c r="IJ147" s="221"/>
      <c r="IK147" s="221"/>
      <c r="IL147" s="221"/>
      <c r="IM147" s="221"/>
      <c r="IN147" s="221"/>
      <c r="IO147" s="221"/>
      <c r="IP147" s="221"/>
      <c r="IQ147" s="221"/>
      <c r="IR147" s="221"/>
      <c r="IS147" s="221"/>
      <c r="IT147" s="221"/>
      <c r="IU147" s="221"/>
      <c r="IV147" s="221"/>
      <c r="IW147" s="221"/>
      <c r="IX147" s="221"/>
      <c r="IY147" s="221"/>
      <c r="IZ147" s="221"/>
      <c r="JA147" s="221"/>
      <c r="JB147" s="221"/>
      <c r="JC147" s="221"/>
      <c r="JD147" s="221"/>
      <c r="JE147" s="221"/>
      <c r="JF147" s="221"/>
      <c r="JG147" s="221"/>
      <c r="JH147" s="221"/>
      <c r="JI147" s="221"/>
      <c r="JJ147" s="221"/>
      <c r="JK147" s="221"/>
      <c r="JL147" s="221"/>
      <c r="JM147" s="221"/>
      <c r="JN147" s="221"/>
      <c r="JO147" s="221"/>
      <c r="JP147" s="221"/>
      <c r="JQ147" s="221"/>
    </row>
    <row r="148" spans="1:277" ht="20" customHeight="1" outlineLevel="1">
      <c r="A148" s="485">
        <v>1903044</v>
      </c>
      <c r="B148" s="249">
        <v>42088</v>
      </c>
      <c r="C148" s="252" t="s">
        <v>44</v>
      </c>
      <c r="D148" s="252" t="s">
        <v>73</v>
      </c>
      <c r="E148" s="552" t="s">
        <v>250</v>
      </c>
      <c r="F148" s="545" t="s">
        <v>1266</v>
      </c>
      <c r="G148" s="253" t="s">
        <v>1290</v>
      </c>
      <c r="H148" s="294" t="s">
        <v>1314</v>
      </c>
      <c r="I148" s="254" t="s">
        <v>155</v>
      </c>
      <c r="J148" s="255" t="s">
        <v>1269</v>
      </c>
      <c r="K148" s="256" t="s">
        <v>50</v>
      </c>
      <c r="L148" s="50">
        <v>166782495</v>
      </c>
      <c r="M148" s="33">
        <v>42110</v>
      </c>
      <c r="N148" s="257" t="s">
        <v>342</v>
      </c>
      <c r="O148" s="258" t="s">
        <v>1267</v>
      </c>
      <c r="P148" s="559"/>
      <c r="Q148" s="290"/>
      <c r="R148" s="583">
        <v>0</v>
      </c>
      <c r="S148" s="584">
        <v>0</v>
      </c>
      <c r="T148" s="601">
        <v>0</v>
      </c>
      <c r="U148" s="593">
        <v>0</v>
      </c>
      <c r="V148" s="584">
        <v>0</v>
      </c>
      <c r="W148" s="601">
        <v>0</v>
      </c>
      <c r="X148" s="593">
        <v>0</v>
      </c>
      <c r="Y148" s="584">
        <v>0</v>
      </c>
      <c r="Z148" s="601">
        <v>0</v>
      </c>
      <c r="AA148" s="593">
        <v>0</v>
      </c>
      <c r="AB148" s="584">
        <v>0</v>
      </c>
      <c r="AC148" s="601">
        <v>0</v>
      </c>
      <c r="AD148" s="593">
        <v>0</v>
      </c>
      <c r="AE148" s="593"/>
      <c r="AF148" s="593"/>
      <c r="AG148" s="584">
        <v>0</v>
      </c>
      <c r="AH148" s="601">
        <v>0</v>
      </c>
      <c r="AI148" s="608">
        <v>0</v>
      </c>
      <c r="AJ148" s="608">
        <v>0</v>
      </c>
      <c r="AK148" s="738"/>
      <c r="AL148" s="524" t="s">
        <v>1268</v>
      </c>
      <c r="AM148" s="35">
        <v>190922</v>
      </c>
      <c r="AN148" s="36">
        <v>129.6</v>
      </c>
      <c r="AO148" s="252" t="s">
        <v>1294</v>
      </c>
      <c r="AP148" s="37">
        <v>231.66</v>
      </c>
      <c r="AQ148" s="792">
        <f t="shared" si="10"/>
        <v>102.06</v>
      </c>
      <c r="AR148" s="831">
        <f t="shared" si="8"/>
        <v>0.44055944055944057</v>
      </c>
      <c r="AS148" s="812" t="s">
        <v>1314</v>
      </c>
      <c r="AT148" s="256" t="s">
        <v>1254</v>
      </c>
      <c r="AU148" s="38">
        <v>1</v>
      </c>
      <c r="AV148" s="252" t="s">
        <v>1852</v>
      </c>
      <c r="AW148" s="39"/>
      <c r="AX148" s="36">
        <v>120</v>
      </c>
      <c r="AY148" s="26"/>
      <c r="AZ148" s="41">
        <v>86.1</v>
      </c>
      <c r="BA148" s="31" t="s">
        <v>47</v>
      </c>
      <c r="BB148" s="41">
        <v>0</v>
      </c>
      <c r="BC148" s="42"/>
      <c r="BD148" s="42"/>
      <c r="BE148" s="42"/>
      <c r="BF148" s="42"/>
      <c r="BG148" s="42"/>
      <c r="BH148" s="221"/>
      <c r="BI148" s="221"/>
      <c r="BJ148" s="221"/>
      <c r="BK148" s="221"/>
      <c r="BL148" s="221"/>
      <c r="BM148" s="221"/>
      <c r="BN148" s="221"/>
      <c r="BO148" s="221"/>
      <c r="BP148" s="221"/>
      <c r="BQ148" s="221"/>
      <c r="BR148" s="221"/>
      <c r="BS148" s="221"/>
      <c r="BT148" s="221"/>
      <c r="BU148" s="221"/>
      <c r="BV148" s="221"/>
      <c r="BW148" s="221"/>
      <c r="BX148" s="221"/>
      <c r="BY148" s="221"/>
      <c r="BZ148" s="221"/>
      <c r="CA148" s="221"/>
      <c r="CB148" s="221"/>
      <c r="CC148" s="221"/>
      <c r="CD148" s="221"/>
      <c r="CE148" s="221"/>
      <c r="CF148" s="221"/>
      <c r="CG148" s="221"/>
      <c r="CH148" s="221"/>
      <c r="CI148" s="221"/>
      <c r="CJ148" s="221"/>
      <c r="CK148" s="221"/>
      <c r="CL148" s="221"/>
      <c r="CM148" s="221"/>
      <c r="CN148" s="221"/>
      <c r="CO148" s="221"/>
      <c r="CP148" s="221"/>
      <c r="CQ148" s="221"/>
      <c r="CR148" s="221"/>
      <c r="CS148" s="221"/>
      <c r="CT148" s="221"/>
      <c r="CU148" s="221"/>
      <c r="CV148" s="221"/>
      <c r="CW148" s="221"/>
      <c r="CX148" s="221"/>
      <c r="CY148" s="221"/>
      <c r="CZ148" s="221"/>
      <c r="DA148" s="221"/>
      <c r="DB148" s="221"/>
      <c r="DC148" s="221"/>
      <c r="DD148" s="221"/>
      <c r="DE148" s="221"/>
      <c r="DF148" s="221"/>
      <c r="DG148" s="221"/>
      <c r="DH148" s="221"/>
      <c r="DI148" s="221"/>
      <c r="DJ148" s="221"/>
      <c r="DK148" s="221"/>
      <c r="DL148" s="221"/>
      <c r="DM148" s="221"/>
      <c r="DN148" s="221"/>
      <c r="DO148" s="221"/>
      <c r="DP148" s="221"/>
      <c r="DQ148" s="221"/>
      <c r="DR148" s="221"/>
      <c r="DS148" s="221"/>
      <c r="DT148" s="221"/>
      <c r="DU148" s="221"/>
      <c r="DV148" s="221"/>
      <c r="DW148" s="221"/>
      <c r="DX148" s="221"/>
      <c r="DY148" s="221"/>
      <c r="DZ148" s="221"/>
      <c r="EA148" s="221"/>
      <c r="EB148" s="221"/>
      <c r="EC148" s="221"/>
      <c r="ED148" s="221"/>
      <c r="EE148" s="221"/>
      <c r="EF148" s="221"/>
      <c r="EG148" s="221"/>
      <c r="EH148" s="221"/>
      <c r="EI148" s="221"/>
      <c r="EJ148" s="221"/>
      <c r="EK148" s="221"/>
      <c r="EL148" s="221"/>
      <c r="EM148" s="221"/>
      <c r="EN148" s="221"/>
      <c r="EO148" s="221"/>
      <c r="EP148" s="221"/>
      <c r="EQ148" s="221"/>
      <c r="ER148" s="221"/>
      <c r="ES148" s="221"/>
      <c r="ET148" s="221"/>
      <c r="EU148" s="221"/>
      <c r="EV148" s="221"/>
      <c r="EW148" s="221"/>
      <c r="EX148" s="221"/>
      <c r="EY148" s="221"/>
      <c r="EZ148" s="221"/>
      <c r="FA148" s="221"/>
      <c r="FB148" s="221"/>
      <c r="FC148" s="221"/>
      <c r="FD148" s="221"/>
      <c r="FE148" s="221"/>
      <c r="FF148" s="221"/>
      <c r="FG148" s="221"/>
      <c r="FH148" s="221"/>
      <c r="FI148" s="221"/>
      <c r="FJ148" s="221"/>
      <c r="FK148" s="221"/>
      <c r="FL148" s="221"/>
      <c r="FM148" s="221"/>
      <c r="FN148" s="221"/>
      <c r="FO148" s="221"/>
      <c r="FP148" s="221"/>
      <c r="FQ148" s="221"/>
      <c r="FR148" s="221"/>
      <c r="FS148" s="221"/>
      <c r="FT148" s="221"/>
      <c r="FU148" s="221"/>
      <c r="FV148" s="221"/>
      <c r="FW148" s="221"/>
      <c r="FX148" s="221"/>
      <c r="FY148" s="221"/>
      <c r="FZ148" s="221"/>
      <c r="GA148" s="221"/>
      <c r="GB148" s="221"/>
      <c r="GC148" s="221"/>
      <c r="GD148" s="221"/>
      <c r="GE148" s="221"/>
      <c r="GF148" s="221"/>
      <c r="GG148" s="221"/>
      <c r="GH148" s="221"/>
      <c r="GI148" s="221"/>
      <c r="GJ148" s="221"/>
      <c r="GK148" s="221"/>
      <c r="GL148" s="221"/>
      <c r="GM148" s="221"/>
      <c r="GN148" s="221"/>
      <c r="GO148" s="221"/>
      <c r="GP148" s="221"/>
      <c r="GQ148" s="221"/>
      <c r="GR148" s="221"/>
      <c r="GS148" s="221"/>
      <c r="GT148" s="221"/>
      <c r="GU148" s="221"/>
      <c r="GV148" s="221"/>
      <c r="GW148" s="221"/>
      <c r="GX148" s="221"/>
      <c r="GY148" s="221"/>
      <c r="GZ148" s="221"/>
      <c r="HA148" s="221"/>
      <c r="HB148" s="221"/>
      <c r="HC148" s="221"/>
      <c r="HD148" s="221"/>
      <c r="HE148" s="221"/>
      <c r="HF148" s="221"/>
      <c r="HG148" s="221"/>
      <c r="HH148" s="221"/>
      <c r="HI148" s="221"/>
      <c r="HJ148" s="221"/>
      <c r="HK148" s="221"/>
      <c r="HL148" s="221"/>
      <c r="HM148" s="221"/>
      <c r="HN148" s="221"/>
      <c r="HO148" s="221"/>
      <c r="HP148" s="221"/>
      <c r="HQ148" s="221"/>
      <c r="HR148" s="221"/>
      <c r="HS148" s="221"/>
      <c r="HT148" s="221"/>
      <c r="HU148" s="221"/>
      <c r="HV148" s="221"/>
      <c r="HW148" s="221"/>
      <c r="HX148" s="221"/>
      <c r="HY148" s="221"/>
      <c r="HZ148" s="221"/>
      <c r="IA148" s="221"/>
      <c r="IB148" s="221"/>
      <c r="IC148" s="221"/>
      <c r="ID148" s="221"/>
      <c r="IE148" s="221"/>
      <c r="IF148" s="221"/>
      <c r="IG148" s="221"/>
      <c r="IH148" s="221"/>
      <c r="II148" s="221"/>
      <c r="IJ148" s="221"/>
      <c r="IK148" s="221"/>
      <c r="IL148" s="221"/>
      <c r="IM148" s="221"/>
      <c r="IN148" s="221"/>
      <c r="IO148" s="221"/>
      <c r="IP148" s="221"/>
      <c r="IQ148" s="221"/>
      <c r="IR148" s="221"/>
      <c r="IS148" s="221"/>
      <c r="IT148" s="221"/>
      <c r="IU148" s="221"/>
      <c r="IV148" s="221"/>
      <c r="IW148" s="221"/>
      <c r="IX148" s="221"/>
      <c r="IY148" s="221"/>
      <c r="IZ148" s="221"/>
      <c r="JA148" s="221"/>
      <c r="JB148" s="221"/>
      <c r="JC148" s="221"/>
      <c r="JD148" s="221"/>
      <c r="JE148" s="221"/>
      <c r="JF148" s="221"/>
      <c r="JG148" s="221"/>
      <c r="JH148" s="221"/>
      <c r="JI148" s="221"/>
      <c r="JJ148" s="221"/>
      <c r="JK148" s="221"/>
      <c r="JL148" s="221"/>
      <c r="JM148" s="221"/>
      <c r="JN148" s="221"/>
      <c r="JO148" s="221"/>
      <c r="JP148" s="221"/>
      <c r="JQ148" s="221"/>
    </row>
    <row r="149" spans="1:277" ht="20" customHeight="1" outlineLevel="1">
      <c r="A149" s="485">
        <v>1903046</v>
      </c>
      <c r="B149" s="267">
        <v>42090</v>
      </c>
      <c r="C149" s="268" t="s">
        <v>44</v>
      </c>
      <c r="D149" s="268" t="s">
        <v>96</v>
      </c>
      <c r="E149" s="553" t="s">
        <v>69</v>
      </c>
      <c r="F149" s="546" t="s">
        <v>1320</v>
      </c>
      <c r="G149" s="269" t="s">
        <v>47</v>
      </c>
      <c r="H149" s="298">
        <v>42094</v>
      </c>
      <c r="I149" s="270">
        <v>191389</v>
      </c>
      <c r="J149" s="271" t="s">
        <v>1269</v>
      </c>
      <c r="K149" s="256" t="s">
        <v>50</v>
      </c>
      <c r="L149" s="703" t="s">
        <v>118</v>
      </c>
      <c r="M149" s="274">
        <v>42098</v>
      </c>
      <c r="N149" s="275" t="s">
        <v>1321</v>
      </c>
      <c r="O149" s="276" t="s">
        <v>1465</v>
      </c>
      <c r="P149" s="563"/>
      <c r="Q149" s="295"/>
      <c r="R149" s="583">
        <v>0</v>
      </c>
      <c r="S149" s="584">
        <v>0</v>
      </c>
      <c r="T149" s="601">
        <v>0</v>
      </c>
      <c r="U149" s="593">
        <v>0</v>
      </c>
      <c r="V149" s="584">
        <v>0</v>
      </c>
      <c r="W149" s="601">
        <v>0</v>
      </c>
      <c r="X149" s="593">
        <v>2</v>
      </c>
      <c r="Y149" s="584">
        <v>0</v>
      </c>
      <c r="Z149" s="601">
        <v>0</v>
      </c>
      <c r="AA149" s="593">
        <v>0</v>
      </c>
      <c r="AB149" s="584">
        <v>0</v>
      </c>
      <c r="AC149" s="601">
        <v>0</v>
      </c>
      <c r="AD149" s="593">
        <v>0</v>
      </c>
      <c r="AE149" s="593"/>
      <c r="AF149" s="593"/>
      <c r="AG149" s="584">
        <v>0</v>
      </c>
      <c r="AH149" s="601">
        <v>0</v>
      </c>
      <c r="AI149" s="608">
        <v>0</v>
      </c>
      <c r="AJ149" s="608">
        <v>0</v>
      </c>
      <c r="AL149" s="525" t="s">
        <v>1799</v>
      </c>
      <c r="AM149" s="269">
        <v>190930</v>
      </c>
      <c r="AN149" s="278">
        <v>93.79</v>
      </c>
      <c r="AO149" s="268" t="s">
        <v>347</v>
      </c>
      <c r="AP149" s="280">
        <v>176.46</v>
      </c>
      <c r="AQ149" s="792">
        <f t="shared" ref="AQ149:AQ150" si="11">AP149-AN149</f>
        <v>82.67</v>
      </c>
      <c r="AR149" s="831">
        <f t="shared" si="8"/>
        <v>0.46849144281990251</v>
      </c>
      <c r="AS149" s="816" t="s">
        <v>1314</v>
      </c>
      <c r="AT149" s="277" t="s">
        <v>1254</v>
      </c>
      <c r="AU149" s="281">
        <v>1</v>
      </c>
      <c r="AV149" s="252" t="s">
        <v>1852</v>
      </c>
      <c r="AW149" s="282"/>
      <c r="AX149" s="278">
        <v>0</v>
      </c>
      <c r="AY149" s="268" t="s">
        <v>118</v>
      </c>
      <c r="AZ149" s="283">
        <v>0</v>
      </c>
      <c r="BA149" s="31" t="s">
        <v>47</v>
      </c>
      <c r="BB149" s="41">
        <v>0</v>
      </c>
      <c r="BC149" s="284"/>
      <c r="BD149" s="284"/>
      <c r="BE149" s="284"/>
      <c r="BF149" s="284"/>
      <c r="BG149" s="284"/>
      <c r="BH149" s="221"/>
      <c r="BI149" s="221"/>
      <c r="BJ149" s="221"/>
      <c r="BK149" s="221"/>
      <c r="BL149" s="221"/>
      <c r="BM149" s="221"/>
      <c r="BN149" s="221"/>
      <c r="BO149" s="221"/>
      <c r="BP149" s="221"/>
      <c r="BQ149" s="221"/>
      <c r="BR149" s="221"/>
      <c r="BS149" s="221"/>
      <c r="BT149" s="221"/>
      <c r="BU149" s="221"/>
      <c r="BV149" s="221"/>
      <c r="BW149" s="221"/>
      <c r="BX149" s="221"/>
      <c r="BY149" s="221"/>
      <c r="BZ149" s="221"/>
      <c r="CA149" s="221"/>
      <c r="CB149" s="221"/>
      <c r="CC149" s="221"/>
      <c r="CD149" s="221"/>
      <c r="CE149" s="221"/>
      <c r="CF149" s="221"/>
      <c r="CG149" s="221"/>
      <c r="CH149" s="221"/>
      <c r="CI149" s="221"/>
      <c r="CJ149" s="221"/>
      <c r="CK149" s="221"/>
      <c r="CL149" s="221"/>
      <c r="CM149" s="221"/>
      <c r="CN149" s="221"/>
      <c r="CO149" s="221"/>
      <c r="CP149" s="221"/>
      <c r="CQ149" s="221"/>
      <c r="CR149" s="221"/>
      <c r="CS149" s="221"/>
      <c r="CT149" s="221"/>
      <c r="CU149" s="221"/>
      <c r="CV149" s="221"/>
      <c r="CW149" s="221"/>
      <c r="CX149" s="221"/>
      <c r="CY149" s="221"/>
      <c r="CZ149" s="221"/>
      <c r="DA149" s="221"/>
      <c r="DB149" s="221"/>
      <c r="DC149" s="221"/>
      <c r="DD149" s="221"/>
      <c r="DE149" s="221"/>
      <c r="DF149" s="221"/>
      <c r="DG149" s="221"/>
      <c r="DH149" s="221"/>
      <c r="DI149" s="221"/>
      <c r="DJ149" s="221"/>
      <c r="DK149" s="221"/>
      <c r="DL149" s="221"/>
      <c r="DM149" s="221"/>
      <c r="DN149" s="221"/>
      <c r="DO149" s="221"/>
      <c r="DP149" s="221"/>
      <c r="DQ149" s="221"/>
      <c r="DR149" s="221"/>
      <c r="DS149" s="221"/>
      <c r="DT149" s="221"/>
      <c r="DU149" s="221"/>
      <c r="DV149" s="221"/>
      <c r="DW149" s="221"/>
      <c r="DX149" s="221"/>
      <c r="DY149" s="221"/>
      <c r="DZ149" s="221"/>
      <c r="EA149" s="221"/>
      <c r="EB149" s="221"/>
      <c r="EC149" s="221"/>
      <c r="ED149" s="221"/>
      <c r="EE149" s="221"/>
      <c r="EF149" s="221"/>
      <c r="EG149" s="221"/>
      <c r="EH149" s="221"/>
      <c r="EI149" s="221"/>
      <c r="EJ149" s="221"/>
      <c r="EK149" s="221"/>
      <c r="EL149" s="221"/>
      <c r="EM149" s="221"/>
      <c r="EN149" s="221"/>
      <c r="EO149" s="221"/>
      <c r="EP149" s="221"/>
      <c r="EQ149" s="221"/>
      <c r="ER149" s="221"/>
      <c r="ES149" s="221"/>
      <c r="ET149" s="221"/>
      <c r="EU149" s="221"/>
      <c r="EV149" s="221"/>
      <c r="EW149" s="221"/>
      <c r="EX149" s="221"/>
      <c r="EY149" s="221"/>
      <c r="EZ149" s="221"/>
      <c r="FA149" s="221"/>
      <c r="FB149" s="221"/>
      <c r="FC149" s="221"/>
      <c r="FD149" s="221"/>
      <c r="FE149" s="221"/>
      <c r="FF149" s="221"/>
      <c r="FG149" s="221"/>
      <c r="FH149" s="221"/>
      <c r="FI149" s="221"/>
      <c r="FJ149" s="221"/>
      <c r="FK149" s="221"/>
      <c r="FL149" s="221"/>
      <c r="FM149" s="221"/>
      <c r="FN149" s="221"/>
      <c r="FO149" s="221"/>
      <c r="FP149" s="221"/>
      <c r="FQ149" s="221"/>
      <c r="FR149" s="221"/>
      <c r="FS149" s="221"/>
      <c r="FT149" s="221"/>
      <c r="FU149" s="221"/>
      <c r="FV149" s="221"/>
      <c r="FW149" s="221"/>
      <c r="FX149" s="221"/>
      <c r="FY149" s="221"/>
      <c r="FZ149" s="221"/>
      <c r="GA149" s="221"/>
      <c r="GB149" s="221"/>
      <c r="GC149" s="221"/>
      <c r="GD149" s="221"/>
      <c r="GE149" s="221"/>
      <c r="GF149" s="221"/>
      <c r="GG149" s="221"/>
      <c r="GH149" s="221"/>
      <c r="GI149" s="221"/>
      <c r="GJ149" s="221"/>
      <c r="GK149" s="221"/>
      <c r="GL149" s="221"/>
      <c r="GM149" s="221"/>
      <c r="GN149" s="221"/>
      <c r="GO149" s="221"/>
      <c r="GP149" s="221"/>
      <c r="GQ149" s="221"/>
      <c r="GR149" s="221"/>
      <c r="GS149" s="221"/>
      <c r="GT149" s="221"/>
      <c r="GU149" s="221"/>
      <c r="GV149" s="221"/>
      <c r="GW149" s="221"/>
      <c r="GX149" s="221"/>
      <c r="GY149" s="221"/>
      <c r="GZ149" s="221"/>
      <c r="HA149" s="221"/>
      <c r="HB149" s="221"/>
      <c r="HC149" s="221"/>
      <c r="HD149" s="221"/>
      <c r="HE149" s="221"/>
      <c r="HF149" s="221"/>
      <c r="HG149" s="221"/>
      <c r="HH149" s="221"/>
      <c r="HI149" s="221"/>
      <c r="HJ149" s="221"/>
      <c r="HK149" s="221"/>
      <c r="HL149" s="221"/>
      <c r="HM149" s="221"/>
      <c r="HN149" s="221"/>
      <c r="HO149" s="221"/>
      <c r="HP149" s="221"/>
      <c r="HQ149" s="221"/>
      <c r="HR149" s="221"/>
      <c r="HS149" s="221"/>
      <c r="HT149" s="221"/>
      <c r="HU149" s="221"/>
      <c r="HV149" s="221"/>
      <c r="HW149" s="221"/>
      <c r="HX149" s="221"/>
      <c r="HY149" s="221"/>
      <c r="HZ149" s="221"/>
      <c r="IA149" s="221"/>
      <c r="IB149" s="221"/>
      <c r="IC149" s="221"/>
      <c r="ID149" s="221"/>
      <c r="IE149" s="221"/>
      <c r="IF149" s="221"/>
      <c r="IG149" s="221"/>
      <c r="IH149" s="221"/>
      <c r="II149" s="221"/>
      <c r="IJ149" s="221"/>
      <c r="IK149" s="221"/>
      <c r="IL149" s="221"/>
      <c r="IM149" s="221"/>
      <c r="IN149" s="221"/>
      <c r="IO149" s="221"/>
      <c r="IP149" s="221"/>
      <c r="IQ149" s="221"/>
      <c r="IR149" s="221"/>
      <c r="IS149" s="221"/>
      <c r="IT149" s="221"/>
      <c r="IU149" s="221"/>
      <c r="IV149" s="221"/>
      <c r="IW149" s="221"/>
      <c r="IX149" s="221"/>
      <c r="IY149" s="221"/>
      <c r="IZ149" s="221"/>
      <c r="JA149" s="221"/>
      <c r="JB149" s="221"/>
      <c r="JC149" s="221"/>
      <c r="JD149" s="221"/>
      <c r="JE149" s="221"/>
      <c r="JF149" s="221"/>
      <c r="JG149" s="221"/>
      <c r="JH149" s="221"/>
      <c r="JI149" s="221"/>
      <c r="JJ149" s="221"/>
      <c r="JK149" s="221"/>
      <c r="JL149" s="221"/>
      <c r="JM149" s="221"/>
      <c r="JN149" s="221"/>
      <c r="JO149" s="221"/>
      <c r="JP149" s="221"/>
      <c r="JQ149" s="221"/>
    </row>
    <row r="150" spans="1:277" ht="28" customHeight="1" outlineLevel="1" thickBot="1">
      <c r="A150" s="485">
        <v>1903047</v>
      </c>
      <c r="B150" s="267">
        <v>42091</v>
      </c>
      <c r="C150" s="268" t="s">
        <v>44</v>
      </c>
      <c r="D150" s="268" t="s">
        <v>73</v>
      </c>
      <c r="E150" s="553" t="s">
        <v>204</v>
      </c>
      <c r="F150" s="546" t="s">
        <v>1273</v>
      </c>
      <c r="G150" s="438" t="s">
        <v>47</v>
      </c>
      <c r="H150" s="704" t="s">
        <v>47</v>
      </c>
      <c r="I150" s="437" t="s">
        <v>1314</v>
      </c>
      <c r="J150" s="705" t="s">
        <v>62</v>
      </c>
      <c r="K150" s="256" t="s">
        <v>50</v>
      </c>
      <c r="L150" s="273"/>
      <c r="M150" s="274"/>
      <c r="N150" s="275" t="s">
        <v>1274</v>
      </c>
      <c r="O150" s="276" t="s">
        <v>1275</v>
      </c>
      <c r="P150" s="563" t="s">
        <v>1276</v>
      </c>
      <c r="Q150" s="295"/>
      <c r="R150" s="583">
        <v>0</v>
      </c>
      <c r="S150" s="584">
        <v>0</v>
      </c>
      <c r="T150" s="601">
        <v>0</v>
      </c>
      <c r="U150" s="593">
        <v>0</v>
      </c>
      <c r="V150" s="584">
        <v>0</v>
      </c>
      <c r="W150" s="601">
        <v>0</v>
      </c>
      <c r="X150" s="593">
        <v>0</v>
      </c>
      <c r="Y150" s="584">
        <v>0</v>
      </c>
      <c r="Z150" s="601">
        <v>0</v>
      </c>
      <c r="AA150" s="593">
        <v>0</v>
      </c>
      <c r="AB150" s="584">
        <v>0</v>
      </c>
      <c r="AC150" s="601">
        <v>0</v>
      </c>
      <c r="AD150" s="593">
        <v>0</v>
      </c>
      <c r="AE150" s="593"/>
      <c r="AF150" s="593"/>
      <c r="AG150" s="584">
        <v>0</v>
      </c>
      <c r="AH150" s="601">
        <v>0</v>
      </c>
      <c r="AI150" s="608">
        <v>0</v>
      </c>
      <c r="AJ150" s="608">
        <v>0</v>
      </c>
      <c r="AL150" s="525" t="s">
        <v>1277</v>
      </c>
      <c r="AM150" s="438" t="s">
        <v>1853</v>
      </c>
      <c r="AN150" s="278">
        <v>0</v>
      </c>
      <c r="AO150" s="268" t="s">
        <v>47</v>
      </c>
      <c r="AP150" s="280">
        <v>0</v>
      </c>
      <c r="AQ150" s="792">
        <f t="shared" si="11"/>
        <v>0</v>
      </c>
      <c r="AR150" s="831" t="e">
        <f t="shared" si="8"/>
        <v>#DIV/0!</v>
      </c>
      <c r="AS150" s="816" t="s">
        <v>47</v>
      </c>
      <c r="AT150" s="277" t="s">
        <v>47</v>
      </c>
      <c r="AU150" s="281"/>
      <c r="AV150" s="279"/>
      <c r="AW150" s="282"/>
      <c r="AX150" s="278">
        <v>0</v>
      </c>
      <c r="AY150" s="268" t="s">
        <v>47</v>
      </c>
      <c r="AZ150" s="283">
        <v>0</v>
      </c>
      <c r="BA150" s="272" t="s">
        <v>47</v>
      </c>
      <c r="BB150" s="283">
        <v>0</v>
      </c>
      <c r="BC150" s="284"/>
      <c r="BD150" s="284"/>
      <c r="BE150" s="284"/>
      <c r="BF150" s="284"/>
      <c r="BG150" s="284"/>
      <c r="BH150" s="221"/>
      <c r="BI150" s="221"/>
      <c r="BJ150" s="221"/>
      <c r="BK150" s="221"/>
      <c r="BL150" s="221"/>
      <c r="BM150" s="221"/>
      <c r="BN150" s="221"/>
      <c r="BO150" s="221"/>
      <c r="BP150" s="221"/>
      <c r="BQ150" s="221"/>
      <c r="BR150" s="221"/>
      <c r="BS150" s="221"/>
      <c r="BT150" s="221"/>
      <c r="BU150" s="221"/>
      <c r="BV150" s="221"/>
      <c r="BW150" s="221"/>
      <c r="BX150" s="221"/>
      <c r="BY150" s="221"/>
      <c r="BZ150" s="221"/>
      <c r="CA150" s="221"/>
      <c r="CB150" s="221"/>
      <c r="CC150" s="221"/>
      <c r="CD150" s="221"/>
      <c r="CE150" s="221"/>
      <c r="CF150" s="221"/>
      <c r="CG150" s="221"/>
      <c r="CH150" s="221"/>
      <c r="CI150" s="221"/>
      <c r="CJ150" s="221"/>
      <c r="CK150" s="221"/>
      <c r="CL150" s="221"/>
      <c r="CM150" s="221"/>
      <c r="CN150" s="221"/>
      <c r="CO150" s="221"/>
      <c r="CP150" s="221"/>
      <c r="CQ150" s="221"/>
      <c r="CR150" s="221"/>
      <c r="CS150" s="221"/>
      <c r="CT150" s="221"/>
      <c r="CU150" s="221"/>
      <c r="CV150" s="221"/>
      <c r="CW150" s="221"/>
      <c r="CX150" s="221"/>
      <c r="CY150" s="221"/>
      <c r="CZ150" s="221"/>
      <c r="DA150" s="221"/>
      <c r="DB150" s="221"/>
      <c r="DC150" s="221"/>
      <c r="DD150" s="221"/>
      <c r="DE150" s="221"/>
      <c r="DF150" s="221"/>
      <c r="DG150" s="221"/>
      <c r="DH150" s="221"/>
      <c r="DI150" s="221"/>
      <c r="DJ150" s="221"/>
      <c r="DK150" s="221"/>
      <c r="DL150" s="221"/>
      <c r="DM150" s="221"/>
      <c r="DN150" s="221"/>
      <c r="DO150" s="221"/>
      <c r="DP150" s="221"/>
      <c r="DQ150" s="221"/>
      <c r="DR150" s="221"/>
      <c r="DS150" s="221"/>
      <c r="DT150" s="221"/>
      <c r="DU150" s="221"/>
      <c r="DV150" s="221"/>
      <c r="DW150" s="221"/>
      <c r="DX150" s="221"/>
      <c r="DY150" s="221"/>
      <c r="DZ150" s="221"/>
      <c r="EA150" s="221"/>
      <c r="EB150" s="221"/>
      <c r="EC150" s="221"/>
      <c r="ED150" s="221"/>
      <c r="EE150" s="221"/>
      <c r="EF150" s="221"/>
      <c r="EG150" s="221"/>
      <c r="EH150" s="221"/>
      <c r="EI150" s="221"/>
      <c r="EJ150" s="221"/>
      <c r="EK150" s="221"/>
      <c r="EL150" s="221"/>
      <c r="EM150" s="221"/>
      <c r="EN150" s="221"/>
      <c r="EO150" s="221"/>
      <c r="EP150" s="221"/>
      <c r="EQ150" s="221"/>
      <c r="ER150" s="221"/>
      <c r="ES150" s="221"/>
      <c r="ET150" s="221"/>
      <c r="EU150" s="221"/>
      <c r="EV150" s="221"/>
      <c r="EW150" s="221"/>
      <c r="EX150" s="221"/>
      <c r="EY150" s="221"/>
      <c r="EZ150" s="221"/>
      <c r="FA150" s="221"/>
      <c r="FB150" s="221"/>
      <c r="FC150" s="221"/>
      <c r="FD150" s="221"/>
      <c r="FE150" s="221"/>
      <c r="FF150" s="221"/>
      <c r="FG150" s="221"/>
      <c r="FH150" s="221"/>
      <c r="FI150" s="221"/>
      <c r="FJ150" s="221"/>
      <c r="FK150" s="221"/>
      <c r="FL150" s="221"/>
      <c r="FM150" s="221"/>
      <c r="FN150" s="221"/>
      <c r="FO150" s="221"/>
      <c r="FP150" s="221"/>
      <c r="FQ150" s="221"/>
      <c r="FR150" s="221"/>
      <c r="FS150" s="221"/>
      <c r="FT150" s="221"/>
      <c r="FU150" s="221"/>
      <c r="FV150" s="221"/>
      <c r="FW150" s="221"/>
      <c r="FX150" s="221"/>
      <c r="FY150" s="221"/>
      <c r="FZ150" s="221"/>
      <c r="GA150" s="221"/>
      <c r="GB150" s="221"/>
      <c r="GC150" s="221"/>
      <c r="GD150" s="221"/>
      <c r="GE150" s="221"/>
      <c r="GF150" s="221"/>
      <c r="GG150" s="221"/>
      <c r="GH150" s="221"/>
      <c r="GI150" s="221"/>
      <c r="GJ150" s="221"/>
      <c r="GK150" s="221"/>
      <c r="GL150" s="221"/>
      <c r="GM150" s="221"/>
      <c r="GN150" s="221"/>
      <c r="GO150" s="221"/>
      <c r="GP150" s="221"/>
      <c r="GQ150" s="221"/>
      <c r="GR150" s="221"/>
      <c r="GS150" s="221"/>
      <c r="GT150" s="221"/>
      <c r="GU150" s="221"/>
      <c r="GV150" s="221"/>
      <c r="GW150" s="221"/>
      <c r="GX150" s="221"/>
      <c r="GY150" s="221"/>
      <c r="GZ150" s="221"/>
      <c r="HA150" s="221"/>
      <c r="HB150" s="221"/>
      <c r="HC150" s="221"/>
      <c r="HD150" s="221"/>
      <c r="HE150" s="221"/>
      <c r="HF150" s="221"/>
      <c r="HG150" s="221"/>
      <c r="HH150" s="221"/>
      <c r="HI150" s="221"/>
      <c r="HJ150" s="221"/>
      <c r="HK150" s="221"/>
      <c r="HL150" s="221"/>
      <c r="HM150" s="221"/>
      <c r="HN150" s="221"/>
      <c r="HO150" s="221"/>
      <c r="HP150" s="221"/>
      <c r="HQ150" s="221"/>
      <c r="HR150" s="221"/>
      <c r="HS150" s="221"/>
      <c r="HT150" s="221"/>
      <c r="HU150" s="221"/>
      <c r="HV150" s="221"/>
      <c r="HW150" s="221"/>
      <c r="HX150" s="221"/>
      <c r="HY150" s="221"/>
      <c r="HZ150" s="221"/>
      <c r="IA150" s="221"/>
      <c r="IB150" s="221"/>
      <c r="IC150" s="221"/>
      <c r="ID150" s="221"/>
      <c r="IE150" s="221"/>
      <c r="IF150" s="221"/>
      <c r="IG150" s="221"/>
      <c r="IH150" s="221"/>
      <c r="II150" s="221"/>
      <c r="IJ150" s="221"/>
      <c r="IK150" s="221"/>
      <c r="IL150" s="221"/>
      <c r="IM150" s="221"/>
      <c r="IN150" s="221"/>
      <c r="IO150" s="221"/>
      <c r="IP150" s="221"/>
      <c r="IQ150" s="221"/>
      <c r="IR150" s="221"/>
      <c r="IS150" s="221"/>
      <c r="IT150" s="221"/>
      <c r="IU150" s="221"/>
      <c r="IV150" s="221"/>
      <c r="IW150" s="221"/>
      <c r="IX150" s="221"/>
      <c r="IY150" s="221"/>
      <c r="IZ150" s="221"/>
      <c r="JA150" s="221"/>
      <c r="JB150" s="221"/>
      <c r="JC150" s="221"/>
      <c r="JD150" s="221"/>
      <c r="JE150" s="221"/>
      <c r="JF150" s="221"/>
      <c r="JG150" s="221"/>
      <c r="JH150" s="221"/>
      <c r="JI150" s="221"/>
      <c r="JJ150" s="221"/>
      <c r="JK150" s="221"/>
      <c r="JL150" s="221"/>
      <c r="JM150" s="221"/>
      <c r="JN150" s="221"/>
      <c r="JO150" s="221"/>
      <c r="JP150" s="221"/>
      <c r="JQ150" s="221"/>
    </row>
    <row r="151" spans="1:277" s="658" customFormat="1" ht="15" thickBot="1">
      <c r="A151" s="764" t="s">
        <v>1774</v>
      </c>
      <c r="B151" s="765" t="s">
        <v>1844</v>
      </c>
      <c r="C151" s="766">
        <f>AQ151+AV151-BB151</f>
        <v>4934.5034316884112</v>
      </c>
      <c r="D151" s="804" t="s">
        <v>2025</v>
      </c>
      <c r="E151" s="767">
        <f>R151+U151+X151+AA151+AD151+AE151+AF151+AJ151</f>
        <v>661</v>
      </c>
      <c r="F151" s="767"/>
      <c r="G151" s="767"/>
      <c r="H151" s="767"/>
      <c r="I151" s="767"/>
      <c r="J151" s="767"/>
      <c r="K151" s="767"/>
      <c r="L151" s="767"/>
      <c r="M151" s="767"/>
      <c r="N151" s="767"/>
      <c r="O151" s="767"/>
      <c r="P151" s="768"/>
      <c r="Q151" s="655"/>
      <c r="R151" s="684">
        <f t="shared" ref="R151:AH151" si="12">SUM(R105:R150)</f>
        <v>8</v>
      </c>
      <c r="S151" s="668">
        <f t="shared" si="12"/>
        <v>0</v>
      </c>
      <c r="T151" s="668">
        <f t="shared" si="12"/>
        <v>1</v>
      </c>
      <c r="U151" s="673">
        <f t="shared" si="12"/>
        <v>8</v>
      </c>
      <c r="V151" s="669">
        <f t="shared" si="12"/>
        <v>0</v>
      </c>
      <c r="W151" s="669">
        <f t="shared" si="12"/>
        <v>10</v>
      </c>
      <c r="X151" s="674">
        <f t="shared" si="12"/>
        <v>10</v>
      </c>
      <c r="Y151" s="670">
        <f t="shared" si="12"/>
        <v>1</v>
      </c>
      <c r="Z151" s="670">
        <f t="shared" si="12"/>
        <v>4</v>
      </c>
      <c r="AA151" s="675">
        <f t="shared" si="12"/>
        <v>11</v>
      </c>
      <c r="AB151" s="671">
        <f t="shared" si="12"/>
        <v>0</v>
      </c>
      <c r="AC151" s="671">
        <f t="shared" si="12"/>
        <v>13</v>
      </c>
      <c r="AD151" s="676">
        <f t="shared" si="12"/>
        <v>624</v>
      </c>
      <c r="AE151" s="672">
        <f t="shared" si="12"/>
        <v>0</v>
      </c>
      <c r="AF151" s="672">
        <f t="shared" si="12"/>
        <v>0</v>
      </c>
      <c r="AG151" s="672">
        <f t="shared" si="12"/>
        <v>65</v>
      </c>
      <c r="AH151" s="672">
        <f t="shared" si="12"/>
        <v>5</v>
      </c>
      <c r="AI151" s="677">
        <f>SUM(AI105:AI150)</f>
        <v>1</v>
      </c>
      <c r="AJ151" s="677">
        <f>SUM(AJ105:AJ150)</f>
        <v>0</v>
      </c>
      <c r="AK151" s="737"/>
      <c r="AL151" s="655"/>
      <c r="AM151" s="655"/>
      <c r="AN151" s="659">
        <f>SUM(AN105:AN150)</f>
        <v>11229.41706831159</v>
      </c>
      <c r="AO151" s="655"/>
      <c r="AP151" s="659">
        <f>SUM(AP105:AP150)</f>
        <v>16126.910000000002</v>
      </c>
      <c r="AQ151" s="659">
        <f>SUM(AQ105:AQ150)</f>
        <v>4897.4929316884109</v>
      </c>
      <c r="AR151" s="833">
        <f t="shared" si="8"/>
        <v>0.30368452057389855</v>
      </c>
      <c r="AS151" s="657"/>
      <c r="AT151" s="660" t="s">
        <v>1845</v>
      </c>
      <c r="AU151" s="655"/>
      <c r="AV151" s="659">
        <f>AX151-AZ151</f>
        <v>49.009999999999877</v>
      </c>
      <c r="AW151" s="655"/>
      <c r="AX151" s="661">
        <f>SUM(AX105:AX150)</f>
        <v>868.9</v>
      </c>
      <c r="AY151" s="661"/>
      <c r="AZ151" s="661">
        <f>SUM(AZ105:AZ150)</f>
        <v>819.8900000000001</v>
      </c>
      <c r="BA151" s="660" t="s">
        <v>1846</v>
      </c>
      <c r="BB151" s="661">
        <f>SUM(BB105:BB150)</f>
        <v>11.999500000000001</v>
      </c>
      <c r="BC151" s="655"/>
      <c r="BD151" s="655"/>
      <c r="BE151" s="655"/>
      <c r="BF151" s="655"/>
      <c r="BG151" s="656"/>
      <c r="BH151" s="657"/>
      <c r="BI151" s="657"/>
      <c r="BJ151" s="657"/>
      <c r="BK151" s="657"/>
      <c r="BL151" s="657"/>
      <c r="BM151" s="657"/>
      <c r="BN151" s="657"/>
      <c r="BO151" s="657"/>
      <c r="BP151" s="657"/>
      <c r="BQ151" s="657"/>
      <c r="BR151" s="657"/>
      <c r="BS151" s="657"/>
      <c r="BT151" s="657"/>
      <c r="BU151" s="657"/>
      <c r="BV151" s="657"/>
      <c r="BW151" s="657"/>
      <c r="BX151" s="657"/>
      <c r="BY151" s="657"/>
      <c r="BZ151" s="657"/>
      <c r="CA151" s="657"/>
      <c r="CB151" s="657"/>
      <c r="CC151" s="657"/>
      <c r="CD151" s="657"/>
      <c r="CE151" s="657"/>
      <c r="CF151" s="657"/>
      <c r="CG151" s="657"/>
      <c r="CH151" s="657"/>
      <c r="CI151" s="657"/>
      <c r="CJ151" s="657"/>
      <c r="CK151" s="657"/>
      <c r="CL151" s="657"/>
      <c r="CM151" s="657"/>
      <c r="CN151" s="657"/>
      <c r="CO151" s="657"/>
      <c r="CP151" s="657"/>
      <c r="CQ151" s="657"/>
      <c r="CR151" s="657"/>
      <c r="CS151" s="657"/>
      <c r="CT151" s="657"/>
      <c r="CU151" s="657"/>
      <c r="CV151" s="657"/>
      <c r="CW151" s="657"/>
      <c r="CX151" s="657"/>
      <c r="CY151" s="657"/>
      <c r="CZ151" s="657"/>
      <c r="DA151" s="657"/>
      <c r="DB151" s="657"/>
      <c r="DC151" s="657"/>
      <c r="DD151" s="657"/>
      <c r="DE151" s="657"/>
      <c r="DF151" s="657"/>
      <c r="DG151" s="657"/>
      <c r="DH151" s="657"/>
      <c r="DI151" s="657"/>
      <c r="DJ151" s="657"/>
      <c r="DK151" s="657"/>
      <c r="DL151" s="657"/>
      <c r="DM151" s="657"/>
      <c r="DN151" s="657"/>
      <c r="DO151" s="657"/>
      <c r="DP151" s="657"/>
      <c r="DQ151" s="657"/>
      <c r="DR151" s="657"/>
      <c r="DS151" s="657"/>
      <c r="DT151" s="657"/>
      <c r="DU151" s="657"/>
      <c r="DV151" s="657"/>
      <c r="DW151" s="657"/>
      <c r="DX151" s="657"/>
      <c r="DY151" s="657"/>
      <c r="DZ151" s="657"/>
      <c r="EA151" s="657"/>
      <c r="EB151" s="657"/>
      <c r="EC151" s="657"/>
      <c r="ED151" s="657"/>
      <c r="EE151" s="657"/>
      <c r="EF151" s="657"/>
      <c r="EG151" s="657"/>
      <c r="EH151" s="657"/>
      <c r="EI151" s="657"/>
      <c r="EJ151" s="657"/>
      <c r="EK151" s="657"/>
      <c r="EL151" s="657"/>
      <c r="EM151" s="657"/>
      <c r="EN151" s="657"/>
      <c r="EO151" s="657"/>
      <c r="EP151" s="657"/>
      <c r="EQ151" s="657"/>
      <c r="ER151" s="657"/>
      <c r="ES151" s="657"/>
      <c r="ET151" s="657"/>
      <c r="EU151" s="657"/>
      <c r="EV151" s="657"/>
      <c r="EW151" s="657"/>
      <c r="EX151" s="657"/>
      <c r="EY151" s="657"/>
      <c r="EZ151" s="657"/>
      <c r="FA151" s="657"/>
      <c r="FB151" s="657"/>
      <c r="FC151" s="657"/>
      <c r="FD151" s="657"/>
      <c r="FE151" s="657"/>
      <c r="FF151" s="657"/>
      <c r="FG151" s="657"/>
      <c r="FH151" s="657"/>
      <c r="FI151" s="657"/>
      <c r="FJ151" s="657"/>
      <c r="FK151" s="657"/>
      <c r="FL151" s="657"/>
      <c r="FM151" s="657"/>
      <c r="FN151" s="657"/>
      <c r="FO151" s="657"/>
      <c r="FP151" s="657"/>
      <c r="FQ151" s="657"/>
      <c r="FR151" s="657"/>
      <c r="FS151" s="657"/>
      <c r="FT151" s="657"/>
      <c r="FU151" s="657"/>
      <c r="FV151" s="657"/>
      <c r="FW151" s="657"/>
      <c r="FX151" s="657"/>
      <c r="FY151" s="657"/>
      <c r="FZ151" s="657"/>
      <c r="GA151" s="657"/>
      <c r="GB151" s="657"/>
      <c r="GC151" s="657"/>
      <c r="GD151" s="657"/>
      <c r="GE151" s="657"/>
      <c r="GF151" s="657"/>
      <c r="GG151" s="657"/>
      <c r="GH151" s="657"/>
      <c r="GI151" s="657"/>
      <c r="GJ151" s="657"/>
      <c r="GK151" s="657"/>
      <c r="GL151" s="657"/>
      <c r="GM151" s="657"/>
      <c r="GN151" s="657"/>
      <c r="GO151" s="657"/>
      <c r="GP151" s="657"/>
      <c r="GQ151" s="657"/>
      <c r="GR151" s="657"/>
      <c r="GS151" s="657"/>
      <c r="GT151" s="657"/>
      <c r="GU151" s="657"/>
      <c r="GV151" s="657"/>
      <c r="GW151" s="657"/>
      <c r="GX151" s="657"/>
      <c r="GY151" s="657"/>
      <c r="GZ151" s="657"/>
      <c r="HA151" s="657"/>
      <c r="HB151" s="657"/>
      <c r="HC151" s="657"/>
      <c r="HD151" s="657"/>
      <c r="HE151" s="657"/>
      <c r="HF151" s="657"/>
      <c r="HG151" s="657"/>
      <c r="HH151" s="657"/>
      <c r="HI151" s="657"/>
      <c r="HJ151" s="657"/>
      <c r="HK151" s="657"/>
      <c r="HL151" s="657"/>
      <c r="HM151" s="657"/>
      <c r="HN151" s="657"/>
      <c r="HO151" s="657"/>
      <c r="HP151" s="657"/>
      <c r="HQ151" s="657"/>
      <c r="HR151" s="657"/>
      <c r="HS151" s="657"/>
      <c r="HT151" s="657"/>
      <c r="HU151" s="657"/>
      <c r="HV151" s="657"/>
      <c r="HW151" s="657"/>
      <c r="HX151" s="657"/>
      <c r="HY151" s="657"/>
      <c r="HZ151" s="657"/>
      <c r="IA151" s="657"/>
      <c r="IB151" s="657"/>
      <c r="IC151" s="657"/>
      <c r="ID151" s="657"/>
      <c r="IE151" s="657"/>
      <c r="IF151" s="657"/>
      <c r="IG151" s="657"/>
      <c r="IH151" s="657"/>
      <c r="II151" s="657"/>
      <c r="IJ151" s="657"/>
      <c r="IK151" s="657"/>
      <c r="IL151" s="657"/>
      <c r="IM151" s="657"/>
      <c r="IN151" s="657"/>
      <c r="IO151" s="657"/>
      <c r="IP151" s="657"/>
      <c r="IQ151" s="657"/>
      <c r="IR151" s="657"/>
      <c r="IS151" s="657"/>
      <c r="IT151" s="657"/>
      <c r="IU151" s="657"/>
      <c r="IV151" s="657"/>
      <c r="IW151" s="657"/>
      <c r="IX151" s="657"/>
      <c r="IY151" s="657"/>
      <c r="IZ151" s="657"/>
      <c r="JA151" s="657"/>
      <c r="JB151" s="657"/>
      <c r="JC151" s="657"/>
      <c r="JD151" s="657"/>
      <c r="JE151" s="657"/>
      <c r="JF151" s="657"/>
      <c r="JG151" s="657"/>
      <c r="JH151" s="657"/>
      <c r="JI151" s="657"/>
      <c r="JJ151" s="657"/>
      <c r="JK151" s="657"/>
      <c r="JL151" s="657"/>
      <c r="JM151" s="657"/>
      <c r="JN151" s="657"/>
      <c r="JO151" s="657"/>
      <c r="JP151" s="657"/>
      <c r="JQ151" s="657"/>
    </row>
    <row r="152" spans="1:277" s="286" customFormat="1" ht="20" customHeight="1" outlineLevel="1">
      <c r="A152" s="488">
        <v>1904001</v>
      </c>
      <c r="B152" s="686">
        <v>42096</v>
      </c>
      <c r="C152" s="687" t="s">
        <v>72</v>
      </c>
      <c r="D152" s="687" t="s">
        <v>1259</v>
      </c>
      <c r="E152" s="688" t="s">
        <v>46</v>
      </c>
      <c r="F152" s="689" t="s">
        <v>47</v>
      </c>
      <c r="G152" s="489" t="s">
        <v>1287</v>
      </c>
      <c r="H152" s="490">
        <v>42096</v>
      </c>
      <c r="I152" s="491">
        <v>191342</v>
      </c>
      <c r="J152" s="492" t="s">
        <v>62</v>
      </c>
      <c r="K152" s="468" t="s">
        <v>50</v>
      </c>
      <c r="L152" s="493">
        <v>163587903</v>
      </c>
      <c r="M152" s="494">
        <v>42096</v>
      </c>
      <c r="N152" s="495" t="s">
        <v>1288</v>
      </c>
      <c r="O152" s="496" t="s">
        <v>1289</v>
      </c>
      <c r="P152" s="564">
        <v>900287</v>
      </c>
      <c r="Q152" s="624"/>
      <c r="R152" s="613">
        <v>0</v>
      </c>
      <c r="S152" s="614">
        <v>0</v>
      </c>
      <c r="T152" s="614">
        <v>0</v>
      </c>
      <c r="U152" s="614">
        <v>0</v>
      </c>
      <c r="V152" s="614">
        <v>0</v>
      </c>
      <c r="W152" s="614">
        <v>0</v>
      </c>
      <c r="X152" s="614">
        <v>0</v>
      </c>
      <c r="Y152" s="614">
        <v>0</v>
      </c>
      <c r="Z152" s="614">
        <v>0</v>
      </c>
      <c r="AA152" s="614">
        <v>3</v>
      </c>
      <c r="AB152" s="614">
        <v>0</v>
      </c>
      <c r="AC152" s="614">
        <v>0</v>
      </c>
      <c r="AD152" s="614">
        <v>0</v>
      </c>
      <c r="AE152" s="614"/>
      <c r="AF152" s="614"/>
      <c r="AG152" s="614">
        <v>0</v>
      </c>
      <c r="AH152" s="614">
        <v>0</v>
      </c>
      <c r="AI152" s="615">
        <v>0</v>
      </c>
      <c r="AJ152" s="615">
        <v>0</v>
      </c>
      <c r="AK152" s="739"/>
      <c r="AL152" s="526" t="s">
        <v>476</v>
      </c>
      <c r="AM152" s="489"/>
      <c r="AN152" s="497">
        <f>3*8</f>
        <v>24</v>
      </c>
      <c r="AO152" s="498" t="s">
        <v>1297</v>
      </c>
      <c r="AP152" s="499">
        <v>60</v>
      </c>
      <c r="AQ152" s="791">
        <f>AP152-AN152</f>
        <v>36</v>
      </c>
      <c r="AR152" s="831">
        <f t="shared" si="8"/>
        <v>0.6</v>
      </c>
      <c r="AS152" s="818">
        <v>42138</v>
      </c>
      <c r="AT152" s="468"/>
      <c r="AU152" s="500"/>
      <c r="AV152" s="498"/>
      <c r="AW152" s="501"/>
      <c r="AX152" s="497"/>
      <c r="AY152" s="498"/>
      <c r="AZ152" s="469"/>
      <c r="BA152" s="468" t="s">
        <v>47</v>
      </c>
      <c r="BB152" s="469">
        <v>0</v>
      </c>
      <c r="BC152" s="502"/>
      <c r="BD152" s="502"/>
      <c r="BE152" s="502"/>
      <c r="BF152" s="502"/>
      <c r="BG152" s="502"/>
      <c r="BH152" s="285"/>
      <c r="BI152" s="285"/>
      <c r="BJ152" s="285"/>
      <c r="BK152" s="285"/>
      <c r="BL152" s="285"/>
      <c r="BM152" s="285"/>
      <c r="BN152" s="285"/>
      <c r="BO152" s="285"/>
      <c r="BP152" s="285"/>
      <c r="BQ152" s="285"/>
      <c r="BR152" s="285"/>
      <c r="BS152" s="285"/>
      <c r="BT152" s="285"/>
      <c r="BU152" s="285"/>
      <c r="BV152" s="285"/>
      <c r="BW152" s="285"/>
      <c r="BX152" s="285"/>
      <c r="BY152" s="285"/>
      <c r="BZ152" s="285"/>
      <c r="CA152" s="285"/>
      <c r="CB152" s="285"/>
      <c r="CC152" s="285"/>
      <c r="CD152" s="285"/>
      <c r="CE152" s="285"/>
      <c r="CF152" s="285"/>
      <c r="CG152" s="285"/>
      <c r="CH152" s="285"/>
      <c r="CI152" s="285"/>
      <c r="CJ152" s="285"/>
      <c r="CK152" s="285"/>
      <c r="CL152" s="285"/>
      <c r="CM152" s="285"/>
      <c r="CN152" s="285"/>
      <c r="CO152" s="285"/>
      <c r="CP152" s="285"/>
      <c r="CQ152" s="285"/>
      <c r="CR152" s="285"/>
      <c r="CS152" s="285"/>
      <c r="CT152" s="285"/>
      <c r="CU152" s="285"/>
      <c r="CV152" s="285"/>
      <c r="CW152" s="285"/>
      <c r="CX152" s="285"/>
      <c r="CY152" s="285"/>
      <c r="CZ152" s="285"/>
      <c r="DA152" s="285"/>
      <c r="DB152" s="285"/>
      <c r="DC152" s="285"/>
      <c r="DD152" s="285"/>
      <c r="DE152" s="285"/>
      <c r="DF152" s="285"/>
      <c r="DG152" s="285"/>
      <c r="DH152" s="285"/>
      <c r="DI152" s="285"/>
      <c r="DJ152" s="285"/>
      <c r="DK152" s="285"/>
      <c r="DL152" s="285"/>
      <c r="DM152" s="285"/>
      <c r="DN152" s="285"/>
      <c r="DO152" s="285"/>
      <c r="DP152" s="285"/>
      <c r="DQ152" s="285"/>
      <c r="DR152" s="285"/>
      <c r="DS152" s="285"/>
      <c r="DT152" s="285"/>
      <c r="DU152" s="285"/>
      <c r="DV152" s="285"/>
      <c r="DW152" s="285"/>
      <c r="DX152" s="285"/>
      <c r="DY152" s="285"/>
      <c r="DZ152" s="285"/>
      <c r="EA152" s="285"/>
      <c r="EB152" s="285"/>
      <c r="EC152" s="285"/>
      <c r="ED152" s="285"/>
      <c r="EE152" s="285"/>
      <c r="EF152" s="285"/>
      <c r="EG152" s="285"/>
      <c r="EH152" s="285"/>
      <c r="EI152" s="285"/>
      <c r="EJ152" s="285"/>
      <c r="EK152" s="285"/>
      <c r="EL152" s="285"/>
      <c r="EM152" s="285"/>
      <c r="EN152" s="285"/>
      <c r="EO152" s="285"/>
      <c r="EP152" s="285"/>
      <c r="EQ152" s="285"/>
      <c r="ER152" s="285"/>
      <c r="ES152" s="285"/>
      <c r="ET152" s="285"/>
      <c r="EU152" s="285"/>
      <c r="EV152" s="285"/>
      <c r="EW152" s="285"/>
      <c r="EX152" s="285"/>
      <c r="EY152" s="285"/>
      <c r="EZ152" s="285"/>
      <c r="FA152" s="285"/>
      <c r="FB152" s="285"/>
      <c r="FC152" s="285"/>
      <c r="FD152" s="285"/>
      <c r="FE152" s="285"/>
      <c r="FF152" s="285"/>
      <c r="FG152" s="285"/>
      <c r="FH152" s="285"/>
      <c r="FI152" s="285"/>
      <c r="FJ152" s="285"/>
      <c r="FK152" s="285"/>
      <c r="FL152" s="285"/>
      <c r="FM152" s="285"/>
      <c r="FN152" s="285"/>
      <c r="FO152" s="285"/>
      <c r="FP152" s="285"/>
      <c r="FQ152" s="285"/>
      <c r="FR152" s="285"/>
      <c r="FS152" s="285"/>
      <c r="FT152" s="285"/>
      <c r="FU152" s="285"/>
      <c r="FV152" s="285"/>
      <c r="FW152" s="285"/>
      <c r="FX152" s="285"/>
      <c r="FY152" s="285"/>
      <c r="FZ152" s="285"/>
      <c r="GA152" s="285"/>
      <c r="GB152" s="285"/>
      <c r="GC152" s="285"/>
      <c r="GD152" s="285"/>
      <c r="GE152" s="285"/>
      <c r="GF152" s="285"/>
      <c r="GG152" s="285"/>
      <c r="GH152" s="285"/>
      <c r="GI152" s="285"/>
      <c r="GJ152" s="285"/>
      <c r="GK152" s="285"/>
      <c r="GL152" s="285"/>
      <c r="GM152" s="285"/>
      <c r="GN152" s="285"/>
      <c r="GO152" s="285"/>
      <c r="GP152" s="285"/>
      <c r="GQ152" s="285"/>
      <c r="GR152" s="285"/>
      <c r="GS152" s="285"/>
      <c r="GT152" s="285"/>
      <c r="GU152" s="285"/>
      <c r="GV152" s="285"/>
      <c r="GW152" s="285"/>
      <c r="GX152" s="285"/>
      <c r="GY152" s="285"/>
      <c r="GZ152" s="285"/>
      <c r="HA152" s="285"/>
      <c r="HB152" s="285"/>
      <c r="HC152" s="285"/>
      <c r="HD152" s="285"/>
      <c r="HE152" s="285"/>
      <c r="HF152" s="285"/>
      <c r="HG152" s="285"/>
      <c r="HH152" s="285"/>
      <c r="HI152" s="285"/>
      <c r="HJ152" s="285"/>
      <c r="HK152" s="285"/>
      <c r="HL152" s="285"/>
      <c r="HM152" s="285"/>
      <c r="HN152" s="285"/>
      <c r="HO152" s="285"/>
      <c r="HP152" s="285"/>
      <c r="HQ152" s="285"/>
      <c r="HR152" s="285"/>
      <c r="HS152" s="285"/>
      <c r="HT152" s="285"/>
      <c r="HU152" s="285"/>
      <c r="HV152" s="285"/>
      <c r="HW152" s="285"/>
      <c r="HX152" s="285"/>
      <c r="HY152" s="285"/>
      <c r="HZ152" s="285"/>
      <c r="IA152" s="285"/>
      <c r="IB152" s="285"/>
      <c r="IC152" s="285"/>
      <c r="ID152" s="285"/>
      <c r="IE152" s="285"/>
      <c r="IF152" s="285"/>
      <c r="IG152" s="285"/>
      <c r="IH152" s="285"/>
      <c r="II152" s="285"/>
      <c r="IJ152" s="285"/>
      <c r="IK152" s="285"/>
      <c r="IL152" s="285"/>
      <c r="IM152" s="285"/>
      <c r="IN152" s="285"/>
      <c r="IO152" s="285"/>
      <c r="IP152" s="285"/>
      <c r="IQ152" s="285"/>
      <c r="IR152" s="285"/>
      <c r="IS152" s="285"/>
      <c r="IT152" s="285"/>
      <c r="IU152" s="285"/>
      <c r="IV152" s="285"/>
      <c r="IW152" s="285"/>
      <c r="IX152" s="285"/>
      <c r="IY152" s="285"/>
      <c r="IZ152" s="285"/>
      <c r="JA152" s="285"/>
      <c r="JB152" s="285"/>
      <c r="JC152" s="285"/>
      <c r="JD152" s="285"/>
      <c r="JE152" s="285"/>
      <c r="JF152" s="285"/>
      <c r="JG152" s="285"/>
      <c r="JH152" s="285"/>
      <c r="JI152" s="285"/>
      <c r="JJ152" s="285"/>
      <c r="JK152" s="285"/>
      <c r="JL152" s="285"/>
      <c r="JM152" s="285"/>
      <c r="JN152" s="285"/>
      <c r="JO152" s="285"/>
      <c r="JP152" s="285"/>
      <c r="JQ152" s="285"/>
    </row>
    <row r="153" spans="1:277" ht="20" customHeight="1" outlineLevel="1">
      <c r="A153" s="455">
        <v>1904002</v>
      </c>
      <c r="B153" s="690">
        <v>42097</v>
      </c>
      <c r="C153" s="691" t="s">
        <v>44</v>
      </c>
      <c r="D153" s="691" t="s">
        <v>1259</v>
      </c>
      <c r="E153" s="692" t="s">
        <v>74</v>
      </c>
      <c r="F153" s="693" t="s">
        <v>47</v>
      </c>
      <c r="G153" s="35" t="s">
        <v>1302</v>
      </c>
      <c r="H153" s="290" t="s">
        <v>47</v>
      </c>
      <c r="I153" s="54">
        <v>191394</v>
      </c>
      <c r="J153" s="30" t="s">
        <v>62</v>
      </c>
      <c r="K153" s="31" t="s">
        <v>50</v>
      </c>
      <c r="L153" s="50">
        <v>164218207</v>
      </c>
      <c r="M153" s="33">
        <v>42098</v>
      </c>
      <c r="N153" s="257" t="s">
        <v>258</v>
      </c>
      <c r="O153" s="258" t="s">
        <v>1252</v>
      </c>
      <c r="P153" s="559" t="s">
        <v>1303</v>
      </c>
      <c r="Q153" s="290"/>
      <c r="R153" s="586">
        <v>8</v>
      </c>
      <c r="S153" s="585">
        <v>0</v>
      </c>
      <c r="T153" s="602">
        <v>0</v>
      </c>
      <c r="U153" s="594">
        <v>0</v>
      </c>
      <c r="V153" s="585">
        <v>0</v>
      </c>
      <c r="W153" s="602">
        <v>0</v>
      </c>
      <c r="X153" s="594">
        <v>0</v>
      </c>
      <c r="Y153" s="585">
        <v>0</v>
      </c>
      <c r="Z153" s="602">
        <v>0</v>
      </c>
      <c r="AA153" s="594">
        <v>0</v>
      </c>
      <c r="AB153" s="585">
        <v>0</v>
      </c>
      <c r="AC153" s="602">
        <v>0</v>
      </c>
      <c r="AD153" s="594">
        <v>0</v>
      </c>
      <c r="AE153" s="594"/>
      <c r="AF153" s="594"/>
      <c r="AG153" s="585">
        <v>0</v>
      </c>
      <c r="AH153" s="602">
        <v>0</v>
      </c>
      <c r="AI153" s="609">
        <v>0</v>
      </c>
      <c r="AJ153" s="609">
        <v>0</v>
      </c>
      <c r="AK153" s="740"/>
      <c r="AL153" s="524" t="s">
        <v>1268</v>
      </c>
      <c r="AM153" s="35">
        <v>190834</v>
      </c>
      <c r="AN153" s="36">
        <v>64</v>
      </c>
      <c r="AO153" s="26" t="s">
        <v>1310</v>
      </c>
      <c r="AP153" s="37">
        <v>116.9</v>
      </c>
      <c r="AQ153" s="792">
        <f>AP153-AN153</f>
        <v>52.900000000000006</v>
      </c>
      <c r="AR153" s="831">
        <f t="shared" si="8"/>
        <v>0.45252352437981186</v>
      </c>
      <c r="AS153" s="812"/>
      <c r="AT153" s="31"/>
      <c r="AU153" s="38"/>
      <c r="AV153" s="26"/>
      <c r="AW153" s="39"/>
      <c r="AX153" s="36"/>
      <c r="AY153" s="26"/>
      <c r="AZ153" s="41"/>
      <c r="BA153" s="31" t="s">
        <v>47</v>
      </c>
      <c r="BB153" s="41">
        <v>0</v>
      </c>
      <c r="BC153" s="42"/>
      <c r="BD153" s="42"/>
      <c r="BE153" s="42"/>
      <c r="BF153" s="42"/>
      <c r="BG153" s="42"/>
      <c r="BH153" s="221"/>
      <c r="BI153" s="221"/>
      <c r="BJ153" s="221"/>
      <c r="BK153" s="221"/>
      <c r="BL153" s="221"/>
      <c r="BM153" s="221"/>
      <c r="BN153" s="221"/>
      <c r="BO153" s="221"/>
      <c r="BP153" s="221"/>
      <c r="BQ153" s="221"/>
      <c r="BR153" s="221"/>
      <c r="BS153" s="221"/>
      <c r="BT153" s="221"/>
      <c r="BU153" s="221"/>
      <c r="BV153" s="221"/>
      <c r="BW153" s="221"/>
      <c r="BX153" s="221"/>
      <c r="BY153" s="221"/>
      <c r="BZ153" s="221"/>
      <c r="CA153" s="221"/>
      <c r="CB153" s="221"/>
      <c r="CC153" s="221"/>
      <c r="CD153" s="221"/>
      <c r="CE153" s="221"/>
      <c r="CF153" s="221"/>
      <c r="CG153" s="221"/>
      <c r="CH153" s="221"/>
      <c r="CI153" s="221"/>
      <c r="CJ153" s="221"/>
      <c r="CK153" s="221"/>
      <c r="CL153" s="221"/>
      <c r="CM153" s="221"/>
      <c r="CN153" s="221"/>
      <c r="CO153" s="221"/>
      <c r="CP153" s="221"/>
      <c r="CQ153" s="221"/>
      <c r="CR153" s="221"/>
      <c r="CS153" s="221"/>
      <c r="CT153" s="221"/>
      <c r="CU153" s="221"/>
      <c r="CV153" s="221"/>
      <c r="CW153" s="221"/>
      <c r="CX153" s="221"/>
      <c r="CY153" s="221"/>
      <c r="CZ153" s="221"/>
      <c r="DA153" s="221"/>
      <c r="DB153" s="221"/>
      <c r="DC153" s="221"/>
      <c r="DD153" s="221"/>
      <c r="DE153" s="221"/>
      <c r="DF153" s="221"/>
      <c r="DG153" s="221"/>
      <c r="DH153" s="221"/>
      <c r="DI153" s="221"/>
      <c r="DJ153" s="221"/>
      <c r="DK153" s="221"/>
      <c r="DL153" s="221"/>
      <c r="DM153" s="221"/>
      <c r="DN153" s="221"/>
      <c r="DO153" s="221"/>
      <c r="DP153" s="221"/>
      <c r="DQ153" s="221"/>
      <c r="DR153" s="221"/>
      <c r="DS153" s="221"/>
      <c r="DT153" s="221"/>
      <c r="DU153" s="221"/>
      <c r="DV153" s="221"/>
      <c r="DW153" s="221"/>
      <c r="DX153" s="221"/>
      <c r="DY153" s="221"/>
      <c r="DZ153" s="221"/>
      <c r="EA153" s="221"/>
      <c r="EB153" s="221"/>
      <c r="EC153" s="221"/>
      <c r="ED153" s="221"/>
      <c r="EE153" s="221"/>
      <c r="EF153" s="221"/>
      <c r="EG153" s="221"/>
      <c r="EH153" s="221"/>
      <c r="EI153" s="221"/>
      <c r="EJ153" s="221"/>
      <c r="EK153" s="221"/>
      <c r="EL153" s="221"/>
      <c r="EM153" s="221"/>
      <c r="EN153" s="221"/>
      <c r="EO153" s="221"/>
      <c r="EP153" s="221"/>
      <c r="EQ153" s="221"/>
      <c r="ER153" s="221"/>
      <c r="ES153" s="221"/>
      <c r="ET153" s="221"/>
      <c r="EU153" s="221"/>
      <c r="EV153" s="221"/>
      <c r="EW153" s="221"/>
      <c r="EX153" s="221"/>
      <c r="EY153" s="221"/>
      <c r="EZ153" s="221"/>
      <c r="FA153" s="221"/>
      <c r="FB153" s="221"/>
      <c r="FC153" s="221"/>
      <c r="FD153" s="221"/>
      <c r="FE153" s="221"/>
      <c r="FF153" s="221"/>
      <c r="FG153" s="221"/>
      <c r="FH153" s="221"/>
      <c r="FI153" s="221"/>
      <c r="FJ153" s="221"/>
      <c r="FK153" s="221"/>
      <c r="FL153" s="221"/>
      <c r="FM153" s="221"/>
      <c r="FN153" s="221"/>
      <c r="FO153" s="221"/>
      <c r="FP153" s="221"/>
      <c r="FQ153" s="221"/>
      <c r="FR153" s="221"/>
      <c r="FS153" s="221"/>
      <c r="FT153" s="221"/>
      <c r="FU153" s="221"/>
      <c r="FV153" s="221"/>
      <c r="FW153" s="221"/>
      <c r="FX153" s="221"/>
      <c r="FY153" s="221"/>
      <c r="FZ153" s="221"/>
      <c r="GA153" s="221"/>
      <c r="GB153" s="221"/>
      <c r="GC153" s="221"/>
      <c r="GD153" s="221"/>
      <c r="GE153" s="221"/>
      <c r="GF153" s="221"/>
      <c r="GG153" s="221"/>
      <c r="GH153" s="221"/>
      <c r="GI153" s="221"/>
      <c r="GJ153" s="221"/>
      <c r="GK153" s="221"/>
      <c r="GL153" s="221"/>
      <c r="GM153" s="221"/>
      <c r="GN153" s="221"/>
      <c r="GO153" s="221"/>
      <c r="GP153" s="221"/>
      <c r="GQ153" s="221"/>
      <c r="GR153" s="221"/>
      <c r="GS153" s="221"/>
      <c r="GT153" s="221"/>
      <c r="GU153" s="221"/>
      <c r="GV153" s="221"/>
      <c r="GW153" s="221"/>
      <c r="GX153" s="221"/>
      <c r="GY153" s="221"/>
      <c r="GZ153" s="221"/>
      <c r="HA153" s="221"/>
      <c r="HB153" s="221"/>
      <c r="HC153" s="221"/>
      <c r="HD153" s="221"/>
      <c r="HE153" s="221"/>
      <c r="HF153" s="221"/>
      <c r="HG153" s="221"/>
      <c r="HH153" s="221"/>
      <c r="HI153" s="221"/>
      <c r="HJ153" s="221"/>
      <c r="HK153" s="221"/>
      <c r="HL153" s="221"/>
      <c r="HM153" s="221"/>
      <c r="HN153" s="221"/>
      <c r="HO153" s="221"/>
      <c r="HP153" s="221"/>
      <c r="HQ153" s="221"/>
      <c r="HR153" s="221"/>
      <c r="HS153" s="221"/>
      <c r="HT153" s="221"/>
      <c r="HU153" s="221"/>
      <c r="HV153" s="221"/>
      <c r="HW153" s="221"/>
      <c r="HX153" s="221"/>
      <c r="HY153" s="221"/>
      <c r="HZ153" s="221"/>
      <c r="IA153" s="221"/>
      <c r="IB153" s="221"/>
      <c r="IC153" s="221"/>
      <c r="ID153" s="221"/>
      <c r="IE153" s="221"/>
      <c r="IF153" s="221"/>
      <c r="IG153" s="221"/>
      <c r="IH153" s="221"/>
      <c r="II153" s="221"/>
      <c r="IJ153" s="221"/>
      <c r="IK153" s="221"/>
      <c r="IL153" s="221"/>
      <c r="IM153" s="221"/>
      <c r="IN153" s="221"/>
      <c r="IO153" s="221"/>
      <c r="IP153" s="221"/>
      <c r="IQ153" s="221"/>
      <c r="IR153" s="221"/>
      <c r="IS153" s="221"/>
      <c r="IT153" s="221"/>
      <c r="IU153" s="221"/>
      <c r="IV153" s="221"/>
      <c r="IW153" s="221"/>
      <c r="IX153" s="221"/>
      <c r="IY153" s="221"/>
      <c r="IZ153" s="221"/>
      <c r="JA153" s="221"/>
      <c r="JB153" s="221"/>
      <c r="JC153" s="221"/>
      <c r="JD153" s="221"/>
      <c r="JE153" s="221"/>
      <c r="JF153" s="221"/>
      <c r="JG153" s="221"/>
      <c r="JH153" s="221"/>
      <c r="JI153" s="221"/>
      <c r="JJ153" s="221"/>
      <c r="JK153" s="221"/>
      <c r="JL153" s="221"/>
      <c r="JM153" s="221"/>
      <c r="JN153" s="221"/>
      <c r="JO153" s="221"/>
      <c r="JP153" s="221"/>
      <c r="JQ153" s="221"/>
    </row>
    <row r="154" spans="1:277" ht="20" customHeight="1" outlineLevel="1">
      <c r="A154" s="456">
        <v>1904003</v>
      </c>
      <c r="B154" s="690">
        <v>42098</v>
      </c>
      <c r="C154" s="691" t="s">
        <v>44</v>
      </c>
      <c r="D154" s="691" t="s">
        <v>73</v>
      </c>
      <c r="E154" s="692" t="s">
        <v>46</v>
      </c>
      <c r="F154" s="693" t="s">
        <v>47</v>
      </c>
      <c r="G154" s="35" t="s">
        <v>1298</v>
      </c>
      <c r="H154" s="296">
        <v>42101</v>
      </c>
      <c r="I154" s="54">
        <v>191567</v>
      </c>
      <c r="J154" s="30" t="s">
        <v>62</v>
      </c>
      <c r="K154" s="31" t="s">
        <v>50</v>
      </c>
      <c r="L154" s="50">
        <v>0</v>
      </c>
      <c r="M154" s="33">
        <v>42110</v>
      </c>
      <c r="N154" s="257" t="s">
        <v>1299</v>
      </c>
      <c r="O154" s="258" t="s">
        <v>1301</v>
      </c>
      <c r="P154" s="559">
        <v>900298</v>
      </c>
      <c r="Q154" s="290"/>
      <c r="R154" s="586">
        <v>0</v>
      </c>
      <c r="S154" s="585">
        <v>0</v>
      </c>
      <c r="T154" s="602">
        <v>0</v>
      </c>
      <c r="U154" s="594">
        <v>0</v>
      </c>
      <c r="V154" s="585">
        <v>0</v>
      </c>
      <c r="W154" s="602">
        <v>0</v>
      </c>
      <c r="X154" s="594">
        <v>0</v>
      </c>
      <c r="Y154" s="585">
        <v>0</v>
      </c>
      <c r="Z154" s="602">
        <v>0</v>
      </c>
      <c r="AA154" s="594">
        <v>0</v>
      </c>
      <c r="AB154" s="585">
        <v>0</v>
      </c>
      <c r="AC154" s="602">
        <v>0</v>
      </c>
      <c r="AD154" s="594">
        <v>1</v>
      </c>
      <c r="AE154" s="594"/>
      <c r="AF154" s="594"/>
      <c r="AG154" s="585">
        <v>0</v>
      </c>
      <c r="AH154" s="602">
        <v>0</v>
      </c>
      <c r="AI154" s="609">
        <v>0</v>
      </c>
      <c r="AJ154" s="609">
        <v>0</v>
      </c>
      <c r="AK154" s="740"/>
      <c r="AL154" s="524" t="s">
        <v>1300</v>
      </c>
      <c r="AM154" s="35">
        <v>190921</v>
      </c>
      <c r="AN154" s="36">
        <v>114.48</v>
      </c>
      <c r="AO154" s="252" t="s">
        <v>1810</v>
      </c>
      <c r="AP154" s="37">
        <v>140.24</v>
      </c>
      <c r="AQ154" s="792">
        <f t="shared" ref="AQ154:AQ261" si="13">AP154-AN154</f>
        <v>25.760000000000005</v>
      </c>
      <c r="AR154" s="831">
        <f t="shared" si="8"/>
        <v>0.18368511123787795</v>
      </c>
      <c r="AS154" s="812"/>
      <c r="AT154" s="256" t="s">
        <v>1254</v>
      </c>
      <c r="AU154" s="38">
        <v>1</v>
      </c>
      <c r="AV154" s="252" t="s">
        <v>1811</v>
      </c>
      <c r="AW154" s="259" t="s">
        <v>1296</v>
      </c>
      <c r="AX154" s="36">
        <v>0</v>
      </c>
      <c r="AY154" s="252" t="s">
        <v>118</v>
      </c>
      <c r="AZ154" s="41">
        <v>0</v>
      </c>
      <c r="BA154" s="31" t="s">
        <v>47</v>
      </c>
      <c r="BB154" s="41">
        <v>0</v>
      </c>
      <c r="BC154" s="42"/>
      <c r="BD154" s="42"/>
      <c r="BE154" s="42"/>
      <c r="BF154" s="42"/>
      <c r="BG154" s="42"/>
      <c r="BH154" s="221"/>
      <c r="BI154" s="221"/>
      <c r="BJ154" s="221"/>
      <c r="BK154" s="221"/>
      <c r="BL154" s="221"/>
      <c r="BM154" s="221"/>
      <c r="BN154" s="221"/>
      <c r="BO154" s="221"/>
      <c r="BP154" s="221"/>
      <c r="BQ154" s="221"/>
      <c r="BR154" s="221"/>
      <c r="BS154" s="221"/>
      <c r="BT154" s="221"/>
      <c r="BU154" s="221"/>
      <c r="BV154" s="221"/>
      <c r="BW154" s="221"/>
      <c r="BX154" s="221"/>
      <c r="BY154" s="221"/>
      <c r="BZ154" s="221"/>
      <c r="CA154" s="221"/>
      <c r="CB154" s="221"/>
      <c r="CC154" s="221"/>
      <c r="CD154" s="221"/>
      <c r="CE154" s="221"/>
      <c r="CF154" s="221"/>
      <c r="CG154" s="221"/>
      <c r="CH154" s="221"/>
      <c r="CI154" s="221"/>
      <c r="CJ154" s="221"/>
      <c r="CK154" s="221"/>
      <c r="CL154" s="221"/>
      <c r="CM154" s="221"/>
      <c r="CN154" s="221"/>
      <c r="CO154" s="221"/>
      <c r="CP154" s="221"/>
      <c r="CQ154" s="221"/>
      <c r="CR154" s="221"/>
      <c r="CS154" s="221"/>
      <c r="CT154" s="221"/>
      <c r="CU154" s="221"/>
      <c r="CV154" s="221"/>
      <c r="CW154" s="221"/>
      <c r="CX154" s="221"/>
      <c r="CY154" s="221"/>
      <c r="CZ154" s="221"/>
      <c r="DA154" s="221"/>
      <c r="DB154" s="221"/>
      <c r="DC154" s="221"/>
      <c r="DD154" s="221"/>
      <c r="DE154" s="221"/>
      <c r="DF154" s="221"/>
      <c r="DG154" s="221"/>
      <c r="DH154" s="221"/>
      <c r="DI154" s="221"/>
      <c r="DJ154" s="221"/>
      <c r="DK154" s="221"/>
      <c r="DL154" s="221"/>
      <c r="DM154" s="221"/>
      <c r="DN154" s="221"/>
      <c r="DO154" s="221"/>
      <c r="DP154" s="221"/>
      <c r="DQ154" s="221"/>
      <c r="DR154" s="221"/>
      <c r="DS154" s="221"/>
      <c r="DT154" s="221"/>
      <c r="DU154" s="221"/>
      <c r="DV154" s="221"/>
      <c r="DW154" s="221"/>
      <c r="DX154" s="221"/>
      <c r="DY154" s="221"/>
      <c r="DZ154" s="221"/>
      <c r="EA154" s="221"/>
      <c r="EB154" s="221"/>
      <c r="EC154" s="221"/>
      <c r="ED154" s="221"/>
      <c r="EE154" s="221"/>
      <c r="EF154" s="221"/>
      <c r="EG154" s="221"/>
      <c r="EH154" s="221"/>
      <c r="EI154" s="221"/>
      <c r="EJ154" s="221"/>
      <c r="EK154" s="221"/>
      <c r="EL154" s="221"/>
      <c r="EM154" s="221"/>
      <c r="EN154" s="221"/>
      <c r="EO154" s="221"/>
      <c r="EP154" s="221"/>
      <c r="EQ154" s="221"/>
      <c r="ER154" s="221"/>
      <c r="ES154" s="221"/>
      <c r="ET154" s="221"/>
      <c r="EU154" s="221"/>
      <c r="EV154" s="221"/>
      <c r="EW154" s="221"/>
      <c r="EX154" s="221"/>
      <c r="EY154" s="221"/>
      <c r="EZ154" s="221"/>
      <c r="FA154" s="221"/>
      <c r="FB154" s="221"/>
      <c r="FC154" s="221"/>
      <c r="FD154" s="221"/>
      <c r="FE154" s="221"/>
      <c r="FF154" s="221"/>
      <c r="FG154" s="221"/>
      <c r="FH154" s="221"/>
      <c r="FI154" s="221"/>
      <c r="FJ154" s="221"/>
      <c r="FK154" s="221"/>
      <c r="FL154" s="221"/>
      <c r="FM154" s="221"/>
      <c r="FN154" s="221"/>
      <c r="FO154" s="221"/>
      <c r="FP154" s="221"/>
      <c r="FQ154" s="221"/>
      <c r="FR154" s="221"/>
      <c r="FS154" s="221"/>
      <c r="FT154" s="221"/>
      <c r="FU154" s="221"/>
      <c r="FV154" s="221"/>
      <c r="FW154" s="221"/>
      <c r="FX154" s="221"/>
      <c r="FY154" s="221"/>
      <c r="FZ154" s="221"/>
      <c r="GA154" s="221"/>
      <c r="GB154" s="221"/>
      <c r="GC154" s="221"/>
      <c r="GD154" s="221"/>
      <c r="GE154" s="221"/>
      <c r="GF154" s="221"/>
      <c r="GG154" s="221"/>
      <c r="GH154" s="221"/>
      <c r="GI154" s="221"/>
      <c r="GJ154" s="221"/>
      <c r="GK154" s="221"/>
      <c r="GL154" s="221"/>
      <c r="GM154" s="221"/>
      <c r="GN154" s="221"/>
      <c r="GO154" s="221"/>
      <c r="GP154" s="221"/>
      <c r="GQ154" s="221"/>
      <c r="GR154" s="221"/>
      <c r="GS154" s="221"/>
      <c r="GT154" s="221"/>
      <c r="GU154" s="221"/>
      <c r="GV154" s="221"/>
      <c r="GW154" s="221"/>
      <c r="GX154" s="221"/>
      <c r="GY154" s="221"/>
      <c r="GZ154" s="221"/>
      <c r="HA154" s="221"/>
      <c r="HB154" s="221"/>
      <c r="HC154" s="221"/>
      <c r="HD154" s="221"/>
      <c r="HE154" s="221"/>
      <c r="HF154" s="221"/>
      <c r="HG154" s="221"/>
      <c r="HH154" s="221"/>
      <c r="HI154" s="221"/>
      <c r="HJ154" s="221"/>
      <c r="HK154" s="221"/>
      <c r="HL154" s="221"/>
      <c r="HM154" s="221"/>
      <c r="HN154" s="221"/>
      <c r="HO154" s="221"/>
      <c r="HP154" s="221"/>
      <c r="HQ154" s="221"/>
      <c r="HR154" s="221"/>
      <c r="HS154" s="221"/>
      <c r="HT154" s="221"/>
      <c r="HU154" s="221"/>
      <c r="HV154" s="221"/>
      <c r="HW154" s="221"/>
      <c r="HX154" s="221"/>
      <c r="HY154" s="221"/>
      <c r="HZ154" s="221"/>
      <c r="IA154" s="221"/>
      <c r="IB154" s="221"/>
      <c r="IC154" s="221"/>
      <c r="ID154" s="221"/>
      <c r="IE154" s="221"/>
      <c r="IF154" s="221"/>
      <c r="IG154" s="221"/>
      <c r="IH154" s="221"/>
      <c r="II154" s="221"/>
      <c r="IJ154" s="221"/>
      <c r="IK154" s="221"/>
      <c r="IL154" s="221"/>
      <c r="IM154" s="221"/>
      <c r="IN154" s="221"/>
      <c r="IO154" s="221"/>
      <c r="IP154" s="221"/>
      <c r="IQ154" s="221"/>
      <c r="IR154" s="221"/>
      <c r="IS154" s="221"/>
      <c r="IT154" s="221"/>
      <c r="IU154" s="221"/>
      <c r="IV154" s="221"/>
      <c r="IW154" s="221"/>
      <c r="IX154" s="221"/>
      <c r="IY154" s="221"/>
      <c r="IZ154" s="221"/>
      <c r="JA154" s="221"/>
      <c r="JB154" s="221"/>
      <c r="JC154" s="221"/>
      <c r="JD154" s="221"/>
      <c r="JE154" s="221"/>
      <c r="JF154" s="221"/>
      <c r="JG154" s="221"/>
      <c r="JH154" s="221"/>
      <c r="JI154" s="221"/>
      <c r="JJ154" s="221"/>
      <c r="JK154" s="221"/>
      <c r="JL154" s="221"/>
      <c r="JM154" s="221"/>
      <c r="JN154" s="221"/>
      <c r="JO154" s="221"/>
      <c r="JP154" s="221"/>
      <c r="JQ154" s="221"/>
    </row>
    <row r="155" spans="1:277" ht="20" customHeight="1" outlineLevel="1">
      <c r="A155" s="456">
        <v>1904004</v>
      </c>
      <c r="B155" s="694">
        <v>42098</v>
      </c>
      <c r="C155" s="691" t="s">
        <v>44</v>
      </c>
      <c r="D155" s="691" t="s">
        <v>73</v>
      </c>
      <c r="E155" s="692" t="s">
        <v>529</v>
      </c>
      <c r="F155" s="693" t="s">
        <v>47</v>
      </c>
      <c r="G155" s="35" t="s">
        <v>1290</v>
      </c>
      <c r="H155" s="296">
        <v>42101</v>
      </c>
      <c r="I155" s="54">
        <v>191566</v>
      </c>
      <c r="J155" s="30" t="s">
        <v>62</v>
      </c>
      <c r="K155" s="31" t="s">
        <v>50</v>
      </c>
      <c r="L155" s="50">
        <v>0</v>
      </c>
      <c r="M155" s="33">
        <v>42110</v>
      </c>
      <c r="N155" s="257" t="s">
        <v>1291</v>
      </c>
      <c r="O155" s="258" t="s">
        <v>1292</v>
      </c>
      <c r="P155" s="559" t="s">
        <v>1293</v>
      </c>
      <c r="Q155" s="290"/>
      <c r="R155" s="586">
        <v>0</v>
      </c>
      <c r="S155" s="585">
        <v>0</v>
      </c>
      <c r="T155" s="602">
        <v>0</v>
      </c>
      <c r="U155" s="594">
        <v>1</v>
      </c>
      <c r="V155" s="585">
        <v>0</v>
      </c>
      <c r="W155" s="602">
        <v>0</v>
      </c>
      <c r="X155" s="594">
        <v>0</v>
      </c>
      <c r="Y155" s="585">
        <v>0</v>
      </c>
      <c r="Z155" s="602">
        <v>0</v>
      </c>
      <c r="AA155" s="594">
        <v>0</v>
      </c>
      <c r="AB155" s="585">
        <v>0</v>
      </c>
      <c r="AC155" s="602">
        <v>0</v>
      </c>
      <c r="AD155" s="594">
        <v>0</v>
      </c>
      <c r="AE155" s="594"/>
      <c r="AF155" s="594"/>
      <c r="AG155" s="585">
        <v>0</v>
      </c>
      <c r="AH155" s="602">
        <v>0</v>
      </c>
      <c r="AI155" s="609">
        <v>0</v>
      </c>
      <c r="AJ155" s="609">
        <v>0</v>
      </c>
      <c r="AK155" s="740"/>
      <c r="AL155" s="524" t="s">
        <v>1268</v>
      </c>
      <c r="AM155" s="35">
        <v>190922</v>
      </c>
      <c r="AN155" s="36">
        <v>129.6</v>
      </c>
      <c r="AO155" s="26" t="s">
        <v>1294</v>
      </c>
      <c r="AP155" s="37">
        <v>231.66</v>
      </c>
      <c r="AQ155" s="792">
        <f t="shared" si="13"/>
        <v>102.06</v>
      </c>
      <c r="AR155" s="831">
        <f t="shared" si="8"/>
        <v>0.44055944055944057</v>
      </c>
      <c r="AS155" s="812">
        <v>42037</v>
      </c>
      <c r="AT155" s="31" t="s">
        <v>1254</v>
      </c>
      <c r="AU155" s="38">
        <v>2</v>
      </c>
      <c r="AV155" s="26" t="s">
        <v>1295</v>
      </c>
      <c r="AW155" s="39" t="s">
        <v>1296</v>
      </c>
      <c r="AX155" s="36">
        <v>120</v>
      </c>
      <c r="AY155" s="26"/>
      <c r="AZ155" s="41"/>
      <c r="BA155" s="31" t="s">
        <v>47</v>
      </c>
      <c r="BB155" s="41">
        <v>0</v>
      </c>
      <c r="BC155" s="42"/>
      <c r="BD155" s="42"/>
      <c r="BE155" s="42"/>
      <c r="BF155" s="42"/>
      <c r="BG155" s="42"/>
      <c r="BH155" s="221"/>
      <c r="BI155" s="221"/>
      <c r="BJ155" s="221"/>
      <c r="BK155" s="221"/>
      <c r="BL155" s="221"/>
      <c r="BM155" s="221"/>
      <c r="BN155" s="221"/>
      <c r="BO155" s="221"/>
      <c r="BP155" s="221"/>
      <c r="BQ155" s="221"/>
      <c r="BR155" s="221"/>
      <c r="BS155" s="221"/>
      <c r="BT155" s="221"/>
      <c r="BU155" s="221"/>
      <c r="BV155" s="221"/>
      <c r="BW155" s="221"/>
      <c r="BX155" s="221"/>
      <c r="BY155" s="221"/>
      <c r="BZ155" s="221"/>
      <c r="CA155" s="221"/>
      <c r="CB155" s="221"/>
      <c r="CC155" s="221"/>
      <c r="CD155" s="221"/>
      <c r="CE155" s="221"/>
      <c r="CF155" s="221"/>
      <c r="CG155" s="221"/>
      <c r="CH155" s="221"/>
      <c r="CI155" s="221"/>
      <c r="CJ155" s="221"/>
      <c r="CK155" s="221"/>
      <c r="CL155" s="221"/>
      <c r="CM155" s="221"/>
      <c r="CN155" s="221"/>
      <c r="CO155" s="221"/>
      <c r="CP155" s="221"/>
      <c r="CQ155" s="221"/>
      <c r="CR155" s="221"/>
      <c r="CS155" s="221"/>
      <c r="CT155" s="221"/>
      <c r="CU155" s="221"/>
      <c r="CV155" s="221"/>
      <c r="CW155" s="221"/>
      <c r="CX155" s="221"/>
      <c r="CY155" s="221"/>
      <c r="CZ155" s="221"/>
      <c r="DA155" s="221"/>
      <c r="DB155" s="221"/>
      <c r="DC155" s="221"/>
      <c r="DD155" s="221"/>
      <c r="DE155" s="221"/>
      <c r="DF155" s="221"/>
      <c r="DG155" s="221"/>
      <c r="DH155" s="221"/>
      <c r="DI155" s="221"/>
      <c r="DJ155" s="221"/>
      <c r="DK155" s="221"/>
      <c r="DL155" s="221"/>
      <c r="DM155" s="221"/>
      <c r="DN155" s="221"/>
      <c r="DO155" s="221"/>
      <c r="DP155" s="221"/>
      <c r="DQ155" s="221"/>
      <c r="DR155" s="221"/>
      <c r="DS155" s="221"/>
      <c r="DT155" s="221"/>
      <c r="DU155" s="221"/>
      <c r="DV155" s="221"/>
      <c r="DW155" s="221"/>
      <c r="DX155" s="221"/>
      <c r="DY155" s="221"/>
      <c r="DZ155" s="221"/>
      <c r="EA155" s="221"/>
      <c r="EB155" s="221"/>
      <c r="EC155" s="221"/>
      <c r="ED155" s="221"/>
      <c r="EE155" s="221"/>
      <c r="EF155" s="221"/>
      <c r="EG155" s="221"/>
      <c r="EH155" s="221"/>
      <c r="EI155" s="221"/>
      <c r="EJ155" s="221"/>
      <c r="EK155" s="221"/>
      <c r="EL155" s="221"/>
      <c r="EM155" s="221"/>
      <c r="EN155" s="221"/>
      <c r="EO155" s="221"/>
      <c r="EP155" s="221"/>
      <c r="EQ155" s="221"/>
      <c r="ER155" s="221"/>
      <c r="ES155" s="221"/>
      <c r="ET155" s="221"/>
      <c r="EU155" s="221"/>
      <c r="EV155" s="221"/>
      <c r="EW155" s="221"/>
      <c r="EX155" s="221"/>
      <c r="EY155" s="221"/>
      <c r="EZ155" s="221"/>
      <c r="FA155" s="221"/>
      <c r="FB155" s="221"/>
      <c r="FC155" s="221"/>
      <c r="FD155" s="221"/>
      <c r="FE155" s="221"/>
      <c r="FF155" s="221"/>
      <c r="FG155" s="221"/>
      <c r="FH155" s="221"/>
      <c r="FI155" s="221"/>
      <c r="FJ155" s="221"/>
      <c r="FK155" s="221"/>
      <c r="FL155" s="221"/>
      <c r="FM155" s="221"/>
      <c r="FN155" s="221"/>
      <c r="FO155" s="221"/>
      <c r="FP155" s="221"/>
      <c r="FQ155" s="221"/>
      <c r="FR155" s="221"/>
      <c r="FS155" s="221"/>
      <c r="FT155" s="221"/>
      <c r="FU155" s="221"/>
      <c r="FV155" s="221"/>
      <c r="FW155" s="221"/>
      <c r="FX155" s="221"/>
      <c r="FY155" s="221"/>
      <c r="FZ155" s="221"/>
      <c r="GA155" s="221"/>
      <c r="GB155" s="221"/>
      <c r="GC155" s="221"/>
      <c r="GD155" s="221"/>
      <c r="GE155" s="221"/>
      <c r="GF155" s="221"/>
      <c r="GG155" s="221"/>
      <c r="GH155" s="221"/>
      <c r="GI155" s="221"/>
      <c r="GJ155" s="221"/>
      <c r="GK155" s="221"/>
      <c r="GL155" s="221"/>
      <c r="GM155" s="221"/>
      <c r="GN155" s="221"/>
      <c r="GO155" s="221"/>
      <c r="GP155" s="221"/>
      <c r="GQ155" s="221"/>
      <c r="GR155" s="221"/>
      <c r="GS155" s="221"/>
      <c r="GT155" s="221"/>
      <c r="GU155" s="221"/>
      <c r="GV155" s="221"/>
      <c r="GW155" s="221"/>
      <c r="GX155" s="221"/>
      <c r="GY155" s="221"/>
      <c r="GZ155" s="221"/>
      <c r="HA155" s="221"/>
      <c r="HB155" s="221"/>
      <c r="HC155" s="221"/>
      <c r="HD155" s="221"/>
      <c r="HE155" s="221"/>
      <c r="HF155" s="221"/>
      <c r="HG155" s="221"/>
      <c r="HH155" s="221"/>
      <c r="HI155" s="221"/>
      <c r="HJ155" s="221"/>
      <c r="HK155" s="221"/>
      <c r="HL155" s="221"/>
      <c r="HM155" s="221"/>
      <c r="HN155" s="221"/>
      <c r="HO155" s="221"/>
      <c r="HP155" s="221"/>
      <c r="HQ155" s="221"/>
      <c r="HR155" s="221"/>
      <c r="HS155" s="221"/>
      <c r="HT155" s="221"/>
      <c r="HU155" s="221"/>
      <c r="HV155" s="221"/>
      <c r="HW155" s="221"/>
      <c r="HX155" s="221"/>
      <c r="HY155" s="221"/>
      <c r="HZ155" s="221"/>
      <c r="IA155" s="221"/>
      <c r="IB155" s="221"/>
      <c r="IC155" s="221"/>
      <c r="ID155" s="221"/>
      <c r="IE155" s="221"/>
      <c r="IF155" s="221"/>
      <c r="IG155" s="221"/>
      <c r="IH155" s="221"/>
      <c r="II155" s="221"/>
      <c r="IJ155" s="221"/>
      <c r="IK155" s="221"/>
      <c r="IL155" s="221"/>
      <c r="IM155" s="221"/>
      <c r="IN155" s="221"/>
      <c r="IO155" s="221"/>
      <c r="IP155" s="221"/>
      <c r="IQ155" s="221"/>
      <c r="IR155" s="221"/>
      <c r="IS155" s="221"/>
      <c r="IT155" s="221"/>
      <c r="IU155" s="221"/>
      <c r="IV155" s="221"/>
      <c r="IW155" s="221"/>
      <c r="IX155" s="221"/>
      <c r="IY155" s="221"/>
      <c r="IZ155" s="221"/>
      <c r="JA155" s="221"/>
      <c r="JB155" s="221"/>
      <c r="JC155" s="221"/>
      <c r="JD155" s="221"/>
      <c r="JE155" s="221"/>
      <c r="JF155" s="221"/>
      <c r="JG155" s="221"/>
      <c r="JH155" s="221"/>
      <c r="JI155" s="221"/>
      <c r="JJ155" s="221"/>
      <c r="JK155" s="221"/>
      <c r="JL155" s="221"/>
      <c r="JM155" s="221"/>
      <c r="JN155" s="221"/>
      <c r="JO155" s="221"/>
      <c r="JP155" s="221"/>
      <c r="JQ155" s="221"/>
    </row>
    <row r="156" spans="1:277" ht="20" customHeight="1" outlineLevel="1">
      <c r="A156" s="456">
        <v>1904005</v>
      </c>
      <c r="B156" s="690">
        <v>42101</v>
      </c>
      <c r="C156" s="691" t="s">
        <v>44</v>
      </c>
      <c r="D156" s="691" t="s">
        <v>73</v>
      </c>
      <c r="E156" s="692" t="s">
        <v>46</v>
      </c>
      <c r="F156" s="693" t="s">
        <v>47</v>
      </c>
      <c r="G156" s="253" t="s">
        <v>1657</v>
      </c>
      <c r="H156" s="296"/>
      <c r="I156" s="54"/>
      <c r="J156" s="30"/>
      <c r="K156" s="256" t="s">
        <v>50</v>
      </c>
      <c r="L156" s="50">
        <v>168428682</v>
      </c>
      <c r="M156" s="33">
        <v>42118</v>
      </c>
      <c r="N156" s="257" t="s">
        <v>1299</v>
      </c>
      <c r="O156" s="258" t="s">
        <v>1658</v>
      </c>
      <c r="P156" s="559"/>
      <c r="Q156" s="290"/>
      <c r="R156" s="586">
        <v>0</v>
      </c>
      <c r="S156" s="585">
        <v>0</v>
      </c>
      <c r="T156" s="602">
        <v>0</v>
      </c>
      <c r="U156" s="594">
        <v>1</v>
      </c>
      <c r="V156" s="585">
        <v>0</v>
      </c>
      <c r="W156" s="602">
        <v>0</v>
      </c>
      <c r="X156" s="594">
        <v>0</v>
      </c>
      <c r="Y156" s="585">
        <v>0</v>
      </c>
      <c r="Z156" s="602">
        <v>0</v>
      </c>
      <c r="AA156" s="594">
        <v>0</v>
      </c>
      <c r="AB156" s="585">
        <v>0</v>
      </c>
      <c r="AC156" s="602">
        <v>0</v>
      </c>
      <c r="AD156" s="594">
        <v>0</v>
      </c>
      <c r="AE156" s="594"/>
      <c r="AF156" s="594"/>
      <c r="AG156" s="585">
        <v>0</v>
      </c>
      <c r="AH156" s="602">
        <v>0</v>
      </c>
      <c r="AI156" s="609">
        <v>0</v>
      </c>
      <c r="AJ156" s="609">
        <v>0</v>
      </c>
      <c r="AK156" s="740"/>
      <c r="AL156" s="524" t="s">
        <v>1796</v>
      </c>
      <c r="AM156" s="35"/>
      <c r="AN156" s="36"/>
      <c r="AO156" s="252" t="s">
        <v>47</v>
      </c>
      <c r="AP156" s="37">
        <v>0</v>
      </c>
      <c r="AQ156" s="792">
        <f t="shared" si="13"/>
        <v>0</v>
      </c>
      <c r="AR156" s="831" t="e">
        <f t="shared" si="8"/>
        <v>#DIV/0!</v>
      </c>
      <c r="AS156" s="812"/>
      <c r="AT156" s="31"/>
      <c r="AU156" s="38"/>
      <c r="AV156" s="26"/>
      <c r="AW156" s="39"/>
      <c r="AX156" s="36"/>
      <c r="AY156" s="26"/>
      <c r="AZ156" s="41"/>
      <c r="BA156" s="31" t="s">
        <v>47</v>
      </c>
      <c r="BB156" s="41">
        <v>0</v>
      </c>
      <c r="BC156" s="42"/>
      <c r="BD156" s="42"/>
      <c r="BE156" s="42"/>
      <c r="BF156" s="42"/>
      <c r="BG156" s="42"/>
      <c r="BH156" s="221"/>
      <c r="BI156" s="221"/>
      <c r="BJ156" s="221"/>
      <c r="BK156" s="221"/>
      <c r="BL156" s="221"/>
      <c r="BM156" s="221"/>
      <c r="BN156" s="221"/>
      <c r="BO156" s="221"/>
      <c r="BP156" s="221"/>
      <c r="BQ156" s="221"/>
      <c r="BR156" s="221"/>
      <c r="BS156" s="221"/>
      <c r="BT156" s="221"/>
      <c r="BU156" s="221"/>
      <c r="BV156" s="221"/>
      <c r="BW156" s="221"/>
      <c r="BX156" s="221"/>
      <c r="BY156" s="221"/>
      <c r="BZ156" s="221"/>
      <c r="CA156" s="221"/>
      <c r="CB156" s="221"/>
      <c r="CC156" s="221"/>
      <c r="CD156" s="221"/>
      <c r="CE156" s="221"/>
      <c r="CF156" s="221"/>
      <c r="CG156" s="221"/>
      <c r="CH156" s="221"/>
      <c r="CI156" s="221"/>
      <c r="CJ156" s="221"/>
      <c r="CK156" s="221"/>
      <c r="CL156" s="221"/>
      <c r="CM156" s="221"/>
      <c r="CN156" s="221"/>
      <c r="CO156" s="221"/>
      <c r="CP156" s="221"/>
      <c r="CQ156" s="221"/>
      <c r="CR156" s="221"/>
      <c r="CS156" s="221"/>
      <c r="CT156" s="221"/>
      <c r="CU156" s="221"/>
      <c r="CV156" s="221"/>
      <c r="CW156" s="221"/>
      <c r="CX156" s="221"/>
      <c r="CY156" s="221"/>
      <c r="CZ156" s="221"/>
      <c r="DA156" s="221"/>
      <c r="DB156" s="221"/>
      <c r="DC156" s="221"/>
      <c r="DD156" s="221"/>
      <c r="DE156" s="221"/>
      <c r="DF156" s="221"/>
      <c r="DG156" s="221"/>
      <c r="DH156" s="221"/>
      <c r="DI156" s="221"/>
      <c r="DJ156" s="221"/>
      <c r="DK156" s="221"/>
      <c r="DL156" s="221"/>
      <c r="DM156" s="221"/>
      <c r="DN156" s="221"/>
      <c r="DO156" s="221"/>
      <c r="DP156" s="221"/>
      <c r="DQ156" s="221"/>
      <c r="DR156" s="221"/>
      <c r="DS156" s="221"/>
      <c r="DT156" s="221"/>
      <c r="DU156" s="221"/>
      <c r="DV156" s="221"/>
      <c r="DW156" s="221"/>
      <c r="DX156" s="221"/>
      <c r="DY156" s="221"/>
      <c r="DZ156" s="221"/>
      <c r="EA156" s="221"/>
      <c r="EB156" s="221"/>
      <c r="EC156" s="221"/>
      <c r="ED156" s="221"/>
      <c r="EE156" s="221"/>
      <c r="EF156" s="221"/>
      <c r="EG156" s="221"/>
      <c r="EH156" s="221"/>
      <c r="EI156" s="221"/>
      <c r="EJ156" s="221"/>
      <c r="EK156" s="221"/>
      <c r="EL156" s="221"/>
      <c r="EM156" s="221"/>
      <c r="EN156" s="221"/>
      <c r="EO156" s="221"/>
      <c r="EP156" s="221"/>
      <c r="EQ156" s="221"/>
      <c r="ER156" s="221"/>
      <c r="ES156" s="221"/>
      <c r="ET156" s="221"/>
      <c r="EU156" s="221"/>
      <c r="EV156" s="221"/>
      <c r="EW156" s="221"/>
      <c r="EX156" s="221"/>
      <c r="EY156" s="221"/>
      <c r="EZ156" s="221"/>
      <c r="FA156" s="221"/>
      <c r="FB156" s="221"/>
      <c r="FC156" s="221"/>
      <c r="FD156" s="221"/>
      <c r="FE156" s="221"/>
      <c r="FF156" s="221"/>
      <c r="FG156" s="221"/>
      <c r="FH156" s="221"/>
      <c r="FI156" s="221"/>
      <c r="FJ156" s="221"/>
      <c r="FK156" s="221"/>
      <c r="FL156" s="221"/>
      <c r="FM156" s="221"/>
      <c r="FN156" s="221"/>
      <c r="FO156" s="221"/>
      <c r="FP156" s="221"/>
      <c r="FQ156" s="221"/>
      <c r="FR156" s="221"/>
      <c r="FS156" s="221"/>
      <c r="FT156" s="221"/>
      <c r="FU156" s="221"/>
      <c r="FV156" s="221"/>
      <c r="FW156" s="221"/>
      <c r="FX156" s="221"/>
      <c r="FY156" s="221"/>
      <c r="FZ156" s="221"/>
      <c r="GA156" s="221"/>
      <c r="GB156" s="221"/>
      <c r="GC156" s="221"/>
      <c r="GD156" s="221"/>
      <c r="GE156" s="221"/>
      <c r="GF156" s="221"/>
      <c r="GG156" s="221"/>
      <c r="GH156" s="221"/>
      <c r="GI156" s="221"/>
      <c r="GJ156" s="221"/>
      <c r="GK156" s="221"/>
      <c r="GL156" s="221"/>
      <c r="GM156" s="221"/>
      <c r="GN156" s="221"/>
      <c r="GO156" s="221"/>
      <c r="GP156" s="221"/>
      <c r="GQ156" s="221"/>
      <c r="GR156" s="221"/>
      <c r="GS156" s="221"/>
      <c r="GT156" s="221"/>
      <c r="GU156" s="221"/>
      <c r="GV156" s="221"/>
      <c r="GW156" s="221"/>
      <c r="GX156" s="221"/>
      <c r="GY156" s="221"/>
      <c r="GZ156" s="221"/>
      <c r="HA156" s="221"/>
      <c r="HB156" s="221"/>
      <c r="HC156" s="221"/>
      <c r="HD156" s="221"/>
      <c r="HE156" s="221"/>
      <c r="HF156" s="221"/>
      <c r="HG156" s="221"/>
      <c r="HH156" s="221"/>
      <c r="HI156" s="221"/>
      <c r="HJ156" s="221"/>
      <c r="HK156" s="221"/>
      <c r="HL156" s="221"/>
      <c r="HM156" s="221"/>
      <c r="HN156" s="221"/>
      <c r="HO156" s="221"/>
      <c r="HP156" s="221"/>
      <c r="HQ156" s="221"/>
      <c r="HR156" s="221"/>
      <c r="HS156" s="221"/>
      <c r="HT156" s="221"/>
      <c r="HU156" s="221"/>
      <c r="HV156" s="221"/>
      <c r="HW156" s="221"/>
      <c r="HX156" s="221"/>
      <c r="HY156" s="221"/>
      <c r="HZ156" s="221"/>
      <c r="IA156" s="221"/>
      <c r="IB156" s="221"/>
      <c r="IC156" s="221"/>
      <c r="ID156" s="221"/>
      <c r="IE156" s="221"/>
      <c r="IF156" s="221"/>
      <c r="IG156" s="221"/>
      <c r="IH156" s="221"/>
      <c r="II156" s="221"/>
      <c r="IJ156" s="221"/>
      <c r="IK156" s="221"/>
      <c r="IL156" s="221"/>
      <c r="IM156" s="221"/>
      <c r="IN156" s="221"/>
      <c r="IO156" s="221"/>
      <c r="IP156" s="221"/>
      <c r="IQ156" s="221"/>
      <c r="IR156" s="221"/>
      <c r="IS156" s="221"/>
      <c r="IT156" s="221"/>
      <c r="IU156" s="221"/>
      <c r="IV156" s="221"/>
      <c r="IW156" s="221"/>
      <c r="IX156" s="221"/>
      <c r="IY156" s="221"/>
      <c r="IZ156" s="221"/>
      <c r="JA156" s="221"/>
      <c r="JB156" s="221"/>
      <c r="JC156" s="221"/>
      <c r="JD156" s="221"/>
      <c r="JE156" s="221"/>
      <c r="JF156" s="221"/>
      <c r="JG156" s="221"/>
      <c r="JH156" s="221"/>
      <c r="JI156" s="221"/>
      <c r="JJ156" s="221"/>
      <c r="JK156" s="221"/>
      <c r="JL156" s="221"/>
      <c r="JM156" s="221"/>
      <c r="JN156" s="221"/>
      <c r="JO156" s="221"/>
      <c r="JP156" s="221"/>
      <c r="JQ156" s="221"/>
    </row>
    <row r="157" spans="1:277" ht="20" customHeight="1" outlineLevel="1">
      <c r="A157" s="456">
        <v>1904006</v>
      </c>
      <c r="B157" s="690">
        <v>42104</v>
      </c>
      <c r="C157" s="691" t="s">
        <v>67</v>
      </c>
      <c r="D157" s="691" t="s">
        <v>73</v>
      </c>
      <c r="E157" s="692" t="s">
        <v>60</v>
      </c>
      <c r="F157" s="693" t="s">
        <v>1651</v>
      </c>
      <c r="G157" s="253" t="s">
        <v>1471</v>
      </c>
      <c r="H157" s="296" t="s">
        <v>1314</v>
      </c>
      <c r="I157" s="254">
        <v>191835</v>
      </c>
      <c r="J157" s="255" t="s">
        <v>62</v>
      </c>
      <c r="K157" s="256" t="s">
        <v>50</v>
      </c>
      <c r="L157" s="50">
        <v>100387738</v>
      </c>
      <c r="M157" s="33">
        <v>42129</v>
      </c>
      <c r="N157" s="257" t="s">
        <v>366</v>
      </c>
      <c r="O157" s="258" t="s">
        <v>1740</v>
      </c>
      <c r="P157" s="559"/>
      <c r="Q157" s="290"/>
      <c r="R157" s="586">
        <v>0</v>
      </c>
      <c r="S157" s="585">
        <v>0</v>
      </c>
      <c r="T157" s="602">
        <v>0</v>
      </c>
      <c r="U157" s="594">
        <v>1</v>
      </c>
      <c r="V157" s="585">
        <v>0</v>
      </c>
      <c r="W157" s="602">
        <v>0</v>
      </c>
      <c r="X157" s="594">
        <v>0</v>
      </c>
      <c r="Y157" s="585">
        <v>0</v>
      </c>
      <c r="Z157" s="602">
        <v>0</v>
      </c>
      <c r="AA157" s="594">
        <v>0</v>
      </c>
      <c r="AB157" s="585">
        <v>0</v>
      </c>
      <c r="AC157" s="602">
        <v>0</v>
      </c>
      <c r="AD157" s="594">
        <v>0</v>
      </c>
      <c r="AE157" s="594"/>
      <c r="AF157" s="594"/>
      <c r="AG157" s="585">
        <v>0</v>
      </c>
      <c r="AH157" s="602">
        <v>0</v>
      </c>
      <c r="AI157" s="609">
        <v>0</v>
      </c>
      <c r="AJ157" s="609">
        <v>0</v>
      </c>
      <c r="AK157" s="740"/>
      <c r="AL157" s="524" t="s">
        <v>1262</v>
      </c>
      <c r="AM157" s="35">
        <v>191101</v>
      </c>
      <c r="AN157" s="36">
        <v>42.4</v>
      </c>
      <c r="AO157" s="252" t="s">
        <v>1472</v>
      </c>
      <c r="AP157" s="37">
        <v>242.25</v>
      </c>
      <c r="AQ157" s="792">
        <f t="shared" si="13"/>
        <v>199.85</v>
      </c>
      <c r="AR157" s="831">
        <f t="shared" si="8"/>
        <v>0.82497420020639833</v>
      </c>
      <c r="AS157" s="812" t="s">
        <v>1314</v>
      </c>
      <c r="AT157" s="31" t="s">
        <v>1254</v>
      </c>
      <c r="AU157" s="38">
        <v>1</v>
      </c>
      <c r="AV157" s="26"/>
      <c r="AW157" s="39"/>
      <c r="AX157" s="36">
        <v>0</v>
      </c>
      <c r="AY157" s="26"/>
      <c r="AZ157" s="41"/>
      <c r="BA157" s="256" t="s">
        <v>1802</v>
      </c>
      <c r="BB157" s="41">
        <f>AQ157*15%</f>
        <v>29.977499999999999</v>
      </c>
      <c r="BC157" s="42"/>
      <c r="BD157" s="42"/>
      <c r="BE157" s="42"/>
      <c r="BF157" s="42"/>
      <c r="BG157" s="42"/>
      <c r="BH157" s="221"/>
      <c r="BI157" s="221"/>
      <c r="BJ157" s="221"/>
      <c r="BK157" s="221"/>
      <c r="BL157" s="221"/>
      <c r="BM157" s="221"/>
      <c r="BN157" s="221"/>
      <c r="BO157" s="221"/>
      <c r="BP157" s="221"/>
      <c r="BQ157" s="221"/>
      <c r="BR157" s="221"/>
      <c r="BS157" s="221"/>
      <c r="BT157" s="221"/>
      <c r="BU157" s="221"/>
      <c r="BV157" s="221"/>
      <c r="BW157" s="221"/>
      <c r="BX157" s="221"/>
      <c r="BY157" s="221"/>
      <c r="BZ157" s="221"/>
      <c r="CA157" s="221"/>
      <c r="CB157" s="221"/>
      <c r="CC157" s="221"/>
      <c r="CD157" s="221"/>
      <c r="CE157" s="221"/>
      <c r="CF157" s="221"/>
      <c r="CG157" s="221"/>
      <c r="CH157" s="221"/>
      <c r="CI157" s="221"/>
      <c r="CJ157" s="221"/>
      <c r="CK157" s="221"/>
      <c r="CL157" s="221"/>
      <c r="CM157" s="221"/>
      <c r="CN157" s="221"/>
      <c r="CO157" s="221"/>
      <c r="CP157" s="221"/>
      <c r="CQ157" s="221"/>
      <c r="CR157" s="221"/>
      <c r="CS157" s="221"/>
      <c r="CT157" s="221"/>
      <c r="CU157" s="221"/>
      <c r="CV157" s="221"/>
      <c r="CW157" s="221"/>
      <c r="CX157" s="221"/>
      <c r="CY157" s="221"/>
      <c r="CZ157" s="221"/>
      <c r="DA157" s="221"/>
      <c r="DB157" s="221"/>
      <c r="DC157" s="221"/>
      <c r="DD157" s="221"/>
      <c r="DE157" s="221"/>
      <c r="DF157" s="221"/>
      <c r="DG157" s="221"/>
      <c r="DH157" s="221"/>
      <c r="DI157" s="221"/>
      <c r="DJ157" s="221"/>
      <c r="DK157" s="221"/>
      <c r="DL157" s="221"/>
      <c r="DM157" s="221"/>
      <c r="DN157" s="221"/>
      <c r="DO157" s="221"/>
      <c r="DP157" s="221"/>
      <c r="DQ157" s="221"/>
      <c r="DR157" s="221"/>
      <c r="DS157" s="221"/>
      <c r="DT157" s="221"/>
      <c r="DU157" s="221"/>
      <c r="DV157" s="221"/>
      <c r="DW157" s="221"/>
      <c r="DX157" s="221"/>
      <c r="DY157" s="221"/>
      <c r="DZ157" s="221"/>
      <c r="EA157" s="221"/>
      <c r="EB157" s="221"/>
      <c r="EC157" s="221"/>
      <c r="ED157" s="221"/>
      <c r="EE157" s="221"/>
      <c r="EF157" s="221"/>
      <c r="EG157" s="221"/>
      <c r="EH157" s="221"/>
      <c r="EI157" s="221"/>
      <c r="EJ157" s="221"/>
      <c r="EK157" s="221"/>
      <c r="EL157" s="221"/>
      <c r="EM157" s="221"/>
      <c r="EN157" s="221"/>
      <c r="EO157" s="221"/>
      <c r="EP157" s="221"/>
      <c r="EQ157" s="221"/>
      <c r="ER157" s="221"/>
      <c r="ES157" s="221"/>
      <c r="ET157" s="221"/>
      <c r="EU157" s="221"/>
      <c r="EV157" s="221"/>
      <c r="EW157" s="221"/>
      <c r="EX157" s="221"/>
      <c r="EY157" s="221"/>
      <c r="EZ157" s="221"/>
      <c r="FA157" s="221"/>
      <c r="FB157" s="221"/>
      <c r="FC157" s="221"/>
      <c r="FD157" s="221"/>
      <c r="FE157" s="221"/>
      <c r="FF157" s="221"/>
      <c r="FG157" s="221"/>
      <c r="FH157" s="221"/>
      <c r="FI157" s="221"/>
      <c r="FJ157" s="221"/>
      <c r="FK157" s="221"/>
      <c r="FL157" s="221"/>
      <c r="FM157" s="221"/>
      <c r="FN157" s="221"/>
      <c r="FO157" s="221"/>
      <c r="FP157" s="221"/>
      <c r="FQ157" s="221"/>
      <c r="FR157" s="221"/>
      <c r="FS157" s="221"/>
      <c r="FT157" s="221"/>
      <c r="FU157" s="221"/>
      <c r="FV157" s="221"/>
      <c r="FW157" s="221"/>
      <c r="FX157" s="221"/>
      <c r="FY157" s="221"/>
      <c r="FZ157" s="221"/>
      <c r="GA157" s="221"/>
      <c r="GB157" s="221"/>
      <c r="GC157" s="221"/>
      <c r="GD157" s="221"/>
      <c r="GE157" s="221"/>
      <c r="GF157" s="221"/>
      <c r="GG157" s="221"/>
      <c r="GH157" s="221"/>
      <c r="GI157" s="221"/>
      <c r="GJ157" s="221"/>
      <c r="GK157" s="221"/>
      <c r="GL157" s="221"/>
      <c r="GM157" s="221"/>
      <c r="GN157" s="221"/>
      <c r="GO157" s="221"/>
      <c r="GP157" s="221"/>
      <c r="GQ157" s="221"/>
      <c r="GR157" s="221"/>
      <c r="GS157" s="221"/>
      <c r="GT157" s="221"/>
      <c r="GU157" s="221"/>
      <c r="GV157" s="221"/>
      <c r="GW157" s="221"/>
      <c r="GX157" s="221"/>
      <c r="GY157" s="221"/>
      <c r="GZ157" s="221"/>
      <c r="HA157" s="221"/>
      <c r="HB157" s="221"/>
      <c r="HC157" s="221"/>
      <c r="HD157" s="221"/>
      <c r="HE157" s="221"/>
      <c r="HF157" s="221"/>
      <c r="HG157" s="221"/>
      <c r="HH157" s="221"/>
      <c r="HI157" s="221"/>
      <c r="HJ157" s="221"/>
      <c r="HK157" s="221"/>
      <c r="HL157" s="221"/>
      <c r="HM157" s="221"/>
      <c r="HN157" s="221"/>
      <c r="HO157" s="221"/>
      <c r="HP157" s="221"/>
      <c r="HQ157" s="221"/>
      <c r="HR157" s="221"/>
      <c r="HS157" s="221"/>
      <c r="HT157" s="221"/>
      <c r="HU157" s="221"/>
      <c r="HV157" s="221"/>
      <c r="HW157" s="221"/>
      <c r="HX157" s="221"/>
      <c r="HY157" s="221"/>
      <c r="HZ157" s="221"/>
      <c r="IA157" s="221"/>
      <c r="IB157" s="221"/>
      <c r="IC157" s="221"/>
      <c r="ID157" s="221"/>
      <c r="IE157" s="221"/>
      <c r="IF157" s="221"/>
      <c r="IG157" s="221"/>
      <c r="IH157" s="221"/>
      <c r="II157" s="221"/>
      <c r="IJ157" s="221"/>
      <c r="IK157" s="221"/>
      <c r="IL157" s="221"/>
      <c r="IM157" s="221"/>
      <c r="IN157" s="221"/>
      <c r="IO157" s="221"/>
      <c r="IP157" s="221"/>
      <c r="IQ157" s="221"/>
      <c r="IR157" s="221"/>
      <c r="IS157" s="221"/>
      <c r="IT157" s="221"/>
      <c r="IU157" s="221"/>
      <c r="IV157" s="221"/>
      <c r="IW157" s="221"/>
      <c r="IX157" s="221"/>
      <c r="IY157" s="221"/>
      <c r="IZ157" s="221"/>
      <c r="JA157" s="221"/>
      <c r="JB157" s="221"/>
      <c r="JC157" s="221"/>
      <c r="JD157" s="221"/>
      <c r="JE157" s="221"/>
      <c r="JF157" s="221"/>
      <c r="JG157" s="221"/>
      <c r="JH157" s="221"/>
      <c r="JI157" s="221"/>
      <c r="JJ157" s="221"/>
      <c r="JK157" s="221"/>
      <c r="JL157" s="221"/>
      <c r="JM157" s="221"/>
      <c r="JN157" s="221"/>
      <c r="JO157" s="221"/>
      <c r="JP157" s="221"/>
      <c r="JQ157" s="221"/>
    </row>
    <row r="158" spans="1:277" ht="20" customHeight="1" outlineLevel="1">
      <c r="A158" s="456">
        <v>1904007</v>
      </c>
      <c r="B158" s="690">
        <v>42104</v>
      </c>
      <c r="C158" s="691" t="s">
        <v>44</v>
      </c>
      <c r="D158" s="691" t="s">
        <v>73</v>
      </c>
      <c r="E158" s="692" t="s">
        <v>1473</v>
      </c>
      <c r="F158" s="693" t="s">
        <v>47</v>
      </c>
      <c r="G158" s="253" t="s">
        <v>1664</v>
      </c>
      <c r="H158" s="296">
        <v>42105</v>
      </c>
      <c r="I158" s="254">
        <v>191569</v>
      </c>
      <c r="J158" s="30" t="s">
        <v>62</v>
      </c>
      <c r="K158" s="31" t="s">
        <v>50</v>
      </c>
      <c r="L158" s="50">
        <v>167031342</v>
      </c>
      <c r="M158" s="33">
        <v>42110</v>
      </c>
      <c r="N158" s="257" t="s">
        <v>283</v>
      </c>
      <c r="O158" s="258" t="s">
        <v>104</v>
      </c>
      <c r="P158" s="559"/>
      <c r="Q158" s="290"/>
      <c r="R158" s="586">
        <v>0</v>
      </c>
      <c r="S158" s="585">
        <v>0</v>
      </c>
      <c r="T158" s="602">
        <v>0</v>
      </c>
      <c r="U158" s="594">
        <v>1</v>
      </c>
      <c r="V158" s="585">
        <v>0</v>
      </c>
      <c r="W158" s="602">
        <v>0</v>
      </c>
      <c r="X158" s="594">
        <v>0</v>
      </c>
      <c r="Y158" s="585">
        <v>0</v>
      </c>
      <c r="Z158" s="602">
        <v>0</v>
      </c>
      <c r="AA158" s="594">
        <v>0</v>
      </c>
      <c r="AB158" s="585">
        <v>0</v>
      </c>
      <c r="AC158" s="602">
        <v>0</v>
      </c>
      <c r="AD158" s="594">
        <v>0</v>
      </c>
      <c r="AE158" s="594"/>
      <c r="AF158" s="594"/>
      <c r="AG158" s="585">
        <v>0</v>
      </c>
      <c r="AH158" s="602">
        <v>0</v>
      </c>
      <c r="AI158" s="609">
        <v>0</v>
      </c>
      <c r="AJ158" s="609">
        <v>0</v>
      </c>
      <c r="AK158" s="740"/>
      <c r="AL158" s="524" t="s">
        <v>1268</v>
      </c>
      <c r="AM158" s="35">
        <v>190920</v>
      </c>
      <c r="AN158" s="36">
        <v>324</v>
      </c>
      <c r="AO158" s="252" t="s">
        <v>1665</v>
      </c>
      <c r="AP158" s="37">
        <v>604.92999999999995</v>
      </c>
      <c r="AQ158" s="792">
        <f t="shared" si="13"/>
        <v>280.92999999999995</v>
      </c>
      <c r="AR158" s="831">
        <f t="shared" si="8"/>
        <v>0.46440083976658453</v>
      </c>
      <c r="AS158" s="812"/>
      <c r="AT158" s="31"/>
      <c r="AU158" s="38"/>
      <c r="AV158" s="26"/>
      <c r="AW158" s="39"/>
      <c r="AX158" s="36"/>
      <c r="AY158" s="26"/>
      <c r="AZ158" s="41"/>
      <c r="BA158" s="31" t="s">
        <v>47</v>
      </c>
      <c r="BB158" s="41">
        <v>0</v>
      </c>
      <c r="BC158" s="42"/>
      <c r="BD158" s="42"/>
      <c r="BE158" s="42"/>
      <c r="BF158" s="42"/>
      <c r="BG158" s="42"/>
      <c r="BH158" s="221"/>
      <c r="BI158" s="221"/>
      <c r="BJ158" s="221"/>
      <c r="BK158" s="221"/>
      <c r="BL158" s="221"/>
      <c r="BM158" s="221"/>
      <c r="BN158" s="221"/>
      <c r="BO158" s="221"/>
      <c r="BP158" s="221"/>
      <c r="BQ158" s="221"/>
      <c r="BR158" s="221"/>
      <c r="BS158" s="221"/>
      <c r="BT158" s="221"/>
      <c r="BU158" s="221"/>
      <c r="BV158" s="221"/>
      <c r="BW158" s="221"/>
      <c r="BX158" s="221"/>
      <c r="BY158" s="221"/>
      <c r="BZ158" s="221"/>
      <c r="CA158" s="221"/>
      <c r="CB158" s="221"/>
      <c r="CC158" s="221"/>
      <c r="CD158" s="221"/>
      <c r="CE158" s="221"/>
      <c r="CF158" s="221"/>
      <c r="CG158" s="221"/>
      <c r="CH158" s="221"/>
      <c r="CI158" s="221"/>
      <c r="CJ158" s="221"/>
      <c r="CK158" s="221"/>
      <c r="CL158" s="221"/>
      <c r="CM158" s="221"/>
      <c r="CN158" s="221"/>
      <c r="CO158" s="221"/>
      <c r="CP158" s="221"/>
      <c r="CQ158" s="221"/>
      <c r="CR158" s="221"/>
      <c r="CS158" s="221"/>
      <c r="CT158" s="221"/>
      <c r="CU158" s="221"/>
      <c r="CV158" s="221"/>
      <c r="CW158" s="221"/>
      <c r="CX158" s="221"/>
      <c r="CY158" s="221"/>
      <c r="CZ158" s="221"/>
      <c r="DA158" s="221"/>
      <c r="DB158" s="221"/>
      <c r="DC158" s="221"/>
      <c r="DD158" s="221"/>
      <c r="DE158" s="221"/>
      <c r="DF158" s="221"/>
      <c r="DG158" s="221"/>
      <c r="DH158" s="221"/>
      <c r="DI158" s="221"/>
      <c r="DJ158" s="221"/>
      <c r="DK158" s="221"/>
      <c r="DL158" s="221"/>
      <c r="DM158" s="221"/>
      <c r="DN158" s="221"/>
      <c r="DO158" s="221"/>
      <c r="DP158" s="221"/>
      <c r="DQ158" s="221"/>
      <c r="DR158" s="221"/>
      <c r="DS158" s="221"/>
      <c r="DT158" s="221"/>
      <c r="DU158" s="221"/>
      <c r="DV158" s="221"/>
      <c r="DW158" s="221"/>
      <c r="DX158" s="221"/>
      <c r="DY158" s="221"/>
      <c r="DZ158" s="221"/>
      <c r="EA158" s="221"/>
      <c r="EB158" s="221"/>
      <c r="EC158" s="221"/>
      <c r="ED158" s="221"/>
      <c r="EE158" s="221"/>
      <c r="EF158" s="221"/>
      <c r="EG158" s="221"/>
      <c r="EH158" s="221"/>
      <c r="EI158" s="221"/>
      <c r="EJ158" s="221"/>
      <c r="EK158" s="221"/>
      <c r="EL158" s="221"/>
      <c r="EM158" s="221"/>
      <c r="EN158" s="221"/>
      <c r="EO158" s="221"/>
      <c r="EP158" s="221"/>
      <c r="EQ158" s="221"/>
      <c r="ER158" s="221"/>
      <c r="ES158" s="221"/>
      <c r="ET158" s="221"/>
      <c r="EU158" s="221"/>
      <c r="EV158" s="221"/>
      <c r="EW158" s="221"/>
      <c r="EX158" s="221"/>
      <c r="EY158" s="221"/>
      <c r="EZ158" s="221"/>
      <c r="FA158" s="221"/>
      <c r="FB158" s="221"/>
      <c r="FC158" s="221"/>
      <c r="FD158" s="221"/>
      <c r="FE158" s="221"/>
      <c r="FF158" s="221"/>
      <c r="FG158" s="221"/>
      <c r="FH158" s="221"/>
      <c r="FI158" s="221"/>
      <c r="FJ158" s="221"/>
      <c r="FK158" s="221"/>
      <c r="FL158" s="221"/>
      <c r="FM158" s="221"/>
      <c r="FN158" s="221"/>
      <c r="FO158" s="221"/>
      <c r="FP158" s="221"/>
      <c r="FQ158" s="221"/>
      <c r="FR158" s="221"/>
      <c r="FS158" s="221"/>
      <c r="FT158" s="221"/>
      <c r="FU158" s="221"/>
      <c r="FV158" s="221"/>
      <c r="FW158" s="221"/>
      <c r="FX158" s="221"/>
      <c r="FY158" s="221"/>
      <c r="FZ158" s="221"/>
      <c r="GA158" s="221"/>
      <c r="GB158" s="221"/>
      <c r="GC158" s="221"/>
      <c r="GD158" s="221"/>
      <c r="GE158" s="221"/>
      <c r="GF158" s="221"/>
      <c r="GG158" s="221"/>
      <c r="GH158" s="221"/>
      <c r="GI158" s="221"/>
      <c r="GJ158" s="221"/>
      <c r="GK158" s="221"/>
      <c r="GL158" s="221"/>
      <c r="GM158" s="221"/>
      <c r="GN158" s="221"/>
      <c r="GO158" s="221"/>
      <c r="GP158" s="221"/>
      <c r="GQ158" s="221"/>
      <c r="GR158" s="221"/>
      <c r="GS158" s="221"/>
      <c r="GT158" s="221"/>
      <c r="GU158" s="221"/>
      <c r="GV158" s="221"/>
      <c r="GW158" s="221"/>
      <c r="GX158" s="221"/>
      <c r="GY158" s="221"/>
      <c r="GZ158" s="221"/>
      <c r="HA158" s="221"/>
      <c r="HB158" s="221"/>
      <c r="HC158" s="221"/>
      <c r="HD158" s="221"/>
      <c r="HE158" s="221"/>
      <c r="HF158" s="221"/>
      <c r="HG158" s="221"/>
      <c r="HH158" s="221"/>
      <c r="HI158" s="221"/>
      <c r="HJ158" s="221"/>
      <c r="HK158" s="221"/>
      <c r="HL158" s="221"/>
      <c r="HM158" s="221"/>
      <c r="HN158" s="221"/>
      <c r="HO158" s="221"/>
      <c r="HP158" s="221"/>
      <c r="HQ158" s="221"/>
      <c r="HR158" s="221"/>
      <c r="HS158" s="221"/>
      <c r="HT158" s="221"/>
      <c r="HU158" s="221"/>
      <c r="HV158" s="221"/>
      <c r="HW158" s="221"/>
      <c r="HX158" s="221"/>
      <c r="HY158" s="221"/>
      <c r="HZ158" s="221"/>
      <c r="IA158" s="221"/>
      <c r="IB158" s="221"/>
      <c r="IC158" s="221"/>
      <c r="ID158" s="221"/>
      <c r="IE158" s="221"/>
      <c r="IF158" s="221"/>
      <c r="IG158" s="221"/>
      <c r="IH158" s="221"/>
      <c r="II158" s="221"/>
      <c r="IJ158" s="221"/>
      <c r="IK158" s="221"/>
      <c r="IL158" s="221"/>
      <c r="IM158" s="221"/>
      <c r="IN158" s="221"/>
      <c r="IO158" s="221"/>
      <c r="IP158" s="221"/>
      <c r="IQ158" s="221"/>
      <c r="IR158" s="221"/>
      <c r="IS158" s="221"/>
      <c r="IT158" s="221"/>
      <c r="IU158" s="221"/>
      <c r="IV158" s="221"/>
      <c r="IW158" s="221"/>
      <c r="IX158" s="221"/>
      <c r="IY158" s="221"/>
      <c r="IZ158" s="221"/>
      <c r="JA158" s="221"/>
      <c r="JB158" s="221"/>
      <c r="JC158" s="221"/>
      <c r="JD158" s="221"/>
      <c r="JE158" s="221"/>
      <c r="JF158" s="221"/>
      <c r="JG158" s="221"/>
      <c r="JH158" s="221"/>
      <c r="JI158" s="221"/>
      <c r="JJ158" s="221"/>
      <c r="JK158" s="221"/>
      <c r="JL158" s="221"/>
      <c r="JM158" s="221"/>
      <c r="JN158" s="221"/>
      <c r="JO158" s="221"/>
      <c r="JP158" s="221"/>
      <c r="JQ158" s="221"/>
    </row>
    <row r="159" spans="1:277" ht="20" customHeight="1" outlineLevel="1">
      <c r="A159" s="456">
        <v>1904008</v>
      </c>
      <c r="B159" s="690">
        <v>42104</v>
      </c>
      <c r="C159" s="691" t="s">
        <v>67</v>
      </c>
      <c r="D159" s="691" t="s">
        <v>73</v>
      </c>
      <c r="E159" s="692" t="s">
        <v>116</v>
      </c>
      <c r="F159" s="693" t="s">
        <v>1723</v>
      </c>
      <c r="G159" s="253" t="s">
        <v>1879</v>
      </c>
      <c r="H159" s="294" t="s">
        <v>191</v>
      </c>
      <c r="I159" s="254" t="s">
        <v>155</v>
      </c>
      <c r="J159" s="255" t="s">
        <v>62</v>
      </c>
      <c r="K159" s="256" t="s">
        <v>50</v>
      </c>
      <c r="L159" s="50">
        <v>102829243</v>
      </c>
      <c r="M159" s="33">
        <v>42137</v>
      </c>
      <c r="N159" s="257" t="s">
        <v>1724</v>
      </c>
      <c r="O159" s="258" t="s">
        <v>1726</v>
      </c>
      <c r="P159" s="559"/>
      <c r="Q159" s="290"/>
      <c r="R159" s="586">
        <v>0</v>
      </c>
      <c r="S159" s="585">
        <v>0</v>
      </c>
      <c r="T159" s="602">
        <v>0</v>
      </c>
      <c r="U159" s="594">
        <v>0</v>
      </c>
      <c r="V159" s="585">
        <v>0</v>
      </c>
      <c r="W159" s="602">
        <v>0</v>
      </c>
      <c r="X159" s="594">
        <v>6</v>
      </c>
      <c r="Y159" s="585">
        <v>0</v>
      </c>
      <c r="Z159" s="602">
        <v>2</v>
      </c>
      <c r="AA159" s="594">
        <v>0</v>
      </c>
      <c r="AB159" s="585">
        <v>0</v>
      </c>
      <c r="AC159" s="602">
        <v>15</v>
      </c>
      <c r="AD159" s="594">
        <v>0</v>
      </c>
      <c r="AE159" s="594"/>
      <c r="AF159" s="594"/>
      <c r="AG159" s="585">
        <v>0</v>
      </c>
      <c r="AH159" s="602">
        <v>0</v>
      </c>
      <c r="AI159" s="609">
        <v>0</v>
      </c>
      <c r="AJ159" s="609">
        <v>0</v>
      </c>
      <c r="AK159" s="740"/>
      <c r="AL159" s="524" t="s">
        <v>1725</v>
      </c>
      <c r="AM159" s="35"/>
      <c r="AN159" s="36">
        <f>(6*PRODUCTS!E8)+(Z159*PRODUCTS!E12)+('2019 ORDERS - Q1'!AC159*PRODUCTS!D12)</f>
        <v>50.010068311589073</v>
      </c>
      <c r="AO159" s="410" t="s">
        <v>1888</v>
      </c>
      <c r="AP159" s="37">
        <f>423.5-130</f>
        <v>293.5</v>
      </c>
      <c r="AQ159" s="792">
        <f t="shared" si="13"/>
        <v>243.48993168841093</v>
      </c>
      <c r="AR159" s="831">
        <f t="shared" si="8"/>
        <v>0.8296079444238873</v>
      </c>
      <c r="AS159" s="812"/>
      <c r="AT159" s="256" t="s">
        <v>1254</v>
      </c>
      <c r="AU159" s="38">
        <v>2</v>
      </c>
      <c r="AV159" s="26"/>
      <c r="AW159" s="259" t="s">
        <v>1889</v>
      </c>
      <c r="AX159" s="36">
        <v>130</v>
      </c>
      <c r="AY159" s="26"/>
      <c r="AZ159" s="41">
        <f>67.73+29.72</f>
        <v>97.45</v>
      </c>
      <c r="BA159" s="31" t="s">
        <v>47</v>
      </c>
      <c r="BB159" s="41">
        <v>0</v>
      </c>
      <c r="BC159" s="42"/>
      <c r="BD159" s="42"/>
      <c r="BE159" s="42"/>
      <c r="BF159" s="42"/>
      <c r="BG159" s="42"/>
      <c r="BH159" s="221"/>
      <c r="BI159" s="221"/>
      <c r="BJ159" s="221"/>
      <c r="BK159" s="221"/>
      <c r="BL159" s="221"/>
      <c r="BM159" s="221"/>
      <c r="BN159" s="221"/>
      <c r="BO159" s="221"/>
      <c r="BP159" s="221"/>
      <c r="BQ159" s="221"/>
      <c r="BR159" s="221"/>
      <c r="BS159" s="221"/>
      <c r="BT159" s="221"/>
      <c r="BU159" s="221"/>
      <c r="BV159" s="221"/>
      <c r="BW159" s="221"/>
      <c r="BX159" s="221"/>
      <c r="BY159" s="221"/>
      <c r="BZ159" s="221"/>
      <c r="CA159" s="221"/>
      <c r="CB159" s="221"/>
      <c r="CC159" s="221"/>
      <c r="CD159" s="221"/>
      <c r="CE159" s="221"/>
      <c r="CF159" s="221"/>
      <c r="CG159" s="221"/>
      <c r="CH159" s="221"/>
      <c r="CI159" s="221"/>
      <c r="CJ159" s="221"/>
      <c r="CK159" s="221"/>
      <c r="CL159" s="221"/>
      <c r="CM159" s="221"/>
      <c r="CN159" s="221"/>
      <c r="CO159" s="221"/>
      <c r="CP159" s="221"/>
      <c r="CQ159" s="221"/>
      <c r="CR159" s="221"/>
      <c r="CS159" s="221"/>
      <c r="CT159" s="221"/>
      <c r="CU159" s="221"/>
      <c r="CV159" s="221"/>
      <c r="CW159" s="221"/>
      <c r="CX159" s="221"/>
      <c r="CY159" s="221"/>
      <c r="CZ159" s="221"/>
      <c r="DA159" s="221"/>
      <c r="DB159" s="221"/>
      <c r="DC159" s="221"/>
      <c r="DD159" s="221"/>
      <c r="DE159" s="221"/>
      <c r="DF159" s="221"/>
      <c r="DG159" s="221"/>
      <c r="DH159" s="221"/>
      <c r="DI159" s="221"/>
      <c r="DJ159" s="221"/>
      <c r="DK159" s="221"/>
      <c r="DL159" s="221"/>
      <c r="DM159" s="221"/>
      <c r="DN159" s="221"/>
      <c r="DO159" s="221"/>
      <c r="DP159" s="221"/>
      <c r="DQ159" s="221"/>
      <c r="DR159" s="221"/>
      <c r="DS159" s="221"/>
      <c r="DT159" s="221"/>
      <c r="DU159" s="221"/>
      <c r="DV159" s="221"/>
      <c r="DW159" s="221"/>
      <c r="DX159" s="221"/>
      <c r="DY159" s="221"/>
      <c r="DZ159" s="221"/>
      <c r="EA159" s="221"/>
      <c r="EB159" s="221"/>
      <c r="EC159" s="221"/>
      <c r="ED159" s="221"/>
      <c r="EE159" s="221"/>
      <c r="EF159" s="221"/>
      <c r="EG159" s="221"/>
      <c r="EH159" s="221"/>
      <c r="EI159" s="221"/>
      <c r="EJ159" s="221"/>
      <c r="EK159" s="221"/>
      <c r="EL159" s="221"/>
      <c r="EM159" s="221"/>
      <c r="EN159" s="221"/>
      <c r="EO159" s="221"/>
      <c r="EP159" s="221"/>
      <c r="EQ159" s="221"/>
      <c r="ER159" s="221"/>
      <c r="ES159" s="221"/>
      <c r="ET159" s="221"/>
      <c r="EU159" s="221"/>
      <c r="EV159" s="221"/>
      <c r="EW159" s="221"/>
      <c r="EX159" s="221"/>
      <c r="EY159" s="221"/>
      <c r="EZ159" s="221"/>
      <c r="FA159" s="221"/>
      <c r="FB159" s="221"/>
      <c r="FC159" s="221"/>
      <c r="FD159" s="221"/>
      <c r="FE159" s="221"/>
      <c r="FF159" s="221"/>
      <c r="FG159" s="221"/>
      <c r="FH159" s="221"/>
      <c r="FI159" s="221"/>
      <c r="FJ159" s="221"/>
      <c r="FK159" s="221"/>
      <c r="FL159" s="221"/>
      <c r="FM159" s="221"/>
      <c r="FN159" s="221"/>
      <c r="FO159" s="221"/>
      <c r="FP159" s="221"/>
      <c r="FQ159" s="221"/>
      <c r="FR159" s="221"/>
      <c r="FS159" s="221"/>
      <c r="FT159" s="221"/>
      <c r="FU159" s="221"/>
      <c r="FV159" s="221"/>
      <c r="FW159" s="221"/>
      <c r="FX159" s="221"/>
      <c r="FY159" s="221"/>
      <c r="FZ159" s="221"/>
      <c r="GA159" s="221"/>
      <c r="GB159" s="221"/>
      <c r="GC159" s="221"/>
      <c r="GD159" s="221"/>
      <c r="GE159" s="221"/>
      <c r="GF159" s="221"/>
      <c r="GG159" s="221"/>
      <c r="GH159" s="221"/>
      <c r="GI159" s="221"/>
      <c r="GJ159" s="221"/>
      <c r="GK159" s="221"/>
      <c r="GL159" s="221"/>
      <c r="GM159" s="221"/>
      <c r="GN159" s="221"/>
      <c r="GO159" s="221"/>
      <c r="GP159" s="221"/>
      <c r="GQ159" s="221"/>
      <c r="GR159" s="221"/>
      <c r="GS159" s="221"/>
      <c r="GT159" s="221"/>
      <c r="GU159" s="221"/>
      <c r="GV159" s="221"/>
      <c r="GW159" s="221"/>
      <c r="GX159" s="221"/>
      <c r="GY159" s="221"/>
      <c r="GZ159" s="221"/>
      <c r="HA159" s="221"/>
      <c r="HB159" s="221"/>
      <c r="HC159" s="221"/>
      <c r="HD159" s="221"/>
      <c r="HE159" s="221"/>
      <c r="HF159" s="221"/>
      <c r="HG159" s="221"/>
      <c r="HH159" s="221"/>
      <c r="HI159" s="221"/>
      <c r="HJ159" s="221"/>
      <c r="HK159" s="221"/>
      <c r="HL159" s="221"/>
      <c r="HM159" s="221"/>
      <c r="HN159" s="221"/>
      <c r="HO159" s="221"/>
      <c r="HP159" s="221"/>
      <c r="HQ159" s="221"/>
      <c r="HR159" s="221"/>
      <c r="HS159" s="221"/>
      <c r="HT159" s="221"/>
      <c r="HU159" s="221"/>
      <c r="HV159" s="221"/>
      <c r="HW159" s="221"/>
      <c r="HX159" s="221"/>
      <c r="HY159" s="221"/>
      <c r="HZ159" s="221"/>
      <c r="IA159" s="221"/>
      <c r="IB159" s="221"/>
      <c r="IC159" s="221"/>
      <c r="ID159" s="221"/>
      <c r="IE159" s="221"/>
      <c r="IF159" s="221"/>
      <c r="IG159" s="221"/>
      <c r="IH159" s="221"/>
      <c r="II159" s="221"/>
      <c r="IJ159" s="221"/>
      <c r="IK159" s="221"/>
      <c r="IL159" s="221"/>
      <c r="IM159" s="221"/>
      <c r="IN159" s="221"/>
      <c r="IO159" s="221"/>
      <c r="IP159" s="221"/>
      <c r="IQ159" s="221"/>
      <c r="IR159" s="221"/>
      <c r="IS159" s="221"/>
      <c r="IT159" s="221"/>
      <c r="IU159" s="221"/>
      <c r="IV159" s="221"/>
      <c r="IW159" s="221"/>
      <c r="IX159" s="221"/>
      <c r="IY159" s="221"/>
      <c r="IZ159" s="221"/>
      <c r="JA159" s="221"/>
      <c r="JB159" s="221"/>
      <c r="JC159" s="221"/>
      <c r="JD159" s="221"/>
      <c r="JE159" s="221"/>
      <c r="JF159" s="221"/>
      <c r="JG159" s="221"/>
      <c r="JH159" s="221"/>
      <c r="JI159" s="221"/>
      <c r="JJ159" s="221"/>
      <c r="JK159" s="221"/>
      <c r="JL159" s="221"/>
      <c r="JM159" s="221"/>
      <c r="JN159" s="221"/>
      <c r="JO159" s="221"/>
      <c r="JP159" s="221"/>
      <c r="JQ159" s="221"/>
    </row>
    <row r="160" spans="1:277" ht="20" customHeight="1" outlineLevel="1">
      <c r="A160" s="790">
        <v>1904009</v>
      </c>
      <c r="B160" s="690">
        <v>42105</v>
      </c>
      <c r="C160" s="691" t="s">
        <v>44</v>
      </c>
      <c r="D160" s="691" t="s">
        <v>73</v>
      </c>
      <c r="E160" s="692" t="s">
        <v>204</v>
      </c>
      <c r="F160" s="693" t="s">
        <v>47</v>
      </c>
      <c r="G160" s="35" t="s">
        <v>1488</v>
      </c>
      <c r="H160" s="294" t="s">
        <v>191</v>
      </c>
      <c r="I160" s="54" t="s">
        <v>155</v>
      </c>
      <c r="J160" s="30" t="s">
        <v>62</v>
      </c>
      <c r="K160" s="31" t="s">
        <v>50</v>
      </c>
      <c r="L160" s="50">
        <v>165927074</v>
      </c>
      <c r="M160" s="33">
        <v>42108</v>
      </c>
      <c r="N160" s="257" t="s">
        <v>1274</v>
      </c>
      <c r="O160" s="258" t="s">
        <v>1327</v>
      </c>
      <c r="P160" s="559"/>
      <c r="Q160" s="290"/>
      <c r="R160" s="586">
        <v>0</v>
      </c>
      <c r="S160" s="585">
        <v>0</v>
      </c>
      <c r="T160" s="602">
        <v>0</v>
      </c>
      <c r="U160" s="594">
        <v>0</v>
      </c>
      <c r="V160" s="585">
        <v>0</v>
      </c>
      <c r="W160" s="602">
        <v>0</v>
      </c>
      <c r="X160" s="594">
        <v>3</v>
      </c>
      <c r="Y160" s="585">
        <v>0</v>
      </c>
      <c r="Z160" s="602">
        <v>0</v>
      </c>
      <c r="AA160" s="594">
        <v>6</v>
      </c>
      <c r="AB160" s="585">
        <v>0</v>
      </c>
      <c r="AC160" s="602">
        <v>0</v>
      </c>
      <c r="AD160" s="594">
        <v>0</v>
      </c>
      <c r="AE160" s="594">
        <v>0</v>
      </c>
      <c r="AF160" s="594">
        <v>0</v>
      </c>
      <c r="AG160" s="585">
        <v>1</v>
      </c>
      <c r="AH160" s="602">
        <v>0</v>
      </c>
      <c r="AI160" s="609">
        <v>0</v>
      </c>
      <c r="AJ160" s="609">
        <v>0</v>
      </c>
      <c r="AK160" s="740"/>
      <c r="AL160" s="524" t="s">
        <v>1268</v>
      </c>
      <c r="AM160" s="35"/>
      <c r="AN160" s="1">
        <v>0</v>
      </c>
      <c r="AO160" s="252" t="s">
        <v>1491</v>
      </c>
      <c r="AP160" s="37">
        <v>218.2</v>
      </c>
      <c r="AQ160" s="792">
        <f t="shared" si="13"/>
        <v>218.2</v>
      </c>
      <c r="AR160" s="831">
        <f t="shared" si="8"/>
        <v>1</v>
      </c>
      <c r="AS160" s="812" t="s">
        <v>1314</v>
      </c>
      <c r="AT160" s="256" t="s">
        <v>1254</v>
      </c>
      <c r="AU160" s="38">
        <v>3</v>
      </c>
      <c r="AV160" s="26"/>
      <c r="AW160" s="259" t="s">
        <v>1501</v>
      </c>
      <c r="AX160" s="36">
        <v>220</v>
      </c>
      <c r="AY160" s="252" t="s">
        <v>1910</v>
      </c>
      <c r="AZ160" s="41">
        <v>146.41999999999999</v>
      </c>
      <c r="BA160" s="31" t="s">
        <v>47</v>
      </c>
      <c r="BB160" s="41">
        <v>0</v>
      </c>
      <c r="BC160" s="42"/>
      <c r="BD160" s="42"/>
      <c r="BE160" s="42"/>
      <c r="BF160" s="42"/>
      <c r="BG160" s="42"/>
      <c r="BH160" s="221"/>
      <c r="BI160" s="221"/>
      <c r="BJ160" s="221"/>
      <c r="BK160" s="221"/>
      <c r="BL160" s="221"/>
      <c r="BM160" s="221"/>
      <c r="BN160" s="221"/>
      <c r="BO160" s="221"/>
      <c r="BP160" s="221"/>
      <c r="BQ160" s="221"/>
      <c r="BR160" s="221"/>
      <c r="BS160" s="221"/>
      <c r="BT160" s="221"/>
      <c r="BU160" s="221"/>
      <c r="BV160" s="221"/>
      <c r="BW160" s="221"/>
      <c r="BX160" s="221"/>
      <c r="BY160" s="221"/>
      <c r="BZ160" s="221"/>
      <c r="CA160" s="221"/>
      <c r="CB160" s="221"/>
      <c r="CC160" s="221"/>
      <c r="CD160" s="221"/>
      <c r="CE160" s="221"/>
      <c r="CF160" s="221"/>
      <c r="CG160" s="221"/>
      <c r="CH160" s="221"/>
      <c r="CI160" s="221"/>
      <c r="CJ160" s="221"/>
      <c r="CK160" s="221"/>
      <c r="CL160" s="221"/>
      <c r="CM160" s="221"/>
      <c r="CN160" s="221"/>
      <c r="CO160" s="221"/>
      <c r="CP160" s="221"/>
      <c r="CQ160" s="221"/>
      <c r="CR160" s="221"/>
      <c r="CS160" s="221"/>
      <c r="CT160" s="221"/>
      <c r="CU160" s="221"/>
      <c r="CV160" s="221"/>
      <c r="CW160" s="221"/>
      <c r="CX160" s="221"/>
      <c r="CY160" s="221"/>
      <c r="CZ160" s="221"/>
      <c r="DA160" s="221"/>
      <c r="DB160" s="221"/>
      <c r="DC160" s="221"/>
      <c r="DD160" s="221"/>
      <c r="DE160" s="221"/>
      <c r="DF160" s="221"/>
      <c r="DG160" s="221"/>
      <c r="DH160" s="221"/>
      <c r="DI160" s="221"/>
      <c r="DJ160" s="221"/>
      <c r="DK160" s="221"/>
      <c r="DL160" s="221"/>
      <c r="DM160" s="221"/>
      <c r="DN160" s="221"/>
      <c r="DO160" s="221"/>
      <c r="DP160" s="221"/>
      <c r="DQ160" s="221"/>
      <c r="DR160" s="221"/>
      <c r="DS160" s="221"/>
      <c r="DT160" s="221"/>
      <c r="DU160" s="221"/>
      <c r="DV160" s="221"/>
      <c r="DW160" s="221"/>
      <c r="DX160" s="221"/>
      <c r="DY160" s="221"/>
      <c r="DZ160" s="221"/>
      <c r="EA160" s="221"/>
      <c r="EB160" s="221"/>
      <c r="EC160" s="221"/>
      <c r="ED160" s="221"/>
      <c r="EE160" s="221"/>
      <c r="EF160" s="221"/>
      <c r="EG160" s="221"/>
      <c r="EH160" s="221"/>
      <c r="EI160" s="221"/>
      <c r="EJ160" s="221"/>
      <c r="EK160" s="221"/>
      <c r="EL160" s="221"/>
      <c r="EM160" s="221"/>
      <c r="EN160" s="221"/>
      <c r="EO160" s="221"/>
      <c r="EP160" s="221"/>
      <c r="EQ160" s="221"/>
      <c r="ER160" s="221"/>
      <c r="ES160" s="221"/>
      <c r="ET160" s="221"/>
      <c r="EU160" s="221"/>
      <c r="EV160" s="221"/>
      <c r="EW160" s="221"/>
      <c r="EX160" s="221"/>
      <c r="EY160" s="221"/>
      <c r="EZ160" s="221"/>
      <c r="FA160" s="221"/>
      <c r="FB160" s="221"/>
      <c r="FC160" s="221"/>
      <c r="FD160" s="221"/>
      <c r="FE160" s="221"/>
      <c r="FF160" s="221"/>
      <c r="FG160" s="221"/>
      <c r="FH160" s="221"/>
      <c r="FI160" s="221"/>
      <c r="FJ160" s="221"/>
      <c r="FK160" s="221"/>
      <c r="FL160" s="221"/>
      <c r="FM160" s="221"/>
      <c r="FN160" s="221"/>
      <c r="FO160" s="221"/>
      <c r="FP160" s="221"/>
      <c r="FQ160" s="221"/>
      <c r="FR160" s="221"/>
      <c r="FS160" s="221"/>
      <c r="FT160" s="221"/>
      <c r="FU160" s="221"/>
      <c r="FV160" s="221"/>
      <c r="FW160" s="221"/>
      <c r="FX160" s="221"/>
      <c r="FY160" s="221"/>
      <c r="FZ160" s="221"/>
      <c r="GA160" s="221"/>
      <c r="GB160" s="221"/>
      <c r="GC160" s="221"/>
      <c r="GD160" s="221"/>
      <c r="GE160" s="221"/>
      <c r="GF160" s="221"/>
      <c r="GG160" s="221"/>
      <c r="GH160" s="221"/>
      <c r="GI160" s="221"/>
      <c r="GJ160" s="221"/>
      <c r="GK160" s="221"/>
      <c r="GL160" s="221"/>
      <c r="GM160" s="221"/>
      <c r="GN160" s="221"/>
      <c r="GO160" s="221"/>
      <c r="GP160" s="221"/>
      <c r="GQ160" s="221"/>
      <c r="GR160" s="221"/>
      <c r="GS160" s="221"/>
      <c r="GT160" s="221"/>
      <c r="GU160" s="221"/>
      <c r="GV160" s="221"/>
      <c r="GW160" s="221"/>
      <c r="GX160" s="221"/>
      <c r="GY160" s="221"/>
      <c r="GZ160" s="221"/>
      <c r="HA160" s="221"/>
      <c r="HB160" s="221"/>
      <c r="HC160" s="221"/>
      <c r="HD160" s="221"/>
      <c r="HE160" s="221"/>
      <c r="HF160" s="221"/>
      <c r="HG160" s="221"/>
      <c r="HH160" s="221"/>
      <c r="HI160" s="221"/>
      <c r="HJ160" s="221"/>
      <c r="HK160" s="221"/>
      <c r="HL160" s="221"/>
      <c r="HM160" s="221"/>
      <c r="HN160" s="221"/>
      <c r="HO160" s="221"/>
      <c r="HP160" s="221"/>
      <c r="HQ160" s="221"/>
      <c r="HR160" s="221"/>
      <c r="HS160" s="221"/>
      <c r="HT160" s="221"/>
      <c r="HU160" s="221"/>
      <c r="HV160" s="221"/>
      <c r="HW160" s="221"/>
      <c r="HX160" s="221"/>
      <c r="HY160" s="221"/>
      <c r="HZ160" s="221"/>
      <c r="IA160" s="221"/>
      <c r="IB160" s="221"/>
      <c r="IC160" s="221"/>
      <c r="ID160" s="221"/>
      <c r="IE160" s="221"/>
      <c r="IF160" s="221"/>
      <c r="IG160" s="221"/>
      <c r="IH160" s="221"/>
      <c r="II160" s="221"/>
      <c r="IJ160" s="221"/>
      <c r="IK160" s="221"/>
      <c r="IL160" s="221"/>
      <c r="IM160" s="221"/>
      <c r="IN160" s="221"/>
      <c r="IO160" s="221"/>
      <c r="IP160" s="221"/>
      <c r="IQ160" s="221"/>
      <c r="IR160" s="221"/>
      <c r="IS160" s="221"/>
      <c r="IT160" s="221"/>
      <c r="IU160" s="221"/>
      <c r="IV160" s="221"/>
      <c r="IW160" s="221"/>
      <c r="IX160" s="221"/>
      <c r="IY160" s="221"/>
      <c r="IZ160" s="221"/>
      <c r="JA160" s="221"/>
      <c r="JB160" s="221"/>
      <c r="JC160" s="221"/>
      <c r="JD160" s="221"/>
      <c r="JE160" s="221"/>
      <c r="JF160" s="221"/>
      <c r="JG160" s="221"/>
      <c r="JH160" s="221"/>
      <c r="JI160" s="221"/>
      <c r="JJ160" s="221"/>
      <c r="JK160" s="221"/>
      <c r="JL160" s="221"/>
      <c r="JM160" s="221"/>
      <c r="JN160" s="221"/>
      <c r="JO160" s="221"/>
      <c r="JP160" s="221"/>
      <c r="JQ160" s="221"/>
    </row>
    <row r="161" spans="1:277" ht="20" customHeight="1" outlineLevel="1">
      <c r="A161" s="456">
        <v>1904010</v>
      </c>
      <c r="B161" s="690">
        <v>42105</v>
      </c>
      <c r="C161" s="691" t="s">
        <v>1523</v>
      </c>
      <c r="D161" s="691" t="s">
        <v>1259</v>
      </c>
      <c r="E161" s="692" t="s">
        <v>60</v>
      </c>
      <c r="F161" s="693" t="s">
        <v>47</v>
      </c>
      <c r="G161" s="253" t="s">
        <v>1524</v>
      </c>
      <c r="H161" s="294" t="s">
        <v>191</v>
      </c>
      <c r="I161" s="254" t="s">
        <v>155</v>
      </c>
      <c r="J161" s="255" t="s">
        <v>62</v>
      </c>
      <c r="K161" s="256" t="s">
        <v>50</v>
      </c>
      <c r="L161" s="50">
        <v>166040572</v>
      </c>
      <c r="M161" s="33">
        <v>42108</v>
      </c>
      <c r="N161" s="257" t="s">
        <v>1525</v>
      </c>
      <c r="O161" s="258" t="s">
        <v>1526</v>
      </c>
      <c r="P161" s="566" t="s">
        <v>1528</v>
      </c>
      <c r="Q161" s="294"/>
      <c r="R161" s="586">
        <v>0</v>
      </c>
      <c r="S161" s="585">
        <v>0</v>
      </c>
      <c r="T161" s="602">
        <v>0</v>
      </c>
      <c r="U161" s="594">
        <v>0</v>
      </c>
      <c r="V161" s="585">
        <v>0</v>
      </c>
      <c r="W161" s="602">
        <v>0</v>
      </c>
      <c r="X161" s="594">
        <v>0</v>
      </c>
      <c r="Y161" s="585">
        <v>0</v>
      </c>
      <c r="Z161" s="602">
        <v>0</v>
      </c>
      <c r="AA161" s="594">
        <v>3</v>
      </c>
      <c r="AB161" s="585">
        <v>0</v>
      </c>
      <c r="AC161" s="602">
        <v>0</v>
      </c>
      <c r="AD161" s="594">
        <v>0</v>
      </c>
      <c r="AE161" s="594">
        <v>0</v>
      </c>
      <c r="AF161" s="594">
        <v>0</v>
      </c>
      <c r="AG161" s="585">
        <v>1</v>
      </c>
      <c r="AH161" s="602">
        <v>0</v>
      </c>
      <c r="AI161" s="609">
        <v>0</v>
      </c>
      <c r="AJ161" s="609">
        <v>0</v>
      </c>
      <c r="AK161" s="740"/>
      <c r="AL161" s="524" t="s">
        <v>133</v>
      </c>
      <c r="AM161" s="253"/>
      <c r="AN161" s="36">
        <f>PRODUCTS!C3+3*8</f>
        <v>87.990000000000009</v>
      </c>
      <c r="AO161" s="252" t="s">
        <v>1529</v>
      </c>
      <c r="AP161" s="37">
        <v>279.72000000000003</v>
      </c>
      <c r="AQ161" s="792">
        <f t="shared" si="13"/>
        <v>191.73000000000002</v>
      </c>
      <c r="AR161" s="831">
        <f t="shared" si="8"/>
        <v>0.68543543543543539</v>
      </c>
      <c r="AS161" s="812" t="s">
        <v>1314</v>
      </c>
      <c r="AT161" s="256" t="s">
        <v>1254</v>
      </c>
      <c r="AU161" s="38">
        <v>2</v>
      </c>
      <c r="AV161" s="252"/>
      <c r="AW161" s="259"/>
      <c r="AX161" s="36">
        <v>0</v>
      </c>
      <c r="AY161" s="26"/>
      <c r="AZ161" s="41">
        <v>7.66</v>
      </c>
      <c r="BA161" s="31" t="s">
        <v>47</v>
      </c>
      <c r="BB161" s="41">
        <v>0</v>
      </c>
      <c r="BC161" s="42"/>
      <c r="BD161" s="42"/>
      <c r="BE161" s="42"/>
      <c r="BF161" s="42"/>
      <c r="BG161" s="42"/>
      <c r="BH161" s="221"/>
      <c r="BI161" s="221"/>
      <c r="BJ161" s="221"/>
      <c r="BK161" s="221"/>
      <c r="BL161" s="221"/>
      <c r="BM161" s="221"/>
      <c r="BN161" s="221"/>
      <c r="BO161" s="221"/>
      <c r="BP161" s="221"/>
      <c r="BQ161" s="221"/>
      <c r="BR161" s="221"/>
      <c r="BS161" s="221"/>
      <c r="BT161" s="221"/>
      <c r="BU161" s="221"/>
      <c r="BV161" s="221"/>
      <c r="BW161" s="221"/>
      <c r="BX161" s="221"/>
      <c r="BY161" s="221"/>
      <c r="BZ161" s="221"/>
      <c r="CA161" s="221"/>
      <c r="CB161" s="221"/>
      <c r="CC161" s="221"/>
      <c r="CD161" s="221"/>
      <c r="CE161" s="221"/>
      <c r="CF161" s="221"/>
      <c r="CG161" s="221"/>
      <c r="CH161" s="221"/>
      <c r="CI161" s="221"/>
      <c r="CJ161" s="221"/>
      <c r="CK161" s="221"/>
      <c r="CL161" s="221"/>
      <c r="CM161" s="221"/>
      <c r="CN161" s="221"/>
      <c r="CO161" s="221"/>
      <c r="CP161" s="221"/>
      <c r="CQ161" s="221"/>
      <c r="CR161" s="221"/>
      <c r="CS161" s="221"/>
      <c r="CT161" s="221"/>
      <c r="CU161" s="221"/>
      <c r="CV161" s="221"/>
      <c r="CW161" s="221"/>
      <c r="CX161" s="221"/>
      <c r="CY161" s="221"/>
      <c r="CZ161" s="221"/>
      <c r="DA161" s="221"/>
      <c r="DB161" s="221"/>
      <c r="DC161" s="221"/>
      <c r="DD161" s="221"/>
      <c r="DE161" s="221"/>
      <c r="DF161" s="221"/>
      <c r="DG161" s="221"/>
      <c r="DH161" s="221"/>
      <c r="DI161" s="221"/>
      <c r="DJ161" s="221"/>
      <c r="DK161" s="221"/>
      <c r="DL161" s="221"/>
      <c r="DM161" s="221"/>
      <c r="DN161" s="221"/>
      <c r="DO161" s="221"/>
      <c r="DP161" s="221"/>
      <c r="DQ161" s="221"/>
      <c r="DR161" s="221"/>
      <c r="DS161" s="221"/>
      <c r="DT161" s="221"/>
      <c r="DU161" s="221"/>
      <c r="DV161" s="221"/>
      <c r="DW161" s="221"/>
      <c r="DX161" s="221"/>
      <c r="DY161" s="221"/>
      <c r="DZ161" s="221"/>
      <c r="EA161" s="221"/>
      <c r="EB161" s="221"/>
      <c r="EC161" s="221"/>
      <c r="ED161" s="221"/>
      <c r="EE161" s="221"/>
      <c r="EF161" s="221"/>
      <c r="EG161" s="221"/>
      <c r="EH161" s="221"/>
      <c r="EI161" s="221"/>
      <c r="EJ161" s="221"/>
      <c r="EK161" s="221"/>
      <c r="EL161" s="221"/>
      <c r="EM161" s="221"/>
      <c r="EN161" s="221"/>
      <c r="EO161" s="221"/>
      <c r="EP161" s="221"/>
      <c r="EQ161" s="221"/>
      <c r="ER161" s="221"/>
      <c r="ES161" s="221"/>
      <c r="ET161" s="221"/>
      <c r="EU161" s="221"/>
      <c r="EV161" s="221"/>
      <c r="EW161" s="221"/>
      <c r="EX161" s="221"/>
      <c r="EY161" s="221"/>
      <c r="EZ161" s="221"/>
      <c r="FA161" s="221"/>
      <c r="FB161" s="221"/>
      <c r="FC161" s="221"/>
      <c r="FD161" s="221"/>
      <c r="FE161" s="221"/>
      <c r="FF161" s="221"/>
      <c r="FG161" s="221"/>
      <c r="FH161" s="221"/>
      <c r="FI161" s="221"/>
      <c r="FJ161" s="221"/>
      <c r="FK161" s="221"/>
      <c r="FL161" s="221"/>
      <c r="FM161" s="221"/>
      <c r="FN161" s="221"/>
      <c r="FO161" s="221"/>
      <c r="FP161" s="221"/>
      <c r="FQ161" s="221"/>
      <c r="FR161" s="221"/>
      <c r="FS161" s="221"/>
      <c r="FT161" s="221"/>
      <c r="FU161" s="221"/>
      <c r="FV161" s="221"/>
      <c r="FW161" s="221"/>
      <c r="FX161" s="221"/>
      <c r="FY161" s="221"/>
      <c r="FZ161" s="221"/>
      <c r="GA161" s="221"/>
      <c r="GB161" s="221"/>
      <c r="GC161" s="221"/>
      <c r="GD161" s="221"/>
      <c r="GE161" s="221"/>
      <c r="GF161" s="221"/>
      <c r="GG161" s="221"/>
      <c r="GH161" s="221"/>
      <c r="GI161" s="221"/>
      <c r="GJ161" s="221"/>
      <c r="GK161" s="221"/>
      <c r="GL161" s="221"/>
      <c r="GM161" s="221"/>
      <c r="GN161" s="221"/>
      <c r="GO161" s="221"/>
      <c r="GP161" s="221"/>
      <c r="GQ161" s="221"/>
      <c r="GR161" s="221"/>
      <c r="GS161" s="221"/>
      <c r="GT161" s="221"/>
      <c r="GU161" s="221"/>
      <c r="GV161" s="221"/>
      <c r="GW161" s="221"/>
      <c r="GX161" s="221"/>
      <c r="GY161" s="221"/>
      <c r="GZ161" s="221"/>
      <c r="HA161" s="221"/>
      <c r="HB161" s="221"/>
      <c r="HC161" s="221"/>
      <c r="HD161" s="221"/>
      <c r="HE161" s="221"/>
      <c r="HF161" s="221"/>
      <c r="HG161" s="221"/>
      <c r="HH161" s="221"/>
      <c r="HI161" s="221"/>
      <c r="HJ161" s="221"/>
      <c r="HK161" s="221"/>
      <c r="HL161" s="221"/>
      <c r="HM161" s="221"/>
      <c r="HN161" s="221"/>
      <c r="HO161" s="221"/>
      <c r="HP161" s="221"/>
      <c r="HQ161" s="221"/>
      <c r="HR161" s="221"/>
      <c r="HS161" s="221"/>
      <c r="HT161" s="221"/>
      <c r="HU161" s="221"/>
      <c r="HV161" s="221"/>
      <c r="HW161" s="221"/>
      <c r="HX161" s="221"/>
      <c r="HY161" s="221"/>
      <c r="HZ161" s="221"/>
      <c r="IA161" s="221"/>
      <c r="IB161" s="221"/>
      <c r="IC161" s="221"/>
      <c r="ID161" s="221"/>
      <c r="IE161" s="221"/>
      <c r="IF161" s="221"/>
      <c r="IG161" s="221"/>
      <c r="IH161" s="221"/>
      <c r="II161" s="221"/>
      <c r="IJ161" s="221"/>
      <c r="IK161" s="221"/>
      <c r="IL161" s="221"/>
      <c r="IM161" s="221"/>
      <c r="IN161" s="221"/>
      <c r="IO161" s="221"/>
      <c r="IP161" s="221"/>
      <c r="IQ161" s="221"/>
      <c r="IR161" s="221"/>
      <c r="IS161" s="221"/>
      <c r="IT161" s="221"/>
      <c r="IU161" s="221"/>
      <c r="IV161" s="221"/>
      <c r="IW161" s="221"/>
      <c r="IX161" s="221"/>
      <c r="IY161" s="221"/>
      <c r="IZ161" s="221"/>
      <c r="JA161" s="221"/>
      <c r="JB161" s="221"/>
      <c r="JC161" s="221"/>
      <c r="JD161" s="221"/>
      <c r="JE161" s="221"/>
      <c r="JF161" s="221"/>
      <c r="JG161" s="221"/>
      <c r="JH161" s="221"/>
      <c r="JI161" s="221"/>
      <c r="JJ161" s="221"/>
      <c r="JK161" s="221"/>
      <c r="JL161" s="221"/>
      <c r="JM161" s="221"/>
      <c r="JN161" s="221"/>
      <c r="JO161" s="221"/>
      <c r="JP161" s="221"/>
      <c r="JQ161" s="221"/>
    </row>
    <row r="162" spans="1:277" ht="23" customHeight="1" outlineLevel="1">
      <c r="A162" s="456">
        <v>1904011</v>
      </c>
      <c r="B162" s="690">
        <v>42105</v>
      </c>
      <c r="C162" s="691" t="s">
        <v>44</v>
      </c>
      <c r="D162" s="691" t="s">
        <v>73</v>
      </c>
      <c r="E162" s="692" t="s">
        <v>79</v>
      </c>
      <c r="F162" s="693" t="s">
        <v>47</v>
      </c>
      <c r="G162" s="253" t="s">
        <v>1492</v>
      </c>
      <c r="H162" s="294" t="s">
        <v>191</v>
      </c>
      <c r="I162" s="254" t="s">
        <v>155</v>
      </c>
      <c r="J162" s="30" t="s">
        <v>62</v>
      </c>
      <c r="K162" s="256" t="s">
        <v>1502</v>
      </c>
      <c r="L162" s="399" t="s">
        <v>1503</v>
      </c>
      <c r="M162" s="33"/>
      <c r="N162" s="257" t="s">
        <v>1493</v>
      </c>
      <c r="O162" s="258" t="s">
        <v>1494</v>
      </c>
      <c r="P162" s="566" t="s">
        <v>1495</v>
      </c>
      <c r="Q162" s="294"/>
      <c r="R162" s="586">
        <v>0</v>
      </c>
      <c r="S162" s="585">
        <v>0</v>
      </c>
      <c r="T162" s="602">
        <v>0</v>
      </c>
      <c r="U162" s="594">
        <v>0</v>
      </c>
      <c r="V162" s="585">
        <v>0</v>
      </c>
      <c r="W162" s="602">
        <v>0</v>
      </c>
      <c r="X162" s="594">
        <v>0</v>
      </c>
      <c r="Y162" s="585">
        <v>0</v>
      </c>
      <c r="Z162" s="602">
        <v>0</v>
      </c>
      <c r="AA162" s="594">
        <v>0</v>
      </c>
      <c r="AB162" s="585">
        <v>0</v>
      </c>
      <c r="AC162" s="602">
        <v>0</v>
      </c>
      <c r="AD162" s="594">
        <v>0</v>
      </c>
      <c r="AE162" s="594">
        <v>0</v>
      </c>
      <c r="AF162" s="594">
        <v>0</v>
      </c>
      <c r="AG162" s="585">
        <v>5</v>
      </c>
      <c r="AH162" s="602">
        <v>0</v>
      </c>
      <c r="AI162" s="609">
        <v>0</v>
      </c>
      <c r="AJ162" s="609">
        <v>0</v>
      </c>
      <c r="AK162" s="740"/>
      <c r="AL162" s="524" t="s">
        <v>1268</v>
      </c>
      <c r="AM162" s="253" t="s">
        <v>157</v>
      </c>
      <c r="AN162" s="36">
        <f>5*PRODUCTS!C3</f>
        <v>319.95</v>
      </c>
      <c r="AO162" s="252" t="s">
        <v>1490</v>
      </c>
      <c r="AP162" s="37">
        <v>475</v>
      </c>
      <c r="AQ162" s="792">
        <f t="shared" si="13"/>
        <v>155.05000000000001</v>
      </c>
      <c r="AR162" s="831">
        <f t="shared" si="8"/>
        <v>0.32642105263157895</v>
      </c>
      <c r="AS162" s="812"/>
      <c r="AT162" s="256" t="s">
        <v>1254</v>
      </c>
      <c r="AU162" s="38">
        <v>1</v>
      </c>
      <c r="AV162" s="252" t="s">
        <v>1498</v>
      </c>
      <c r="AW162" s="259" t="s">
        <v>1499</v>
      </c>
      <c r="AX162" s="36">
        <v>0</v>
      </c>
      <c r="AY162" s="252" t="s">
        <v>1500</v>
      </c>
      <c r="AZ162" s="41">
        <v>0</v>
      </c>
      <c r="BA162" s="31" t="s">
        <v>47</v>
      </c>
      <c r="BB162" s="41">
        <v>0</v>
      </c>
      <c r="BC162" s="42"/>
      <c r="BD162" s="42"/>
      <c r="BE162" s="42"/>
      <c r="BF162" s="42"/>
      <c r="BG162" s="42"/>
      <c r="BH162" s="221"/>
      <c r="BI162" s="221"/>
      <c r="BJ162" s="221"/>
      <c r="BK162" s="221"/>
      <c r="BL162" s="221"/>
      <c r="BM162" s="221"/>
      <c r="BN162" s="221"/>
      <c r="BO162" s="221"/>
      <c r="BP162" s="221"/>
      <c r="BQ162" s="221"/>
      <c r="BR162" s="221"/>
      <c r="BS162" s="221"/>
      <c r="BT162" s="221"/>
      <c r="BU162" s="221"/>
      <c r="BV162" s="221"/>
      <c r="BW162" s="221"/>
      <c r="BX162" s="221"/>
      <c r="BY162" s="221"/>
      <c r="BZ162" s="221"/>
      <c r="CA162" s="221"/>
      <c r="CB162" s="221"/>
      <c r="CC162" s="221"/>
      <c r="CD162" s="221"/>
      <c r="CE162" s="221"/>
      <c r="CF162" s="221"/>
      <c r="CG162" s="221"/>
      <c r="CH162" s="221"/>
      <c r="CI162" s="221"/>
      <c r="CJ162" s="221"/>
      <c r="CK162" s="221"/>
      <c r="CL162" s="221"/>
      <c r="CM162" s="221"/>
      <c r="CN162" s="221"/>
      <c r="CO162" s="221"/>
      <c r="CP162" s="221"/>
      <c r="CQ162" s="221"/>
      <c r="CR162" s="221"/>
      <c r="CS162" s="221"/>
      <c r="CT162" s="221"/>
      <c r="CU162" s="221"/>
      <c r="CV162" s="221"/>
      <c r="CW162" s="221"/>
      <c r="CX162" s="221"/>
      <c r="CY162" s="221"/>
      <c r="CZ162" s="221"/>
      <c r="DA162" s="221"/>
      <c r="DB162" s="221"/>
      <c r="DC162" s="221"/>
      <c r="DD162" s="221"/>
      <c r="DE162" s="221"/>
      <c r="DF162" s="221"/>
      <c r="DG162" s="221"/>
      <c r="DH162" s="221"/>
      <c r="DI162" s="221"/>
      <c r="DJ162" s="221"/>
      <c r="DK162" s="221"/>
      <c r="DL162" s="221"/>
      <c r="DM162" s="221"/>
      <c r="DN162" s="221"/>
      <c r="DO162" s="221"/>
      <c r="DP162" s="221"/>
      <c r="DQ162" s="221"/>
      <c r="DR162" s="221"/>
      <c r="DS162" s="221"/>
      <c r="DT162" s="221"/>
      <c r="DU162" s="221"/>
      <c r="DV162" s="221"/>
      <c r="DW162" s="221"/>
      <c r="DX162" s="221"/>
      <c r="DY162" s="221"/>
      <c r="DZ162" s="221"/>
      <c r="EA162" s="221"/>
      <c r="EB162" s="221"/>
      <c r="EC162" s="221"/>
      <c r="ED162" s="221"/>
      <c r="EE162" s="221"/>
      <c r="EF162" s="221"/>
      <c r="EG162" s="221"/>
      <c r="EH162" s="221"/>
      <c r="EI162" s="221"/>
      <c r="EJ162" s="221"/>
      <c r="EK162" s="221"/>
      <c r="EL162" s="221"/>
      <c r="EM162" s="221"/>
      <c r="EN162" s="221"/>
      <c r="EO162" s="221"/>
      <c r="EP162" s="221"/>
      <c r="EQ162" s="221"/>
      <c r="ER162" s="221"/>
      <c r="ES162" s="221"/>
      <c r="ET162" s="221"/>
      <c r="EU162" s="221"/>
      <c r="EV162" s="221"/>
      <c r="EW162" s="221"/>
      <c r="EX162" s="221"/>
      <c r="EY162" s="221"/>
      <c r="EZ162" s="221"/>
      <c r="FA162" s="221"/>
      <c r="FB162" s="221"/>
      <c r="FC162" s="221"/>
      <c r="FD162" s="221"/>
      <c r="FE162" s="221"/>
      <c r="FF162" s="221"/>
      <c r="FG162" s="221"/>
      <c r="FH162" s="221"/>
      <c r="FI162" s="221"/>
      <c r="FJ162" s="221"/>
      <c r="FK162" s="221"/>
      <c r="FL162" s="221"/>
      <c r="FM162" s="221"/>
      <c r="FN162" s="221"/>
      <c r="FO162" s="221"/>
      <c r="FP162" s="221"/>
      <c r="FQ162" s="221"/>
      <c r="FR162" s="221"/>
      <c r="FS162" s="221"/>
      <c r="FT162" s="221"/>
      <c r="FU162" s="221"/>
      <c r="FV162" s="221"/>
      <c r="FW162" s="221"/>
      <c r="FX162" s="221"/>
      <c r="FY162" s="221"/>
      <c r="FZ162" s="221"/>
      <c r="GA162" s="221"/>
      <c r="GB162" s="221"/>
      <c r="GC162" s="221"/>
      <c r="GD162" s="221"/>
      <c r="GE162" s="221"/>
      <c r="GF162" s="221"/>
      <c r="GG162" s="221"/>
      <c r="GH162" s="221"/>
      <c r="GI162" s="221"/>
      <c r="GJ162" s="221"/>
      <c r="GK162" s="221"/>
      <c r="GL162" s="221"/>
      <c r="GM162" s="221"/>
      <c r="GN162" s="221"/>
      <c r="GO162" s="221"/>
      <c r="GP162" s="221"/>
      <c r="GQ162" s="221"/>
      <c r="GR162" s="221"/>
      <c r="GS162" s="221"/>
      <c r="GT162" s="221"/>
      <c r="GU162" s="221"/>
      <c r="GV162" s="221"/>
      <c r="GW162" s="221"/>
      <c r="GX162" s="221"/>
      <c r="GY162" s="221"/>
      <c r="GZ162" s="221"/>
      <c r="HA162" s="221"/>
      <c r="HB162" s="221"/>
      <c r="HC162" s="221"/>
      <c r="HD162" s="221"/>
      <c r="HE162" s="221"/>
      <c r="HF162" s="221"/>
      <c r="HG162" s="221"/>
      <c r="HH162" s="221"/>
      <c r="HI162" s="221"/>
      <c r="HJ162" s="221"/>
      <c r="HK162" s="221"/>
      <c r="HL162" s="221"/>
      <c r="HM162" s="221"/>
      <c r="HN162" s="221"/>
      <c r="HO162" s="221"/>
      <c r="HP162" s="221"/>
      <c r="HQ162" s="221"/>
      <c r="HR162" s="221"/>
      <c r="HS162" s="221"/>
      <c r="HT162" s="221"/>
      <c r="HU162" s="221"/>
      <c r="HV162" s="221"/>
      <c r="HW162" s="221"/>
      <c r="HX162" s="221"/>
      <c r="HY162" s="221"/>
      <c r="HZ162" s="221"/>
      <c r="IA162" s="221"/>
      <c r="IB162" s="221"/>
      <c r="IC162" s="221"/>
      <c r="ID162" s="221"/>
      <c r="IE162" s="221"/>
      <c r="IF162" s="221"/>
      <c r="IG162" s="221"/>
      <c r="IH162" s="221"/>
      <c r="II162" s="221"/>
      <c r="IJ162" s="221"/>
      <c r="IK162" s="221"/>
      <c r="IL162" s="221"/>
      <c r="IM162" s="221"/>
      <c r="IN162" s="221"/>
      <c r="IO162" s="221"/>
      <c r="IP162" s="221"/>
      <c r="IQ162" s="221"/>
      <c r="IR162" s="221"/>
      <c r="IS162" s="221"/>
      <c r="IT162" s="221"/>
      <c r="IU162" s="221"/>
      <c r="IV162" s="221"/>
      <c r="IW162" s="221"/>
      <c r="IX162" s="221"/>
      <c r="IY162" s="221"/>
      <c r="IZ162" s="221"/>
      <c r="JA162" s="221"/>
      <c r="JB162" s="221"/>
      <c r="JC162" s="221"/>
      <c r="JD162" s="221"/>
      <c r="JE162" s="221"/>
      <c r="JF162" s="221"/>
      <c r="JG162" s="221"/>
      <c r="JH162" s="221"/>
      <c r="JI162" s="221"/>
      <c r="JJ162" s="221"/>
      <c r="JK162" s="221"/>
      <c r="JL162" s="221"/>
      <c r="JM162" s="221"/>
      <c r="JN162" s="221"/>
      <c r="JO162" s="221"/>
      <c r="JP162" s="221"/>
      <c r="JQ162" s="221"/>
    </row>
    <row r="163" spans="1:277" ht="20" customHeight="1" outlineLevel="1">
      <c r="A163" s="456">
        <v>1904012</v>
      </c>
      <c r="B163" s="690">
        <v>42105</v>
      </c>
      <c r="C163" s="691" t="s">
        <v>67</v>
      </c>
      <c r="D163" s="691" t="s">
        <v>73</v>
      </c>
      <c r="E163" s="692" t="s">
        <v>60</v>
      </c>
      <c r="F163" s="693" t="s">
        <v>1123</v>
      </c>
      <c r="G163" s="253" t="s">
        <v>1509</v>
      </c>
      <c r="H163" s="294" t="s">
        <v>191</v>
      </c>
      <c r="I163" s="254" t="s">
        <v>155</v>
      </c>
      <c r="J163" s="30" t="s">
        <v>62</v>
      </c>
      <c r="K163" s="256" t="s">
        <v>50</v>
      </c>
      <c r="L163" s="341">
        <v>165999147</v>
      </c>
      <c r="M163" s="33">
        <v>42108</v>
      </c>
      <c r="N163" s="257" t="s">
        <v>378</v>
      </c>
      <c r="O163" s="258" t="s">
        <v>1510</v>
      </c>
      <c r="P163" s="559"/>
      <c r="Q163" s="290"/>
      <c r="R163" s="586">
        <v>0</v>
      </c>
      <c r="S163" s="585">
        <v>0</v>
      </c>
      <c r="T163" s="602">
        <v>0</v>
      </c>
      <c r="U163" s="594">
        <v>0</v>
      </c>
      <c r="V163" s="585">
        <v>0</v>
      </c>
      <c r="W163" s="602">
        <v>4</v>
      </c>
      <c r="X163" s="594">
        <v>0</v>
      </c>
      <c r="Y163" s="585">
        <v>0</v>
      </c>
      <c r="Z163" s="602">
        <v>12</v>
      </c>
      <c r="AA163" s="594">
        <v>0</v>
      </c>
      <c r="AB163" s="585">
        <v>0</v>
      </c>
      <c r="AC163" s="602">
        <v>8</v>
      </c>
      <c r="AD163" s="594">
        <v>0</v>
      </c>
      <c r="AE163" s="594">
        <v>0</v>
      </c>
      <c r="AF163" s="594">
        <v>0</v>
      </c>
      <c r="AG163" s="585">
        <v>1</v>
      </c>
      <c r="AH163" s="602">
        <v>0</v>
      </c>
      <c r="AI163" s="609">
        <v>0</v>
      </c>
      <c r="AJ163" s="609">
        <v>0</v>
      </c>
      <c r="AK163" s="740"/>
      <c r="AL163" s="524" t="s">
        <v>133</v>
      </c>
      <c r="AM163" s="253" t="s">
        <v>1847</v>
      </c>
      <c r="AN163" s="36">
        <f>(1*PRODUCTS!C3)+PRODUCTS!E3+4*PRODUCTS!D12+12*PRODUCTS!E14+4*PRODUCTS!D12+4*PRODUCTS!F12</f>
        <v>155.97413662317811</v>
      </c>
      <c r="AO163" s="252" t="s">
        <v>1507</v>
      </c>
      <c r="AP163" s="37">
        <v>252.84</v>
      </c>
      <c r="AQ163" s="792">
        <f t="shared" si="13"/>
        <v>96.865863376821892</v>
      </c>
      <c r="AR163" s="831">
        <f t="shared" si="8"/>
        <v>0.38311130903663143</v>
      </c>
      <c r="AS163" s="820" t="s">
        <v>191</v>
      </c>
      <c r="AT163" s="256" t="s">
        <v>1254</v>
      </c>
      <c r="AU163" s="38">
        <v>1</v>
      </c>
      <c r="AV163" s="252" t="s">
        <v>1508</v>
      </c>
      <c r="AW163" s="259" t="s">
        <v>1296</v>
      </c>
      <c r="AX163" s="36">
        <v>0</v>
      </c>
      <c r="AY163" s="26"/>
      <c r="AZ163" s="41">
        <v>7.29</v>
      </c>
      <c r="BA163" s="31" t="s">
        <v>47</v>
      </c>
      <c r="BB163" s="41">
        <v>0</v>
      </c>
      <c r="BC163" s="42"/>
      <c r="BD163" s="42"/>
      <c r="BE163" s="42"/>
      <c r="BF163" s="42"/>
      <c r="BG163" s="42"/>
      <c r="BH163" s="221"/>
      <c r="BI163" s="221"/>
      <c r="BJ163" s="221"/>
      <c r="BK163" s="221"/>
      <c r="BL163" s="221"/>
      <c r="BM163" s="221"/>
      <c r="BN163" s="221"/>
      <c r="BO163" s="221"/>
      <c r="BP163" s="221"/>
      <c r="BQ163" s="221"/>
      <c r="BR163" s="221"/>
      <c r="BS163" s="221"/>
      <c r="BT163" s="221"/>
      <c r="BU163" s="221"/>
      <c r="BV163" s="221"/>
      <c r="BW163" s="221"/>
      <c r="BX163" s="221"/>
      <c r="BY163" s="221"/>
      <c r="BZ163" s="221"/>
      <c r="CA163" s="221"/>
      <c r="CB163" s="221"/>
      <c r="CC163" s="221"/>
      <c r="CD163" s="221"/>
      <c r="CE163" s="221"/>
      <c r="CF163" s="221"/>
      <c r="CG163" s="221"/>
      <c r="CH163" s="221"/>
      <c r="CI163" s="221"/>
      <c r="CJ163" s="221"/>
      <c r="CK163" s="221"/>
      <c r="CL163" s="221"/>
      <c r="CM163" s="221"/>
      <c r="CN163" s="221"/>
      <c r="CO163" s="221"/>
      <c r="CP163" s="221"/>
      <c r="CQ163" s="221"/>
      <c r="CR163" s="221"/>
      <c r="CS163" s="221"/>
      <c r="CT163" s="221"/>
      <c r="CU163" s="221"/>
      <c r="CV163" s="221"/>
      <c r="CW163" s="221"/>
      <c r="CX163" s="221"/>
      <c r="CY163" s="221"/>
      <c r="CZ163" s="221"/>
      <c r="DA163" s="221"/>
      <c r="DB163" s="221"/>
      <c r="DC163" s="221"/>
      <c r="DD163" s="221"/>
      <c r="DE163" s="221"/>
      <c r="DF163" s="221"/>
      <c r="DG163" s="221"/>
      <c r="DH163" s="221"/>
      <c r="DI163" s="221"/>
      <c r="DJ163" s="221"/>
      <c r="DK163" s="221"/>
      <c r="DL163" s="221"/>
      <c r="DM163" s="221"/>
      <c r="DN163" s="221"/>
      <c r="DO163" s="221"/>
      <c r="DP163" s="221"/>
      <c r="DQ163" s="221"/>
      <c r="DR163" s="221"/>
      <c r="DS163" s="221"/>
      <c r="DT163" s="221"/>
      <c r="DU163" s="221"/>
      <c r="DV163" s="221"/>
      <c r="DW163" s="221"/>
      <c r="DX163" s="221"/>
      <c r="DY163" s="221"/>
      <c r="DZ163" s="221"/>
      <c r="EA163" s="221"/>
      <c r="EB163" s="221"/>
      <c r="EC163" s="221"/>
      <c r="ED163" s="221"/>
      <c r="EE163" s="221"/>
      <c r="EF163" s="221"/>
      <c r="EG163" s="221"/>
      <c r="EH163" s="221"/>
      <c r="EI163" s="221"/>
      <c r="EJ163" s="221"/>
      <c r="EK163" s="221"/>
      <c r="EL163" s="221"/>
      <c r="EM163" s="221"/>
      <c r="EN163" s="221"/>
      <c r="EO163" s="221"/>
      <c r="EP163" s="221"/>
      <c r="EQ163" s="221"/>
      <c r="ER163" s="221"/>
      <c r="ES163" s="221"/>
      <c r="ET163" s="221"/>
      <c r="EU163" s="221"/>
      <c r="EV163" s="221"/>
      <c r="EW163" s="221"/>
      <c r="EX163" s="221"/>
      <c r="EY163" s="221"/>
      <c r="EZ163" s="221"/>
      <c r="FA163" s="221"/>
      <c r="FB163" s="221"/>
      <c r="FC163" s="221"/>
      <c r="FD163" s="221"/>
      <c r="FE163" s="221"/>
      <c r="FF163" s="221"/>
      <c r="FG163" s="221"/>
      <c r="FH163" s="221"/>
      <c r="FI163" s="221"/>
      <c r="FJ163" s="221"/>
      <c r="FK163" s="221"/>
      <c r="FL163" s="221"/>
      <c r="FM163" s="221"/>
      <c r="FN163" s="221"/>
      <c r="FO163" s="221"/>
      <c r="FP163" s="221"/>
      <c r="FQ163" s="221"/>
      <c r="FR163" s="221"/>
      <c r="FS163" s="221"/>
      <c r="FT163" s="221"/>
      <c r="FU163" s="221"/>
      <c r="FV163" s="221"/>
      <c r="FW163" s="221"/>
      <c r="FX163" s="221"/>
      <c r="FY163" s="221"/>
      <c r="FZ163" s="221"/>
      <c r="GA163" s="221"/>
      <c r="GB163" s="221"/>
      <c r="GC163" s="221"/>
      <c r="GD163" s="221"/>
      <c r="GE163" s="221"/>
      <c r="GF163" s="221"/>
      <c r="GG163" s="221"/>
      <c r="GH163" s="221"/>
      <c r="GI163" s="221"/>
      <c r="GJ163" s="221"/>
      <c r="GK163" s="221"/>
      <c r="GL163" s="221"/>
      <c r="GM163" s="221"/>
      <c r="GN163" s="221"/>
      <c r="GO163" s="221"/>
      <c r="GP163" s="221"/>
      <c r="GQ163" s="221"/>
      <c r="GR163" s="221"/>
      <c r="GS163" s="221"/>
      <c r="GT163" s="221"/>
      <c r="GU163" s="221"/>
      <c r="GV163" s="221"/>
      <c r="GW163" s="221"/>
      <c r="GX163" s="221"/>
      <c r="GY163" s="221"/>
      <c r="GZ163" s="221"/>
      <c r="HA163" s="221"/>
      <c r="HB163" s="221"/>
      <c r="HC163" s="221"/>
      <c r="HD163" s="221"/>
      <c r="HE163" s="221"/>
      <c r="HF163" s="221"/>
      <c r="HG163" s="221"/>
      <c r="HH163" s="221"/>
      <c r="HI163" s="221"/>
      <c r="HJ163" s="221"/>
      <c r="HK163" s="221"/>
      <c r="HL163" s="221"/>
      <c r="HM163" s="221"/>
      <c r="HN163" s="221"/>
      <c r="HO163" s="221"/>
      <c r="HP163" s="221"/>
      <c r="HQ163" s="221"/>
      <c r="HR163" s="221"/>
      <c r="HS163" s="221"/>
      <c r="HT163" s="221"/>
      <c r="HU163" s="221"/>
      <c r="HV163" s="221"/>
      <c r="HW163" s="221"/>
      <c r="HX163" s="221"/>
      <c r="HY163" s="221"/>
      <c r="HZ163" s="221"/>
      <c r="IA163" s="221"/>
      <c r="IB163" s="221"/>
      <c r="IC163" s="221"/>
      <c r="ID163" s="221"/>
      <c r="IE163" s="221"/>
      <c r="IF163" s="221"/>
      <c r="IG163" s="221"/>
      <c r="IH163" s="221"/>
      <c r="II163" s="221"/>
      <c r="IJ163" s="221"/>
      <c r="IK163" s="221"/>
      <c r="IL163" s="221"/>
      <c r="IM163" s="221"/>
      <c r="IN163" s="221"/>
      <c r="IO163" s="221"/>
      <c r="IP163" s="221"/>
      <c r="IQ163" s="221"/>
      <c r="IR163" s="221"/>
      <c r="IS163" s="221"/>
      <c r="IT163" s="221"/>
      <c r="IU163" s="221"/>
      <c r="IV163" s="221"/>
      <c r="IW163" s="221"/>
      <c r="IX163" s="221"/>
      <c r="IY163" s="221"/>
      <c r="IZ163" s="221"/>
      <c r="JA163" s="221"/>
      <c r="JB163" s="221"/>
      <c r="JC163" s="221"/>
      <c r="JD163" s="221"/>
      <c r="JE163" s="221"/>
      <c r="JF163" s="221"/>
      <c r="JG163" s="221"/>
      <c r="JH163" s="221"/>
      <c r="JI163" s="221"/>
      <c r="JJ163" s="221"/>
      <c r="JK163" s="221"/>
      <c r="JL163" s="221"/>
      <c r="JM163" s="221"/>
      <c r="JN163" s="221"/>
      <c r="JO163" s="221"/>
      <c r="JP163" s="221"/>
      <c r="JQ163" s="221"/>
    </row>
    <row r="164" spans="1:277" ht="20" customHeight="1" outlineLevel="1">
      <c r="A164" s="456">
        <v>1904013</v>
      </c>
      <c r="B164" s="694">
        <v>42105</v>
      </c>
      <c r="C164" s="691" t="s">
        <v>67</v>
      </c>
      <c r="D164" s="691" t="s">
        <v>73</v>
      </c>
      <c r="E164" s="692" t="s">
        <v>60</v>
      </c>
      <c r="F164" s="693" t="s">
        <v>1504</v>
      </c>
      <c r="G164" s="253" t="s">
        <v>1514</v>
      </c>
      <c r="H164" s="294" t="s">
        <v>191</v>
      </c>
      <c r="I164" s="254" t="s">
        <v>155</v>
      </c>
      <c r="J164" s="30" t="s">
        <v>62</v>
      </c>
      <c r="K164" s="256" t="s">
        <v>50</v>
      </c>
      <c r="L164" s="50">
        <v>166024835</v>
      </c>
      <c r="M164" s="33">
        <v>42108</v>
      </c>
      <c r="N164" s="257" t="s">
        <v>1505</v>
      </c>
      <c r="O164" s="258" t="s">
        <v>1506</v>
      </c>
      <c r="P164" s="559"/>
      <c r="Q164" s="290"/>
      <c r="R164" s="586">
        <v>0</v>
      </c>
      <c r="S164" s="585">
        <v>0</v>
      </c>
      <c r="T164" s="602">
        <v>0</v>
      </c>
      <c r="U164" s="594">
        <v>0</v>
      </c>
      <c r="V164" s="585">
        <v>0</v>
      </c>
      <c r="W164" s="602">
        <v>0</v>
      </c>
      <c r="X164" s="594">
        <v>0</v>
      </c>
      <c r="Y164" s="585">
        <v>0</v>
      </c>
      <c r="Z164" s="602">
        <v>0</v>
      </c>
      <c r="AA164" s="594">
        <v>0</v>
      </c>
      <c r="AB164" s="585">
        <v>0</v>
      </c>
      <c r="AC164" s="602">
        <v>0</v>
      </c>
      <c r="AD164" s="594">
        <v>0</v>
      </c>
      <c r="AE164" s="594">
        <v>0</v>
      </c>
      <c r="AF164" s="594">
        <v>0</v>
      </c>
      <c r="AG164" s="585">
        <v>1</v>
      </c>
      <c r="AH164" s="602">
        <v>0</v>
      </c>
      <c r="AI164" s="609">
        <v>0</v>
      </c>
      <c r="AJ164" s="609">
        <v>0</v>
      </c>
      <c r="AK164" s="740"/>
      <c r="AL164" s="524" t="s">
        <v>133</v>
      </c>
      <c r="AM164" s="253" t="s">
        <v>157</v>
      </c>
      <c r="AN164" s="36">
        <f>1*PRODUCTS!C3</f>
        <v>63.99</v>
      </c>
      <c r="AO164" s="252" t="s">
        <v>1515</v>
      </c>
      <c r="AP164" s="37">
        <v>99.17</v>
      </c>
      <c r="AQ164" s="792">
        <f t="shared" si="13"/>
        <v>35.18</v>
      </c>
      <c r="AR164" s="831">
        <f t="shared" si="8"/>
        <v>0.35474437834022388</v>
      </c>
      <c r="AS164" s="812"/>
      <c r="AT164" s="256" t="s">
        <v>1254</v>
      </c>
      <c r="AU164" s="38">
        <v>1</v>
      </c>
      <c r="AV164" s="252" t="s">
        <v>1508</v>
      </c>
      <c r="AW164" s="259" t="s">
        <v>1296</v>
      </c>
      <c r="AX164" s="36">
        <v>0</v>
      </c>
      <c r="AY164" s="26"/>
      <c r="AZ164" s="41">
        <v>7.29</v>
      </c>
      <c r="BA164" s="31" t="s">
        <v>47</v>
      </c>
      <c r="BB164" s="41">
        <v>0</v>
      </c>
      <c r="BC164" s="42"/>
      <c r="BD164" s="42"/>
      <c r="BE164" s="42"/>
      <c r="BF164" s="42"/>
      <c r="BG164" s="42"/>
      <c r="BH164" s="221"/>
      <c r="BI164" s="221"/>
      <c r="BJ164" s="221"/>
      <c r="BK164" s="221"/>
      <c r="BL164" s="221"/>
      <c r="BM164" s="221"/>
      <c r="BN164" s="221"/>
      <c r="BO164" s="221"/>
      <c r="BP164" s="221"/>
      <c r="BQ164" s="221"/>
      <c r="BR164" s="221"/>
      <c r="BS164" s="221"/>
      <c r="BT164" s="221"/>
      <c r="BU164" s="221"/>
      <c r="BV164" s="221"/>
      <c r="BW164" s="221"/>
      <c r="BX164" s="221"/>
      <c r="BY164" s="221"/>
      <c r="BZ164" s="221"/>
      <c r="CA164" s="221"/>
      <c r="CB164" s="221"/>
      <c r="CC164" s="221"/>
      <c r="CD164" s="221"/>
      <c r="CE164" s="221"/>
      <c r="CF164" s="221"/>
      <c r="CG164" s="221"/>
      <c r="CH164" s="221"/>
      <c r="CI164" s="221"/>
      <c r="CJ164" s="221"/>
      <c r="CK164" s="221"/>
      <c r="CL164" s="221"/>
      <c r="CM164" s="221"/>
      <c r="CN164" s="221"/>
      <c r="CO164" s="221"/>
      <c r="CP164" s="221"/>
      <c r="CQ164" s="221"/>
      <c r="CR164" s="221"/>
      <c r="CS164" s="221"/>
      <c r="CT164" s="221"/>
      <c r="CU164" s="221"/>
      <c r="CV164" s="221"/>
      <c r="CW164" s="221"/>
      <c r="CX164" s="221"/>
      <c r="CY164" s="221"/>
      <c r="CZ164" s="221"/>
      <c r="DA164" s="221"/>
      <c r="DB164" s="221"/>
      <c r="DC164" s="221"/>
      <c r="DD164" s="221"/>
      <c r="DE164" s="221"/>
      <c r="DF164" s="221"/>
      <c r="DG164" s="221"/>
      <c r="DH164" s="221"/>
      <c r="DI164" s="221"/>
      <c r="DJ164" s="221"/>
      <c r="DK164" s="221"/>
      <c r="DL164" s="221"/>
      <c r="DM164" s="221"/>
      <c r="DN164" s="221"/>
      <c r="DO164" s="221"/>
      <c r="DP164" s="221"/>
      <c r="DQ164" s="221"/>
      <c r="DR164" s="221"/>
      <c r="DS164" s="221"/>
      <c r="DT164" s="221"/>
      <c r="DU164" s="221"/>
      <c r="DV164" s="221"/>
      <c r="DW164" s="221"/>
      <c r="DX164" s="221"/>
      <c r="DY164" s="221"/>
      <c r="DZ164" s="221"/>
      <c r="EA164" s="221"/>
      <c r="EB164" s="221"/>
      <c r="EC164" s="221"/>
      <c r="ED164" s="221"/>
      <c r="EE164" s="221"/>
      <c r="EF164" s="221"/>
      <c r="EG164" s="221"/>
      <c r="EH164" s="221"/>
      <c r="EI164" s="221"/>
      <c r="EJ164" s="221"/>
      <c r="EK164" s="221"/>
      <c r="EL164" s="221"/>
      <c r="EM164" s="221"/>
      <c r="EN164" s="221"/>
      <c r="EO164" s="221"/>
      <c r="EP164" s="221"/>
      <c r="EQ164" s="221"/>
      <c r="ER164" s="221"/>
      <c r="ES164" s="221"/>
      <c r="ET164" s="221"/>
      <c r="EU164" s="221"/>
      <c r="EV164" s="221"/>
      <c r="EW164" s="221"/>
      <c r="EX164" s="221"/>
      <c r="EY164" s="221"/>
      <c r="EZ164" s="221"/>
      <c r="FA164" s="221"/>
      <c r="FB164" s="221"/>
      <c r="FC164" s="221"/>
      <c r="FD164" s="221"/>
      <c r="FE164" s="221"/>
      <c r="FF164" s="221"/>
      <c r="FG164" s="221"/>
      <c r="FH164" s="221"/>
      <c r="FI164" s="221"/>
      <c r="FJ164" s="221"/>
      <c r="FK164" s="221"/>
      <c r="FL164" s="221"/>
      <c r="FM164" s="221"/>
      <c r="FN164" s="221"/>
      <c r="FO164" s="221"/>
      <c r="FP164" s="221"/>
      <c r="FQ164" s="221"/>
      <c r="FR164" s="221"/>
      <c r="FS164" s="221"/>
      <c r="FT164" s="221"/>
      <c r="FU164" s="221"/>
      <c r="FV164" s="221"/>
      <c r="FW164" s="221"/>
      <c r="FX164" s="221"/>
      <c r="FY164" s="221"/>
      <c r="FZ164" s="221"/>
      <c r="GA164" s="221"/>
      <c r="GB164" s="221"/>
      <c r="GC164" s="221"/>
      <c r="GD164" s="221"/>
      <c r="GE164" s="221"/>
      <c r="GF164" s="221"/>
      <c r="GG164" s="221"/>
      <c r="GH164" s="221"/>
      <c r="GI164" s="221"/>
      <c r="GJ164" s="221"/>
      <c r="GK164" s="221"/>
      <c r="GL164" s="221"/>
      <c r="GM164" s="221"/>
      <c r="GN164" s="221"/>
      <c r="GO164" s="221"/>
      <c r="GP164" s="221"/>
      <c r="GQ164" s="221"/>
      <c r="GR164" s="221"/>
      <c r="GS164" s="221"/>
      <c r="GT164" s="221"/>
      <c r="GU164" s="221"/>
      <c r="GV164" s="221"/>
      <c r="GW164" s="221"/>
      <c r="GX164" s="221"/>
      <c r="GY164" s="221"/>
      <c r="GZ164" s="221"/>
      <c r="HA164" s="221"/>
      <c r="HB164" s="221"/>
      <c r="HC164" s="221"/>
      <c r="HD164" s="221"/>
      <c r="HE164" s="221"/>
      <c r="HF164" s="221"/>
      <c r="HG164" s="221"/>
      <c r="HH164" s="221"/>
      <c r="HI164" s="221"/>
      <c r="HJ164" s="221"/>
      <c r="HK164" s="221"/>
      <c r="HL164" s="221"/>
      <c r="HM164" s="221"/>
      <c r="HN164" s="221"/>
      <c r="HO164" s="221"/>
      <c r="HP164" s="221"/>
      <c r="HQ164" s="221"/>
      <c r="HR164" s="221"/>
      <c r="HS164" s="221"/>
      <c r="HT164" s="221"/>
      <c r="HU164" s="221"/>
      <c r="HV164" s="221"/>
      <c r="HW164" s="221"/>
      <c r="HX164" s="221"/>
      <c r="HY164" s="221"/>
      <c r="HZ164" s="221"/>
      <c r="IA164" s="221"/>
      <c r="IB164" s="221"/>
      <c r="IC164" s="221"/>
      <c r="ID164" s="221"/>
      <c r="IE164" s="221"/>
      <c r="IF164" s="221"/>
      <c r="IG164" s="221"/>
      <c r="IH164" s="221"/>
      <c r="II164" s="221"/>
      <c r="IJ164" s="221"/>
      <c r="IK164" s="221"/>
      <c r="IL164" s="221"/>
      <c r="IM164" s="221"/>
      <c r="IN164" s="221"/>
      <c r="IO164" s="221"/>
      <c r="IP164" s="221"/>
      <c r="IQ164" s="221"/>
      <c r="IR164" s="221"/>
      <c r="IS164" s="221"/>
      <c r="IT164" s="221"/>
      <c r="IU164" s="221"/>
      <c r="IV164" s="221"/>
      <c r="IW164" s="221"/>
      <c r="IX164" s="221"/>
      <c r="IY164" s="221"/>
      <c r="IZ164" s="221"/>
      <c r="JA164" s="221"/>
      <c r="JB164" s="221"/>
      <c r="JC164" s="221"/>
      <c r="JD164" s="221"/>
      <c r="JE164" s="221"/>
      <c r="JF164" s="221"/>
      <c r="JG164" s="221"/>
      <c r="JH164" s="221"/>
      <c r="JI164" s="221"/>
      <c r="JJ164" s="221"/>
      <c r="JK164" s="221"/>
      <c r="JL164" s="221"/>
      <c r="JM164" s="221"/>
      <c r="JN164" s="221"/>
      <c r="JO164" s="221"/>
      <c r="JP164" s="221"/>
      <c r="JQ164" s="221"/>
    </row>
    <row r="165" spans="1:277" ht="23" customHeight="1" outlineLevel="1">
      <c r="A165" s="456">
        <v>1904014</v>
      </c>
      <c r="B165" s="694">
        <v>42105</v>
      </c>
      <c r="C165" s="691" t="s">
        <v>67</v>
      </c>
      <c r="D165" s="691" t="s">
        <v>1259</v>
      </c>
      <c r="E165" s="692" t="s">
        <v>60</v>
      </c>
      <c r="F165" s="693" t="s">
        <v>1660</v>
      </c>
      <c r="G165" s="253" t="s">
        <v>1659</v>
      </c>
      <c r="H165" s="294" t="s">
        <v>191</v>
      </c>
      <c r="I165" s="254">
        <v>191627</v>
      </c>
      <c r="J165" s="255" t="s">
        <v>62</v>
      </c>
      <c r="K165" s="256" t="s">
        <v>50</v>
      </c>
      <c r="L165" s="50">
        <v>168006914</v>
      </c>
      <c r="M165" s="33">
        <v>42116</v>
      </c>
      <c r="N165" s="257" t="s">
        <v>1531</v>
      </c>
      <c r="O165" s="258" t="s">
        <v>1532</v>
      </c>
      <c r="P165" s="559"/>
      <c r="Q165" s="290"/>
      <c r="R165" s="586">
        <v>0</v>
      </c>
      <c r="S165" s="585">
        <v>0</v>
      </c>
      <c r="T165" s="602">
        <v>0</v>
      </c>
      <c r="U165" s="594">
        <v>0</v>
      </c>
      <c r="V165" s="585">
        <v>0</v>
      </c>
      <c r="W165" s="602">
        <v>0</v>
      </c>
      <c r="X165" s="594">
        <v>0</v>
      </c>
      <c r="Y165" s="585">
        <v>0</v>
      </c>
      <c r="Z165" s="602">
        <v>0</v>
      </c>
      <c r="AA165" s="594">
        <v>0</v>
      </c>
      <c r="AB165" s="585">
        <v>0</v>
      </c>
      <c r="AC165" s="602">
        <v>0</v>
      </c>
      <c r="AD165" s="594">
        <v>2</v>
      </c>
      <c r="AE165" s="594">
        <v>0</v>
      </c>
      <c r="AF165" s="594">
        <v>0</v>
      </c>
      <c r="AG165" s="585">
        <v>0</v>
      </c>
      <c r="AH165" s="602">
        <v>0</v>
      </c>
      <c r="AI165" s="609">
        <v>0</v>
      </c>
      <c r="AJ165" s="609">
        <v>0</v>
      </c>
      <c r="AK165" s="740"/>
      <c r="AL165" s="524" t="s">
        <v>476</v>
      </c>
      <c r="AM165" s="253">
        <v>191043</v>
      </c>
      <c r="AN165" s="36">
        <v>228.96</v>
      </c>
      <c r="AO165" s="252" t="s">
        <v>1661</v>
      </c>
      <c r="AP165" s="37">
        <v>480.25</v>
      </c>
      <c r="AQ165" s="792">
        <f t="shared" si="13"/>
        <v>251.29</v>
      </c>
      <c r="AR165" s="831">
        <f t="shared" si="8"/>
        <v>0.52324830817282664</v>
      </c>
      <c r="AS165" s="812" t="s">
        <v>1314</v>
      </c>
      <c r="AT165" s="256" t="s">
        <v>1254</v>
      </c>
      <c r="AU165" s="38">
        <v>1</v>
      </c>
      <c r="AV165" s="252" t="s">
        <v>1662</v>
      </c>
      <c r="AW165" s="259" t="s">
        <v>1663</v>
      </c>
      <c r="AX165" s="36">
        <v>0</v>
      </c>
      <c r="AY165" s="26"/>
      <c r="AZ165" s="41">
        <v>8.64</v>
      </c>
      <c r="BA165" s="31" t="s">
        <v>47</v>
      </c>
      <c r="BB165" s="41">
        <v>0</v>
      </c>
      <c r="BC165" s="42"/>
      <c r="BD165" s="42"/>
      <c r="BE165" s="42"/>
      <c r="BF165" s="42"/>
      <c r="BG165" s="42"/>
      <c r="BH165" s="221"/>
      <c r="BI165" s="221"/>
      <c r="BJ165" s="221"/>
      <c r="BK165" s="221"/>
      <c r="BL165" s="221"/>
      <c r="BM165" s="221"/>
      <c r="BN165" s="221"/>
      <c r="BO165" s="221"/>
      <c r="BP165" s="221"/>
      <c r="BQ165" s="221"/>
      <c r="BR165" s="221"/>
      <c r="BS165" s="221"/>
      <c r="BT165" s="221"/>
      <c r="BU165" s="221"/>
      <c r="BV165" s="221"/>
      <c r="BW165" s="221"/>
      <c r="BX165" s="221"/>
      <c r="BY165" s="221"/>
      <c r="BZ165" s="221"/>
      <c r="CA165" s="221"/>
      <c r="CB165" s="221"/>
      <c r="CC165" s="221"/>
      <c r="CD165" s="221"/>
      <c r="CE165" s="221"/>
      <c r="CF165" s="221"/>
      <c r="CG165" s="221"/>
      <c r="CH165" s="221"/>
      <c r="CI165" s="221"/>
      <c r="CJ165" s="221"/>
      <c r="CK165" s="221"/>
      <c r="CL165" s="221"/>
      <c r="CM165" s="221"/>
      <c r="CN165" s="221"/>
      <c r="CO165" s="221"/>
      <c r="CP165" s="221"/>
      <c r="CQ165" s="221"/>
      <c r="CR165" s="221"/>
      <c r="CS165" s="221"/>
      <c r="CT165" s="221"/>
      <c r="CU165" s="221"/>
      <c r="CV165" s="221"/>
      <c r="CW165" s="221"/>
      <c r="CX165" s="221"/>
      <c r="CY165" s="221"/>
      <c r="CZ165" s="221"/>
      <c r="DA165" s="221"/>
      <c r="DB165" s="221"/>
      <c r="DC165" s="221"/>
      <c r="DD165" s="221"/>
      <c r="DE165" s="221"/>
      <c r="DF165" s="221"/>
      <c r="DG165" s="221"/>
      <c r="DH165" s="221"/>
      <c r="DI165" s="221"/>
      <c r="DJ165" s="221"/>
      <c r="DK165" s="221"/>
      <c r="DL165" s="221"/>
      <c r="DM165" s="221"/>
      <c r="DN165" s="221"/>
      <c r="DO165" s="221"/>
      <c r="DP165" s="221"/>
      <c r="DQ165" s="221"/>
      <c r="DR165" s="221"/>
      <c r="DS165" s="221"/>
      <c r="DT165" s="221"/>
      <c r="DU165" s="221"/>
      <c r="DV165" s="221"/>
      <c r="DW165" s="221"/>
      <c r="DX165" s="221"/>
      <c r="DY165" s="221"/>
      <c r="DZ165" s="221"/>
      <c r="EA165" s="221"/>
      <c r="EB165" s="221"/>
      <c r="EC165" s="221"/>
      <c r="ED165" s="221"/>
      <c r="EE165" s="221"/>
      <c r="EF165" s="221"/>
      <c r="EG165" s="221"/>
      <c r="EH165" s="221"/>
      <c r="EI165" s="221"/>
      <c r="EJ165" s="221"/>
      <c r="EK165" s="221"/>
      <c r="EL165" s="221"/>
      <c r="EM165" s="221"/>
      <c r="EN165" s="221"/>
      <c r="EO165" s="221"/>
      <c r="EP165" s="221"/>
      <c r="EQ165" s="221"/>
      <c r="ER165" s="221"/>
      <c r="ES165" s="221"/>
      <c r="ET165" s="221"/>
      <c r="EU165" s="221"/>
      <c r="EV165" s="221"/>
      <c r="EW165" s="221"/>
      <c r="EX165" s="221"/>
      <c r="EY165" s="221"/>
      <c r="EZ165" s="221"/>
      <c r="FA165" s="221"/>
      <c r="FB165" s="221"/>
      <c r="FC165" s="221"/>
      <c r="FD165" s="221"/>
      <c r="FE165" s="221"/>
      <c r="FF165" s="221"/>
      <c r="FG165" s="221"/>
      <c r="FH165" s="221"/>
      <c r="FI165" s="221"/>
      <c r="FJ165" s="221"/>
      <c r="FK165" s="221"/>
      <c r="FL165" s="221"/>
      <c r="FM165" s="221"/>
      <c r="FN165" s="221"/>
      <c r="FO165" s="221"/>
      <c r="FP165" s="221"/>
      <c r="FQ165" s="221"/>
      <c r="FR165" s="221"/>
      <c r="FS165" s="221"/>
      <c r="FT165" s="221"/>
      <c r="FU165" s="221"/>
      <c r="FV165" s="221"/>
      <c r="FW165" s="221"/>
      <c r="FX165" s="221"/>
      <c r="FY165" s="221"/>
      <c r="FZ165" s="221"/>
      <c r="GA165" s="221"/>
      <c r="GB165" s="221"/>
      <c r="GC165" s="221"/>
      <c r="GD165" s="221"/>
      <c r="GE165" s="221"/>
      <c r="GF165" s="221"/>
      <c r="GG165" s="221"/>
      <c r="GH165" s="221"/>
      <c r="GI165" s="221"/>
      <c r="GJ165" s="221"/>
      <c r="GK165" s="221"/>
      <c r="GL165" s="221"/>
      <c r="GM165" s="221"/>
      <c r="GN165" s="221"/>
      <c r="GO165" s="221"/>
      <c r="GP165" s="221"/>
      <c r="GQ165" s="221"/>
      <c r="GR165" s="221"/>
      <c r="GS165" s="221"/>
      <c r="GT165" s="221"/>
      <c r="GU165" s="221"/>
      <c r="GV165" s="221"/>
      <c r="GW165" s="221"/>
      <c r="GX165" s="221"/>
      <c r="GY165" s="221"/>
      <c r="GZ165" s="221"/>
      <c r="HA165" s="221"/>
      <c r="HB165" s="221"/>
      <c r="HC165" s="221"/>
      <c r="HD165" s="221"/>
      <c r="HE165" s="221"/>
      <c r="HF165" s="221"/>
      <c r="HG165" s="221"/>
      <c r="HH165" s="221"/>
      <c r="HI165" s="221"/>
      <c r="HJ165" s="221"/>
      <c r="HK165" s="221"/>
      <c r="HL165" s="221"/>
      <c r="HM165" s="221"/>
      <c r="HN165" s="221"/>
      <c r="HO165" s="221"/>
      <c r="HP165" s="221"/>
      <c r="HQ165" s="221"/>
      <c r="HR165" s="221"/>
      <c r="HS165" s="221"/>
      <c r="HT165" s="221"/>
      <c r="HU165" s="221"/>
      <c r="HV165" s="221"/>
      <c r="HW165" s="221"/>
      <c r="HX165" s="221"/>
      <c r="HY165" s="221"/>
      <c r="HZ165" s="221"/>
      <c r="IA165" s="221"/>
      <c r="IB165" s="221"/>
      <c r="IC165" s="221"/>
      <c r="ID165" s="221"/>
      <c r="IE165" s="221"/>
      <c r="IF165" s="221"/>
      <c r="IG165" s="221"/>
      <c r="IH165" s="221"/>
      <c r="II165" s="221"/>
      <c r="IJ165" s="221"/>
      <c r="IK165" s="221"/>
      <c r="IL165" s="221"/>
      <c r="IM165" s="221"/>
      <c r="IN165" s="221"/>
      <c r="IO165" s="221"/>
      <c r="IP165" s="221"/>
      <c r="IQ165" s="221"/>
      <c r="IR165" s="221"/>
      <c r="IS165" s="221"/>
      <c r="IT165" s="221"/>
      <c r="IU165" s="221"/>
      <c r="IV165" s="221"/>
      <c r="IW165" s="221"/>
      <c r="IX165" s="221"/>
      <c r="IY165" s="221"/>
      <c r="IZ165" s="221"/>
      <c r="JA165" s="221"/>
      <c r="JB165" s="221"/>
      <c r="JC165" s="221"/>
      <c r="JD165" s="221"/>
      <c r="JE165" s="221"/>
      <c r="JF165" s="221"/>
      <c r="JG165" s="221"/>
      <c r="JH165" s="221"/>
      <c r="JI165" s="221"/>
      <c r="JJ165" s="221"/>
      <c r="JK165" s="221"/>
      <c r="JL165" s="221"/>
      <c r="JM165" s="221"/>
      <c r="JN165" s="221"/>
      <c r="JO165" s="221"/>
      <c r="JP165" s="221"/>
      <c r="JQ165" s="221"/>
    </row>
    <row r="166" spans="1:277" ht="20" customHeight="1" outlineLevel="1">
      <c r="A166" s="456">
        <v>1904015</v>
      </c>
      <c r="B166" s="694">
        <v>42105</v>
      </c>
      <c r="C166" s="691" t="s">
        <v>67</v>
      </c>
      <c r="D166" s="691" t="s">
        <v>1259</v>
      </c>
      <c r="E166" s="692" t="s">
        <v>276</v>
      </c>
      <c r="F166" s="693" t="s">
        <v>47</v>
      </c>
      <c r="G166" s="253" t="s">
        <v>1533</v>
      </c>
      <c r="H166" s="294" t="s">
        <v>191</v>
      </c>
      <c r="I166" s="254" t="s">
        <v>325</v>
      </c>
      <c r="J166" s="255" t="s">
        <v>62</v>
      </c>
      <c r="K166" s="256" t="s">
        <v>50</v>
      </c>
      <c r="L166" s="50">
        <v>166043517</v>
      </c>
      <c r="M166" s="33">
        <v>42108</v>
      </c>
      <c r="N166" s="257" t="s">
        <v>279</v>
      </c>
      <c r="O166" s="258" t="s">
        <v>1537</v>
      </c>
      <c r="P166" s="559"/>
      <c r="Q166" s="290"/>
      <c r="R166" s="586">
        <v>0</v>
      </c>
      <c r="S166" s="585">
        <v>0</v>
      </c>
      <c r="T166" s="602">
        <v>0</v>
      </c>
      <c r="U166" s="594">
        <v>0</v>
      </c>
      <c r="V166" s="585">
        <v>0</v>
      </c>
      <c r="W166" s="602">
        <v>0</v>
      </c>
      <c r="X166" s="594">
        <v>0</v>
      </c>
      <c r="Y166" s="585">
        <v>0</v>
      </c>
      <c r="Z166" s="602">
        <v>0</v>
      </c>
      <c r="AA166" s="594">
        <v>0</v>
      </c>
      <c r="AB166" s="585">
        <v>0</v>
      </c>
      <c r="AC166" s="602">
        <v>0</v>
      </c>
      <c r="AD166" s="594">
        <v>0</v>
      </c>
      <c r="AE166" s="594">
        <v>0</v>
      </c>
      <c r="AF166" s="594">
        <v>0</v>
      </c>
      <c r="AG166" s="585">
        <v>1</v>
      </c>
      <c r="AH166" s="602">
        <v>0</v>
      </c>
      <c r="AI166" s="609">
        <v>0</v>
      </c>
      <c r="AJ166" s="609">
        <v>0</v>
      </c>
      <c r="AK166" s="740"/>
      <c r="AL166" s="524" t="s">
        <v>266</v>
      </c>
      <c r="AM166" s="253" t="s">
        <v>1476</v>
      </c>
      <c r="AN166" s="36">
        <f>1*PRODUCTS!C3</f>
        <v>63.99</v>
      </c>
      <c r="AO166" s="252" t="s">
        <v>1538</v>
      </c>
      <c r="AP166" s="37">
        <v>95</v>
      </c>
      <c r="AQ166" s="792">
        <f t="shared" si="13"/>
        <v>31.009999999999998</v>
      </c>
      <c r="AR166" s="831">
        <f t="shared" si="8"/>
        <v>0.32642105263157895</v>
      </c>
      <c r="AS166" s="812"/>
      <c r="AT166" s="256" t="s">
        <v>1254</v>
      </c>
      <c r="AU166" s="38">
        <v>1</v>
      </c>
      <c r="AV166" s="252" t="s">
        <v>1508</v>
      </c>
      <c r="AW166" s="259" t="s">
        <v>1296</v>
      </c>
      <c r="AX166" s="36">
        <v>30</v>
      </c>
      <c r="AY166" s="26"/>
      <c r="AZ166" s="41">
        <v>27</v>
      </c>
      <c r="BA166" s="31" t="s">
        <v>47</v>
      </c>
      <c r="BB166" s="41">
        <v>0</v>
      </c>
      <c r="BC166" s="42"/>
      <c r="BD166" s="42"/>
      <c r="BE166" s="42"/>
      <c r="BF166" s="42"/>
      <c r="BG166" s="42"/>
      <c r="BH166" s="221"/>
      <c r="BI166" s="221"/>
      <c r="BJ166" s="221"/>
      <c r="BK166" s="221"/>
      <c r="BL166" s="221"/>
      <c r="BM166" s="221"/>
      <c r="BN166" s="221"/>
      <c r="BO166" s="221"/>
      <c r="BP166" s="221"/>
      <c r="BQ166" s="221"/>
      <c r="BR166" s="221"/>
      <c r="BS166" s="221"/>
      <c r="BT166" s="221"/>
      <c r="BU166" s="221"/>
      <c r="BV166" s="221"/>
      <c r="BW166" s="221"/>
      <c r="BX166" s="221"/>
      <c r="BY166" s="221"/>
      <c r="BZ166" s="221"/>
      <c r="CA166" s="221"/>
      <c r="CB166" s="221"/>
      <c r="CC166" s="221"/>
      <c r="CD166" s="221"/>
      <c r="CE166" s="221"/>
      <c r="CF166" s="221"/>
      <c r="CG166" s="221"/>
      <c r="CH166" s="221"/>
      <c r="CI166" s="221"/>
      <c r="CJ166" s="221"/>
      <c r="CK166" s="221"/>
      <c r="CL166" s="221"/>
      <c r="CM166" s="221"/>
      <c r="CN166" s="221"/>
      <c r="CO166" s="221"/>
      <c r="CP166" s="221"/>
      <c r="CQ166" s="221"/>
      <c r="CR166" s="221"/>
      <c r="CS166" s="221"/>
      <c r="CT166" s="221"/>
      <c r="CU166" s="221"/>
      <c r="CV166" s="221"/>
      <c r="CW166" s="221"/>
      <c r="CX166" s="221"/>
      <c r="CY166" s="221"/>
      <c r="CZ166" s="221"/>
      <c r="DA166" s="221"/>
      <c r="DB166" s="221"/>
      <c r="DC166" s="221"/>
      <c r="DD166" s="221"/>
      <c r="DE166" s="221"/>
      <c r="DF166" s="221"/>
      <c r="DG166" s="221"/>
      <c r="DH166" s="221"/>
      <c r="DI166" s="221"/>
      <c r="DJ166" s="221"/>
      <c r="DK166" s="221"/>
      <c r="DL166" s="221"/>
      <c r="DM166" s="221"/>
      <c r="DN166" s="221"/>
      <c r="DO166" s="221"/>
      <c r="DP166" s="221"/>
      <c r="DQ166" s="221"/>
      <c r="DR166" s="221"/>
      <c r="DS166" s="221"/>
      <c r="DT166" s="221"/>
      <c r="DU166" s="221"/>
      <c r="DV166" s="221"/>
      <c r="DW166" s="221"/>
      <c r="DX166" s="221"/>
      <c r="DY166" s="221"/>
      <c r="DZ166" s="221"/>
      <c r="EA166" s="221"/>
      <c r="EB166" s="221"/>
      <c r="EC166" s="221"/>
      <c r="ED166" s="221"/>
      <c r="EE166" s="221"/>
      <c r="EF166" s="221"/>
      <c r="EG166" s="221"/>
      <c r="EH166" s="221"/>
      <c r="EI166" s="221"/>
      <c r="EJ166" s="221"/>
      <c r="EK166" s="221"/>
      <c r="EL166" s="221"/>
      <c r="EM166" s="221"/>
      <c r="EN166" s="221"/>
      <c r="EO166" s="221"/>
      <c r="EP166" s="221"/>
      <c r="EQ166" s="221"/>
      <c r="ER166" s="221"/>
      <c r="ES166" s="221"/>
      <c r="ET166" s="221"/>
      <c r="EU166" s="221"/>
      <c r="EV166" s="221"/>
      <c r="EW166" s="221"/>
      <c r="EX166" s="221"/>
      <c r="EY166" s="221"/>
      <c r="EZ166" s="221"/>
      <c r="FA166" s="221"/>
      <c r="FB166" s="221"/>
      <c r="FC166" s="221"/>
      <c r="FD166" s="221"/>
      <c r="FE166" s="221"/>
      <c r="FF166" s="221"/>
      <c r="FG166" s="221"/>
      <c r="FH166" s="221"/>
      <c r="FI166" s="221"/>
      <c r="FJ166" s="221"/>
      <c r="FK166" s="221"/>
      <c r="FL166" s="221"/>
      <c r="FM166" s="221"/>
      <c r="FN166" s="221"/>
      <c r="FO166" s="221"/>
      <c r="FP166" s="221"/>
      <c r="FQ166" s="221"/>
      <c r="FR166" s="221"/>
      <c r="FS166" s="221"/>
      <c r="FT166" s="221"/>
      <c r="FU166" s="221"/>
      <c r="FV166" s="221"/>
      <c r="FW166" s="221"/>
      <c r="FX166" s="221"/>
      <c r="FY166" s="221"/>
      <c r="FZ166" s="221"/>
      <c r="GA166" s="221"/>
      <c r="GB166" s="221"/>
      <c r="GC166" s="221"/>
      <c r="GD166" s="221"/>
      <c r="GE166" s="221"/>
      <c r="GF166" s="221"/>
      <c r="GG166" s="221"/>
      <c r="GH166" s="221"/>
      <c r="GI166" s="221"/>
      <c r="GJ166" s="221"/>
      <c r="GK166" s="221"/>
      <c r="GL166" s="221"/>
      <c r="GM166" s="221"/>
      <c r="GN166" s="221"/>
      <c r="GO166" s="221"/>
      <c r="GP166" s="221"/>
      <c r="GQ166" s="221"/>
      <c r="GR166" s="221"/>
      <c r="GS166" s="221"/>
      <c r="GT166" s="221"/>
      <c r="GU166" s="221"/>
      <c r="GV166" s="221"/>
      <c r="GW166" s="221"/>
      <c r="GX166" s="221"/>
      <c r="GY166" s="221"/>
      <c r="GZ166" s="221"/>
      <c r="HA166" s="221"/>
      <c r="HB166" s="221"/>
      <c r="HC166" s="221"/>
      <c r="HD166" s="221"/>
      <c r="HE166" s="221"/>
      <c r="HF166" s="221"/>
      <c r="HG166" s="221"/>
      <c r="HH166" s="221"/>
      <c r="HI166" s="221"/>
      <c r="HJ166" s="221"/>
      <c r="HK166" s="221"/>
      <c r="HL166" s="221"/>
      <c r="HM166" s="221"/>
      <c r="HN166" s="221"/>
      <c r="HO166" s="221"/>
      <c r="HP166" s="221"/>
      <c r="HQ166" s="221"/>
      <c r="HR166" s="221"/>
      <c r="HS166" s="221"/>
      <c r="HT166" s="221"/>
      <c r="HU166" s="221"/>
      <c r="HV166" s="221"/>
      <c r="HW166" s="221"/>
      <c r="HX166" s="221"/>
      <c r="HY166" s="221"/>
      <c r="HZ166" s="221"/>
      <c r="IA166" s="221"/>
      <c r="IB166" s="221"/>
      <c r="IC166" s="221"/>
      <c r="ID166" s="221"/>
      <c r="IE166" s="221"/>
      <c r="IF166" s="221"/>
      <c r="IG166" s="221"/>
      <c r="IH166" s="221"/>
      <c r="II166" s="221"/>
      <c r="IJ166" s="221"/>
      <c r="IK166" s="221"/>
      <c r="IL166" s="221"/>
      <c r="IM166" s="221"/>
      <c r="IN166" s="221"/>
      <c r="IO166" s="221"/>
      <c r="IP166" s="221"/>
      <c r="IQ166" s="221"/>
      <c r="IR166" s="221"/>
      <c r="IS166" s="221"/>
      <c r="IT166" s="221"/>
      <c r="IU166" s="221"/>
      <c r="IV166" s="221"/>
      <c r="IW166" s="221"/>
      <c r="IX166" s="221"/>
      <c r="IY166" s="221"/>
      <c r="IZ166" s="221"/>
      <c r="JA166" s="221"/>
      <c r="JB166" s="221"/>
      <c r="JC166" s="221"/>
      <c r="JD166" s="221"/>
      <c r="JE166" s="221"/>
      <c r="JF166" s="221"/>
      <c r="JG166" s="221"/>
      <c r="JH166" s="221"/>
      <c r="JI166" s="221"/>
      <c r="JJ166" s="221"/>
      <c r="JK166" s="221"/>
      <c r="JL166" s="221"/>
      <c r="JM166" s="221"/>
      <c r="JN166" s="221"/>
      <c r="JO166" s="221"/>
      <c r="JP166" s="221"/>
      <c r="JQ166" s="221"/>
    </row>
    <row r="167" spans="1:277" ht="20" customHeight="1" outlineLevel="1">
      <c r="A167" s="456">
        <v>1904016</v>
      </c>
      <c r="B167" s="694">
        <v>42105</v>
      </c>
      <c r="C167" s="691" t="s">
        <v>67</v>
      </c>
      <c r="D167" s="691" t="s">
        <v>73</v>
      </c>
      <c r="E167" s="692" t="s">
        <v>60</v>
      </c>
      <c r="F167" s="693" t="s">
        <v>47</v>
      </c>
      <c r="G167" s="253" t="s">
        <v>1539</v>
      </c>
      <c r="H167" s="294" t="s">
        <v>191</v>
      </c>
      <c r="I167" s="254" t="s">
        <v>155</v>
      </c>
      <c r="J167" s="255" t="s">
        <v>62</v>
      </c>
      <c r="K167" s="256" t="s">
        <v>50</v>
      </c>
      <c r="L167" s="50">
        <v>166047709</v>
      </c>
      <c r="M167" s="33">
        <v>42108</v>
      </c>
      <c r="N167" s="257" t="s">
        <v>358</v>
      </c>
      <c r="O167" s="258" t="s">
        <v>359</v>
      </c>
      <c r="P167" s="559"/>
      <c r="Q167" s="290"/>
      <c r="R167" s="586">
        <v>0</v>
      </c>
      <c r="S167" s="585">
        <v>0</v>
      </c>
      <c r="T167" s="602">
        <v>0</v>
      </c>
      <c r="U167" s="594">
        <v>0</v>
      </c>
      <c r="V167" s="585">
        <v>0</v>
      </c>
      <c r="W167" s="602">
        <v>0</v>
      </c>
      <c r="X167" s="594">
        <v>0</v>
      </c>
      <c r="Y167" s="585">
        <v>0</v>
      </c>
      <c r="Z167" s="602">
        <v>0</v>
      </c>
      <c r="AA167" s="594">
        <v>0</v>
      </c>
      <c r="AB167" s="585">
        <v>0</v>
      </c>
      <c r="AC167" s="602">
        <v>0</v>
      </c>
      <c r="AD167" s="594">
        <v>0</v>
      </c>
      <c r="AE167" s="594">
        <v>0</v>
      </c>
      <c r="AF167" s="594">
        <v>0</v>
      </c>
      <c r="AG167" s="585">
        <v>1</v>
      </c>
      <c r="AH167" s="602">
        <v>0</v>
      </c>
      <c r="AI167" s="609">
        <v>0</v>
      </c>
      <c r="AJ167" s="609">
        <v>0</v>
      </c>
      <c r="AK167" s="740"/>
      <c r="AL167" s="524" t="s">
        <v>133</v>
      </c>
      <c r="AM167" s="253" t="s">
        <v>157</v>
      </c>
      <c r="AN167" s="36">
        <f>1*PRODUCTS!C3</f>
        <v>63.99</v>
      </c>
      <c r="AO167" s="252" t="s">
        <v>1540</v>
      </c>
      <c r="AP167" s="37">
        <v>99.17</v>
      </c>
      <c r="AQ167" s="792">
        <f t="shared" si="13"/>
        <v>35.18</v>
      </c>
      <c r="AR167" s="831">
        <f t="shared" si="8"/>
        <v>0.35474437834022388</v>
      </c>
      <c r="AS167" s="812"/>
      <c r="AT167" s="256" t="s">
        <v>1254</v>
      </c>
      <c r="AU167" s="38">
        <v>1</v>
      </c>
      <c r="AV167" s="252" t="s">
        <v>1508</v>
      </c>
      <c r="AW167" s="259" t="s">
        <v>1296</v>
      </c>
      <c r="AX167" s="36">
        <v>0</v>
      </c>
      <c r="AY167" s="26"/>
      <c r="AZ167" s="41">
        <v>7.29</v>
      </c>
      <c r="BA167" s="31" t="s">
        <v>47</v>
      </c>
      <c r="BB167" s="41">
        <v>0</v>
      </c>
      <c r="BC167" s="42"/>
      <c r="BD167" s="42"/>
      <c r="BE167" s="42"/>
      <c r="BF167" s="42"/>
      <c r="BG167" s="42"/>
      <c r="BH167" s="221"/>
      <c r="BI167" s="221"/>
      <c r="BJ167" s="221"/>
      <c r="BK167" s="221"/>
      <c r="BL167" s="221"/>
      <c r="BM167" s="221"/>
      <c r="BN167" s="221"/>
      <c r="BO167" s="221"/>
      <c r="BP167" s="221"/>
      <c r="BQ167" s="221"/>
      <c r="BR167" s="221"/>
      <c r="BS167" s="221"/>
      <c r="BT167" s="221"/>
      <c r="BU167" s="221"/>
      <c r="BV167" s="221"/>
      <c r="BW167" s="221"/>
      <c r="BX167" s="221"/>
      <c r="BY167" s="221"/>
      <c r="BZ167" s="221"/>
      <c r="CA167" s="221"/>
      <c r="CB167" s="221"/>
      <c r="CC167" s="221"/>
      <c r="CD167" s="221"/>
      <c r="CE167" s="221"/>
      <c r="CF167" s="221"/>
      <c r="CG167" s="221"/>
      <c r="CH167" s="221"/>
      <c r="CI167" s="221"/>
      <c r="CJ167" s="221"/>
      <c r="CK167" s="221"/>
      <c r="CL167" s="221"/>
      <c r="CM167" s="221"/>
      <c r="CN167" s="221"/>
      <c r="CO167" s="221"/>
      <c r="CP167" s="221"/>
      <c r="CQ167" s="221"/>
      <c r="CR167" s="221"/>
      <c r="CS167" s="221"/>
      <c r="CT167" s="221"/>
      <c r="CU167" s="221"/>
      <c r="CV167" s="221"/>
      <c r="CW167" s="221"/>
      <c r="CX167" s="221"/>
      <c r="CY167" s="221"/>
      <c r="CZ167" s="221"/>
      <c r="DA167" s="221"/>
      <c r="DB167" s="221"/>
      <c r="DC167" s="221"/>
      <c r="DD167" s="221"/>
      <c r="DE167" s="221"/>
      <c r="DF167" s="221"/>
      <c r="DG167" s="221"/>
      <c r="DH167" s="221"/>
      <c r="DI167" s="221"/>
      <c r="DJ167" s="221"/>
      <c r="DK167" s="221"/>
      <c r="DL167" s="221"/>
      <c r="DM167" s="221"/>
      <c r="DN167" s="221"/>
      <c r="DO167" s="221"/>
      <c r="DP167" s="221"/>
      <c r="DQ167" s="221"/>
      <c r="DR167" s="221"/>
      <c r="DS167" s="221"/>
      <c r="DT167" s="221"/>
      <c r="DU167" s="221"/>
      <c r="DV167" s="221"/>
      <c r="DW167" s="221"/>
      <c r="DX167" s="221"/>
      <c r="DY167" s="221"/>
      <c r="DZ167" s="221"/>
      <c r="EA167" s="221"/>
      <c r="EB167" s="221"/>
      <c r="EC167" s="221"/>
      <c r="ED167" s="221"/>
      <c r="EE167" s="221"/>
      <c r="EF167" s="221"/>
      <c r="EG167" s="221"/>
      <c r="EH167" s="221"/>
      <c r="EI167" s="221"/>
      <c r="EJ167" s="221"/>
      <c r="EK167" s="221"/>
      <c r="EL167" s="221"/>
      <c r="EM167" s="221"/>
      <c r="EN167" s="221"/>
      <c r="EO167" s="221"/>
      <c r="EP167" s="221"/>
      <c r="EQ167" s="221"/>
      <c r="ER167" s="221"/>
      <c r="ES167" s="221"/>
      <c r="ET167" s="221"/>
      <c r="EU167" s="221"/>
      <c r="EV167" s="221"/>
      <c r="EW167" s="221"/>
      <c r="EX167" s="221"/>
      <c r="EY167" s="221"/>
      <c r="EZ167" s="221"/>
      <c r="FA167" s="221"/>
      <c r="FB167" s="221"/>
      <c r="FC167" s="221"/>
      <c r="FD167" s="221"/>
      <c r="FE167" s="221"/>
      <c r="FF167" s="221"/>
      <c r="FG167" s="221"/>
      <c r="FH167" s="221"/>
      <c r="FI167" s="221"/>
      <c r="FJ167" s="221"/>
      <c r="FK167" s="221"/>
      <c r="FL167" s="221"/>
      <c r="FM167" s="221"/>
      <c r="FN167" s="221"/>
      <c r="FO167" s="221"/>
      <c r="FP167" s="221"/>
      <c r="FQ167" s="221"/>
      <c r="FR167" s="221"/>
      <c r="FS167" s="221"/>
      <c r="FT167" s="221"/>
      <c r="FU167" s="221"/>
      <c r="FV167" s="221"/>
      <c r="FW167" s="221"/>
      <c r="FX167" s="221"/>
      <c r="FY167" s="221"/>
      <c r="FZ167" s="221"/>
      <c r="GA167" s="221"/>
      <c r="GB167" s="221"/>
      <c r="GC167" s="221"/>
      <c r="GD167" s="221"/>
      <c r="GE167" s="221"/>
      <c r="GF167" s="221"/>
      <c r="GG167" s="221"/>
      <c r="GH167" s="221"/>
      <c r="GI167" s="221"/>
      <c r="GJ167" s="221"/>
      <c r="GK167" s="221"/>
      <c r="GL167" s="221"/>
      <c r="GM167" s="221"/>
      <c r="GN167" s="221"/>
      <c r="GO167" s="221"/>
      <c r="GP167" s="221"/>
      <c r="GQ167" s="221"/>
      <c r="GR167" s="221"/>
      <c r="GS167" s="221"/>
      <c r="GT167" s="221"/>
      <c r="GU167" s="221"/>
      <c r="GV167" s="221"/>
      <c r="GW167" s="221"/>
      <c r="GX167" s="221"/>
      <c r="GY167" s="221"/>
      <c r="GZ167" s="221"/>
      <c r="HA167" s="221"/>
      <c r="HB167" s="221"/>
      <c r="HC167" s="221"/>
      <c r="HD167" s="221"/>
      <c r="HE167" s="221"/>
      <c r="HF167" s="221"/>
      <c r="HG167" s="221"/>
      <c r="HH167" s="221"/>
      <c r="HI167" s="221"/>
      <c r="HJ167" s="221"/>
      <c r="HK167" s="221"/>
      <c r="HL167" s="221"/>
      <c r="HM167" s="221"/>
      <c r="HN167" s="221"/>
      <c r="HO167" s="221"/>
      <c r="HP167" s="221"/>
      <c r="HQ167" s="221"/>
      <c r="HR167" s="221"/>
      <c r="HS167" s="221"/>
      <c r="HT167" s="221"/>
      <c r="HU167" s="221"/>
      <c r="HV167" s="221"/>
      <c r="HW167" s="221"/>
      <c r="HX167" s="221"/>
      <c r="HY167" s="221"/>
      <c r="HZ167" s="221"/>
      <c r="IA167" s="221"/>
      <c r="IB167" s="221"/>
      <c r="IC167" s="221"/>
      <c r="ID167" s="221"/>
      <c r="IE167" s="221"/>
      <c r="IF167" s="221"/>
      <c r="IG167" s="221"/>
      <c r="IH167" s="221"/>
      <c r="II167" s="221"/>
      <c r="IJ167" s="221"/>
      <c r="IK167" s="221"/>
      <c r="IL167" s="221"/>
      <c r="IM167" s="221"/>
      <c r="IN167" s="221"/>
      <c r="IO167" s="221"/>
      <c r="IP167" s="221"/>
      <c r="IQ167" s="221"/>
      <c r="IR167" s="221"/>
      <c r="IS167" s="221"/>
      <c r="IT167" s="221"/>
      <c r="IU167" s="221"/>
      <c r="IV167" s="221"/>
      <c r="IW167" s="221"/>
      <c r="IX167" s="221"/>
      <c r="IY167" s="221"/>
      <c r="IZ167" s="221"/>
      <c r="JA167" s="221"/>
      <c r="JB167" s="221"/>
      <c r="JC167" s="221"/>
      <c r="JD167" s="221"/>
      <c r="JE167" s="221"/>
      <c r="JF167" s="221"/>
      <c r="JG167" s="221"/>
      <c r="JH167" s="221"/>
      <c r="JI167" s="221"/>
      <c r="JJ167" s="221"/>
      <c r="JK167" s="221"/>
      <c r="JL167" s="221"/>
      <c r="JM167" s="221"/>
      <c r="JN167" s="221"/>
      <c r="JO167" s="221"/>
      <c r="JP167" s="221"/>
      <c r="JQ167" s="221"/>
    </row>
    <row r="168" spans="1:277" ht="20" customHeight="1" outlineLevel="1">
      <c r="A168" s="456">
        <v>1904017</v>
      </c>
      <c r="B168" s="694">
        <v>42105</v>
      </c>
      <c r="C168" s="691" t="s">
        <v>67</v>
      </c>
      <c r="D168" s="691" t="s">
        <v>73</v>
      </c>
      <c r="E168" s="692" t="s">
        <v>60</v>
      </c>
      <c r="F168" s="693" t="s">
        <v>47</v>
      </c>
      <c r="G168" s="253" t="s">
        <v>1541</v>
      </c>
      <c r="H168" s="294" t="s">
        <v>191</v>
      </c>
      <c r="I168" s="254" t="s">
        <v>155</v>
      </c>
      <c r="J168" s="255" t="s">
        <v>62</v>
      </c>
      <c r="K168" s="256" t="s">
        <v>50</v>
      </c>
      <c r="L168" s="50">
        <v>166048409</v>
      </c>
      <c r="M168" s="33">
        <v>42108</v>
      </c>
      <c r="N168" s="257" t="s">
        <v>350</v>
      </c>
      <c r="O168" s="258" t="s">
        <v>1542</v>
      </c>
      <c r="P168" s="559"/>
      <c r="Q168" s="290"/>
      <c r="R168" s="586">
        <v>0</v>
      </c>
      <c r="S168" s="585">
        <v>0</v>
      </c>
      <c r="T168" s="602">
        <v>0</v>
      </c>
      <c r="U168" s="594">
        <v>0</v>
      </c>
      <c r="V168" s="585">
        <v>0</v>
      </c>
      <c r="W168" s="602">
        <v>0</v>
      </c>
      <c r="X168" s="594">
        <v>0</v>
      </c>
      <c r="Y168" s="585">
        <v>0</v>
      </c>
      <c r="Z168" s="602">
        <v>0</v>
      </c>
      <c r="AA168" s="594">
        <v>0</v>
      </c>
      <c r="AB168" s="585">
        <v>0</v>
      </c>
      <c r="AC168" s="602">
        <v>0</v>
      </c>
      <c r="AD168" s="594">
        <v>0</v>
      </c>
      <c r="AE168" s="594">
        <v>0</v>
      </c>
      <c r="AF168" s="594">
        <v>0</v>
      </c>
      <c r="AG168" s="585">
        <v>1</v>
      </c>
      <c r="AH168" s="602">
        <v>0</v>
      </c>
      <c r="AI168" s="609">
        <v>0</v>
      </c>
      <c r="AJ168" s="609">
        <v>0</v>
      </c>
      <c r="AK168" s="740"/>
      <c r="AL168" s="524" t="s">
        <v>133</v>
      </c>
      <c r="AM168" s="253" t="s">
        <v>157</v>
      </c>
      <c r="AN168" s="36">
        <f>PRODUCTS!C3</f>
        <v>63.99</v>
      </c>
      <c r="AO168" s="252" t="s">
        <v>1540</v>
      </c>
      <c r="AP168" s="37">
        <v>99.17</v>
      </c>
      <c r="AQ168" s="792">
        <f t="shared" ref="AQ168" si="14">AP168-AN168</f>
        <v>35.18</v>
      </c>
      <c r="AR168" s="831">
        <f t="shared" si="8"/>
        <v>0.35474437834022388</v>
      </c>
      <c r="AS168" s="812"/>
      <c r="AT168" s="256" t="s">
        <v>1254</v>
      </c>
      <c r="AU168" s="38">
        <v>1</v>
      </c>
      <c r="AV168" s="252" t="s">
        <v>1508</v>
      </c>
      <c r="AW168" s="259" t="s">
        <v>1296</v>
      </c>
      <c r="AX168" s="36">
        <v>0</v>
      </c>
      <c r="AY168" s="26"/>
      <c r="AZ168" s="41">
        <v>7.29</v>
      </c>
      <c r="BA168" s="256" t="s">
        <v>1803</v>
      </c>
      <c r="BB168" s="41">
        <f>(AP167-8)*6%</f>
        <v>5.4702000000000002</v>
      </c>
      <c r="BC168" s="42"/>
      <c r="BD168" s="42"/>
      <c r="BE168" s="42"/>
      <c r="BF168" s="42"/>
      <c r="BG168" s="42"/>
      <c r="BH168" s="221"/>
      <c r="BI168" s="221"/>
      <c r="BJ168" s="221"/>
      <c r="BK168" s="221"/>
      <c r="BL168" s="221"/>
      <c r="BM168" s="221"/>
      <c r="BN168" s="221"/>
      <c r="BO168" s="221"/>
      <c r="BP168" s="221"/>
      <c r="BQ168" s="221"/>
      <c r="BR168" s="221"/>
      <c r="BS168" s="221"/>
      <c r="BT168" s="221"/>
      <c r="BU168" s="221"/>
      <c r="BV168" s="221"/>
      <c r="BW168" s="221"/>
      <c r="BX168" s="221"/>
      <c r="BY168" s="221"/>
      <c r="BZ168" s="221"/>
      <c r="CA168" s="221"/>
      <c r="CB168" s="221"/>
      <c r="CC168" s="221"/>
      <c r="CD168" s="221"/>
      <c r="CE168" s="221"/>
      <c r="CF168" s="221"/>
      <c r="CG168" s="221"/>
      <c r="CH168" s="221"/>
      <c r="CI168" s="221"/>
      <c r="CJ168" s="221"/>
      <c r="CK168" s="221"/>
      <c r="CL168" s="221"/>
      <c r="CM168" s="221"/>
      <c r="CN168" s="221"/>
      <c r="CO168" s="221"/>
      <c r="CP168" s="221"/>
      <c r="CQ168" s="221"/>
      <c r="CR168" s="221"/>
      <c r="CS168" s="221"/>
      <c r="CT168" s="221"/>
      <c r="CU168" s="221"/>
      <c r="CV168" s="221"/>
      <c r="CW168" s="221"/>
      <c r="CX168" s="221"/>
      <c r="CY168" s="221"/>
      <c r="CZ168" s="221"/>
      <c r="DA168" s="221"/>
      <c r="DB168" s="221"/>
      <c r="DC168" s="221"/>
      <c r="DD168" s="221"/>
      <c r="DE168" s="221"/>
      <c r="DF168" s="221"/>
      <c r="DG168" s="221"/>
      <c r="DH168" s="221"/>
      <c r="DI168" s="221"/>
      <c r="DJ168" s="221"/>
      <c r="DK168" s="221"/>
      <c r="DL168" s="221"/>
      <c r="DM168" s="221"/>
      <c r="DN168" s="221"/>
      <c r="DO168" s="221"/>
      <c r="DP168" s="221"/>
      <c r="DQ168" s="221"/>
      <c r="DR168" s="221"/>
      <c r="DS168" s="221"/>
      <c r="DT168" s="221"/>
      <c r="DU168" s="221"/>
      <c r="DV168" s="221"/>
      <c r="DW168" s="221"/>
      <c r="DX168" s="221"/>
      <c r="DY168" s="221"/>
      <c r="DZ168" s="221"/>
      <c r="EA168" s="221"/>
      <c r="EB168" s="221"/>
      <c r="EC168" s="221"/>
      <c r="ED168" s="221"/>
      <c r="EE168" s="221"/>
      <c r="EF168" s="221"/>
      <c r="EG168" s="221"/>
      <c r="EH168" s="221"/>
      <c r="EI168" s="221"/>
      <c r="EJ168" s="221"/>
      <c r="EK168" s="221"/>
      <c r="EL168" s="221"/>
      <c r="EM168" s="221"/>
      <c r="EN168" s="221"/>
      <c r="EO168" s="221"/>
      <c r="EP168" s="221"/>
      <c r="EQ168" s="221"/>
      <c r="ER168" s="221"/>
      <c r="ES168" s="221"/>
      <c r="ET168" s="221"/>
      <c r="EU168" s="221"/>
      <c r="EV168" s="221"/>
      <c r="EW168" s="221"/>
      <c r="EX168" s="221"/>
      <c r="EY168" s="221"/>
      <c r="EZ168" s="221"/>
      <c r="FA168" s="221"/>
      <c r="FB168" s="221"/>
      <c r="FC168" s="221"/>
      <c r="FD168" s="221"/>
      <c r="FE168" s="221"/>
      <c r="FF168" s="221"/>
      <c r="FG168" s="221"/>
      <c r="FH168" s="221"/>
      <c r="FI168" s="221"/>
      <c r="FJ168" s="221"/>
      <c r="FK168" s="221"/>
      <c r="FL168" s="221"/>
      <c r="FM168" s="221"/>
      <c r="FN168" s="221"/>
      <c r="FO168" s="221"/>
      <c r="FP168" s="221"/>
      <c r="FQ168" s="221"/>
      <c r="FR168" s="221"/>
      <c r="FS168" s="221"/>
      <c r="FT168" s="221"/>
      <c r="FU168" s="221"/>
      <c r="FV168" s="221"/>
      <c r="FW168" s="221"/>
      <c r="FX168" s="221"/>
      <c r="FY168" s="221"/>
      <c r="FZ168" s="221"/>
      <c r="GA168" s="221"/>
      <c r="GB168" s="221"/>
      <c r="GC168" s="221"/>
      <c r="GD168" s="221"/>
      <c r="GE168" s="221"/>
      <c r="GF168" s="221"/>
      <c r="GG168" s="221"/>
      <c r="GH168" s="221"/>
      <c r="GI168" s="221"/>
      <c r="GJ168" s="221"/>
      <c r="GK168" s="221"/>
      <c r="GL168" s="221"/>
      <c r="GM168" s="221"/>
      <c r="GN168" s="221"/>
      <c r="GO168" s="221"/>
      <c r="GP168" s="221"/>
      <c r="GQ168" s="221"/>
      <c r="GR168" s="221"/>
      <c r="GS168" s="221"/>
      <c r="GT168" s="221"/>
      <c r="GU168" s="221"/>
      <c r="GV168" s="221"/>
      <c r="GW168" s="221"/>
      <c r="GX168" s="221"/>
      <c r="GY168" s="221"/>
      <c r="GZ168" s="221"/>
      <c r="HA168" s="221"/>
      <c r="HB168" s="221"/>
      <c r="HC168" s="221"/>
      <c r="HD168" s="221"/>
      <c r="HE168" s="221"/>
      <c r="HF168" s="221"/>
      <c r="HG168" s="221"/>
      <c r="HH168" s="221"/>
      <c r="HI168" s="221"/>
      <c r="HJ168" s="221"/>
      <c r="HK168" s="221"/>
      <c r="HL168" s="221"/>
      <c r="HM168" s="221"/>
      <c r="HN168" s="221"/>
      <c r="HO168" s="221"/>
      <c r="HP168" s="221"/>
      <c r="HQ168" s="221"/>
      <c r="HR168" s="221"/>
      <c r="HS168" s="221"/>
      <c r="HT168" s="221"/>
      <c r="HU168" s="221"/>
      <c r="HV168" s="221"/>
      <c r="HW168" s="221"/>
      <c r="HX168" s="221"/>
      <c r="HY168" s="221"/>
      <c r="HZ168" s="221"/>
      <c r="IA168" s="221"/>
      <c r="IB168" s="221"/>
      <c r="IC168" s="221"/>
      <c r="ID168" s="221"/>
      <c r="IE168" s="221"/>
      <c r="IF168" s="221"/>
      <c r="IG168" s="221"/>
      <c r="IH168" s="221"/>
      <c r="II168" s="221"/>
      <c r="IJ168" s="221"/>
      <c r="IK168" s="221"/>
      <c r="IL168" s="221"/>
      <c r="IM168" s="221"/>
      <c r="IN168" s="221"/>
      <c r="IO168" s="221"/>
      <c r="IP168" s="221"/>
      <c r="IQ168" s="221"/>
      <c r="IR168" s="221"/>
      <c r="IS168" s="221"/>
      <c r="IT168" s="221"/>
      <c r="IU168" s="221"/>
      <c r="IV168" s="221"/>
      <c r="IW168" s="221"/>
      <c r="IX168" s="221"/>
      <c r="IY168" s="221"/>
      <c r="IZ168" s="221"/>
      <c r="JA168" s="221"/>
      <c r="JB168" s="221"/>
      <c r="JC168" s="221"/>
      <c r="JD168" s="221"/>
      <c r="JE168" s="221"/>
      <c r="JF168" s="221"/>
      <c r="JG168" s="221"/>
      <c r="JH168" s="221"/>
      <c r="JI168" s="221"/>
      <c r="JJ168" s="221"/>
      <c r="JK168" s="221"/>
      <c r="JL168" s="221"/>
      <c r="JM168" s="221"/>
      <c r="JN168" s="221"/>
      <c r="JO168" s="221"/>
      <c r="JP168" s="221"/>
      <c r="JQ168" s="221"/>
    </row>
    <row r="169" spans="1:277" ht="20" customHeight="1" outlineLevel="1">
      <c r="A169" s="456">
        <v>1904018</v>
      </c>
      <c r="B169" s="694">
        <v>42108</v>
      </c>
      <c r="C169" s="691" t="s">
        <v>67</v>
      </c>
      <c r="D169" s="691" t="s">
        <v>73</v>
      </c>
      <c r="E169" s="692" t="s">
        <v>60</v>
      </c>
      <c r="F169" s="693" t="s">
        <v>1651</v>
      </c>
      <c r="G169" s="35"/>
      <c r="H169" s="294" t="s">
        <v>191</v>
      </c>
      <c r="I169" s="254"/>
      <c r="J169" s="30"/>
      <c r="K169" s="256"/>
      <c r="L169" s="50"/>
      <c r="M169" s="33"/>
      <c r="N169" s="257" t="s">
        <v>366</v>
      </c>
      <c r="O169" s="258" t="s">
        <v>1652</v>
      </c>
      <c r="P169" s="559"/>
      <c r="Q169" s="290"/>
      <c r="R169" s="586">
        <v>0</v>
      </c>
      <c r="S169" s="585">
        <v>0</v>
      </c>
      <c r="T169" s="602">
        <v>0</v>
      </c>
      <c r="U169" s="594">
        <v>0</v>
      </c>
      <c r="V169" s="585">
        <v>0</v>
      </c>
      <c r="W169" s="602">
        <v>0</v>
      </c>
      <c r="X169" s="594">
        <v>0</v>
      </c>
      <c r="Y169" s="585">
        <v>0</v>
      </c>
      <c r="Z169" s="602">
        <v>0</v>
      </c>
      <c r="AA169" s="594">
        <v>0</v>
      </c>
      <c r="AB169" s="585">
        <v>0</v>
      </c>
      <c r="AC169" s="602">
        <v>0</v>
      </c>
      <c r="AD169" s="594">
        <v>0</v>
      </c>
      <c r="AE169" s="594">
        <v>0</v>
      </c>
      <c r="AF169" s="594">
        <v>0</v>
      </c>
      <c r="AG169" s="585">
        <v>0</v>
      </c>
      <c r="AH169" s="602">
        <v>0</v>
      </c>
      <c r="AI169" s="609">
        <v>0</v>
      </c>
      <c r="AJ169" s="609">
        <v>0</v>
      </c>
      <c r="AK169" s="740"/>
      <c r="AL169" s="524" t="s">
        <v>376</v>
      </c>
      <c r="AM169" s="253"/>
      <c r="AN169" s="36">
        <v>0</v>
      </c>
      <c r="AO169" s="26"/>
      <c r="AP169" s="37">
        <v>0</v>
      </c>
      <c r="AQ169" s="792">
        <f t="shared" si="13"/>
        <v>0</v>
      </c>
      <c r="AR169" s="831" t="s">
        <v>47</v>
      </c>
      <c r="AS169" s="812" t="s">
        <v>47</v>
      </c>
      <c r="AT169" s="31"/>
      <c r="AU169" s="38"/>
      <c r="AV169" s="26"/>
      <c r="AW169" s="39"/>
      <c r="AX169" s="36"/>
      <c r="AY169" s="26"/>
      <c r="AZ169" s="41"/>
      <c r="BA169" s="31" t="s">
        <v>47</v>
      </c>
      <c r="BB169" s="41">
        <v>0</v>
      </c>
      <c r="BC169" s="42"/>
      <c r="BD169" s="42"/>
      <c r="BE169" s="42"/>
      <c r="BF169" s="42"/>
      <c r="BG169" s="42"/>
      <c r="BH169" s="221"/>
      <c r="BI169" s="221"/>
      <c r="BJ169" s="221"/>
      <c r="BK169" s="221"/>
      <c r="BL169" s="221"/>
      <c r="BM169" s="221"/>
      <c r="BN169" s="221"/>
      <c r="BO169" s="221"/>
      <c r="BP169" s="221"/>
      <c r="BQ169" s="221"/>
      <c r="BR169" s="221"/>
      <c r="BS169" s="221"/>
      <c r="BT169" s="221"/>
      <c r="BU169" s="221"/>
      <c r="BV169" s="221"/>
      <c r="BW169" s="221"/>
      <c r="BX169" s="221"/>
      <c r="BY169" s="221"/>
      <c r="BZ169" s="221"/>
      <c r="CA169" s="221"/>
      <c r="CB169" s="221"/>
      <c r="CC169" s="221"/>
      <c r="CD169" s="221"/>
      <c r="CE169" s="221"/>
      <c r="CF169" s="221"/>
      <c r="CG169" s="221"/>
      <c r="CH169" s="221"/>
      <c r="CI169" s="221"/>
      <c r="CJ169" s="221"/>
      <c r="CK169" s="221"/>
      <c r="CL169" s="221"/>
      <c r="CM169" s="221"/>
      <c r="CN169" s="221"/>
      <c r="CO169" s="221"/>
      <c r="CP169" s="221"/>
      <c r="CQ169" s="221"/>
      <c r="CR169" s="221"/>
      <c r="CS169" s="221"/>
      <c r="CT169" s="221"/>
      <c r="CU169" s="221"/>
      <c r="CV169" s="221"/>
      <c r="CW169" s="221"/>
      <c r="CX169" s="221"/>
      <c r="CY169" s="221"/>
      <c r="CZ169" s="221"/>
      <c r="DA169" s="221"/>
      <c r="DB169" s="221"/>
      <c r="DC169" s="221"/>
      <c r="DD169" s="221"/>
      <c r="DE169" s="221"/>
      <c r="DF169" s="221"/>
      <c r="DG169" s="221"/>
      <c r="DH169" s="221"/>
      <c r="DI169" s="221"/>
      <c r="DJ169" s="221"/>
      <c r="DK169" s="221"/>
      <c r="DL169" s="221"/>
      <c r="DM169" s="221"/>
      <c r="DN169" s="221"/>
      <c r="DO169" s="221"/>
      <c r="DP169" s="221"/>
      <c r="DQ169" s="221"/>
      <c r="DR169" s="221"/>
      <c r="DS169" s="221"/>
      <c r="DT169" s="221"/>
      <c r="DU169" s="221"/>
      <c r="DV169" s="221"/>
      <c r="DW169" s="221"/>
      <c r="DX169" s="221"/>
      <c r="DY169" s="221"/>
      <c r="DZ169" s="221"/>
      <c r="EA169" s="221"/>
      <c r="EB169" s="221"/>
      <c r="EC169" s="221"/>
      <c r="ED169" s="221"/>
      <c r="EE169" s="221"/>
      <c r="EF169" s="221"/>
      <c r="EG169" s="221"/>
      <c r="EH169" s="221"/>
      <c r="EI169" s="221"/>
      <c r="EJ169" s="221"/>
      <c r="EK169" s="221"/>
      <c r="EL169" s="221"/>
      <c r="EM169" s="221"/>
      <c r="EN169" s="221"/>
      <c r="EO169" s="221"/>
      <c r="EP169" s="221"/>
      <c r="EQ169" s="221"/>
      <c r="ER169" s="221"/>
      <c r="ES169" s="221"/>
      <c r="ET169" s="221"/>
      <c r="EU169" s="221"/>
      <c r="EV169" s="221"/>
      <c r="EW169" s="221"/>
      <c r="EX169" s="221"/>
      <c r="EY169" s="221"/>
      <c r="EZ169" s="221"/>
      <c r="FA169" s="221"/>
      <c r="FB169" s="221"/>
      <c r="FC169" s="221"/>
      <c r="FD169" s="221"/>
      <c r="FE169" s="221"/>
      <c r="FF169" s="221"/>
      <c r="FG169" s="221"/>
      <c r="FH169" s="221"/>
      <c r="FI169" s="221"/>
      <c r="FJ169" s="221"/>
      <c r="FK169" s="221"/>
      <c r="FL169" s="221"/>
      <c r="FM169" s="221"/>
      <c r="FN169" s="221"/>
      <c r="FO169" s="221"/>
      <c r="FP169" s="221"/>
      <c r="FQ169" s="221"/>
      <c r="FR169" s="221"/>
      <c r="FS169" s="221"/>
      <c r="FT169" s="221"/>
      <c r="FU169" s="221"/>
      <c r="FV169" s="221"/>
      <c r="FW169" s="221"/>
      <c r="FX169" s="221"/>
      <c r="FY169" s="221"/>
      <c r="FZ169" s="221"/>
      <c r="GA169" s="221"/>
      <c r="GB169" s="221"/>
      <c r="GC169" s="221"/>
      <c r="GD169" s="221"/>
      <c r="GE169" s="221"/>
      <c r="GF169" s="221"/>
      <c r="GG169" s="221"/>
      <c r="GH169" s="221"/>
      <c r="GI169" s="221"/>
      <c r="GJ169" s="221"/>
      <c r="GK169" s="221"/>
      <c r="GL169" s="221"/>
      <c r="GM169" s="221"/>
      <c r="GN169" s="221"/>
      <c r="GO169" s="221"/>
      <c r="GP169" s="221"/>
      <c r="GQ169" s="221"/>
      <c r="GR169" s="221"/>
      <c r="GS169" s="221"/>
      <c r="GT169" s="221"/>
      <c r="GU169" s="221"/>
      <c r="GV169" s="221"/>
      <c r="GW169" s="221"/>
      <c r="GX169" s="221"/>
      <c r="GY169" s="221"/>
      <c r="GZ169" s="221"/>
      <c r="HA169" s="221"/>
      <c r="HB169" s="221"/>
      <c r="HC169" s="221"/>
      <c r="HD169" s="221"/>
      <c r="HE169" s="221"/>
      <c r="HF169" s="221"/>
      <c r="HG169" s="221"/>
      <c r="HH169" s="221"/>
      <c r="HI169" s="221"/>
      <c r="HJ169" s="221"/>
      <c r="HK169" s="221"/>
      <c r="HL169" s="221"/>
      <c r="HM169" s="221"/>
      <c r="HN169" s="221"/>
      <c r="HO169" s="221"/>
      <c r="HP169" s="221"/>
      <c r="HQ169" s="221"/>
      <c r="HR169" s="221"/>
      <c r="HS169" s="221"/>
      <c r="HT169" s="221"/>
      <c r="HU169" s="221"/>
      <c r="HV169" s="221"/>
      <c r="HW169" s="221"/>
      <c r="HX169" s="221"/>
      <c r="HY169" s="221"/>
      <c r="HZ169" s="221"/>
      <c r="IA169" s="221"/>
      <c r="IB169" s="221"/>
      <c r="IC169" s="221"/>
      <c r="ID169" s="221"/>
      <c r="IE169" s="221"/>
      <c r="IF169" s="221"/>
      <c r="IG169" s="221"/>
      <c r="IH169" s="221"/>
      <c r="II169" s="221"/>
      <c r="IJ169" s="221"/>
      <c r="IK169" s="221"/>
      <c r="IL169" s="221"/>
      <c r="IM169" s="221"/>
      <c r="IN169" s="221"/>
      <c r="IO169" s="221"/>
      <c r="IP169" s="221"/>
      <c r="IQ169" s="221"/>
      <c r="IR169" s="221"/>
      <c r="IS169" s="221"/>
      <c r="IT169" s="221"/>
      <c r="IU169" s="221"/>
      <c r="IV169" s="221"/>
      <c r="IW169" s="221"/>
      <c r="IX169" s="221"/>
      <c r="IY169" s="221"/>
      <c r="IZ169" s="221"/>
      <c r="JA169" s="221"/>
      <c r="JB169" s="221"/>
      <c r="JC169" s="221"/>
      <c r="JD169" s="221"/>
      <c r="JE169" s="221"/>
      <c r="JF169" s="221"/>
      <c r="JG169" s="221"/>
      <c r="JH169" s="221"/>
      <c r="JI169" s="221"/>
      <c r="JJ169" s="221"/>
      <c r="JK169" s="221"/>
      <c r="JL169" s="221"/>
      <c r="JM169" s="221"/>
      <c r="JN169" s="221"/>
      <c r="JO169" s="221"/>
      <c r="JP169" s="221"/>
      <c r="JQ169" s="221"/>
    </row>
    <row r="170" spans="1:277" ht="28" outlineLevel="1">
      <c r="A170" s="456">
        <v>1904019</v>
      </c>
      <c r="B170" s="694">
        <v>42109</v>
      </c>
      <c r="C170" s="691" t="s">
        <v>44</v>
      </c>
      <c r="D170" s="691" t="s">
        <v>73</v>
      </c>
      <c r="E170" s="692" t="s">
        <v>1653</v>
      </c>
      <c r="F170" s="693" t="s">
        <v>1654</v>
      </c>
      <c r="G170" s="35"/>
      <c r="H170" s="294" t="s">
        <v>191</v>
      </c>
      <c r="I170" s="254"/>
      <c r="J170" s="30"/>
      <c r="K170" s="256"/>
      <c r="L170" s="50"/>
      <c r="M170" s="33"/>
      <c r="N170" s="257" t="s">
        <v>1655</v>
      </c>
      <c r="O170" s="258" t="s">
        <v>1656</v>
      </c>
      <c r="P170" s="559"/>
      <c r="Q170" s="290"/>
      <c r="R170" s="586">
        <v>0</v>
      </c>
      <c r="S170" s="585">
        <v>0</v>
      </c>
      <c r="T170" s="602">
        <v>0</v>
      </c>
      <c r="U170" s="594">
        <v>0</v>
      </c>
      <c r="V170" s="585">
        <v>0</v>
      </c>
      <c r="W170" s="602">
        <v>0</v>
      </c>
      <c r="X170" s="594">
        <v>0</v>
      </c>
      <c r="Y170" s="585">
        <v>0</v>
      </c>
      <c r="Z170" s="602">
        <v>0</v>
      </c>
      <c r="AA170" s="594">
        <v>0</v>
      </c>
      <c r="AB170" s="585">
        <v>0</v>
      </c>
      <c r="AC170" s="602">
        <v>0</v>
      </c>
      <c r="AD170" s="594">
        <v>0</v>
      </c>
      <c r="AE170" s="594">
        <v>0</v>
      </c>
      <c r="AF170" s="594">
        <v>0</v>
      </c>
      <c r="AG170" s="585">
        <v>0</v>
      </c>
      <c r="AH170" s="602">
        <v>0</v>
      </c>
      <c r="AI170" s="609">
        <v>0</v>
      </c>
      <c r="AJ170" s="609">
        <v>0</v>
      </c>
      <c r="AK170" s="740"/>
      <c r="AL170" s="524" t="s">
        <v>133</v>
      </c>
      <c r="AM170" s="253" t="s">
        <v>157</v>
      </c>
      <c r="AN170" s="36">
        <v>63.99</v>
      </c>
      <c r="AO170" s="26"/>
      <c r="AP170" s="37">
        <v>99.17</v>
      </c>
      <c r="AQ170" s="792">
        <f t="shared" si="13"/>
        <v>35.18</v>
      </c>
      <c r="AR170" s="831">
        <f t="shared" ref="AR170:AR209" si="15">AQ170/AP170</f>
        <v>0.35474437834022388</v>
      </c>
      <c r="AS170" s="812"/>
      <c r="AT170" s="31"/>
      <c r="AU170" s="38"/>
      <c r="AV170" s="26"/>
      <c r="AW170" s="39"/>
      <c r="AX170" s="36"/>
      <c r="AY170" s="26"/>
      <c r="AZ170" s="41"/>
      <c r="BA170" s="31" t="s">
        <v>47</v>
      </c>
      <c r="BB170" s="41">
        <v>0</v>
      </c>
      <c r="BC170" s="42"/>
      <c r="BD170" s="42"/>
      <c r="BE170" s="42"/>
      <c r="BF170" s="42"/>
      <c r="BG170" s="42"/>
      <c r="BH170" s="221"/>
      <c r="BI170" s="221"/>
      <c r="BJ170" s="221"/>
      <c r="BK170" s="221"/>
      <c r="BL170" s="221"/>
      <c r="BM170" s="221"/>
      <c r="BN170" s="221"/>
      <c r="BO170" s="221"/>
      <c r="BP170" s="221"/>
      <c r="BQ170" s="221"/>
      <c r="BR170" s="221"/>
      <c r="BS170" s="221"/>
      <c r="BT170" s="221"/>
      <c r="BU170" s="221"/>
      <c r="BV170" s="221"/>
      <c r="BW170" s="221"/>
      <c r="BX170" s="221"/>
      <c r="BY170" s="221"/>
      <c r="BZ170" s="221"/>
      <c r="CA170" s="221"/>
      <c r="CB170" s="221"/>
      <c r="CC170" s="221"/>
      <c r="CD170" s="221"/>
      <c r="CE170" s="221"/>
      <c r="CF170" s="221"/>
      <c r="CG170" s="221"/>
      <c r="CH170" s="221"/>
      <c r="CI170" s="221"/>
      <c r="CJ170" s="221"/>
      <c r="CK170" s="221"/>
      <c r="CL170" s="221"/>
      <c r="CM170" s="221"/>
      <c r="CN170" s="221"/>
      <c r="CO170" s="221"/>
      <c r="CP170" s="221"/>
      <c r="CQ170" s="221"/>
      <c r="CR170" s="221"/>
      <c r="CS170" s="221"/>
      <c r="CT170" s="221"/>
      <c r="CU170" s="221"/>
      <c r="CV170" s="221"/>
      <c r="CW170" s="221"/>
      <c r="CX170" s="221"/>
      <c r="CY170" s="221"/>
      <c r="CZ170" s="221"/>
      <c r="DA170" s="221"/>
      <c r="DB170" s="221"/>
      <c r="DC170" s="221"/>
      <c r="DD170" s="221"/>
      <c r="DE170" s="221"/>
      <c r="DF170" s="221"/>
      <c r="DG170" s="221"/>
      <c r="DH170" s="221"/>
      <c r="DI170" s="221"/>
      <c r="DJ170" s="221"/>
      <c r="DK170" s="221"/>
      <c r="DL170" s="221"/>
      <c r="DM170" s="221"/>
      <c r="DN170" s="221"/>
      <c r="DO170" s="221"/>
      <c r="DP170" s="221"/>
      <c r="DQ170" s="221"/>
      <c r="DR170" s="221"/>
      <c r="DS170" s="221"/>
      <c r="DT170" s="221"/>
      <c r="DU170" s="221"/>
      <c r="DV170" s="221"/>
      <c r="DW170" s="221"/>
      <c r="DX170" s="221"/>
      <c r="DY170" s="221"/>
      <c r="DZ170" s="221"/>
      <c r="EA170" s="221"/>
      <c r="EB170" s="221"/>
      <c r="EC170" s="221"/>
      <c r="ED170" s="221"/>
      <c r="EE170" s="221"/>
      <c r="EF170" s="221"/>
      <c r="EG170" s="221"/>
      <c r="EH170" s="221"/>
      <c r="EI170" s="221"/>
      <c r="EJ170" s="221"/>
      <c r="EK170" s="221"/>
      <c r="EL170" s="221"/>
      <c r="EM170" s="221"/>
      <c r="EN170" s="221"/>
      <c r="EO170" s="221"/>
      <c r="EP170" s="221"/>
      <c r="EQ170" s="221"/>
      <c r="ER170" s="221"/>
      <c r="ES170" s="221"/>
      <c r="ET170" s="221"/>
      <c r="EU170" s="221"/>
      <c r="EV170" s="221"/>
      <c r="EW170" s="221"/>
      <c r="EX170" s="221"/>
      <c r="EY170" s="221"/>
      <c r="EZ170" s="221"/>
      <c r="FA170" s="221"/>
      <c r="FB170" s="221"/>
      <c r="FC170" s="221"/>
      <c r="FD170" s="221"/>
      <c r="FE170" s="221"/>
      <c r="FF170" s="221"/>
      <c r="FG170" s="221"/>
      <c r="FH170" s="221"/>
      <c r="FI170" s="221"/>
      <c r="FJ170" s="221"/>
      <c r="FK170" s="221"/>
      <c r="FL170" s="221"/>
      <c r="FM170" s="221"/>
      <c r="FN170" s="221"/>
      <c r="FO170" s="221"/>
      <c r="FP170" s="221"/>
      <c r="FQ170" s="221"/>
      <c r="FR170" s="221"/>
      <c r="FS170" s="221"/>
      <c r="FT170" s="221"/>
      <c r="FU170" s="221"/>
      <c r="FV170" s="221"/>
      <c r="FW170" s="221"/>
      <c r="FX170" s="221"/>
      <c r="FY170" s="221"/>
      <c r="FZ170" s="221"/>
      <c r="GA170" s="221"/>
      <c r="GB170" s="221"/>
      <c r="GC170" s="221"/>
      <c r="GD170" s="221"/>
      <c r="GE170" s="221"/>
      <c r="GF170" s="221"/>
      <c r="GG170" s="221"/>
      <c r="GH170" s="221"/>
      <c r="GI170" s="221"/>
      <c r="GJ170" s="221"/>
      <c r="GK170" s="221"/>
      <c r="GL170" s="221"/>
      <c r="GM170" s="221"/>
      <c r="GN170" s="221"/>
      <c r="GO170" s="221"/>
      <c r="GP170" s="221"/>
      <c r="GQ170" s="221"/>
      <c r="GR170" s="221"/>
      <c r="GS170" s="221"/>
      <c r="GT170" s="221"/>
      <c r="GU170" s="221"/>
      <c r="GV170" s="221"/>
      <c r="GW170" s="221"/>
      <c r="GX170" s="221"/>
      <c r="GY170" s="221"/>
      <c r="GZ170" s="221"/>
      <c r="HA170" s="221"/>
      <c r="HB170" s="221"/>
      <c r="HC170" s="221"/>
      <c r="HD170" s="221"/>
      <c r="HE170" s="221"/>
      <c r="HF170" s="221"/>
      <c r="HG170" s="221"/>
      <c r="HH170" s="221"/>
      <c r="HI170" s="221"/>
      <c r="HJ170" s="221"/>
      <c r="HK170" s="221"/>
      <c r="HL170" s="221"/>
      <c r="HM170" s="221"/>
      <c r="HN170" s="221"/>
      <c r="HO170" s="221"/>
      <c r="HP170" s="221"/>
      <c r="HQ170" s="221"/>
      <c r="HR170" s="221"/>
      <c r="HS170" s="221"/>
      <c r="HT170" s="221"/>
      <c r="HU170" s="221"/>
      <c r="HV170" s="221"/>
      <c r="HW170" s="221"/>
      <c r="HX170" s="221"/>
      <c r="HY170" s="221"/>
      <c r="HZ170" s="221"/>
      <c r="IA170" s="221"/>
      <c r="IB170" s="221"/>
      <c r="IC170" s="221"/>
      <c r="ID170" s="221"/>
      <c r="IE170" s="221"/>
      <c r="IF170" s="221"/>
      <c r="IG170" s="221"/>
      <c r="IH170" s="221"/>
      <c r="II170" s="221"/>
      <c r="IJ170" s="221"/>
      <c r="IK170" s="221"/>
      <c r="IL170" s="221"/>
      <c r="IM170" s="221"/>
      <c r="IN170" s="221"/>
      <c r="IO170" s="221"/>
      <c r="IP170" s="221"/>
      <c r="IQ170" s="221"/>
      <c r="IR170" s="221"/>
      <c r="IS170" s="221"/>
      <c r="IT170" s="221"/>
      <c r="IU170" s="221"/>
      <c r="IV170" s="221"/>
      <c r="IW170" s="221"/>
      <c r="IX170" s="221"/>
      <c r="IY170" s="221"/>
      <c r="IZ170" s="221"/>
      <c r="JA170" s="221"/>
      <c r="JB170" s="221"/>
      <c r="JC170" s="221"/>
      <c r="JD170" s="221"/>
      <c r="JE170" s="221"/>
      <c r="JF170" s="221"/>
      <c r="JG170" s="221"/>
      <c r="JH170" s="221"/>
      <c r="JI170" s="221"/>
      <c r="JJ170" s="221"/>
      <c r="JK170" s="221"/>
      <c r="JL170" s="221"/>
      <c r="JM170" s="221"/>
      <c r="JN170" s="221"/>
      <c r="JO170" s="221"/>
      <c r="JP170" s="221"/>
      <c r="JQ170" s="221"/>
    </row>
    <row r="171" spans="1:277" ht="19" customHeight="1" outlineLevel="1">
      <c r="A171" s="456">
        <v>1904020</v>
      </c>
      <c r="B171" s="694">
        <v>42109</v>
      </c>
      <c r="C171" s="691" t="s">
        <v>1523</v>
      </c>
      <c r="D171" s="691" t="s">
        <v>1259</v>
      </c>
      <c r="E171" s="692" t="s">
        <v>60</v>
      </c>
      <c r="F171" s="693" t="s">
        <v>47</v>
      </c>
      <c r="G171" s="253" t="s">
        <v>1544</v>
      </c>
      <c r="H171" s="294" t="s">
        <v>191</v>
      </c>
      <c r="I171" s="254" t="s">
        <v>155</v>
      </c>
      <c r="J171" s="255" t="s">
        <v>62</v>
      </c>
      <c r="K171" s="256" t="s">
        <v>50</v>
      </c>
      <c r="L171" s="50"/>
      <c r="M171" s="33">
        <v>42094</v>
      </c>
      <c r="N171" s="257" t="s">
        <v>136</v>
      </c>
      <c r="O171" s="258" t="s">
        <v>1821</v>
      </c>
      <c r="P171" s="559"/>
      <c r="Q171" s="290"/>
      <c r="R171" s="586">
        <v>0</v>
      </c>
      <c r="S171" s="585">
        <v>0</v>
      </c>
      <c r="T171" s="602">
        <v>0</v>
      </c>
      <c r="U171" s="594">
        <v>0</v>
      </c>
      <c r="V171" s="585">
        <v>0</v>
      </c>
      <c r="W171" s="602">
        <v>0</v>
      </c>
      <c r="X171" s="594">
        <v>0</v>
      </c>
      <c r="Y171" s="585">
        <v>0</v>
      </c>
      <c r="Z171" s="602">
        <v>0</v>
      </c>
      <c r="AA171" s="594">
        <v>0</v>
      </c>
      <c r="AB171" s="585">
        <v>0</v>
      </c>
      <c r="AC171" s="602">
        <v>0</v>
      </c>
      <c r="AD171" s="594">
        <v>0</v>
      </c>
      <c r="AE171" s="594">
        <v>0</v>
      </c>
      <c r="AF171" s="594">
        <v>0</v>
      </c>
      <c r="AG171" s="585">
        <v>1</v>
      </c>
      <c r="AH171" s="602">
        <v>0</v>
      </c>
      <c r="AI171" s="609">
        <v>0</v>
      </c>
      <c r="AJ171" s="609">
        <v>0</v>
      </c>
      <c r="AK171" s="740"/>
      <c r="AL171" s="524" t="s">
        <v>133</v>
      </c>
      <c r="AM171" s="253" t="s">
        <v>157</v>
      </c>
      <c r="AN171" s="36">
        <v>63.99</v>
      </c>
      <c r="AO171" s="252" t="s">
        <v>1622</v>
      </c>
      <c r="AP171" s="37">
        <v>99.17</v>
      </c>
      <c r="AQ171" s="792">
        <f t="shared" si="13"/>
        <v>35.18</v>
      </c>
      <c r="AR171" s="831">
        <f t="shared" si="15"/>
        <v>0.35474437834022388</v>
      </c>
      <c r="AS171" s="812"/>
      <c r="AT171" s="256" t="s">
        <v>1254</v>
      </c>
      <c r="AU171" s="38">
        <v>1</v>
      </c>
      <c r="AV171" s="252" t="s">
        <v>1508</v>
      </c>
      <c r="AW171" s="259" t="s">
        <v>1296</v>
      </c>
      <c r="AX171" s="36">
        <v>0</v>
      </c>
      <c r="AY171" s="26"/>
      <c r="AZ171" s="41">
        <v>7.29</v>
      </c>
      <c r="BA171" s="256" t="s">
        <v>1802</v>
      </c>
      <c r="BB171" s="41">
        <v>5.47</v>
      </c>
      <c r="BC171" s="42"/>
      <c r="BD171" s="42"/>
      <c r="BE171" s="42"/>
      <c r="BF171" s="42"/>
      <c r="BG171" s="42"/>
      <c r="BH171" s="221"/>
      <c r="BI171" s="221"/>
      <c r="BJ171" s="221"/>
      <c r="BK171" s="221"/>
      <c r="BL171" s="221"/>
      <c r="BM171" s="221"/>
      <c r="BN171" s="221"/>
      <c r="BO171" s="221"/>
      <c r="BP171" s="221"/>
      <c r="BQ171" s="221"/>
      <c r="BR171" s="221"/>
      <c r="BS171" s="221"/>
      <c r="BT171" s="221"/>
      <c r="BU171" s="221"/>
      <c r="BV171" s="221"/>
      <c r="BW171" s="221"/>
      <c r="BX171" s="221"/>
      <c r="BY171" s="221"/>
      <c r="BZ171" s="221"/>
      <c r="CA171" s="221"/>
      <c r="CB171" s="221"/>
      <c r="CC171" s="221"/>
      <c r="CD171" s="221"/>
      <c r="CE171" s="221"/>
      <c r="CF171" s="221"/>
      <c r="CG171" s="221"/>
      <c r="CH171" s="221"/>
      <c r="CI171" s="221"/>
      <c r="CJ171" s="221"/>
      <c r="CK171" s="221"/>
      <c r="CL171" s="221"/>
      <c r="CM171" s="221"/>
      <c r="CN171" s="221"/>
      <c r="CO171" s="221"/>
      <c r="CP171" s="221"/>
      <c r="CQ171" s="221"/>
      <c r="CR171" s="221"/>
      <c r="CS171" s="221"/>
      <c r="CT171" s="221"/>
      <c r="CU171" s="221"/>
      <c r="CV171" s="221"/>
      <c r="CW171" s="221"/>
      <c r="CX171" s="221"/>
      <c r="CY171" s="221"/>
      <c r="CZ171" s="221"/>
      <c r="DA171" s="221"/>
      <c r="DB171" s="221"/>
      <c r="DC171" s="221"/>
      <c r="DD171" s="221"/>
      <c r="DE171" s="221"/>
      <c r="DF171" s="221"/>
      <c r="DG171" s="221"/>
      <c r="DH171" s="221"/>
      <c r="DI171" s="221"/>
      <c r="DJ171" s="221"/>
      <c r="DK171" s="221"/>
      <c r="DL171" s="221"/>
      <c r="DM171" s="221"/>
      <c r="DN171" s="221"/>
      <c r="DO171" s="221"/>
      <c r="DP171" s="221"/>
      <c r="DQ171" s="221"/>
      <c r="DR171" s="221"/>
      <c r="DS171" s="221"/>
      <c r="DT171" s="221"/>
      <c r="DU171" s="221"/>
      <c r="DV171" s="221"/>
      <c r="DW171" s="221"/>
      <c r="DX171" s="221"/>
      <c r="DY171" s="221"/>
      <c r="DZ171" s="221"/>
      <c r="EA171" s="221"/>
      <c r="EB171" s="221"/>
      <c r="EC171" s="221"/>
      <c r="ED171" s="221"/>
      <c r="EE171" s="221"/>
      <c r="EF171" s="221"/>
      <c r="EG171" s="221"/>
      <c r="EH171" s="221"/>
      <c r="EI171" s="221"/>
      <c r="EJ171" s="221"/>
      <c r="EK171" s="221"/>
      <c r="EL171" s="221"/>
      <c r="EM171" s="221"/>
      <c r="EN171" s="221"/>
      <c r="EO171" s="221"/>
      <c r="EP171" s="221"/>
      <c r="EQ171" s="221"/>
      <c r="ER171" s="221"/>
      <c r="ES171" s="221"/>
      <c r="ET171" s="221"/>
      <c r="EU171" s="221"/>
      <c r="EV171" s="221"/>
      <c r="EW171" s="221"/>
      <c r="EX171" s="221"/>
      <c r="EY171" s="221"/>
      <c r="EZ171" s="221"/>
      <c r="FA171" s="221"/>
      <c r="FB171" s="221"/>
      <c r="FC171" s="221"/>
      <c r="FD171" s="221"/>
      <c r="FE171" s="221"/>
      <c r="FF171" s="221"/>
      <c r="FG171" s="221"/>
      <c r="FH171" s="221"/>
      <c r="FI171" s="221"/>
      <c r="FJ171" s="221"/>
      <c r="FK171" s="221"/>
      <c r="FL171" s="221"/>
      <c r="FM171" s="221"/>
      <c r="FN171" s="221"/>
      <c r="FO171" s="221"/>
      <c r="FP171" s="221"/>
      <c r="FQ171" s="221"/>
      <c r="FR171" s="221"/>
      <c r="FS171" s="221"/>
      <c r="FT171" s="221"/>
      <c r="FU171" s="221"/>
      <c r="FV171" s="221"/>
      <c r="FW171" s="221"/>
      <c r="FX171" s="221"/>
      <c r="FY171" s="221"/>
      <c r="FZ171" s="221"/>
      <c r="GA171" s="221"/>
      <c r="GB171" s="221"/>
      <c r="GC171" s="221"/>
      <c r="GD171" s="221"/>
      <c r="GE171" s="221"/>
      <c r="GF171" s="221"/>
      <c r="GG171" s="221"/>
      <c r="GH171" s="221"/>
      <c r="GI171" s="221"/>
      <c r="GJ171" s="221"/>
      <c r="GK171" s="221"/>
      <c r="GL171" s="221"/>
      <c r="GM171" s="221"/>
      <c r="GN171" s="221"/>
      <c r="GO171" s="221"/>
      <c r="GP171" s="221"/>
      <c r="GQ171" s="221"/>
      <c r="GR171" s="221"/>
      <c r="GS171" s="221"/>
      <c r="GT171" s="221"/>
      <c r="GU171" s="221"/>
      <c r="GV171" s="221"/>
      <c r="GW171" s="221"/>
      <c r="GX171" s="221"/>
      <c r="GY171" s="221"/>
      <c r="GZ171" s="221"/>
      <c r="HA171" s="221"/>
      <c r="HB171" s="221"/>
      <c r="HC171" s="221"/>
      <c r="HD171" s="221"/>
      <c r="HE171" s="221"/>
      <c r="HF171" s="221"/>
      <c r="HG171" s="221"/>
      <c r="HH171" s="221"/>
      <c r="HI171" s="221"/>
      <c r="HJ171" s="221"/>
      <c r="HK171" s="221"/>
      <c r="HL171" s="221"/>
      <c r="HM171" s="221"/>
      <c r="HN171" s="221"/>
      <c r="HO171" s="221"/>
      <c r="HP171" s="221"/>
      <c r="HQ171" s="221"/>
      <c r="HR171" s="221"/>
      <c r="HS171" s="221"/>
      <c r="HT171" s="221"/>
      <c r="HU171" s="221"/>
      <c r="HV171" s="221"/>
      <c r="HW171" s="221"/>
      <c r="HX171" s="221"/>
      <c r="HY171" s="221"/>
      <c r="HZ171" s="221"/>
      <c r="IA171" s="221"/>
      <c r="IB171" s="221"/>
      <c r="IC171" s="221"/>
      <c r="ID171" s="221"/>
      <c r="IE171" s="221"/>
      <c r="IF171" s="221"/>
      <c r="IG171" s="221"/>
      <c r="IH171" s="221"/>
      <c r="II171" s="221"/>
      <c r="IJ171" s="221"/>
      <c r="IK171" s="221"/>
      <c r="IL171" s="221"/>
      <c r="IM171" s="221"/>
      <c r="IN171" s="221"/>
      <c r="IO171" s="221"/>
      <c r="IP171" s="221"/>
      <c r="IQ171" s="221"/>
      <c r="IR171" s="221"/>
      <c r="IS171" s="221"/>
      <c r="IT171" s="221"/>
      <c r="IU171" s="221"/>
      <c r="IV171" s="221"/>
      <c r="IW171" s="221"/>
      <c r="IX171" s="221"/>
      <c r="IY171" s="221"/>
      <c r="IZ171" s="221"/>
      <c r="JA171" s="221"/>
      <c r="JB171" s="221"/>
      <c r="JC171" s="221"/>
      <c r="JD171" s="221"/>
      <c r="JE171" s="221"/>
      <c r="JF171" s="221"/>
      <c r="JG171" s="221"/>
      <c r="JH171" s="221"/>
      <c r="JI171" s="221"/>
      <c r="JJ171" s="221"/>
      <c r="JK171" s="221"/>
      <c r="JL171" s="221"/>
      <c r="JM171" s="221"/>
      <c r="JN171" s="221"/>
      <c r="JO171" s="221"/>
      <c r="JP171" s="221"/>
      <c r="JQ171" s="221"/>
    </row>
    <row r="172" spans="1:277" ht="19" customHeight="1" outlineLevel="1">
      <c r="A172" s="456">
        <v>1904021</v>
      </c>
      <c r="B172" s="694">
        <v>42109</v>
      </c>
      <c r="C172" s="691" t="s">
        <v>1523</v>
      </c>
      <c r="D172" s="691" t="s">
        <v>1259</v>
      </c>
      <c r="E172" s="692" t="s">
        <v>60</v>
      </c>
      <c r="F172" s="693" t="s">
        <v>47</v>
      </c>
      <c r="G172" s="253" t="s">
        <v>1545</v>
      </c>
      <c r="H172" s="294" t="s">
        <v>191</v>
      </c>
      <c r="I172" s="254" t="s">
        <v>155</v>
      </c>
      <c r="J172" s="255" t="s">
        <v>62</v>
      </c>
      <c r="K172" s="256" t="s">
        <v>50</v>
      </c>
      <c r="L172" s="50"/>
      <c r="M172" s="33">
        <v>42094</v>
      </c>
      <c r="N172" s="257" t="s">
        <v>136</v>
      </c>
      <c r="O172" s="258" t="s">
        <v>1822</v>
      </c>
      <c r="P172" s="559"/>
      <c r="Q172" s="290"/>
      <c r="R172" s="586">
        <v>0</v>
      </c>
      <c r="S172" s="585">
        <v>0</v>
      </c>
      <c r="T172" s="602">
        <v>0</v>
      </c>
      <c r="U172" s="594">
        <v>0</v>
      </c>
      <c r="V172" s="585">
        <v>0</v>
      </c>
      <c r="W172" s="602">
        <v>0</v>
      </c>
      <c r="X172" s="594">
        <v>0</v>
      </c>
      <c r="Y172" s="585">
        <v>0</v>
      </c>
      <c r="Z172" s="602">
        <v>0</v>
      </c>
      <c r="AA172" s="594">
        <v>0</v>
      </c>
      <c r="AB172" s="585">
        <v>0</v>
      </c>
      <c r="AC172" s="602">
        <v>0</v>
      </c>
      <c r="AD172" s="594">
        <v>0</v>
      </c>
      <c r="AE172" s="594">
        <v>0</v>
      </c>
      <c r="AF172" s="594">
        <v>0</v>
      </c>
      <c r="AG172" s="585">
        <v>1</v>
      </c>
      <c r="AH172" s="602">
        <v>0</v>
      </c>
      <c r="AI172" s="609">
        <v>0</v>
      </c>
      <c r="AJ172" s="609">
        <v>0</v>
      </c>
      <c r="AK172" s="740"/>
      <c r="AL172" s="524" t="s">
        <v>133</v>
      </c>
      <c r="AM172" s="253" t="s">
        <v>157</v>
      </c>
      <c r="AN172" s="36">
        <v>63.99</v>
      </c>
      <c r="AO172" s="252" t="s">
        <v>1841</v>
      </c>
      <c r="AP172" s="37">
        <v>99.17</v>
      </c>
      <c r="AQ172" s="792">
        <f t="shared" si="13"/>
        <v>35.18</v>
      </c>
      <c r="AR172" s="831">
        <f t="shared" si="15"/>
        <v>0.35474437834022388</v>
      </c>
      <c r="AS172" s="812"/>
      <c r="AT172" s="256" t="s">
        <v>1254</v>
      </c>
      <c r="AU172" s="38">
        <v>1</v>
      </c>
      <c r="AV172" s="252" t="s">
        <v>1508</v>
      </c>
      <c r="AW172" s="259" t="s">
        <v>1296</v>
      </c>
      <c r="AX172" s="36">
        <v>0</v>
      </c>
      <c r="AY172" s="26"/>
      <c r="AZ172" s="41">
        <v>7.29</v>
      </c>
      <c r="BA172" s="256" t="s">
        <v>1802</v>
      </c>
      <c r="BB172" s="41">
        <v>5.47</v>
      </c>
      <c r="BC172" s="42"/>
      <c r="BD172" s="42"/>
      <c r="BE172" s="42"/>
      <c r="BF172" s="42"/>
      <c r="BG172" s="42"/>
      <c r="BH172" s="221"/>
      <c r="BI172" s="221"/>
      <c r="BJ172" s="221"/>
      <c r="BK172" s="221"/>
      <c r="BL172" s="221"/>
      <c r="BM172" s="221"/>
      <c r="BN172" s="221"/>
      <c r="BO172" s="221"/>
      <c r="BP172" s="221"/>
      <c r="BQ172" s="221"/>
      <c r="BR172" s="221"/>
      <c r="BS172" s="221"/>
      <c r="BT172" s="221"/>
      <c r="BU172" s="221"/>
      <c r="BV172" s="221"/>
      <c r="BW172" s="221"/>
      <c r="BX172" s="221"/>
      <c r="BY172" s="221"/>
      <c r="BZ172" s="221"/>
      <c r="CA172" s="221"/>
      <c r="CB172" s="221"/>
      <c r="CC172" s="221"/>
      <c r="CD172" s="221"/>
      <c r="CE172" s="221"/>
      <c r="CF172" s="221"/>
      <c r="CG172" s="221"/>
      <c r="CH172" s="221"/>
      <c r="CI172" s="221"/>
      <c r="CJ172" s="221"/>
      <c r="CK172" s="221"/>
      <c r="CL172" s="221"/>
      <c r="CM172" s="221"/>
      <c r="CN172" s="221"/>
      <c r="CO172" s="221"/>
      <c r="CP172" s="221"/>
      <c r="CQ172" s="221"/>
      <c r="CR172" s="221"/>
      <c r="CS172" s="221"/>
      <c r="CT172" s="221"/>
      <c r="CU172" s="221"/>
      <c r="CV172" s="221"/>
      <c r="CW172" s="221"/>
      <c r="CX172" s="221"/>
      <c r="CY172" s="221"/>
      <c r="CZ172" s="221"/>
      <c r="DA172" s="221"/>
      <c r="DB172" s="221"/>
      <c r="DC172" s="221"/>
      <c r="DD172" s="221"/>
      <c r="DE172" s="221"/>
      <c r="DF172" s="221"/>
      <c r="DG172" s="221"/>
      <c r="DH172" s="221"/>
      <c r="DI172" s="221"/>
      <c r="DJ172" s="221"/>
      <c r="DK172" s="221"/>
      <c r="DL172" s="221"/>
      <c r="DM172" s="221"/>
      <c r="DN172" s="221"/>
      <c r="DO172" s="221"/>
      <c r="DP172" s="221"/>
      <c r="DQ172" s="221"/>
      <c r="DR172" s="221"/>
      <c r="DS172" s="221"/>
      <c r="DT172" s="221"/>
      <c r="DU172" s="221"/>
      <c r="DV172" s="221"/>
      <c r="DW172" s="221"/>
      <c r="DX172" s="221"/>
      <c r="DY172" s="221"/>
      <c r="DZ172" s="221"/>
      <c r="EA172" s="221"/>
      <c r="EB172" s="221"/>
      <c r="EC172" s="221"/>
      <c r="ED172" s="221"/>
      <c r="EE172" s="221"/>
      <c r="EF172" s="221"/>
      <c r="EG172" s="221"/>
      <c r="EH172" s="221"/>
      <c r="EI172" s="221"/>
      <c r="EJ172" s="221"/>
      <c r="EK172" s="221"/>
      <c r="EL172" s="221"/>
      <c r="EM172" s="221"/>
      <c r="EN172" s="221"/>
      <c r="EO172" s="221"/>
      <c r="EP172" s="221"/>
      <c r="EQ172" s="221"/>
      <c r="ER172" s="221"/>
      <c r="ES172" s="221"/>
      <c r="ET172" s="221"/>
      <c r="EU172" s="221"/>
      <c r="EV172" s="221"/>
      <c r="EW172" s="221"/>
      <c r="EX172" s="221"/>
      <c r="EY172" s="221"/>
      <c r="EZ172" s="221"/>
      <c r="FA172" s="221"/>
      <c r="FB172" s="221"/>
      <c r="FC172" s="221"/>
      <c r="FD172" s="221"/>
      <c r="FE172" s="221"/>
      <c r="FF172" s="221"/>
      <c r="FG172" s="221"/>
      <c r="FH172" s="221"/>
      <c r="FI172" s="221"/>
      <c r="FJ172" s="221"/>
      <c r="FK172" s="221"/>
      <c r="FL172" s="221"/>
      <c r="FM172" s="221"/>
      <c r="FN172" s="221"/>
      <c r="FO172" s="221"/>
      <c r="FP172" s="221"/>
      <c r="FQ172" s="221"/>
      <c r="FR172" s="221"/>
      <c r="FS172" s="221"/>
      <c r="FT172" s="221"/>
      <c r="FU172" s="221"/>
      <c r="FV172" s="221"/>
      <c r="FW172" s="221"/>
      <c r="FX172" s="221"/>
      <c r="FY172" s="221"/>
      <c r="FZ172" s="221"/>
      <c r="GA172" s="221"/>
      <c r="GB172" s="221"/>
      <c r="GC172" s="221"/>
      <c r="GD172" s="221"/>
      <c r="GE172" s="221"/>
      <c r="GF172" s="221"/>
      <c r="GG172" s="221"/>
      <c r="GH172" s="221"/>
      <c r="GI172" s="221"/>
      <c r="GJ172" s="221"/>
      <c r="GK172" s="221"/>
      <c r="GL172" s="221"/>
      <c r="GM172" s="221"/>
      <c r="GN172" s="221"/>
      <c r="GO172" s="221"/>
      <c r="GP172" s="221"/>
      <c r="GQ172" s="221"/>
      <c r="GR172" s="221"/>
      <c r="GS172" s="221"/>
      <c r="GT172" s="221"/>
      <c r="GU172" s="221"/>
      <c r="GV172" s="221"/>
      <c r="GW172" s="221"/>
      <c r="GX172" s="221"/>
      <c r="GY172" s="221"/>
      <c r="GZ172" s="221"/>
      <c r="HA172" s="221"/>
      <c r="HB172" s="221"/>
      <c r="HC172" s="221"/>
      <c r="HD172" s="221"/>
      <c r="HE172" s="221"/>
      <c r="HF172" s="221"/>
      <c r="HG172" s="221"/>
      <c r="HH172" s="221"/>
      <c r="HI172" s="221"/>
      <c r="HJ172" s="221"/>
      <c r="HK172" s="221"/>
      <c r="HL172" s="221"/>
      <c r="HM172" s="221"/>
      <c r="HN172" s="221"/>
      <c r="HO172" s="221"/>
      <c r="HP172" s="221"/>
      <c r="HQ172" s="221"/>
      <c r="HR172" s="221"/>
      <c r="HS172" s="221"/>
      <c r="HT172" s="221"/>
      <c r="HU172" s="221"/>
      <c r="HV172" s="221"/>
      <c r="HW172" s="221"/>
      <c r="HX172" s="221"/>
      <c r="HY172" s="221"/>
      <c r="HZ172" s="221"/>
      <c r="IA172" s="221"/>
      <c r="IB172" s="221"/>
      <c r="IC172" s="221"/>
      <c r="ID172" s="221"/>
      <c r="IE172" s="221"/>
      <c r="IF172" s="221"/>
      <c r="IG172" s="221"/>
      <c r="IH172" s="221"/>
      <c r="II172" s="221"/>
      <c r="IJ172" s="221"/>
      <c r="IK172" s="221"/>
      <c r="IL172" s="221"/>
      <c r="IM172" s="221"/>
      <c r="IN172" s="221"/>
      <c r="IO172" s="221"/>
      <c r="IP172" s="221"/>
      <c r="IQ172" s="221"/>
      <c r="IR172" s="221"/>
      <c r="IS172" s="221"/>
      <c r="IT172" s="221"/>
      <c r="IU172" s="221"/>
      <c r="IV172" s="221"/>
      <c r="IW172" s="221"/>
      <c r="IX172" s="221"/>
      <c r="IY172" s="221"/>
      <c r="IZ172" s="221"/>
      <c r="JA172" s="221"/>
      <c r="JB172" s="221"/>
      <c r="JC172" s="221"/>
      <c r="JD172" s="221"/>
      <c r="JE172" s="221"/>
      <c r="JF172" s="221"/>
      <c r="JG172" s="221"/>
      <c r="JH172" s="221"/>
      <c r="JI172" s="221"/>
      <c r="JJ172" s="221"/>
      <c r="JK172" s="221"/>
      <c r="JL172" s="221"/>
      <c r="JM172" s="221"/>
      <c r="JN172" s="221"/>
      <c r="JO172" s="221"/>
      <c r="JP172" s="221"/>
      <c r="JQ172" s="221"/>
    </row>
    <row r="173" spans="1:277" ht="19" customHeight="1" outlineLevel="1">
      <c r="A173" s="456">
        <v>1904022</v>
      </c>
      <c r="B173" s="694">
        <v>42109</v>
      </c>
      <c r="C173" s="691" t="s">
        <v>1523</v>
      </c>
      <c r="D173" s="691" t="s">
        <v>1259</v>
      </c>
      <c r="E173" s="692" t="s">
        <v>60</v>
      </c>
      <c r="F173" s="693" t="s">
        <v>47</v>
      </c>
      <c r="G173" s="253" t="s">
        <v>1546</v>
      </c>
      <c r="H173" s="294" t="s">
        <v>191</v>
      </c>
      <c r="I173" s="254" t="s">
        <v>155</v>
      </c>
      <c r="J173" s="255" t="s">
        <v>62</v>
      </c>
      <c r="K173" s="256" t="s">
        <v>50</v>
      </c>
      <c r="L173" s="50"/>
      <c r="M173" s="33">
        <v>42094</v>
      </c>
      <c r="N173" s="257" t="s">
        <v>136</v>
      </c>
      <c r="O173" s="258" t="s">
        <v>1823</v>
      </c>
      <c r="P173" s="559"/>
      <c r="Q173" s="290"/>
      <c r="R173" s="586">
        <v>0</v>
      </c>
      <c r="S173" s="585">
        <v>0</v>
      </c>
      <c r="T173" s="602">
        <v>0</v>
      </c>
      <c r="U173" s="594">
        <v>0</v>
      </c>
      <c r="V173" s="585">
        <v>0</v>
      </c>
      <c r="W173" s="602">
        <v>0</v>
      </c>
      <c r="X173" s="594">
        <v>0</v>
      </c>
      <c r="Y173" s="585">
        <v>0</v>
      </c>
      <c r="Z173" s="602">
        <v>0</v>
      </c>
      <c r="AA173" s="594">
        <v>0</v>
      </c>
      <c r="AB173" s="585">
        <v>0</v>
      </c>
      <c r="AC173" s="602">
        <v>0</v>
      </c>
      <c r="AD173" s="594">
        <v>0</v>
      </c>
      <c r="AE173" s="594">
        <v>0</v>
      </c>
      <c r="AF173" s="594">
        <v>0</v>
      </c>
      <c r="AG173" s="585">
        <v>1</v>
      </c>
      <c r="AH173" s="602">
        <v>0</v>
      </c>
      <c r="AI173" s="609">
        <v>0</v>
      </c>
      <c r="AJ173" s="609">
        <v>0</v>
      </c>
      <c r="AK173" s="740"/>
      <c r="AL173" s="524" t="s">
        <v>133</v>
      </c>
      <c r="AM173" s="253" t="s">
        <v>157</v>
      </c>
      <c r="AN173" s="36">
        <v>63.99</v>
      </c>
      <c r="AO173" s="252" t="s">
        <v>1624</v>
      </c>
      <c r="AP173" s="37">
        <v>99.17</v>
      </c>
      <c r="AQ173" s="792">
        <f t="shared" si="13"/>
        <v>35.18</v>
      </c>
      <c r="AR173" s="831">
        <f t="shared" si="15"/>
        <v>0.35474437834022388</v>
      </c>
      <c r="AS173" s="812"/>
      <c r="AT173" s="256" t="s">
        <v>1254</v>
      </c>
      <c r="AU173" s="38">
        <v>1</v>
      </c>
      <c r="AV173" s="252" t="s">
        <v>1508</v>
      </c>
      <c r="AW173" s="259" t="s">
        <v>1296</v>
      </c>
      <c r="AX173" s="36">
        <v>0</v>
      </c>
      <c r="AY173" s="26"/>
      <c r="AZ173" s="41">
        <v>7.29</v>
      </c>
      <c r="BA173" s="256" t="s">
        <v>1802</v>
      </c>
      <c r="BB173" s="41">
        <v>5.47</v>
      </c>
      <c r="BC173" s="42"/>
      <c r="BD173" s="42"/>
      <c r="BE173" s="42"/>
      <c r="BF173" s="42"/>
      <c r="BG173" s="42"/>
      <c r="BH173" s="221"/>
      <c r="BI173" s="221"/>
      <c r="BJ173" s="221"/>
      <c r="BK173" s="221"/>
      <c r="BL173" s="221"/>
      <c r="BM173" s="221"/>
      <c r="BN173" s="221"/>
      <c r="BO173" s="221"/>
      <c r="BP173" s="221"/>
      <c r="BQ173" s="221"/>
      <c r="BR173" s="221"/>
      <c r="BS173" s="221"/>
      <c r="BT173" s="221"/>
      <c r="BU173" s="221"/>
      <c r="BV173" s="221"/>
      <c r="BW173" s="221"/>
      <c r="BX173" s="221"/>
      <c r="BY173" s="221"/>
      <c r="BZ173" s="221"/>
      <c r="CA173" s="221"/>
      <c r="CB173" s="221"/>
      <c r="CC173" s="221"/>
      <c r="CD173" s="221"/>
      <c r="CE173" s="221"/>
      <c r="CF173" s="221"/>
      <c r="CG173" s="221"/>
      <c r="CH173" s="221"/>
      <c r="CI173" s="221"/>
      <c r="CJ173" s="221"/>
      <c r="CK173" s="221"/>
      <c r="CL173" s="221"/>
      <c r="CM173" s="221"/>
      <c r="CN173" s="221"/>
      <c r="CO173" s="221"/>
      <c r="CP173" s="221"/>
      <c r="CQ173" s="221"/>
      <c r="CR173" s="221"/>
      <c r="CS173" s="221"/>
      <c r="CT173" s="221"/>
      <c r="CU173" s="221"/>
      <c r="CV173" s="221"/>
      <c r="CW173" s="221"/>
      <c r="CX173" s="221"/>
      <c r="CY173" s="221"/>
      <c r="CZ173" s="221"/>
      <c r="DA173" s="221"/>
      <c r="DB173" s="221"/>
      <c r="DC173" s="221"/>
      <c r="DD173" s="221"/>
      <c r="DE173" s="221"/>
      <c r="DF173" s="221"/>
      <c r="DG173" s="221"/>
      <c r="DH173" s="221"/>
      <c r="DI173" s="221"/>
      <c r="DJ173" s="221"/>
      <c r="DK173" s="221"/>
      <c r="DL173" s="221"/>
      <c r="DM173" s="221"/>
      <c r="DN173" s="221"/>
      <c r="DO173" s="221"/>
      <c r="DP173" s="221"/>
      <c r="DQ173" s="221"/>
      <c r="DR173" s="221"/>
      <c r="DS173" s="221"/>
      <c r="DT173" s="221"/>
      <c r="DU173" s="221"/>
      <c r="DV173" s="221"/>
      <c r="DW173" s="221"/>
      <c r="DX173" s="221"/>
      <c r="DY173" s="221"/>
      <c r="DZ173" s="221"/>
      <c r="EA173" s="221"/>
      <c r="EB173" s="221"/>
      <c r="EC173" s="221"/>
      <c r="ED173" s="221"/>
      <c r="EE173" s="221"/>
      <c r="EF173" s="221"/>
      <c r="EG173" s="221"/>
      <c r="EH173" s="221"/>
      <c r="EI173" s="221"/>
      <c r="EJ173" s="221"/>
      <c r="EK173" s="221"/>
      <c r="EL173" s="221"/>
      <c r="EM173" s="221"/>
      <c r="EN173" s="221"/>
      <c r="EO173" s="221"/>
      <c r="EP173" s="221"/>
      <c r="EQ173" s="221"/>
      <c r="ER173" s="221"/>
      <c r="ES173" s="221"/>
      <c r="ET173" s="221"/>
      <c r="EU173" s="221"/>
      <c r="EV173" s="221"/>
      <c r="EW173" s="221"/>
      <c r="EX173" s="221"/>
      <c r="EY173" s="221"/>
      <c r="EZ173" s="221"/>
      <c r="FA173" s="221"/>
      <c r="FB173" s="221"/>
      <c r="FC173" s="221"/>
      <c r="FD173" s="221"/>
      <c r="FE173" s="221"/>
      <c r="FF173" s="221"/>
      <c r="FG173" s="221"/>
      <c r="FH173" s="221"/>
      <c r="FI173" s="221"/>
      <c r="FJ173" s="221"/>
      <c r="FK173" s="221"/>
      <c r="FL173" s="221"/>
      <c r="FM173" s="221"/>
      <c r="FN173" s="221"/>
      <c r="FO173" s="221"/>
      <c r="FP173" s="221"/>
      <c r="FQ173" s="221"/>
      <c r="FR173" s="221"/>
      <c r="FS173" s="221"/>
      <c r="FT173" s="221"/>
      <c r="FU173" s="221"/>
      <c r="FV173" s="221"/>
      <c r="FW173" s="221"/>
      <c r="FX173" s="221"/>
      <c r="FY173" s="221"/>
      <c r="FZ173" s="221"/>
      <c r="GA173" s="221"/>
      <c r="GB173" s="221"/>
      <c r="GC173" s="221"/>
      <c r="GD173" s="221"/>
      <c r="GE173" s="221"/>
      <c r="GF173" s="221"/>
      <c r="GG173" s="221"/>
      <c r="GH173" s="221"/>
      <c r="GI173" s="221"/>
      <c r="GJ173" s="221"/>
      <c r="GK173" s="221"/>
      <c r="GL173" s="221"/>
      <c r="GM173" s="221"/>
      <c r="GN173" s="221"/>
      <c r="GO173" s="221"/>
      <c r="GP173" s="221"/>
      <c r="GQ173" s="221"/>
      <c r="GR173" s="221"/>
      <c r="GS173" s="221"/>
      <c r="GT173" s="221"/>
      <c r="GU173" s="221"/>
      <c r="GV173" s="221"/>
      <c r="GW173" s="221"/>
      <c r="GX173" s="221"/>
      <c r="GY173" s="221"/>
      <c r="GZ173" s="221"/>
      <c r="HA173" s="221"/>
      <c r="HB173" s="221"/>
      <c r="HC173" s="221"/>
      <c r="HD173" s="221"/>
      <c r="HE173" s="221"/>
      <c r="HF173" s="221"/>
      <c r="HG173" s="221"/>
      <c r="HH173" s="221"/>
      <c r="HI173" s="221"/>
      <c r="HJ173" s="221"/>
      <c r="HK173" s="221"/>
      <c r="HL173" s="221"/>
      <c r="HM173" s="221"/>
      <c r="HN173" s="221"/>
      <c r="HO173" s="221"/>
      <c r="HP173" s="221"/>
      <c r="HQ173" s="221"/>
      <c r="HR173" s="221"/>
      <c r="HS173" s="221"/>
      <c r="HT173" s="221"/>
      <c r="HU173" s="221"/>
      <c r="HV173" s="221"/>
      <c r="HW173" s="221"/>
      <c r="HX173" s="221"/>
      <c r="HY173" s="221"/>
      <c r="HZ173" s="221"/>
      <c r="IA173" s="221"/>
      <c r="IB173" s="221"/>
      <c r="IC173" s="221"/>
      <c r="ID173" s="221"/>
      <c r="IE173" s="221"/>
      <c r="IF173" s="221"/>
      <c r="IG173" s="221"/>
      <c r="IH173" s="221"/>
      <c r="II173" s="221"/>
      <c r="IJ173" s="221"/>
      <c r="IK173" s="221"/>
      <c r="IL173" s="221"/>
      <c r="IM173" s="221"/>
      <c r="IN173" s="221"/>
      <c r="IO173" s="221"/>
      <c r="IP173" s="221"/>
      <c r="IQ173" s="221"/>
      <c r="IR173" s="221"/>
      <c r="IS173" s="221"/>
      <c r="IT173" s="221"/>
      <c r="IU173" s="221"/>
      <c r="IV173" s="221"/>
      <c r="IW173" s="221"/>
      <c r="IX173" s="221"/>
      <c r="IY173" s="221"/>
      <c r="IZ173" s="221"/>
      <c r="JA173" s="221"/>
      <c r="JB173" s="221"/>
      <c r="JC173" s="221"/>
      <c r="JD173" s="221"/>
      <c r="JE173" s="221"/>
      <c r="JF173" s="221"/>
      <c r="JG173" s="221"/>
      <c r="JH173" s="221"/>
      <c r="JI173" s="221"/>
      <c r="JJ173" s="221"/>
      <c r="JK173" s="221"/>
      <c r="JL173" s="221"/>
      <c r="JM173" s="221"/>
      <c r="JN173" s="221"/>
      <c r="JO173" s="221"/>
      <c r="JP173" s="221"/>
      <c r="JQ173" s="221"/>
    </row>
    <row r="174" spans="1:277" ht="19" customHeight="1" outlineLevel="1">
      <c r="A174" s="456">
        <v>1904023</v>
      </c>
      <c r="B174" s="694">
        <v>42109</v>
      </c>
      <c r="C174" s="691" t="s">
        <v>1523</v>
      </c>
      <c r="D174" s="691" t="s">
        <v>1259</v>
      </c>
      <c r="E174" s="692" t="s">
        <v>60</v>
      </c>
      <c r="F174" s="693" t="s">
        <v>47</v>
      </c>
      <c r="G174" s="616" t="s">
        <v>1547</v>
      </c>
      <c r="H174" s="294" t="s">
        <v>191</v>
      </c>
      <c r="I174" s="254" t="s">
        <v>155</v>
      </c>
      <c r="J174" s="255" t="s">
        <v>62</v>
      </c>
      <c r="K174" s="256" t="s">
        <v>50</v>
      </c>
      <c r="L174" s="50"/>
      <c r="M174" s="33">
        <v>42094</v>
      </c>
      <c r="N174" s="257" t="s">
        <v>136</v>
      </c>
      <c r="O174" s="258" t="s">
        <v>1824</v>
      </c>
      <c r="P174" s="559"/>
      <c r="Q174" s="290"/>
      <c r="R174" s="586">
        <v>0</v>
      </c>
      <c r="S174" s="585">
        <v>0</v>
      </c>
      <c r="T174" s="602">
        <v>0</v>
      </c>
      <c r="U174" s="594">
        <v>0</v>
      </c>
      <c r="V174" s="585">
        <v>0</v>
      </c>
      <c r="W174" s="602">
        <v>0</v>
      </c>
      <c r="X174" s="594">
        <v>0</v>
      </c>
      <c r="Y174" s="585">
        <v>0</v>
      </c>
      <c r="Z174" s="602">
        <v>0</v>
      </c>
      <c r="AA174" s="594">
        <v>0</v>
      </c>
      <c r="AB174" s="585">
        <v>0</v>
      </c>
      <c r="AC174" s="602">
        <v>0</v>
      </c>
      <c r="AD174" s="594">
        <v>0</v>
      </c>
      <c r="AE174" s="594">
        <v>0</v>
      </c>
      <c r="AF174" s="594">
        <v>0</v>
      </c>
      <c r="AG174" s="585">
        <v>1</v>
      </c>
      <c r="AH174" s="602">
        <v>0</v>
      </c>
      <c r="AI174" s="609">
        <v>0</v>
      </c>
      <c r="AJ174" s="609">
        <v>0</v>
      </c>
      <c r="AK174" s="740"/>
      <c r="AL174" s="524" t="s">
        <v>133</v>
      </c>
      <c r="AM174" s="253" t="s">
        <v>157</v>
      </c>
      <c r="AN174" s="36">
        <v>63.99</v>
      </c>
      <c r="AO174" s="252" t="s">
        <v>1626</v>
      </c>
      <c r="AP174" s="37">
        <v>99.17</v>
      </c>
      <c r="AQ174" s="792">
        <f t="shared" si="13"/>
        <v>35.18</v>
      </c>
      <c r="AR174" s="831">
        <f t="shared" si="15"/>
        <v>0.35474437834022388</v>
      </c>
      <c r="AS174" s="812">
        <v>42138</v>
      </c>
      <c r="AT174" s="256" t="s">
        <v>1254</v>
      </c>
      <c r="AU174" s="38">
        <v>1</v>
      </c>
      <c r="AV174" s="252" t="s">
        <v>1508</v>
      </c>
      <c r="AW174" s="259" t="s">
        <v>1296</v>
      </c>
      <c r="AX174" s="36">
        <v>0</v>
      </c>
      <c r="AY174" s="26"/>
      <c r="AZ174" s="41">
        <v>7.29</v>
      </c>
      <c r="BA174" s="256" t="s">
        <v>1802</v>
      </c>
      <c r="BB174" s="41">
        <v>5.47</v>
      </c>
      <c r="BC174" s="42"/>
      <c r="BD174" s="42"/>
      <c r="BE174" s="42"/>
      <c r="BF174" s="42"/>
      <c r="BG174" s="42"/>
      <c r="BH174" s="221"/>
      <c r="BI174" s="221"/>
      <c r="BJ174" s="221"/>
      <c r="BK174" s="221"/>
      <c r="BL174" s="221"/>
      <c r="BM174" s="221"/>
      <c r="BN174" s="221"/>
      <c r="BO174" s="221"/>
      <c r="BP174" s="221"/>
      <c r="BQ174" s="221"/>
      <c r="BR174" s="221"/>
      <c r="BS174" s="221"/>
      <c r="BT174" s="221"/>
      <c r="BU174" s="221"/>
      <c r="BV174" s="221"/>
      <c r="BW174" s="221"/>
      <c r="BX174" s="221"/>
      <c r="BY174" s="221"/>
      <c r="BZ174" s="221"/>
      <c r="CA174" s="221"/>
      <c r="CB174" s="221"/>
      <c r="CC174" s="221"/>
      <c r="CD174" s="221"/>
      <c r="CE174" s="221"/>
      <c r="CF174" s="221"/>
      <c r="CG174" s="221"/>
      <c r="CH174" s="221"/>
      <c r="CI174" s="221"/>
      <c r="CJ174" s="221"/>
      <c r="CK174" s="221"/>
      <c r="CL174" s="221"/>
      <c r="CM174" s="221"/>
      <c r="CN174" s="221"/>
      <c r="CO174" s="221"/>
      <c r="CP174" s="221"/>
      <c r="CQ174" s="221"/>
      <c r="CR174" s="221"/>
      <c r="CS174" s="221"/>
      <c r="CT174" s="221"/>
      <c r="CU174" s="221"/>
      <c r="CV174" s="221"/>
      <c r="CW174" s="221"/>
      <c r="CX174" s="221"/>
      <c r="CY174" s="221"/>
      <c r="CZ174" s="221"/>
      <c r="DA174" s="221"/>
      <c r="DB174" s="221"/>
      <c r="DC174" s="221"/>
      <c r="DD174" s="221"/>
      <c r="DE174" s="221"/>
      <c r="DF174" s="221"/>
      <c r="DG174" s="221"/>
      <c r="DH174" s="221"/>
      <c r="DI174" s="221"/>
      <c r="DJ174" s="221"/>
      <c r="DK174" s="221"/>
      <c r="DL174" s="221"/>
      <c r="DM174" s="221"/>
      <c r="DN174" s="221"/>
      <c r="DO174" s="221"/>
      <c r="DP174" s="221"/>
      <c r="DQ174" s="221"/>
      <c r="DR174" s="221"/>
      <c r="DS174" s="221"/>
      <c r="DT174" s="221"/>
      <c r="DU174" s="221"/>
      <c r="DV174" s="221"/>
      <c r="DW174" s="221"/>
      <c r="DX174" s="221"/>
      <c r="DY174" s="221"/>
      <c r="DZ174" s="221"/>
      <c r="EA174" s="221"/>
      <c r="EB174" s="221"/>
      <c r="EC174" s="221"/>
      <c r="ED174" s="221"/>
      <c r="EE174" s="221"/>
      <c r="EF174" s="221"/>
      <c r="EG174" s="221"/>
      <c r="EH174" s="221"/>
      <c r="EI174" s="221"/>
      <c r="EJ174" s="221"/>
      <c r="EK174" s="221"/>
      <c r="EL174" s="221"/>
      <c r="EM174" s="221"/>
      <c r="EN174" s="221"/>
      <c r="EO174" s="221"/>
      <c r="EP174" s="221"/>
      <c r="EQ174" s="221"/>
      <c r="ER174" s="221"/>
      <c r="ES174" s="221"/>
      <c r="ET174" s="221"/>
      <c r="EU174" s="221"/>
      <c r="EV174" s="221"/>
      <c r="EW174" s="221"/>
      <c r="EX174" s="221"/>
      <c r="EY174" s="221"/>
      <c r="EZ174" s="221"/>
      <c r="FA174" s="221"/>
      <c r="FB174" s="221"/>
      <c r="FC174" s="221"/>
      <c r="FD174" s="221"/>
      <c r="FE174" s="221"/>
      <c r="FF174" s="221"/>
      <c r="FG174" s="221"/>
      <c r="FH174" s="221"/>
      <c r="FI174" s="221"/>
      <c r="FJ174" s="221"/>
      <c r="FK174" s="221"/>
      <c r="FL174" s="221"/>
      <c r="FM174" s="221"/>
      <c r="FN174" s="221"/>
      <c r="FO174" s="221"/>
      <c r="FP174" s="221"/>
      <c r="FQ174" s="221"/>
      <c r="FR174" s="221"/>
      <c r="FS174" s="221"/>
      <c r="FT174" s="221"/>
      <c r="FU174" s="221"/>
      <c r="FV174" s="221"/>
      <c r="FW174" s="221"/>
      <c r="FX174" s="221"/>
      <c r="FY174" s="221"/>
      <c r="FZ174" s="221"/>
      <c r="GA174" s="221"/>
      <c r="GB174" s="221"/>
      <c r="GC174" s="221"/>
      <c r="GD174" s="221"/>
      <c r="GE174" s="221"/>
      <c r="GF174" s="221"/>
      <c r="GG174" s="221"/>
      <c r="GH174" s="221"/>
      <c r="GI174" s="221"/>
      <c r="GJ174" s="221"/>
      <c r="GK174" s="221"/>
      <c r="GL174" s="221"/>
      <c r="GM174" s="221"/>
      <c r="GN174" s="221"/>
      <c r="GO174" s="221"/>
      <c r="GP174" s="221"/>
      <c r="GQ174" s="221"/>
      <c r="GR174" s="221"/>
      <c r="GS174" s="221"/>
      <c r="GT174" s="221"/>
      <c r="GU174" s="221"/>
      <c r="GV174" s="221"/>
      <c r="GW174" s="221"/>
      <c r="GX174" s="221"/>
      <c r="GY174" s="221"/>
      <c r="GZ174" s="221"/>
      <c r="HA174" s="221"/>
      <c r="HB174" s="221"/>
      <c r="HC174" s="221"/>
      <c r="HD174" s="221"/>
      <c r="HE174" s="221"/>
      <c r="HF174" s="221"/>
      <c r="HG174" s="221"/>
      <c r="HH174" s="221"/>
      <c r="HI174" s="221"/>
      <c r="HJ174" s="221"/>
      <c r="HK174" s="221"/>
      <c r="HL174" s="221"/>
      <c r="HM174" s="221"/>
      <c r="HN174" s="221"/>
      <c r="HO174" s="221"/>
      <c r="HP174" s="221"/>
      <c r="HQ174" s="221"/>
      <c r="HR174" s="221"/>
      <c r="HS174" s="221"/>
      <c r="HT174" s="221"/>
      <c r="HU174" s="221"/>
      <c r="HV174" s="221"/>
      <c r="HW174" s="221"/>
      <c r="HX174" s="221"/>
      <c r="HY174" s="221"/>
      <c r="HZ174" s="221"/>
      <c r="IA174" s="221"/>
      <c r="IB174" s="221"/>
      <c r="IC174" s="221"/>
      <c r="ID174" s="221"/>
      <c r="IE174" s="221"/>
      <c r="IF174" s="221"/>
      <c r="IG174" s="221"/>
      <c r="IH174" s="221"/>
      <c r="II174" s="221"/>
      <c r="IJ174" s="221"/>
      <c r="IK174" s="221"/>
      <c r="IL174" s="221"/>
      <c r="IM174" s="221"/>
      <c r="IN174" s="221"/>
      <c r="IO174" s="221"/>
      <c r="IP174" s="221"/>
      <c r="IQ174" s="221"/>
      <c r="IR174" s="221"/>
      <c r="IS174" s="221"/>
      <c r="IT174" s="221"/>
      <c r="IU174" s="221"/>
      <c r="IV174" s="221"/>
      <c r="IW174" s="221"/>
      <c r="IX174" s="221"/>
      <c r="IY174" s="221"/>
      <c r="IZ174" s="221"/>
      <c r="JA174" s="221"/>
      <c r="JB174" s="221"/>
      <c r="JC174" s="221"/>
      <c r="JD174" s="221"/>
      <c r="JE174" s="221"/>
      <c r="JF174" s="221"/>
      <c r="JG174" s="221"/>
      <c r="JH174" s="221"/>
      <c r="JI174" s="221"/>
      <c r="JJ174" s="221"/>
      <c r="JK174" s="221"/>
      <c r="JL174" s="221"/>
      <c r="JM174" s="221"/>
      <c r="JN174" s="221"/>
      <c r="JO174" s="221"/>
      <c r="JP174" s="221"/>
      <c r="JQ174" s="221"/>
    </row>
    <row r="175" spans="1:277" ht="19" customHeight="1" outlineLevel="1">
      <c r="A175" s="456">
        <v>1904024</v>
      </c>
      <c r="B175" s="694">
        <v>42109</v>
      </c>
      <c r="C175" s="691" t="s">
        <v>1523</v>
      </c>
      <c r="D175" s="691" t="s">
        <v>1259</v>
      </c>
      <c r="E175" s="692" t="s">
        <v>60</v>
      </c>
      <c r="F175" s="693" t="s">
        <v>47</v>
      </c>
      <c r="G175" s="253" t="s">
        <v>1548</v>
      </c>
      <c r="H175" s="294" t="s">
        <v>191</v>
      </c>
      <c r="I175" s="254" t="s">
        <v>155</v>
      </c>
      <c r="J175" s="255" t="s">
        <v>62</v>
      </c>
      <c r="K175" s="256" t="s">
        <v>50</v>
      </c>
      <c r="L175" s="50"/>
      <c r="M175" s="33">
        <v>42094</v>
      </c>
      <c r="N175" s="257" t="s">
        <v>136</v>
      </c>
      <c r="O175" s="258" t="s">
        <v>1825</v>
      </c>
      <c r="P175" s="559"/>
      <c r="Q175" s="290"/>
      <c r="R175" s="586">
        <v>0</v>
      </c>
      <c r="S175" s="585">
        <v>0</v>
      </c>
      <c r="T175" s="602">
        <v>0</v>
      </c>
      <c r="U175" s="594">
        <v>0</v>
      </c>
      <c r="V175" s="585">
        <v>0</v>
      </c>
      <c r="W175" s="602">
        <v>0</v>
      </c>
      <c r="X175" s="594">
        <v>0</v>
      </c>
      <c r="Y175" s="585">
        <v>0</v>
      </c>
      <c r="Z175" s="602">
        <v>0</v>
      </c>
      <c r="AA175" s="594">
        <v>0</v>
      </c>
      <c r="AB175" s="585">
        <v>0</v>
      </c>
      <c r="AC175" s="602">
        <v>0</v>
      </c>
      <c r="AD175" s="594">
        <v>0</v>
      </c>
      <c r="AE175" s="594">
        <v>0</v>
      </c>
      <c r="AF175" s="594">
        <v>0</v>
      </c>
      <c r="AG175" s="585">
        <v>1</v>
      </c>
      <c r="AH175" s="602">
        <v>0</v>
      </c>
      <c r="AI175" s="609">
        <v>0</v>
      </c>
      <c r="AJ175" s="609">
        <v>0</v>
      </c>
      <c r="AK175" s="740"/>
      <c r="AL175" s="524" t="s">
        <v>133</v>
      </c>
      <c r="AM175" s="253" t="s">
        <v>157</v>
      </c>
      <c r="AN175" s="36">
        <v>63.99</v>
      </c>
      <c r="AO175" s="252" t="s">
        <v>1625</v>
      </c>
      <c r="AP175" s="37">
        <v>99.17</v>
      </c>
      <c r="AQ175" s="792">
        <f t="shared" si="13"/>
        <v>35.18</v>
      </c>
      <c r="AR175" s="831">
        <f t="shared" si="15"/>
        <v>0.35474437834022388</v>
      </c>
      <c r="AS175" s="812"/>
      <c r="AT175" s="256" t="s">
        <v>1254</v>
      </c>
      <c r="AU175" s="38">
        <v>1</v>
      </c>
      <c r="AV175" s="252" t="s">
        <v>1508</v>
      </c>
      <c r="AW175" s="259" t="s">
        <v>1296</v>
      </c>
      <c r="AX175" s="36">
        <v>0</v>
      </c>
      <c r="AY175" s="26"/>
      <c r="AZ175" s="41">
        <v>7.29</v>
      </c>
      <c r="BA175" s="256" t="s">
        <v>1802</v>
      </c>
      <c r="BB175" s="41">
        <v>5.47</v>
      </c>
      <c r="BC175" s="42"/>
      <c r="BD175" s="42"/>
      <c r="BE175" s="42"/>
      <c r="BF175" s="42"/>
      <c r="BG175" s="42"/>
      <c r="BH175" s="221"/>
      <c r="BI175" s="221"/>
      <c r="BJ175" s="221"/>
      <c r="BK175" s="221"/>
      <c r="BL175" s="221"/>
      <c r="BM175" s="221"/>
      <c r="BN175" s="221"/>
      <c r="BO175" s="221"/>
      <c r="BP175" s="221"/>
      <c r="BQ175" s="221"/>
      <c r="BR175" s="221"/>
      <c r="BS175" s="221"/>
      <c r="BT175" s="221"/>
      <c r="BU175" s="221"/>
      <c r="BV175" s="221"/>
      <c r="BW175" s="221"/>
      <c r="BX175" s="221"/>
      <c r="BY175" s="221"/>
      <c r="BZ175" s="221"/>
      <c r="CA175" s="221"/>
      <c r="CB175" s="221"/>
      <c r="CC175" s="221"/>
      <c r="CD175" s="221"/>
      <c r="CE175" s="221"/>
      <c r="CF175" s="221"/>
      <c r="CG175" s="221"/>
      <c r="CH175" s="221"/>
      <c r="CI175" s="221"/>
      <c r="CJ175" s="221"/>
      <c r="CK175" s="221"/>
      <c r="CL175" s="221"/>
      <c r="CM175" s="221"/>
      <c r="CN175" s="221"/>
      <c r="CO175" s="221"/>
      <c r="CP175" s="221"/>
      <c r="CQ175" s="221"/>
      <c r="CR175" s="221"/>
      <c r="CS175" s="221"/>
      <c r="CT175" s="221"/>
      <c r="CU175" s="221"/>
      <c r="CV175" s="221"/>
      <c r="CW175" s="221"/>
      <c r="CX175" s="221"/>
      <c r="CY175" s="221"/>
      <c r="CZ175" s="221"/>
      <c r="DA175" s="221"/>
      <c r="DB175" s="221"/>
      <c r="DC175" s="221"/>
      <c r="DD175" s="221"/>
      <c r="DE175" s="221"/>
      <c r="DF175" s="221"/>
      <c r="DG175" s="221"/>
      <c r="DH175" s="221"/>
      <c r="DI175" s="221"/>
      <c r="DJ175" s="221"/>
      <c r="DK175" s="221"/>
      <c r="DL175" s="221"/>
      <c r="DM175" s="221"/>
      <c r="DN175" s="221"/>
      <c r="DO175" s="221"/>
      <c r="DP175" s="221"/>
      <c r="DQ175" s="221"/>
      <c r="DR175" s="221"/>
      <c r="DS175" s="221"/>
      <c r="DT175" s="221"/>
      <c r="DU175" s="221"/>
      <c r="DV175" s="221"/>
      <c r="DW175" s="221"/>
      <c r="DX175" s="221"/>
      <c r="DY175" s="221"/>
      <c r="DZ175" s="221"/>
      <c r="EA175" s="221"/>
      <c r="EB175" s="221"/>
      <c r="EC175" s="221"/>
      <c r="ED175" s="221"/>
      <c r="EE175" s="221"/>
      <c r="EF175" s="221"/>
      <c r="EG175" s="221"/>
      <c r="EH175" s="221"/>
      <c r="EI175" s="221"/>
      <c r="EJ175" s="221"/>
      <c r="EK175" s="221"/>
      <c r="EL175" s="221"/>
      <c r="EM175" s="221"/>
      <c r="EN175" s="221"/>
      <c r="EO175" s="221"/>
      <c r="EP175" s="221"/>
      <c r="EQ175" s="221"/>
      <c r="ER175" s="221"/>
      <c r="ES175" s="221"/>
      <c r="ET175" s="221"/>
      <c r="EU175" s="221"/>
      <c r="EV175" s="221"/>
      <c r="EW175" s="221"/>
      <c r="EX175" s="221"/>
      <c r="EY175" s="221"/>
      <c r="EZ175" s="221"/>
      <c r="FA175" s="221"/>
      <c r="FB175" s="221"/>
      <c r="FC175" s="221"/>
      <c r="FD175" s="221"/>
      <c r="FE175" s="221"/>
      <c r="FF175" s="221"/>
      <c r="FG175" s="221"/>
      <c r="FH175" s="221"/>
      <c r="FI175" s="221"/>
      <c r="FJ175" s="221"/>
      <c r="FK175" s="221"/>
      <c r="FL175" s="221"/>
      <c r="FM175" s="221"/>
      <c r="FN175" s="221"/>
      <c r="FO175" s="221"/>
      <c r="FP175" s="221"/>
      <c r="FQ175" s="221"/>
      <c r="FR175" s="221"/>
      <c r="FS175" s="221"/>
      <c r="FT175" s="221"/>
      <c r="FU175" s="221"/>
      <c r="FV175" s="221"/>
      <c r="FW175" s="221"/>
      <c r="FX175" s="221"/>
      <c r="FY175" s="221"/>
      <c r="FZ175" s="221"/>
      <c r="GA175" s="221"/>
      <c r="GB175" s="221"/>
      <c r="GC175" s="221"/>
      <c r="GD175" s="221"/>
      <c r="GE175" s="221"/>
      <c r="GF175" s="221"/>
      <c r="GG175" s="221"/>
      <c r="GH175" s="221"/>
      <c r="GI175" s="221"/>
      <c r="GJ175" s="221"/>
      <c r="GK175" s="221"/>
      <c r="GL175" s="221"/>
      <c r="GM175" s="221"/>
      <c r="GN175" s="221"/>
      <c r="GO175" s="221"/>
      <c r="GP175" s="221"/>
      <c r="GQ175" s="221"/>
      <c r="GR175" s="221"/>
      <c r="GS175" s="221"/>
      <c r="GT175" s="221"/>
      <c r="GU175" s="221"/>
      <c r="GV175" s="221"/>
      <c r="GW175" s="221"/>
      <c r="GX175" s="221"/>
      <c r="GY175" s="221"/>
      <c r="GZ175" s="221"/>
      <c r="HA175" s="221"/>
      <c r="HB175" s="221"/>
      <c r="HC175" s="221"/>
      <c r="HD175" s="221"/>
      <c r="HE175" s="221"/>
      <c r="HF175" s="221"/>
      <c r="HG175" s="221"/>
      <c r="HH175" s="221"/>
      <c r="HI175" s="221"/>
      <c r="HJ175" s="221"/>
      <c r="HK175" s="221"/>
      <c r="HL175" s="221"/>
      <c r="HM175" s="221"/>
      <c r="HN175" s="221"/>
      <c r="HO175" s="221"/>
      <c r="HP175" s="221"/>
      <c r="HQ175" s="221"/>
      <c r="HR175" s="221"/>
      <c r="HS175" s="221"/>
      <c r="HT175" s="221"/>
      <c r="HU175" s="221"/>
      <c r="HV175" s="221"/>
      <c r="HW175" s="221"/>
      <c r="HX175" s="221"/>
      <c r="HY175" s="221"/>
      <c r="HZ175" s="221"/>
      <c r="IA175" s="221"/>
      <c r="IB175" s="221"/>
      <c r="IC175" s="221"/>
      <c r="ID175" s="221"/>
      <c r="IE175" s="221"/>
      <c r="IF175" s="221"/>
      <c r="IG175" s="221"/>
      <c r="IH175" s="221"/>
      <c r="II175" s="221"/>
      <c r="IJ175" s="221"/>
      <c r="IK175" s="221"/>
      <c r="IL175" s="221"/>
      <c r="IM175" s="221"/>
      <c r="IN175" s="221"/>
      <c r="IO175" s="221"/>
      <c r="IP175" s="221"/>
      <c r="IQ175" s="221"/>
      <c r="IR175" s="221"/>
      <c r="IS175" s="221"/>
      <c r="IT175" s="221"/>
      <c r="IU175" s="221"/>
      <c r="IV175" s="221"/>
      <c r="IW175" s="221"/>
      <c r="IX175" s="221"/>
      <c r="IY175" s="221"/>
      <c r="IZ175" s="221"/>
      <c r="JA175" s="221"/>
      <c r="JB175" s="221"/>
      <c r="JC175" s="221"/>
      <c r="JD175" s="221"/>
      <c r="JE175" s="221"/>
      <c r="JF175" s="221"/>
      <c r="JG175" s="221"/>
      <c r="JH175" s="221"/>
      <c r="JI175" s="221"/>
      <c r="JJ175" s="221"/>
      <c r="JK175" s="221"/>
      <c r="JL175" s="221"/>
      <c r="JM175" s="221"/>
      <c r="JN175" s="221"/>
      <c r="JO175" s="221"/>
      <c r="JP175" s="221"/>
      <c r="JQ175" s="221"/>
    </row>
    <row r="176" spans="1:277" ht="19" customHeight="1" outlineLevel="1">
      <c r="A176" s="456">
        <v>1904025</v>
      </c>
      <c r="B176" s="694">
        <v>42109</v>
      </c>
      <c r="C176" s="691" t="s">
        <v>1523</v>
      </c>
      <c r="D176" s="691" t="s">
        <v>1259</v>
      </c>
      <c r="E176" s="692" t="s">
        <v>60</v>
      </c>
      <c r="F176" s="693" t="s">
        <v>47</v>
      </c>
      <c r="G176" s="253" t="s">
        <v>1549</v>
      </c>
      <c r="H176" s="294" t="s">
        <v>191</v>
      </c>
      <c r="I176" s="254" t="s">
        <v>155</v>
      </c>
      <c r="J176" s="255" t="s">
        <v>62</v>
      </c>
      <c r="K176" s="256" t="s">
        <v>50</v>
      </c>
      <c r="L176" s="50"/>
      <c r="M176" s="33">
        <v>42094</v>
      </c>
      <c r="N176" s="257" t="s">
        <v>136</v>
      </c>
      <c r="O176" s="258" t="s">
        <v>1826</v>
      </c>
      <c r="P176" s="559"/>
      <c r="Q176" s="290"/>
      <c r="R176" s="586">
        <v>0</v>
      </c>
      <c r="S176" s="585">
        <v>0</v>
      </c>
      <c r="T176" s="602">
        <v>0</v>
      </c>
      <c r="U176" s="594">
        <v>0</v>
      </c>
      <c r="V176" s="585">
        <v>0</v>
      </c>
      <c r="W176" s="602">
        <v>0</v>
      </c>
      <c r="X176" s="594">
        <v>0</v>
      </c>
      <c r="Y176" s="585">
        <v>0</v>
      </c>
      <c r="Z176" s="602">
        <v>0</v>
      </c>
      <c r="AA176" s="594">
        <v>0</v>
      </c>
      <c r="AB176" s="585">
        <v>0</v>
      </c>
      <c r="AC176" s="602">
        <v>0</v>
      </c>
      <c r="AD176" s="594">
        <v>0</v>
      </c>
      <c r="AE176" s="594">
        <v>0</v>
      </c>
      <c r="AF176" s="594">
        <v>0</v>
      </c>
      <c r="AG176" s="585">
        <v>1</v>
      </c>
      <c r="AH176" s="602">
        <v>0</v>
      </c>
      <c r="AI176" s="609">
        <v>0</v>
      </c>
      <c r="AJ176" s="609">
        <v>0</v>
      </c>
      <c r="AK176" s="740"/>
      <c r="AL176" s="524" t="s">
        <v>133</v>
      </c>
      <c r="AM176" s="253" t="s">
        <v>157</v>
      </c>
      <c r="AN176" s="36">
        <v>63.99</v>
      </c>
      <c r="AO176" s="252" t="s">
        <v>1627</v>
      </c>
      <c r="AP176" s="37">
        <v>99.17</v>
      </c>
      <c r="AQ176" s="792">
        <f t="shared" si="13"/>
        <v>35.18</v>
      </c>
      <c r="AR176" s="831">
        <f t="shared" si="15"/>
        <v>0.35474437834022388</v>
      </c>
      <c r="AS176" s="812"/>
      <c r="AT176" s="256" t="s">
        <v>1254</v>
      </c>
      <c r="AU176" s="38">
        <v>1</v>
      </c>
      <c r="AV176" s="252" t="s">
        <v>1508</v>
      </c>
      <c r="AW176" s="259" t="s">
        <v>1296</v>
      </c>
      <c r="AX176" s="36">
        <v>0</v>
      </c>
      <c r="AY176" s="26"/>
      <c r="AZ176" s="41">
        <v>7.29</v>
      </c>
      <c r="BA176" s="256" t="s">
        <v>1802</v>
      </c>
      <c r="BB176" s="41">
        <v>5.47</v>
      </c>
      <c r="BC176" s="42"/>
      <c r="BD176" s="42"/>
      <c r="BE176" s="42"/>
      <c r="BF176" s="42"/>
      <c r="BG176" s="42"/>
      <c r="BH176" s="221"/>
      <c r="BI176" s="221"/>
      <c r="BJ176" s="221"/>
      <c r="BK176" s="221"/>
      <c r="BL176" s="221"/>
      <c r="BM176" s="221"/>
      <c r="BN176" s="221"/>
      <c r="BO176" s="221"/>
      <c r="BP176" s="221"/>
      <c r="BQ176" s="221"/>
      <c r="BR176" s="221"/>
      <c r="BS176" s="221"/>
      <c r="BT176" s="221"/>
      <c r="BU176" s="221"/>
      <c r="BV176" s="221"/>
      <c r="BW176" s="221"/>
      <c r="BX176" s="221"/>
      <c r="BY176" s="221"/>
      <c r="BZ176" s="221"/>
      <c r="CA176" s="221"/>
      <c r="CB176" s="221"/>
      <c r="CC176" s="221"/>
      <c r="CD176" s="221"/>
      <c r="CE176" s="221"/>
      <c r="CF176" s="221"/>
      <c r="CG176" s="221"/>
      <c r="CH176" s="221"/>
      <c r="CI176" s="221"/>
      <c r="CJ176" s="221"/>
      <c r="CK176" s="221"/>
      <c r="CL176" s="221"/>
      <c r="CM176" s="221"/>
      <c r="CN176" s="221"/>
      <c r="CO176" s="221"/>
      <c r="CP176" s="221"/>
      <c r="CQ176" s="221"/>
      <c r="CR176" s="221"/>
      <c r="CS176" s="221"/>
      <c r="CT176" s="221"/>
      <c r="CU176" s="221"/>
      <c r="CV176" s="221"/>
      <c r="CW176" s="221"/>
      <c r="CX176" s="221"/>
      <c r="CY176" s="221"/>
      <c r="CZ176" s="221"/>
      <c r="DA176" s="221"/>
      <c r="DB176" s="221"/>
      <c r="DC176" s="221"/>
      <c r="DD176" s="221"/>
      <c r="DE176" s="221"/>
      <c r="DF176" s="221"/>
      <c r="DG176" s="221"/>
      <c r="DH176" s="221"/>
      <c r="DI176" s="221"/>
      <c r="DJ176" s="221"/>
      <c r="DK176" s="221"/>
      <c r="DL176" s="221"/>
      <c r="DM176" s="221"/>
      <c r="DN176" s="221"/>
      <c r="DO176" s="221"/>
      <c r="DP176" s="221"/>
      <c r="DQ176" s="221"/>
      <c r="DR176" s="221"/>
      <c r="DS176" s="221"/>
      <c r="DT176" s="221"/>
      <c r="DU176" s="221"/>
      <c r="DV176" s="221"/>
      <c r="DW176" s="221"/>
      <c r="DX176" s="221"/>
      <c r="DY176" s="221"/>
      <c r="DZ176" s="221"/>
      <c r="EA176" s="221"/>
      <c r="EB176" s="221"/>
      <c r="EC176" s="221"/>
      <c r="ED176" s="221"/>
      <c r="EE176" s="221"/>
      <c r="EF176" s="221"/>
      <c r="EG176" s="221"/>
      <c r="EH176" s="221"/>
      <c r="EI176" s="221"/>
      <c r="EJ176" s="221"/>
      <c r="EK176" s="221"/>
      <c r="EL176" s="221"/>
      <c r="EM176" s="221"/>
      <c r="EN176" s="221"/>
      <c r="EO176" s="221"/>
      <c r="EP176" s="221"/>
      <c r="EQ176" s="221"/>
      <c r="ER176" s="221"/>
      <c r="ES176" s="221"/>
      <c r="ET176" s="221"/>
      <c r="EU176" s="221"/>
      <c r="EV176" s="221"/>
      <c r="EW176" s="221"/>
      <c r="EX176" s="221"/>
      <c r="EY176" s="221"/>
      <c r="EZ176" s="221"/>
      <c r="FA176" s="221"/>
      <c r="FB176" s="221"/>
      <c r="FC176" s="221"/>
      <c r="FD176" s="221"/>
      <c r="FE176" s="221"/>
      <c r="FF176" s="221"/>
      <c r="FG176" s="221"/>
      <c r="FH176" s="221"/>
      <c r="FI176" s="221"/>
      <c r="FJ176" s="221"/>
      <c r="FK176" s="221"/>
      <c r="FL176" s="221"/>
      <c r="FM176" s="221"/>
      <c r="FN176" s="221"/>
      <c r="FO176" s="221"/>
      <c r="FP176" s="221"/>
      <c r="FQ176" s="221"/>
      <c r="FR176" s="221"/>
      <c r="FS176" s="221"/>
      <c r="FT176" s="221"/>
      <c r="FU176" s="221"/>
      <c r="FV176" s="221"/>
      <c r="FW176" s="221"/>
      <c r="FX176" s="221"/>
      <c r="FY176" s="221"/>
      <c r="FZ176" s="221"/>
      <c r="GA176" s="221"/>
      <c r="GB176" s="221"/>
      <c r="GC176" s="221"/>
      <c r="GD176" s="221"/>
      <c r="GE176" s="221"/>
      <c r="GF176" s="221"/>
      <c r="GG176" s="221"/>
      <c r="GH176" s="221"/>
      <c r="GI176" s="221"/>
      <c r="GJ176" s="221"/>
      <c r="GK176" s="221"/>
      <c r="GL176" s="221"/>
      <c r="GM176" s="221"/>
      <c r="GN176" s="221"/>
      <c r="GO176" s="221"/>
      <c r="GP176" s="221"/>
      <c r="GQ176" s="221"/>
      <c r="GR176" s="221"/>
      <c r="GS176" s="221"/>
      <c r="GT176" s="221"/>
      <c r="GU176" s="221"/>
      <c r="GV176" s="221"/>
      <c r="GW176" s="221"/>
      <c r="GX176" s="221"/>
      <c r="GY176" s="221"/>
      <c r="GZ176" s="221"/>
      <c r="HA176" s="221"/>
      <c r="HB176" s="221"/>
      <c r="HC176" s="221"/>
      <c r="HD176" s="221"/>
      <c r="HE176" s="221"/>
      <c r="HF176" s="221"/>
      <c r="HG176" s="221"/>
      <c r="HH176" s="221"/>
      <c r="HI176" s="221"/>
      <c r="HJ176" s="221"/>
      <c r="HK176" s="221"/>
      <c r="HL176" s="221"/>
      <c r="HM176" s="221"/>
      <c r="HN176" s="221"/>
      <c r="HO176" s="221"/>
      <c r="HP176" s="221"/>
      <c r="HQ176" s="221"/>
      <c r="HR176" s="221"/>
      <c r="HS176" s="221"/>
      <c r="HT176" s="221"/>
      <c r="HU176" s="221"/>
      <c r="HV176" s="221"/>
      <c r="HW176" s="221"/>
      <c r="HX176" s="221"/>
      <c r="HY176" s="221"/>
      <c r="HZ176" s="221"/>
      <c r="IA176" s="221"/>
      <c r="IB176" s="221"/>
      <c r="IC176" s="221"/>
      <c r="ID176" s="221"/>
      <c r="IE176" s="221"/>
      <c r="IF176" s="221"/>
      <c r="IG176" s="221"/>
      <c r="IH176" s="221"/>
      <c r="II176" s="221"/>
      <c r="IJ176" s="221"/>
      <c r="IK176" s="221"/>
      <c r="IL176" s="221"/>
      <c r="IM176" s="221"/>
      <c r="IN176" s="221"/>
      <c r="IO176" s="221"/>
      <c r="IP176" s="221"/>
      <c r="IQ176" s="221"/>
      <c r="IR176" s="221"/>
      <c r="IS176" s="221"/>
      <c r="IT176" s="221"/>
      <c r="IU176" s="221"/>
      <c r="IV176" s="221"/>
      <c r="IW176" s="221"/>
      <c r="IX176" s="221"/>
      <c r="IY176" s="221"/>
      <c r="IZ176" s="221"/>
      <c r="JA176" s="221"/>
      <c r="JB176" s="221"/>
      <c r="JC176" s="221"/>
      <c r="JD176" s="221"/>
      <c r="JE176" s="221"/>
      <c r="JF176" s="221"/>
      <c r="JG176" s="221"/>
      <c r="JH176" s="221"/>
      <c r="JI176" s="221"/>
      <c r="JJ176" s="221"/>
      <c r="JK176" s="221"/>
      <c r="JL176" s="221"/>
      <c r="JM176" s="221"/>
      <c r="JN176" s="221"/>
      <c r="JO176" s="221"/>
      <c r="JP176" s="221"/>
      <c r="JQ176" s="221"/>
    </row>
    <row r="177" spans="1:277" ht="19" customHeight="1" outlineLevel="1">
      <c r="A177" s="456">
        <v>1904026</v>
      </c>
      <c r="B177" s="694">
        <v>42109</v>
      </c>
      <c r="C177" s="691" t="s">
        <v>1523</v>
      </c>
      <c r="D177" s="691" t="s">
        <v>1259</v>
      </c>
      <c r="E177" s="692" t="s">
        <v>60</v>
      </c>
      <c r="F177" s="693" t="s">
        <v>47</v>
      </c>
      <c r="G177" s="253" t="s">
        <v>1550</v>
      </c>
      <c r="H177" s="294" t="s">
        <v>191</v>
      </c>
      <c r="I177" s="254" t="s">
        <v>155</v>
      </c>
      <c r="J177" s="255" t="s">
        <v>62</v>
      </c>
      <c r="K177" s="256" t="s">
        <v>50</v>
      </c>
      <c r="L177" s="50"/>
      <c r="M177" s="33">
        <v>42111</v>
      </c>
      <c r="N177" s="257" t="s">
        <v>136</v>
      </c>
      <c r="O177" s="258" t="s">
        <v>1827</v>
      </c>
      <c r="P177" s="559"/>
      <c r="Q177" s="290"/>
      <c r="R177" s="586">
        <v>0</v>
      </c>
      <c r="S177" s="585">
        <v>0</v>
      </c>
      <c r="T177" s="602">
        <v>0</v>
      </c>
      <c r="U177" s="594">
        <v>0</v>
      </c>
      <c r="V177" s="585">
        <v>0</v>
      </c>
      <c r="W177" s="602">
        <v>0</v>
      </c>
      <c r="X177" s="594">
        <v>0</v>
      </c>
      <c r="Y177" s="585">
        <v>0</v>
      </c>
      <c r="Z177" s="602">
        <v>0</v>
      </c>
      <c r="AA177" s="594">
        <v>0</v>
      </c>
      <c r="AB177" s="585">
        <v>0</v>
      </c>
      <c r="AC177" s="602">
        <v>0</v>
      </c>
      <c r="AD177" s="594">
        <v>0</v>
      </c>
      <c r="AE177" s="594">
        <v>0</v>
      </c>
      <c r="AF177" s="594">
        <v>0</v>
      </c>
      <c r="AG177" s="585">
        <v>1</v>
      </c>
      <c r="AH177" s="602">
        <v>0</v>
      </c>
      <c r="AI177" s="609">
        <v>0</v>
      </c>
      <c r="AJ177" s="609">
        <v>0</v>
      </c>
      <c r="AK177" s="740"/>
      <c r="AL177" s="524" t="s">
        <v>133</v>
      </c>
      <c r="AM177" s="253" t="s">
        <v>157</v>
      </c>
      <c r="AN177" s="36">
        <v>63.99</v>
      </c>
      <c r="AO177" s="252" t="s">
        <v>1629</v>
      </c>
      <c r="AP177" s="37">
        <v>99.17</v>
      </c>
      <c r="AQ177" s="792">
        <f t="shared" si="13"/>
        <v>35.18</v>
      </c>
      <c r="AR177" s="831">
        <f t="shared" si="15"/>
        <v>0.35474437834022388</v>
      </c>
      <c r="AS177" s="812">
        <v>42139</v>
      </c>
      <c r="AT177" s="256" t="s">
        <v>1254</v>
      </c>
      <c r="AU177" s="38">
        <v>1</v>
      </c>
      <c r="AV177" s="252" t="s">
        <v>1508</v>
      </c>
      <c r="AW177" s="259" t="s">
        <v>1296</v>
      </c>
      <c r="AX177" s="36">
        <v>0</v>
      </c>
      <c r="AY177" s="26"/>
      <c r="AZ177" s="41">
        <v>7.29</v>
      </c>
      <c r="BA177" s="256" t="s">
        <v>1802</v>
      </c>
      <c r="BB177" s="41">
        <v>5.47</v>
      </c>
      <c r="BC177" s="42"/>
      <c r="BD177" s="42"/>
      <c r="BE177" s="42"/>
      <c r="BF177" s="42"/>
      <c r="BG177" s="42"/>
      <c r="BH177" s="221"/>
      <c r="BI177" s="221"/>
      <c r="BJ177" s="221"/>
      <c r="BK177" s="221"/>
      <c r="BL177" s="221"/>
      <c r="BM177" s="221"/>
      <c r="BN177" s="221"/>
      <c r="BO177" s="221"/>
      <c r="BP177" s="221"/>
      <c r="BQ177" s="221"/>
      <c r="BR177" s="221"/>
      <c r="BS177" s="221"/>
      <c r="BT177" s="221"/>
      <c r="BU177" s="221"/>
      <c r="BV177" s="221"/>
      <c r="BW177" s="221"/>
      <c r="BX177" s="221"/>
      <c r="BY177" s="221"/>
      <c r="BZ177" s="221"/>
      <c r="CA177" s="221"/>
      <c r="CB177" s="221"/>
      <c r="CC177" s="221"/>
      <c r="CD177" s="221"/>
      <c r="CE177" s="221"/>
      <c r="CF177" s="221"/>
      <c r="CG177" s="221"/>
      <c r="CH177" s="221"/>
      <c r="CI177" s="221"/>
      <c r="CJ177" s="221"/>
      <c r="CK177" s="221"/>
      <c r="CL177" s="221"/>
      <c r="CM177" s="221"/>
      <c r="CN177" s="221"/>
      <c r="CO177" s="221"/>
      <c r="CP177" s="221"/>
      <c r="CQ177" s="221"/>
      <c r="CR177" s="221"/>
      <c r="CS177" s="221"/>
      <c r="CT177" s="221"/>
      <c r="CU177" s="221"/>
      <c r="CV177" s="221"/>
      <c r="CW177" s="221"/>
      <c r="CX177" s="221"/>
      <c r="CY177" s="221"/>
      <c r="CZ177" s="221"/>
      <c r="DA177" s="221"/>
      <c r="DB177" s="221"/>
      <c r="DC177" s="221"/>
      <c r="DD177" s="221"/>
      <c r="DE177" s="221"/>
      <c r="DF177" s="221"/>
      <c r="DG177" s="221"/>
      <c r="DH177" s="221"/>
      <c r="DI177" s="221"/>
      <c r="DJ177" s="221"/>
      <c r="DK177" s="221"/>
      <c r="DL177" s="221"/>
      <c r="DM177" s="221"/>
      <c r="DN177" s="221"/>
      <c r="DO177" s="221"/>
      <c r="DP177" s="221"/>
      <c r="DQ177" s="221"/>
      <c r="DR177" s="221"/>
      <c r="DS177" s="221"/>
      <c r="DT177" s="221"/>
      <c r="DU177" s="221"/>
      <c r="DV177" s="221"/>
      <c r="DW177" s="221"/>
      <c r="DX177" s="221"/>
      <c r="DY177" s="221"/>
      <c r="DZ177" s="221"/>
      <c r="EA177" s="221"/>
      <c r="EB177" s="221"/>
      <c r="EC177" s="221"/>
      <c r="ED177" s="221"/>
      <c r="EE177" s="221"/>
      <c r="EF177" s="221"/>
      <c r="EG177" s="221"/>
      <c r="EH177" s="221"/>
      <c r="EI177" s="221"/>
      <c r="EJ177" s="221"/>
      <c r="EK177" s="221"/>
      <c r="EL177" s="221"/>
      <c r="EM177" s="221"/>
      <c r="EN177" s="221"/>
      <c r="EO177" s="221"/>
      <c r="EP177" s="221"/>
      <c r="EQ177" s="221"/>
      <c r="ER177" s="221"/>
      <c r="ES177" s="221"/>
      <c r="ET177" s="221"/>
      <c r="EU177" s="221"/>
      <c r="EV177" s="221"/>
      <c r="EW177" s="221"/>
      <c r="EX177" s="221"/>
      <c r="EY177" s="221"/>
      <c r="EZ177" s="221"/>
      <c r="FA177" s="221"/>
      <c r="FB177" s="221"/>
      <c r="FC177" s="221"/>
      <c r="FD177" s="221"/>
      <c r="FE177" s="221"/>
      <c r="FF177" s="221"/>
      <c r="FG177" s="221"/>
      <c r="FH177" s="221"/>
      <c r="FI177" s="221"/>
      <c r="FJ177" s="221"/>
      <c r="FK177" s="221"/>
      <c r="FL177" s="221"/>
      <c r="FM177" s="221"/>
      <c r="FN177" s="221"/>
      <c r="FO177" s="221"/>
      <c r="FP177" s="221"/>
      <c r="FQ177" s="221"/>
      <c r="FR177" s="221"/>
      <c r="FS177" s="221"/>
      <c r="FT177" s="221"/>
      <c r="FU177" s="221"/>
      <c r="FV177" s="221"/>
      <c r="FW177" s="221"/>
      <c r="FX177" s="221"/>
      <c r="FY177" s="221"/>
      <c r="FZ177" s="221"/>
      <c r="GA177" s="221"/>
      <c r="GB177" s="221"/>
      <c r="GC177" s="221"/>
      <c r="GD177" s="221"/>
      <c r="GE177" s="221"/>
      <c r="GF177" s="221"/>
      <c r="GG177" s="221"/>
      <c r="GH177" s="221"/>
      <c r="GI177" s="221"/>
      <c r="GJ177" s="221"/>
      <c r="GK177" s="221"/>
      <c r="GL177" s="221"/>
      <c r="GM177" s="221"/>
      <c r="GN177" s="221"/>
      <c r="GO177" s="221"/>
      <c r="GP177" s="221"/>
      <c r="GQ177" s="221"/>
      <c r="GR177" s="221"/>
      <c r="GS177" s="221"/>
      <c r="GT177" s="221"/>
      <c r="GU177" s="221"/>
      <c r="GV177" s="221"/>
      <c r="GW177" s="221"/>
      <c r="GX177" s="221"/>
      <c r="GY177" s="221"/>
      <c r="GZ177" s="221"/>
      <c r="HA177" s="221"/>
      <c r="HB177" s="221"/>
      <c r="HC177" s="221"/>
      <c r="HD177" s="221"/>
      <c r="HE177" s="221"/>
      <c r="HF177" s="221"/>
      <c r="HG177" s="221"/>
      <c r="HH177" s="221"/>
      <c r="HI177" s="221"/>
      <c r="HJ177" s="221"/>
      <c r="HK177" s="221"/>
      <c r="HL177" s="221"/>
      <c r="HM177" s="221"/>
      <c r="HN177" s="221"/>
      <c r="HO177" s="221"/>
      <c r="HP177" s="221"/>
      <c r="HQ177" s="221"/>
      <c r="HR177" s="221"/>
      <c r="HS177" s="221"/>
      <c r="HT177" s="221"/>
      <c r="HU177" s="221"/>
      <c r="HV177" s="221"/>
      <c r="HW177" s="221"/>
      <c r="HX177" s="221"/>
      <c r="HY177" s="221"/>
      <c r="HZ177" s="221"/>
      <c r="IA177" s="221"/>
      <c r="IB177" s="221"/>
      <c r="IC177" s="221"/>
      <c r="ID177" s="221"/>
      <c r="IE177" s="221"/>
      <c r="IF177" s="221"/>
      <c r="IG177" s="221"/>
      <c r="IH177" s="221"/>
      <c r="II177" s="221"/>
      <c r="IJ177" s="221"/>
      <c r="IK177" s="221"/>
      <c r="IL177" s="221"/>
      <c r="IM177" s="221"/>
      <c r="IN177" s="221"/>
      <c r="IO177" s="221"/>
      <c r="IP177" s="221"/>
      <c r="IQ177" s="221"/>
      <c r="IR177" s="221"/>
      <c r="IS177" s="221"/>
      <c r="IT177" s="221"/>
      <c r="IU177" s="221"/>
      <c r="IV177" s="221"/>
      <c r="IW177" s="221"/>
      <c r="IX177" s="221"/>
      <c r="IY177" s="221"/>
      <c r="IZ177" s="221"/>
      <c r="JA177" s="221"/>
      <c r="JB177" s="221"/>
      <c r="JC177" s="221"/>
      <c r="JD177" s="221"/>
      <c r="JE177" s="221"/>
      <c r="JF177" s="221"/>
      <c r="JG177" s="221"/>
      <c r="JH177" s="221"/>
      <c r="JI177" s="221"/>
      <c r="JJ177" s="221"/>
      <c r="JK177" s="221"/>
      <c r="JL177" s="221"/>
      <c r="JM177" s="221"/>
      <c r="JN177" s="221"/>
      <c r="JO177" s="221"/>
      <c r="JP177" s="221"/>
      <c r="JQ177" s="221"/>
    </row>
    <row r="178" spans="1:277" ht="19" customHeight="1" outlineLevel="1">
      <c r="A178" s="456">
        <v>1904027</v>
      </c>
      <c r="B178" s="694">
        <v>42109</v>
      </c>
      <c r="C178" s="691" t="s">
        <v>1523</v>
      </c>
      <c r="D178" s="691" t="s">
        <v>1259</v>
      </c>
      <c r="E178" s="692" t="s">
        <v>60</v>
      </c>
      <c r="F178" s="693" t="s">
        <v>47</v>
      </c>
      <c r="G178" s="253" t="s">
        <v>1551</v>
      </c>
      <c r="H178" s="294" t="s">
        <v>191</v>
      </c>
      <c r="I178" s="254" t="s">
        <v>155</v>
      </c>
      <c r="J178" s="255" t="s">
        <v>62</v>
      </c>
      <c r="K178" s="256" t="s">
        <v>50</v>
      </c>
      <c r="L178" s="50"/>
      <c r="M178" s="33">
        <v>42111</v>
      </c>
      <c r="N178" s="257" t="s">
        <v>136</v>
      </c>
      <c r="O178" s="258" t="s">
        <v>1828</v>
      </c>
      <c r="P178" s="559"/>
      <c r="Q178" s="290"/>
      <c r="R178" s="586">
        <v>0</v>
      </c>
      <c r="S178" s="585">
        <v>0</v>
      </c>
      <c r="T178" s="602">
        <v>0</v>
      </c>
      <c r="U178" s="594">
        <v>0</v>
      </c>
      <c r="V178" s="585">
        <v>0</v>
      </c>
      <c r="W178" s="602">
        <v>0</v>
      </c>
      <c r="X178" s="594">
        <v>0</v>
      </c>
      <c r="Y178" s="585">
        <v>0</v>
      </c>
      <c r="Z178" s="602">
        <v>0</v>
      </c>
      <c r="AA178" s="594">
        <v>0</v>
      </c>
      <c r="AB178" s="585">
        <v>0</v>
      </c>
      <c r="AC178" s="602">
        <v>0</v>
      </c>
      <c r="AD178" s="594">
        <v>0</v>
      </c>
      <c r="AE178" s="594">
        <v>0</v>
      </c>
      <c r="AF178" s="594">
        <v>0</v>
      </c>
      <c r="AG178" s="585">
        <v>1</v>
      </c>
      <c r="AH178" s="602">
        <v>0</v>
      </c>
      <c r="AI178" s="609">
        <v>0</v>
      </c>
      <c r="AJ178" s="609">
        <v>0</v>
      </c>
      <c r="AK178" s="740"/>
      <c r="AL178" s="524" t="s">
        <v>133</v>
      </c>
      <c r="AM178" s="253" t="s">
        <v>157</v>
      </c>
      <c r="AN178" s="36">
        <v>63.99</v>
      </c>
      <c r="AO178" s="252" t="s">
        <v>1630</v>
      </c>
      <c r="AP178" s="37">
        <v>99.17</v>
      </c>
      <c r="AQ178" s="792">
        <f t="shared" si="13"/>
        <v>35.18</v>
      </c>
      <c r="AR178" s="831">
        <f t="shared" si="15"/>
        <v>0.35474437834022388</v>
      </c>
      <c r="AS178" s="812"/>
      <c r="AT178" s="256" t="s">
        <v>1254</v>
      </c>
      <c r="AU178" s="38">
        <v>1</v>
      </c>
      <c r="AV178" s="252" t="s">
        <v>1508</v>
      </c>
      <c r="AW178" s="259" t="s">
        <v>1296</v>
      </c>
      <c r="AX178" s="36">
        <v>0</v>
      </c>
      <c r="AY178" s="26"/>
      <c r="AZ178" s="41">
        <v>7.29</v>
      </c>
      <c r="BA178" s="256" t="s">
        <v>1802</v>
      </c>
      <c r="BB178" s="41">
        <v>5.47</v>
      </c>
      <c r="BC178" s="42"/>
      <c r="BD178" s="42"/>
      <c r="BE178" s="42"/>
      <c r="BF178" s="42"/>
      <c r="BG178" s="42"/>
      <c r="BH178" s="221"/>
      <c r="BI178" s="221"/>
      <c r="BJ178" s="221"/>
      <c r="BK178" s="221"/>
      <c r="BL178" s="221"/>
      <c r="BM178" s="221"/>
      <c r="BN178" s="221"/>
      <c r="BO178" s="221"/>
      <c r="BP178" s="221"/>
      <c r="BQ178" s="221"/>
      <c r="BR178" s="221"/>
      <c r="BS178" s="221"/>
      <c r="BT178" s="221"/>
      <c r="BU178" s="221"/>
      <c r="BV178" s="221"/>
      <c r="BW178" s="221"/>
      <c r="BX178" s="221"/>
      <c r="BY178" s="221"/>
      <c r="BZ178" s="221"/>
      <c r="CA178" s="221"/>
      <c r="CB178" s="221"/>
      <c r="CC178" s="221"/>
      <c r="CD178" s="221"/>
      <c r="CE178" s="221"/>
      <c r="CF178" s="221"/>
      <c r="CG178" s="221"/>
      <c r="CH178" s="221"/>
      <c r="CI178" s="221"/>
      <c r="CJ178" s="221"/>
      <c r="CK178" s="221"/>
      <c r="CL178" s="221"/>
      <c r="CM178" s="221"/>
      <c r="CN178" s="221"/>
      <c r="CO178" s="221"/>
      <c r="CP178" s="221"/>
      <c r="CQ178" s="221"/>
      <c r="CR178" s="221"/>
      <c r="CS178" s="221"/>
      <c r="CT178" s="221"/>
      <c r="CU178" s="221"/>
      <c r="CV178" s="221"/>
      <c r="CW178" s="221"/>
      <c r="CX178" s="221"/>
      <c r="CY178" s="221"/>
      <c r="CZ178" s="221"/>
      <c r="DA178" s="221"/>
      <c r="DB178" s="221"/>
      <c r="DC178" s="221"/>
      <c r="DD178" s="221"/>
      <c r="DE178" s="221"/>
      <c r="DF178" s="221"/>
      <c r="DG178" s="221"/>
      <c r="DH178" s="221"/>
      <c r="DI178" s="221"/>
      <c r="DJ178" s="221"/>
      <c r="DK178" s="221"/>
      <c r="DL178" s="221"/>
      <c r="DM178" s="221"/>
      <c r="DN178" s="221"/>
      <c r="DO178" s="221"/>
      <c r="DP178" s="221"/>
      <c r="DQ178" s="221"/>
      <c r="DR178" s="221"/>
      <c r="DS178" s="221"/>
      <c r="DT178" s="221"/>
      <c r="DU178" s="221"/>
      <c r="DV178" s="221"/>
      <c r="DW178" s="221"/>
      <c r="DX178" s="221"/>
      <c r="DY178" s="221"/>
      <c r="DZ178" s="221"/>
      <c r="EA178" s="221"/>
      <c r="EB178" s="221"/>
      <c r="EC178" s="221"/>
      <c r="ED178" s="221"/>
      <c r="EE178" s="221"/>
      <c r="EF178" s="221"/>
      <c r="EG178" s="221"/>
      <c r="EH178" s="221"/>
      <c r="EI178" s="221"/>
      <c r="EJ178" s="221"/>
      <c r="EK178" s="221"/>
      <c r="EL178" s="221"/>
      <c r="EM178" s="221"/>
      <c r="EN178" s="221"/>
      <c r="EO178" s="221"/>
      <c r="EP178" s="221"/>
      <c r="EQ178" s="221"/>
      <c r="ER178" s="221"/>
      <c r="ES178" s="221"/>
      <c r="ET178" s="221"/>
      <c r="EU178" s="221"/>
      <c r="EV178" s="221"/>
      <c r="EW178" s="221"/>
      <c r="EX178" s="221"/>
      <c r="EY178" s="221"/>
      <c r="EZ178" s="221"/>
      <c r="FA178" s="221"/>
      <c r="FB178" s="221"/>
      <c r="FC178" s="221"/>
      <c r="FD178" s="221"/>
      <c r="FE178" s="221"/>
      <c r="FF178" s="221"/>
      <c r="FG178" s="221"/>
      <c r="FH178" s="221"/>
      <c r="FI178" s="221"/>
      <c r="FJ178" s="221"/>
      <c r="FK178" s="221"/>
      <c r="FL178" s="221"/>
      <c r="FM178" s="221"/>
      <c r="FN178" s="221"/>
      <c r="FO178" s="221"/>
      <c r="FP178" s="221"/>
      <c r="FQ178" s="221"/>
      <c r="FR178" s="221"/>
      <c r="FS178" s="221"/>
      <c r="FT178" s="221"/>
      <c r="FU178" s="221"/>
      <c r="FV178" s="221"/>
      <c r="FW178" s="221"/>
      <c r="FX178" s="221"/>
      <c r="FY178" s="221"/>
      <c r="FZ178" s="221"/>
      <c r="GA178" s="221"/>
      <c r="GB178" s="221"/>
      <c r="GC178" s="221"/>
      <c r="GD178" s="221"/>
      <c r="GE178" s="221"/>
      <c r="GF178" s="221"/>
      <c r="GG178" s="221"/>
      <c r="GH178" s="221"/>
      <c r="GI178" s="221"/>
      <c r="GJ178" s="221"/>
      <c r="GK178" s="221"/>
      <c r="GL178" s="221"/>
      <c r="GM178" s="221"/>
      <c r="GN178" s="221"/>
      <c r="GO178" s="221"/>
      <c r="GP178" s="221"/>
      <c r="GQ178" s="221"/>
      <c r="GR178" s="221"/>
      <c r="GS178" s="221"/>
      <c r="GT178" s="221"/>
      <c r="GU178" s="221"/>
      <c r="GV178" s="221"/>
      <c r="GW178" s="221"/>
      <c r="GX178" s="221"/>
      <c r="GY178" s="221"/>
      <c r="GZ178" s="221"/>
      <c r="HA178" s="221"/>
      <c r="HB178" s="221"/>
      <c r="HC178" s="221"/>
      <c r="HD178" s="221"/>
      <c r="HE178" s="221"/>
      <c r="HF178" s="221"/>
      <c r="HG178" s="221"/>
      <c r="HH178" s="221"/>
      <c r="HI178" s="221"/>
      <c r="HJ178" s="221"/>
      <c r="HK178" s="221"/>
      <c r="HL178" s="221"/>
      <c r="HM178" s="221"/>
      <c r="HN178" s="221"/>
      <c r="HO178" s="221"/>
      <c r="HP178" s="221"/>
      <c r="HQ178" s="221"/>
      <c r="HR178" s="221"/>
      <c r="HS178" s="221"/>
      <c r="HT178" s="221"/>
      <c r="HU178" s="221"/>
      <c r="HV178" s="221"/>
      <c r="HW178" s="221"/>
      <c r="HX178" s="221"/>
      <c r="HY178" s="221"/>
      <c r="HZ178" s="221"/>
      <c r="IA178" s="221"/>
      <c r="IB178" s="221"/>
      <c r="IC178" s="221"/>
      <c r="ID178" s="221"/>
      <c r="IE178" s="221"/>
      <c r="IF178" s="221"/>
      <c r="IG178" s="221"/>
      <c r="IH178" s="221"/>
      <c r="II178" s="221"/>
      <c r="IJ178" s="221"/>
      <c r="IK178" s="221"/>
      <c r="IL178" s="221"/>
      <c r="IM178" s="221"/>
      <c r="IN178" s="221"/>
      <c r="IO178" s="221"/>
      <c r="IP178" s="221"/>
      <c r="IQ178" s="221"/>
      <c r="IR178" s="221"/>
      <c r="IS178" s="221"/>
      <c r="IT178" s="221"/>
      <c r="IU178" s="221"/>
      <c r="IV178" s="221"/>
      <c r="IW178" s="221"/>
      <c r="IX178" s="221"/>
      <c r="IY178" s="221"/>
      <c r="IZ178" s="221"/>
      <c r="JA178" s="221"/>
      <c r="JB178" s="221"/>
      <c r="JC178" s="221"/>
      <c r="JD178" s="221"/>
      <c r="JE178" s="221"/>
      <c r="JF178" s="221"/>
      <c r="JG178" s="221"/>
      <c r="JH178" s="221"/>
      <c r="JI178" s="221"/>
      <c r="JJ178" s="221"/>
      <c r="JK178" s="221"/>
      <c r="JL178" s="221"/>
      <c r="JM178" s="221"/>
      <c r="JN178" s="221"/>
      <c r="JO178" s="221"/>
      <c r="JP178" s="221"/>
      <c r="JQ178" s="221"/>
    </row>
    <row r="179" spans="1:277" ht="19" customHeight="1" outlineLevel="1">
      <c r="A179" s="456"/>
      <c r="B179" s="694">
        <v>42109</v>
      </c>
      <c r="C179" s="691" t="s">
        <v>1523</v>
      </c>
      <c r="D179" s="691" t="s">
        <v>1259</v>
      </c>
      <c r="E179" s="692" t="s">
        <v>60</v>
      </c>
      <c r="F179" s="693"/>
      <c r="G179" s="253" t="s">
        <v>1552</v>
      </c>
      <c r="H179" s="294" t="s">
        <v>191</v>
      </c>
      <c r="I179" s="254" t="s">
        <v>155</v>
      </c>
      <c r="J179" s="255" t="s">
        <v>62</v>
      </c>
      <c r="K179" s="256" t="s">
        <v>50</v>
      </c>
      <c r="L179" s="50"/>
      <c r="M179" s="33">
        <v>42111</v>
      </c>
      <c r="N179" s="257" t="s">
        <v>136</v>
      </c>
      <c r="O179" s="258" t="s">
        <v>1143</v>
      </c>
      <c r="P179" s="559"/>
      <c r="Q179" s="290"/>
      <c r="R179" s="586">
        <v>0</v>
      </c>
      <c r="S179" s="585">
        <v>0</v>
      </c>
      <c r="T179" s="602">
        <v>0</v>
      </c>
      <c r="U179" s="594">
        <v>0</v>
      </c>
      <c r="V179" s="585">
        <v>0</v>
      </c>
      <c r="W179" s="602">
        <v>0</v>
      </c>
      <c r="X179" s="594">
        <v>0</v>
      </c>
      <c r="Y179" s="585">
        <v>0</v>
      </c>
      <c r="Z179" s="602">
        <v>0</v>
      </c>
      <c r="AA179" s="594">
        <v>0</v>
      </c>
      <c r="AB179" s="585">
        <v>0</v>
      </c>
      <c r="AC179" s="602">
        <v>0</v>
      </c>
      <c r="AD179" s="594">
        <v>0</v>
      </c>
      <c r="AE179" s="594">
        <v>0</v>
      </c>
      <c r="AF179" s="594">
        <v>0</v>
      </c>
      <c r="AG179" s="585">
        <v>1</v>
      </c>
      <c r="AH179" s="602">
        <v>0</v>
      </c>
      <c r="AI179" s="609">
        <v>0</v>
      </c>
      <c r="AJ179" s="609">
        <v>0</v>
      </c>
      <c r="AK179" s="740"/>
      <c r="AL179" s="524" t="s">
        <v>133</v>
      </c>
      <c r="AM179" s="253" t="s">
        <v>157</v>
      </c>
      <c r="AN179" s="36">
        <v>63.99</v>
      </c>
      <c r="AO179" s="252" t="s">
        <v>1631</v>
      </c>
      <c r="AP179" s="37">
        <v>99.17</v>
      </c>
      <c r="AQ179" s="792">
        <f t="shared" si="13"/>
        <v>35.18</v>
      </c>
      <c r="AR179" s="831">
        <f t="shared" si="15"/>
        <v>0.35474437834022388</v>
      </c>
      <c r="AS179" s="812">
        <v>42146</v>
      </c>
      <c r="AT179" s="256" t="s">
        <v>1254</v>
      </c>
      <c r="AU179" s="38">
        <v>1</v>
      </c>
      <c r="AV179" s="252" t="s">
        <v>1508</v>
      </c>
      <c r="AW179" s="259" t="s">
        <v>1296</v>
      </c>
      <c r="AX179" s="36">
        <v>0</v>
      </c>
      <c r="AY179" s="26"/>
      <c r="AZ179" s="41">
        <v>7.29</v>
      </c>
      <c r="BA179" s="256" t="s">
        <v>1802</v>
      </c>
      <c r="BB179" s="41">
        <v>5.47</v>
      </c>
      <c r="BC179" s="42"/>
      <c r="BD179" s="42"/>
      <c r="BE179" s="42"/>
      <c r="BF179" s="42"/>
      <c r="BG179" s="42"/>
      <c r="BH179" s="221"/>
      <c r="BI179" s="221"/>
      <c r="BJ179" s="221"/>
      <c r="BK179" s="221"/>
      <c r="BL179" s="221"/>
      <c r="BM179" s="221"/>
      <c r="BN179" s="221"/>
      <c r="BO179" s="221"/>
      <c r="BP179" s="221"/>
      <c r="BQ179" s="221"/>
      <c r="BR179" s="221"/>
      <c r="BS179" s="221"/>
      <c r="BT179" s="221"/>
      <c r="BU179" s="221"/>
      <c r="BV179" s="221"/>
      <c r="BW179" s="221"/>
      <c r="BX179" s="221"/>
      <c r="BY179" s="221"/>
      <c r="BZ179" s="221"/>
      <c r="CA179" s="221"/>
      <c r="CB179" s="221"/>
      <c r="CC179" s="221"/>
      <c r="CD179" s="221"/>
      <c r="CE179" s="221"/>
      <c r="CF179" s="221"/>
      <c r="CG179" s="221"/>
      <c r="CH179" s="221"/>
      <c r="CI179" s="221"/>
      <c r="CJ179" s="221"/>
      <c r="CK179" s="221"/>
      <c r="CL179" s="221"/>
      <c r="CM179" s="221"/>
      <c r="CN179" s="221"/>
      <c r="CO179" s="221"/>
      <c r="CP179" s="221"/>
      <c r="CQ179" s="221"/>
      <c r="CR179" s="221"/>
      <c r="CS179" s="221"/>
      <c r="CT179" s="221"/>
      <c r="CU179" s="221"/>
      <c r="CV179" s="221"/>
      <c r="CW179" s="221"/>
      <c r="CX179" s="221"/>
      <c r="CY179" s="221"/>
      <c r="CZ179" s="221"/>
      <c r="DA179" s="221"/>
      <c r="DB179" s="221"/>
      <c r="DC179" s="221"/>
      <c r="DD179" s="221"/>
      <c r="DE179" s="221"/>
      <c r="DF179" s="221"/>
      <c r="DG179" s="221"/>
      <c r="DH179" s="221"/>
      <c r="DI179" s="221"/>
      <c r="DJ179" s="221"/>
      <c r="DK179" s="221"/>
      <c r="DL179" s="221"/>
      <c r="DM179" s="221"/>
      <c r="DN179" s="221"/>
      <c r="DO179" s="221"/>
      <c r="DP179" s="221"/>
      <c r="DQ179" s="221"/>
      <c r="DR179" s="221"/>
      <c r="DS179" s="221"/>
      <c r="DT179" s="221"/>
      <c r="DU179" s="221"/>
      <c r="DV179" s="221"/>
      <c r="DW179" s="221"/>
      <c r="DX179" s="221"/>
      <c r="DY179" s="221"/>
      <c r="DZ179" s="221"/>
      <c r="EA179" s="221"/>
      <c r="EB179" s="221"/>
      <c r="EC179" s="221"/>
      <c r="ED179" s="221"/>
      <c r="EE179" s="221"/>
      <c r="EF179" s="221"/>
      <c r="EG179" s="221"/>
      <c r="EH179" s="221"/>
      <c r="EI179" s="221"/>
      <c r="EJ179" s="221"/>
      <c r="EK179" s="221"/>
      <c r="EL179" s="221"/>
      <c r="EM179" s="221"/>
      <c r="EN179" s="221"/>
      <c r="EO179" s="221"/>
      <c r="EP179" s="221"/>
      <c r="EQ179" s="221"/>
      <c r="ER179" s="221"/>
      <c r="ES179" s="221"/>
      <c r="ET179" s="221"/>
      <c r="EU179" s="221"/>
      <c r="EV179" s="221"/>
      <c r="EW179" s="221"/>
      <c r="EX179" s="221"/>
      <c r="EY179" s="221"/>
      <c r="EZ179" s="221"/>
      <c r="FA179" s="221"/>
      <c r="FB179" s="221"/>
      <c r="FC179" s="221"/>
      <c r="FD179" s="221"/>
      <c r="FE179" s="221"/>
      <c r="FF179" s="221"/>
      <c r="FG179" s="221"/>
      <c r="FH179" s="221"/>
      <c r="FI179" s="221"/>
      <c r="FJ179" s="221"/>
      <c r="FK179" s="221"/>
      <c r="FL179" s="221"/>
      <c r="FM179" s="221"/>
      <c r="FN179" s="221"/>
      <c r="FO179" s="221"/>
      <c r="FP179" s="221"/>
      <c r="FQ179" s="221"/>
      <c r="FR179" s="221"/>
      <c r="FS179" s="221"/>
      <c r="FT179" s="221"/>
      <c r="FU179" s="221"/>
      <c r="FV179" s="221"/>
      <c r="FW179" s="221"/>
      <c r="FX179" s="221"/>
      <c r="FY179" s="221"/>
      <c r="FZ179" s="221"/>
      <c r="GA179" s="221"/>
      <c r="GB179" s="221"/>
      <c r="GC179" s="221"/>
      <c r="GD179" s="221"/>
      <c r="GE179" s="221"/>
      <c r="GF179" s="221"/>
      <c r="GG179" s="221"/>
      <c r="GH179" s="221"/>
      <c r="GI179" s="221"/>
      <c r="GJ179" s="221"/>
      <c r="GK179" s="221"/>
      <c r="GL179" s="221"/>
      <c r="GM179" s="221"/>
      <c r="GN179" s="221"/>
      <c r="GO179" s="221"/>
      <c r="GP179" s="221"/>
      <c r="GQ179" s="221"/>
      <c r="GR179" s="221"/>
      <c r="GS179" s="221"/>
      <c r="GT179" s="221"/>
      <c r="GU179" s="221"/>
      <c r="GV179" s="221"/>
      <c r="GW179" s="221"/>
      <c r="GX179" s="221"/>
      <c r="GY179" s="221"/>
      <c r="GZ179" s="221"/>
      <c r="HA179" s="221"/>
      <c r="HB179" s="221"/>
      <c r="HC179" s="221"/>
      <c r="HD179" s="221"/>
      <c r="HE179" s="221"/>
      <c r="HF179" s="221"/>
      <c r="HG179" s="221"/>
      <c r="HH179" s="221"/>
      <c r="HI179" s="221"/>
      <c r="HJ179" s="221"/>
      <c r="HK179" s="221"/>
      <c r="HL179" s="221"/>
      <c r="HM179" s="221"/>
      <c r="HN179" s="221"/>
      <c r="HO179" s="221"/>
      <c r="HP179" s="221"/>
      <c r="HQ179" s="221"/>
      <c r="HR179" s="221"/>
      <c r="HS179" s="221"/>
      <c r="HT179" s="221"/>
      <c r="HU179" s="221"/>
      <c r="HV179" s="221"/>
      <c r="HW179" s="221"/>
      <c r="HX179" s="221"/>
      <c r="HY179" s="221"/>
      <c r="HZ179" s="221"/>
      <c r="IA179" s="221"/>
      <c r="IB179" s="221"/>
      <c r="IC179" s="221"/>
      <c r="ID179" s="221"/>
      <c r="IE179" s="221"/>
      <c r="IF179" s="221"/>
      <c r="IG179" s="221"/>
      <c r="IH179" s="221"/>
      <c r="II179" s="221"/>
      <c r="IJ179" s="221"/>
      <c r="IK179" s="221"/>
      <c r="IL179" s="221"/>
      <c r="IM179" s="221"/>
      <c r="IN179" s="221"/>
      <c r="IO179" s="221"/>
      <c r="IP179" s="221"/>
      <c r="IQ179" s="221"/>
      <c r="IR179" s="221"/>
      <c r="IS179" s="221"/>
      <c r="IT179" s="221"/>
      <c r="IU179" s="221"/>
      <c r="IV179" s="221"/>
      <c r="IW179" s="221"/>
      <c r="IX179" s="221"/>
      <c r="IY179" s="221"/>
      <c r="IZ179" s="221"/>
      <c r="JA179" s="221"/>
      <c r="JB179" s="221"/>
      <c r="JC179" s="221"/>
      <c r="JD179" s="221"/>
      <c r="JE179" s="221"/>
      <c r="JF179" s="221"/>
      <c r="JG179" s="221"/>
      <c r="JH179" s="221"/>
      <c r="JI179" s="221"/>
      <c r="JJ179" s="221"/>
      <c r="JK179" s="221"/>
      <c r="JL179" s="221"/>
      <c r="JM179" s="221"/>
      <c r="JN179" s="221"/>
      <c r="JO179" s="221"/>
      <c r="JP179" s="221"/>
      <c r="JQ179" s="221"/>
    </row>
    <row r="180" spans="1:277" ht="19" customHeight="1" outlineLevel="1">
      <c r="A180" s="456">
        <v>1904028</v>
      </c>
      <c r="B180" s="694">
        <v>42109</v>
      </c>
      <c r="C180" s="691" t="s">
        <v>1523</v>
      </c>
      <c r="D180" s="691" t="s">
        <v>1259</v>
      </c>
      <c r="E180" s="692" t="s">
        <v>60</v>
      </c>
      <c r="F180" s="693" t="s">
        <v>47</v>
      </c>
      <c r="G180" s="253" t="s">
        <v>1553</v>
      </c>
      <c r="H180" s="294" t="s">
        <v>191</v>
      </c>
      <c r="I180" s="254" t="s">
        <v>155</v>
      </c>
      <c r="J180" s="255" t="s">
        <v>62</v>
      </c>
      <c r="K180" s="256" t="s">
        <v>50</v>
      </c>
      <c r="L180" s="50"/>
      <c r="M180" s="33">
        <v>42111</v>
      </c>
      <c r="N180" s="257" t="s">
        <v>136</v>
      </c>
      <c r="O180" s="258" t="s">
        <v>1145</v>
      </c>
      <c r="P180" s="559"/>
      <c r="Q180" s="290"/>
      <c r="R180" s="586">
        <v>0</v>
      </c>
      <c r="S180" s="585">
        <v>0</v>
      </c>
      <c r="T180" s="602">
        <v>0</v>
      </c>
      <c r="U180" s="594">
        <v>0</v>
      </c>
      <c r="V180" s="585">
        <v>0</v>
      </c>
      <c r="W180" s="602">
        <v>0</v>
      </c>
      <c r="X180" s="594">
        <v>0</v>
      </c>
      <c r="Y180" s="585">
        <v>0</v>
      </c>
      <c r="Z180" s="602">
        <v>0</v>
      </c>
      <c r="AA180" s="594">
        <v>0</v>
      </c>
      <c r="AB180" s="585">
        <v>0</v>
      </c>
      <c r="AC180" s="602">
        <v>0</v>
      </c>
      <c r="AD180" s="594">
        <v>0</v>
      </c>
      <c r="AE180" s="594">
        <v>0</v>
      </c>
      <c r="AF180" s="594">
        <v>0</v>
      </c>
      <c r="AG180" s="585">
        <v>1</v>
      </c>
      <c r="AH180" s="602">
        <v>0</v>
      </c>
      <c r="AI180" s="609">
        <v>0</v>
      </c>
      <c r="AJ180" s="609">
        <v>0</v>
      </c>
      <c r="AK180" s="740"/>
      <c r="AL180" s="524" t="s">
        <v>133</v>
      </c>
      <c r="AM180" s="253" t="s">
        <v>157</v>
      </c>
      <c r="AN180" s="36">
        <v>63.99</v>
      </c>
      <c r="AO180" s="252" t="s">
        <v>1632</v>
      </c>
      <c r="AP180" s="37">
        <v>99.17</v>
      </c>
      <c r="AQ180" s="792">
        <f t="shared" si="13"/>
        <v>35.18</v>
      </c>
      <c r="AR180" s="831">
        <f t="shared" si="15"/>
        <v>0.35474437834022388</v>
      </c>
      <c r="AS180" s="812"/>
      <c r="AT180" s="256" t="s">
        <v>1254</v>
      </c>
      <c r="AU180" s="38">
        <v>1</v>
      </c>
      <c r="AV180" s="252" t="s">
        <v>1508</v>
      </c>
      <c r="AW180" s="259" t="s">
        <v>1296</v>
      </c>
      <c r="AX180" s="36">
        <v>0</v>
      </c>
      <c r="AY180" s="26"/>
      <c r="AZ180" s="41">
        <v>7.29</v>
      </c>
      <c r="BA180" s="256" t="s">
        <v>1802</v>
      </c>
      <c r="BB180" s="41">
        <v>5.47</v>
      </c>
      <c r="BC180" s="42"/>
      <c r="BD180" s="42"/>
      <c r="BE180" s="42"/>
      <c r="BF180" s="42"/>
      <c r="BG180" s="42"/>
      <c r="BH180" s="221"/>
      <c r="BI180" s="221"/>
      <c r="BJ180" s="221"/>
      <c r="BK180" s="221"/>
      <c r="BL180" s="221"/>
      <c r="BM180" s="221"/>
      <c r="BN180" s="221"/>
      <c r="BO180" s="221"/>
      <c r="BP180" s="221"/>
      <c r="BQ180" s="221"/>
      <c r="BR180" s="221"/>
      <c r="BS180" s="221"/>
      <c r="BT180" s="221"/>
      <c r="BU180" s="221"/>
      <c r="BV180" s="221"/>
      <c r="BW180" s="221"/>
      <c r="BX180" s="221"/>
      <c r="BY180" s="221"/>
      <c r="BZ180" s="221"/>
      <c r="CA180" s="221"/>
      <c r="CB180" s="221"/>
      <c r="CC180" s="221"/>
      <c r="CD180" s="221"/>
      <c r="CE180" s="221"/>
      <c r="CF180" s="221"/>
      <c r="CG180" s="221"/>
      <c r="CH180" s="221"/>
      <c r="CI180" s="221"/>
      <c r="CJ180" s="221"/>
      <c r="CK180" s="221"/>
      <c r="CL180" s="221"/>
      <c r="CM180" s="221"/>
      <c r="CN180" s="221"/>
      <c r="CO180" s="221"/>
      <c r="CP180" s="221"/>
      <c r="CQ180" s="221"/>
      <c r="CR180" s="221"/>
      <c r="CS180" s="221"/>
      <c r="CT180" s="221"/>
      <c r="CU180" s="221"/>
      <c r="CV180" s="221"/>
      <c r="CW180" s="221"/>
      <c r="CX180" s="221"/>
      <c r="CY180" s="221"/>
      <c r="CZ180" s="221"/>
      <c r="DA180" s="221"/>
      <c r="DB180" s="221"/>
      <c r="DC180" s="221"/>
      <c r="DD180" s="221"/>
      <c r="DE180" s="221"/>
      <c r="DF180" s="221"/>
      <c r="DG180" s="221"/>
      <c r="DH180" s="221"/>
      <c r="DI180" s="221"/>
      <c r="DJ180" s="221"/>
      <c r="DK180" s="221"/>
      <c r="DL180" s="221"/>
      <c r="DM180" s="221"/>
      <c r="DN180" s="221"/>
      <c r="DO180" s="221"/>
      <c r="DP180" s="221"/>
      <c r="DQ180" s="221"/>
      <c r="DR180" s="221"/>
      <c r="DS180" s="221"/>
      <c r="DT180" s="221"/>
      <c r="DU180" s="221"/>
      <c r="DV180" s="221"/>
      <c r="DW180" s="221"/>
      <c r="DX180" s="221"/>
      <c r="DY180" s="221"/>
      <c r="DZ180" s="221"/>
      <c r="EA180" s="221"/>
      <c r="EB180" s="221"/>
      <c r="EC180" s="221"/>
      <c r="ED180" s="221"/>
      <c r="EE180" s="221"/>
      <c r="EF180" s="221"/>
      <c r="EG180" s="221"/>
      <c r="EH180" s="221"/>
      <c r="EI180" s="221"/>
      <c r="EJ180" s="221"/>
      <c r="EK180" s="221"/>
      <c r="EL180" s="221"/>
      <c r="EM180" s="221"/>
      <c r="EN180" s="221"/>
      <c r="EO180" s="221"/>
      <c r="EP180" s="221"/>
      <c r="EQ180" s="221"/>
      <c r="ER180" s="221"/>
      <c r="ES180" s="221"/>
      <c r="ET180" s="221"/>
      <c r="EU180" s="221"/>
      <c r="EV180" s="221"/>
      <c r="EW180" s="221"/>
      <c r="EX180" s="221"/>
      <c r="EY180" s="221"/>
      <c r="EZ180" s="221"/>
      <c r="FA180" s="221"/>
      <c r="FB180" s="221"/>
      <c r="FC180" s="221"/>
      <c r="FD180" s="221"/>
      <c r="FE180" s="221"/>
      <c r="FF180" s="221"/>
      <c r="FG180" s="221"/>
      <c r="FH180" s="221"/>
      <c r="FI180" s="221"/>
      <c r="FJ180" s="221"/>
      <c r="FK180" s="221"/>
      <c r="FL180" s="221"/>
      <c r="FM180" s="221"/>
      <c r="FN180" s="221"/>
      <c r="FO180" s="221"/>
      <c r="FP180" s="221"/>
      <c r="FQ180" s="221"/>
      <c r="FR180" s="221"/>
      <c r="FS180" s="221"/>
      <c r="FT180" s="221"/>
      <c r="FU180" s="221"/>
      <c r="FV180" s="221"/>
      <c r="FW180" s="221"/>
      <c r="FX180" s="221"/>
      <c r="FY180" s="221"/>
      <c r="FZ180" s="221"/>
      <c r="GA180" s="221"/>
      <c r="GB180" s="221"/>
      <c r="GC180" s="221"/>
      <c r="GD180" s="221"/>
      <c r="GE180" s="221"/>
      <c r="GF180" s="221"/>
      <c r="GG180" s="221"/>
      <c r="GH180" s="221"/>
      <c r="GI180" s="221"/>
      <c r="GJ180" s="221"/>
      <c r="GK180" s="221"/>
      <c r="GL180" s="221"/>
      <c r="GM180" s="221"/>
      <c r="GN180" s="221"/>
      <c r="GO180" s="221"/>
      <c r="GP180" s="221"/>
      <c r="GQ180" s="221"/>
      <c r="GR180" s="221"/>
      <c r="GS180" s="221"/>
      <c r="GT180" s="221"/>
      <c r="GU180" s="221"/>
      <c r="GV180" s="221"/>
      <c r="GW180" s="221"/>
      <c r="GX180" s="221"/>
      <c r="GY180" s="221"/>
      <c r="GZ180" s="221"/>
      <c r="HA180" s="221"/>
      <c r="HB180" s="221"/>
      <c r="HC180" s="221"/>
      <c r="HD180" s="221"/>
      <c r="HE180" s="221"/>
      <c r="HF180" s="221"/>
      <c r="HG180" s="221"/>
      <c r="HH180" s="221"/>
      <c r="HI180" s="221"/>
      <c r="HJ180" s="221"/>
      <c r="HK180" s="221"/>
      <c r="HL180" s="221"/>
      <c r="HM180" s="221"/>
      <c r="HN180" s="221"/>
      <c r="HO180" s="221"/>
      <c r="HP180" s="221"/>
      <c r="HQ180" s="221"/>
      <c r="HR180" s="221"/>
      <c r="HS180" s="221"/>
      <c r="HT180" s="221"/>
      <c r="HU180" s="221"/>
      <c r="HV180" s="221"/>
      <c r="HW180" s="221"/>
      <c r="HX180" s="221"/>
      <c r="HY180" s="221"/>
      <c r="HZ180" s="221"/>
      <c r="IA180" s="221"/>
      <c r="IB180" s="221"/>
      <c r="IC180" s="221"/>
      <c r="ID180" s="221"/>
      <c r="IE180" s="221"/>
      <c r="IF180" s="221"/>
      <c r="IG180" s="221"/>
      <c r="IH180" s="221"/>
      <c r="II180" s="221"/>
      <c r="IJ180" s="221"/>
      <c r="IK180" s="221"/>
      <c r="IL180" s="221"/>
      <c r="IM180" s="221"/>
      <c r="IN180" s="221"/>
      <c r="IO180" s="221"/>
      <c r="IP180" s="221"/>
      <c r="IQ180" s="221"/>
      <c r="IR180" s="221"/>
      <c r="IS180" s="221"/>
      <c r="IT180" s="221"/>
      <c r="IU180" s="221"/>
      <c r="IV180" s="221"/>
      <c r="IW180" s="221"/>
      <c r="IX180" s="221"/>
      <c r="IY180" s="221"/>
      <c r="IZ180" s="221"/>
      <c r="JA180" s="221"/>
      <c r="JB180" s="221"/>
      <c r="JC180" s="221"/>
      <c r="JD180" s="221"/>
      <c r="JE180" s="221"/>
      <c r="JF180" s="221"/>
      <c r="JG180" s="221"/>
      <c r="JH180" s="221"/>
      <c r="JI180" s="221"/>
      <c r="JJ180" s="221"/>
      <c r="JK180" s="221"/>
      <c r="JL180" s="221"/>
      <c r="JM180" s="221"/>
      <c r="JN180" s="221"/>
      <c r="JO180" s="221"/>
      <c r="JP180" s="221"/>
      <c r="JQ180" s="221"/>
    </row>
    <row r="181" spans="1:277" ht="19" customHeight="1" outlineLevel="1">
      <c r="A181" s="456">
        <v>1904029</v>
      </c>
      <c r="B181" s="694">
        <v>42109</v>
      </c>
      <c r="C181" s="691" t="s">
        <v>1523</v>
      </c>
      <c r="D181" s="691" t="s">
        <v>1259</v>
      </c>
      <c r="E181" s="692" t="s">
        <v>60</v>
      </c>
      <c r="F181" s="693" t="s">
        <v>47</v>
      </c>
      <c r="G181" s="253" t="s">
        <v>1554</v>
      </c>
      <c r="H181" s="294" t="s">
        <v>191</v>
      </c>
      <c r="I181" s="254" t="s">
        <v>155</v>
      </c>
      <c r="J181" s="255" t="s">
        <v>62</v>
      </c>
      <c r="K181" s="256" t="s">
        <v>50</v>
      </c>
      <c r="L181" s="50"/>
      <c r="M181" s="33">
        <v>42111</v>
      </c>
      <c r="N181" s="257" t="s">
        <v>136</v>
      </c>
      <c r="O181" s="258" t="s">
        <v>1829</v>
      </c>
      <c r="P181" s="559"/>
      <c r="Q181" s="290"/>
      <c r="R181" s="586">
        <v>0</v>
      </c>
      <c r="S181" s="585">
        <v>0</v>
      </c>
      <c r="T181" s="602">
        <v>0</v>
      </c>
      <c r="U181" s="594">
        <v>0</v>
      </c>
      <c r="V181" s="585">
        <v>0</v>
      </c>
      <c r="W181" s="602">
        <v>0</v>
      </c>
      <c r="X181" s="594">
        <v>0</v>
      </c>
      <c r="Y181" s="585">
        <v>0</v>
      </c>
      <c r="Z181" s="602">
        <v>0</v>
      </c>
      <c r="AA181" s="594">
        <v>0</v>
      </c>
      <c r="AB181" s="585">
        <v>0</v>
      </c>
      <c r="AC181" s="602">
        <v>0</v>
      </c>
      <c r="AD181" s="594">
        <v>0</v>
      </c>
      <c r="AE181" s="594">
        <v>0</v>
      </c>
      <c r="AF181" s="594">
        <v>0</v>
      </c>
      <c r="AG181" s="585">
        <v>1</v>
      </c>
      <c r="AH181" s="602">
        <v>0</v>
      </c>
      <c r="AI181" s="609">
        <v>0</v>
      </c>
      <c r="AJ181" s="609">
        <v>0</v>
      </c>
      <c r="AK181" s="740"/>
      <c r="AL181" s="524" t="s">
        <v>133</v>
      </c>
      <c r="AM181" s="253" t="s">
        <v>157</v>
      </c>
      <c r="AN181" s="36">
        <v>63.99</v>
      </c>
      <c r="AO181" s="252" t="s">
        <v>1633</v>
      </c>
      <c r="AP181" s="37">
        <v>99.17</v>
      </c>
      <c r="AQ181" s="792">
        <f t="shared" si="13"/>
        <v>35.18</v>
      </c>
      <c r="AR181" s="831">
        <f t="shared" si="15"/>
        <v>0.35474437834022388</v>
      </c>
      <c r="AS181" s="812"/>
      <c r="AT181" s="256" t="s">
        <v>1254</v>
      </c>
      <c r="AU181" s="38">
        <v>1</v>
      </c>
      <c r="AV181" s="252" t="s">
        <v>1508</v>
      </c>
      <c r="AW181" s="259" t="s">
        <v>1296</v>
      </c>
      <c r="AX181" s="36">
        <v>0</v>
      </c>
      <c r="AY181" s="26"/>
      <c r="AZ181" s="41">
        <v>7.29</v>
      </c>
      <c r="BA181" s="256" t="s">
        <v>1802</v>
      </c>
      <c r="BB181" s="41">
        <v>5.47</v>
      </c>
      <c r="BC181" s="42"/>
      <c r="BD181" s="42"/>
      <c r="BE181" s="42"/>
      <c r="BF181" s="42"/>
      <c r="BG181" s="42"/>
      <c r="BH181" s="221"/>
      <c r="BI181" s="221"/>
      <c r="BJ181" s="221"/>
      <c r="BK181" s="221"/>
      <c r="BL181" s="221"/>
      <c r="BM181" s="221"/>
      <c r="BN181" s="221"/>
      <c r="BO181" s="221"/>
      <c r="BP181" s="221"/>
      <c r="BQ181" s="221"/>
      <c r="BR181" s="221"/>
      <c r="BS181" s="221"/>
      <c r="BT181" s="221"/>
      <c r="BU181" s="221"/>
      <c r="BV181" s="221"/>
      <c r="BW181" s="221"/>
      <c r="BX181" s="221"/>
      <c r="BY181" s="221"/>
      <c r="BZ181" s="221"/>
      <c r="CA181" s="221"/>
      <c r="CB181" s="221"/>
      <c r="CC181" s="221"/>
      <c r="CD181" s="221"/>
      <c r="CE181" s="221"/>
      <c r="CF181" s="221"/>
      <c r="CG181" s="221"/>
      <c r="CH181" s="221"/>
      <c r="CI181" s="221"/>
      <c r="CJ181" s="221"/>
      <c r="CK181" s="221"/>
      <c r="CL181" s="221"/>
      <c r="CM181" s="221"/>
      <c r="CN181" s="221"/>
      <c r="CO181" s="221"/>
      <c r="CP181" s="221"/>
      <c r="CQ181" s="221"/>
      <c r="CR181" s="221"/>
      <c r="CS181" s="221"/>
      <c r="CT181" s="221"/>
      <c r="CU181" s="221"/>
      <c r="CV181" s="221"/>
      <c r="CW181" s="221"/>
      <c r="CX181" s="221"/>
      <c r="CY181" s="221"/>
      <c r="CZ181" s="221"/>
      <c r="DA181" s="221"/>
      <c r="DB181" s="221"/>
      <c r="DC181" s="221"/>
      <c r="DD181" s="221"/>
      <c r="DE181" s="221"/>
      <c r="DF181" s="221"/>
      <c r="DG181" s="221"/>
      <c r="DH181" s="221"/>
      <c r="DI181" s="221"/>
      <c r="DJ181" s="221"/>
      <c r="DK181" s="221"/>
      <c r="DL181" s="221"/>
      <c r="DM181" s="221"/>
      <c r="DN181" s="221"/>
      <c r="DO181" s="221"/>
      <c r="DP181" s="221"/>
      <c r="DQ181" s="221"/>
      <c r="DR181" s="221"/>
      <c r="DS181" s="221"/>
      <c r="DT181" s="221"/>
      <c r="DU181" s="221"/>
      <c r="DV181" s="221"/>
      <c r="DW181" s="221"/>
      <c r="DX181" s="221"/>
      <c r="DY181" s="221"/>
      <c r="DZ181" s="221"/>
      <c r="EA181" s="221"/>
      <c r="EB181" s="221"/>
      <c r="EC181" s="221"/>
      <c r="ED181" s="221"/>
      <c r="EE181" s="221"/>
      <c r="EF181" s="221"/>
      <c r="EG181" s="221"/>
      <c r="EH181" s="221"/>
      <c r="EI181" s="221"/>
      <c r="EJ181" s="221"/>
      <c r="EK181" s="221"/>
      <c r="EL181" s="221"/>
      <c r="EM181" s="221"/>
      <c r="EN181" s="221"/>
      <c r="EO181" s="221"/>
      <c r="EP181" s="221"/>
      <c r="EQ181" s="221"/>
      <c r="ER181" s="221"/>
      <c r="ES181" s="221"/>
      <c r="ET181" s="221"/>
      <c r="EU181" s="221"/>
      <c r="EV181" s="221"/>
      <c r="EW181" s="221"/>
      <c r="EX181" s="221"/>
      <c r="EY181" s="221"/>
      <c r="EZ181" s="221"/>
      <c r="FA181" s="221"/>
      <c r="FB181" s="221"/>
      <c r="FC181" s="221"/>
      <c r="FD181" s="221"/>
      <c r="FE181" s="221"/>
      <c r="FF181" s="221"/>
      <c r="FG181" s="221"/>
      <c r="FH181" s="221"/>
      <c r="FI181" s="221"/>
      <c r="FJ181" s="221"/>
      <c r="FK181" s="221"/>
      <c r="FL181" s="221"/>
      <c r="FM181" s="221"/>
      <c r="FN181" s="221"/>
      <c r="FO181" s="221"/>
      <c r="FP181" s="221"/>
      <c r="FQ181" s="221"/>
      <c r="FR181" s="221"/>
      <c r="FS181" s="221"/>
      <c r="FT181" s="221"/>
      <c r="FU181" s="221"/>
      <c r="FV181" s="221"/>
      <c r="FW181" s="221"/>
      <c r="FX181" s="221"/>
      <c r="FY181" s="221"/>
      <c r="FZ181" s="221"/>
      <c r="GA181" s="221"/>
      <c r="GB181" s="221"/>
      <c r="GC181" s="221"/>
      <c r="GD181" s="221"/>
      <c r="GE181" s="221"/>
      <c r="GF181" s="221"/>
      <c r="GG181" s="221"/>
      <c r="GH181" s="221"/>
      <c r="GI181" s="221"/>
      <c r="GJ181" s="221"/>
      <c r="GK181" s="221"/>
      <c r="GL181" s="221"/>
      <c r="GM181" s="221"/>
      <c r="GN181" s="221"/>
      <c r="GO181" s="221"/>
      <c r="GP181" s="221"/>
      <c r="GQ181" s="221"/>
      <c r="GR181" s="221"/>
      <c r="GS181" s="221"/>
      <c r="GT181" s="221"/>
      <c r="GU181" s="221"/>
      <c r="GV181" s="221"/>
      <c r="GW181" s="221"/>
      <c r="GX181" s="221"/>
      <c r="GY181" s="221"/>
      <c r="GZ181" s="221"/>
      <c r="HA181" s="221"/>
      <c r="HB181" s="221"/>
      <c r="HC181" s="221"/>
      <c r="HD181" s="221"/>
      <c r="HE181" s="221"/>
      <c r="HF181" s="221"/>
      <c r="HG181" s="221"/>
      <c r="HH181" s="221"/>
      <c r="HI181" s="221"/>
      <c r="HJ181" s="221"/>
      <c r="HK181" s="221"/>
      <c r="HL181" s="221"/>
      <c r="HM181" s="221"/>
      <c r="HN181" s="221"/>
      <c r="HO181" s="221"/>
      <c r="HP181" s="221"/>
      <c r="HQ181" s="221"/>
      <c r="HR181" s="221"/>
      <c r="HS181" s="221"/>
      <c r="HT181" s="221"/>
      <c r="HU181" s="221"/>
      <c r="HV181" s="221"/>
      <c r="HW181" s="221"/>
      <c r="HX181" s="221"/>
      <c r="HY181" s="221"/>
      <c r="HZ181" s="221"/>
      <c r="IA181" s="221"/>
      <c r="IB181" s="221"/>
      <c r="IC181" s="221"/>
      <c r="ID181" s="221"/>
      <c r="IE181" s="221"/>
      <c r="IF181" s="221"/>
      <c r="IG181" s="221"/>
      <c r="IH181" s="221"/>
      <c r="II181" s="221"/>
      <c r="IJ181" s="221"/>
      <c r="IK181" s="221"/>
      <c r="IL181" s="221"/>
      <c r="IM181" s="221"/>
      <c r="IN181" s="221"/>
      <c r="IO181" s="221"/>
      <c r="IP181" s="221"/>
      <c r="IQ181" s="221"/>
      <c r="IR181" s="221"/>
      <c r="IS181" s="221"/>
      <c r="IT181" s="221"/>
      <c r="IU181" s="221"/>
      <c r="IV181" s="221"/>
      <c r="IW181" s="221"/>
      <c r="IX181" s="221"/>
      <c r="IY181" s="221"/>
      <c r="IZ181" s="221"/>
      <c r="JA181" s="221"/>
      <c r="JB181" s="221"/>
      <c r="JC181" s="221"/>
      <c r="JD181" s="221"/>
      <c r="JE181" s="221"/>
      <c r="JF181" s="221"/>
      <c r="JG181" s="221"/>
      <c r="JH181" s="221"/>
      <c r="JI181" s="221"/>
      <c r="JJ181" s="221"/>
      <c r="JK181" s="221"/>
      <c r="JL181" s="221"/>
      <c r="JM181" s="221"/>
      <c r="JN181" s="221"/>
      <c r="JO181" s="221"/>
      <c r="JP181" s="221"/>
      <c r="JQ181" s="221"/>
    </row>
    <row r="182" spans="1:277" ht="19" customHeight="1" outlineLevel="1">
      <c r="A182" s="456">
        <v>1904030</v>
      </c>
      <c r="B182" s="694">
        <v>42109</v>
      </c>
      <c r="C182" s="691" t="s">
        <v>1523</v>
      </c>
      <c r="D182" s="691" t="s">
        <v>1259</v>
      </c>
      <c r="E182" s="692" t="s">
        <v>60</v>
      </c>
      <c r="F182" s="693" t="s">
        <v>47</v>
      </c>
      <c r="G182" s="253" t="s">
        <v>1555</v>
      </c>
      <c r="H182" s="294" t="s">
        <v>191</v>
      </c>
      <c r="I182" s="254" t="s">
        <v>155</v>
      </c>
      <c r="J182" s="255" t="s">
        <v>62</v>
      </c>
      <c r="K182" s="256" t="s">
        <v>50</v>
      </c>
      <c r="L182" s="50"/>
      <c r="M182" s="33">
        <v>42111</v>
      </c>
      <c r="N182" s="257" t="s">
        <v>136</v>
      </c>
      <c r="O182" s="258" t="s">
        <v>1949</v>
      </c>
      <c r="P182" s="559"/>
      <c r="Q182" s="290"/>
      <c r="R182" s="586">
        <v>0</v>
      </c>
      <c r="S182" s="585">
        <v>0</v>
      </c>
      <c r="T182" s="602">
        <v>0</v>
      </c>
      <c r="U182" s="594">
        <v>0</v>
      </c>
      <c r="V182" s="585">
        <v>0</v>
      </c>
      <c r="W182" s="602">
        <v>0</v>
      </c>
      <c r="X182" s="594">
        <v>0</v>
      </c>
      <c r="Y182" s="585">
        <v>0</v>
      </c>
      <c r="Z182" s="602">
        <v>0</v>
      </c>
      <c r="AA182" s="594">
        <v>0</v>
      </c>
      <c r="AB182" s="585">
        <v>0</v>
      </c>
      <c r="AC182" s="602">
        <v>0</v>
      </c>
      <c r="AD182" s="594">
        <v>0</v>
      </c>
      <c r="AE182" s="594">
        <v>0</v>
      </c>
      <c r="AF182" s="594">
        <v>0</v>
      </c>
      <c r="AG182" s="585">
        <v>1</v>
      </c>
      <c r="AH182" s="602">
        <v>0</v>
      </c>
      <c r="AI182" s="609">
        <v>0</v>
      </c>
      <c r="AJ182" s="609">
        <v>0</v>
      </c>
      <c r="AK182" s="740"/>
      <c r="AL182" s="524" t="s">
        <v>133</v>
      </c>
      <c r="AM182" s="253" t="s">
        <v>157</v>
      </c>
      <c r="AN182" s="36">
        <v>63.99</v>
      </c>
      <c r="AO182" s="252" t="s">
        <v>1634</v>
      </c>
      <c r="AP182" s="37">
        <v>99.17</v>
      </c>
      <c r="AQ182" s="792">
        <f t="shared" si="13"/>
        <v>35.18</v>
      </c>
      <c r="AR182" s="831">
        <f t="shared" si="15"/>
        <v>0.35474437834022388</v>
      </c>
      <c r="AS182" s="812"/>
      <c r="AT182" s="256" t="s">
        <v>1254</v>
      </c>
      <c r="AU182" s="38">
        <v>1</v>
      </c>
      <c r="AV182" s="252" t="s">
        <v>1508</v>
      </c>
      <c r="AW182" s="259" t="s">
        <v>1296</v>
      </c>
      <c r="AX182" s="36">
        <v>0</v>
      </c>
      <c r="AY182" s="26"/>
      <c r="AZ182" s="41">
        <v>7.29</v>
      </c>
      <c r="BA182" s="256" t="s">
        <v>1802</v>
      </c>
      <c r="BB182" s="41">
        <v>5.47</v>
      </c>
      <c r="BC182" s="42"/>
      <c r="BD182" s="42"/>
      <c r="BE182" s="42"/>
      <c r="BF182" s="42"/>
      <c r="BG182" s="42"/>
      <c r="BH182" s="221"/>
      <c r="BI182" s="221"/>
      <c r="BJ182" s="221"/>
      <c r="BK182" s="221"/>
      <c r="BL182" s="221"/>
      <c r="BM182" s="221"/>
      <c r="BN182" s="221"/>
      <c r="BO182" s="221"/>
      <c r="BP182" s="221"/>
      <c r="BQ182" s="221"/>
      <c r="BR182" s="221"/>
      <c r="BS182" s="221"/>
      <c r="BT182" s="221"/>
      <c r="BU182" s="221"/>
      <c r="BV182" s="221"/>
      <c r="BW182" s="221"/>
      <c r="BX182" s="221"/>
      <c r="BY182" s="221"/>
      <c r="BZ182" s="221"/>
      <c r="CA182" s="221"/>
      <c r="CB182" s="221"/>
      <c r="CC182" s="221"/>
      <c r="CD182" s="221"/>
      <c r="CE182" s="221"/>
      <c r="CF182" s="221"/>
      <c r="CG182" s="221"/>
      <c r="CH182" s="221"/>
      <c r="CI182" s="221"/>
      <c r="CJ182" s="221"/>
      <c r="CK182" s="221"/>
      <c r="CL182" s="221"/>
      <c r="CM182" s="221"/>
      <c r="CN182" s="221"/>
      <c r="CO182" s="221"/>
      <c r="CP182" s="221"/>
      <c r="CQ182" s="221"/>
      <c r="CR182" s="221"/>
      <c r="CS182" s="221"/>
      <c r="CT182" s="221"/>
      <c r="CU182" s="221"/>
      <c r="CV182" s="221"/>
      <c r="CW182" s="221"/>
      <c r="CX182" s="221"/>
      <c r="CY182" s="221"/>
      <c r="CZ182" s="221"/>
      <c r="DA182" s="221"/>
      <c r="DB182" s="221"/>
      <c r="DC182" s="221"/>
      <c r="DD182" s="221"/>
      <c r="DE182" s="221"/>
      <c r="DF182" s="221"/>
      <c r="DG182" s="221"/>
      <c r="DH182" s="221"/>
      <c r="DI182" s="221"/>
      <c r="DJ182" s="221"/>
      <c r="DK182" s="221"/>
      <c r="DL182" s="221"/>
      <c r="DM182" s="221"/>
      <c r="DN182" s="221"/>
      <c r="DO182" s="221"/>
      <c r="DP182" s="221"/>
      <c r="DQ182" s="221"/>
      <c r="DR182" s="221"/>
      <c r="DS182" s="221"/>
      <c r="DT182" s="221"/>
      <c r="DU182" s="221"/>
      <c r="DV182" s="221"/>
      <c r="DW182" s="221"/>
      <c r="DX182" s="221"/>
      <c r="DY182" s="221"/>
      <c r="DZ182" s="221"/>
      <c r="EA182" s="221"/>
      <c r="EB182" s="221"/>
      <c r="EC182" s="221"/>
      <c r="ED182" s="221"/>
      <c r="EE182" s="221"/>
      <c r="EF182" s="221"/>
      <c r="EG182" s="221"/>
      <c r="EH182" s="221"/>
      <c r="EI182" s="221"/>
      <c r="EJ182" s="221"/>
      <c r="EK182" s="221"/>
      <c r="EL182" s="221"/>
      <c r="EM182" s="221"/>
      <c r="EN182" s="221"/>
      <c r="EO182" s="221"/>
      <c r="EP182" s="221"/>
      <c r="EQ182" s="221"/>
      <c r="ER182" s="221"/>
      <c r="ES182" s="221"/>
      <c r="ET182" s="221"/>
      <c r="EU182" s="221"/>
      <c r="EV182" s="221"/>
      <c r="EW182" s="221"/>
      <c r="EX182" s="221"/>
      <c r="EY182" s="221"/>
      <c r="EZ182" s="221"/>
      <c r="FA182" s="221"/>
      <c r="FB182" s="221"/>
      <c r="FC182" s="221"/>
      <c r="FD182" s="221"/>
      <c r="FE182" s="221"/>
      <c r="FF182" s="221"/>
      <c r="FG182" s="221"/>
      <c r="FH182" s="221"/>
      <c r="FI182" s="221"/>
      <c r="FJ182" s="221"/>
      <c r="FK182" s="221"/>
      <c r="FL182" s="221"/>
      <c r="FM182" s="221"/>
      <c r="FN182" s="221"/>
      <c r="FO182" s="221"/>
      <c r="FP182" s="221"/>
      <c r="FQ182" s="221"/>
      <c r="FR182" s="221"/>
      <c r="FS182" s="221"/>
      <c r="FT182" s="221"/>
      <c r="FU182" s="221"/>
      <c r="FV182" s="221"/>
      <c r="FW182" s="221"/>
      <c r="FX182" s="221"/>
      <c r="FY182" s="221"/>
      <c r="FZ182" s="221"/>
      <c r="GA182" s="221"/>
      <c r="GB182" s="221"/>
      <c r="GC182" s="221"/>
      <c r="GD182" s="221"/>
      <c r="GE182" s="221"/>
      <c r="GF182" s="221"/>
      <c r="GG182" s="221"/>
      <c r="GH182" s="221"/>
      <c r="GI182" s="221"/>
      <c r="GJ182" s="221"/>
      <c r="GK182" s="221"/>
      <c r="GL182" s="221"/>
      <c r="GM182" s="221"/>
      <c r="GN182" s="221"/>
      <c r="GO182" s="221"/>
      <c r="GP182" s="221"/>
      <c r="GQ182" s="221"/>
      <c r="GR182" s="221"/>
      <c r="GS182" s="221"/>
      <c r="GT182" s="221"/>
      <c r="GU182" s="221"/>
      <c r="GV182" s="221"/>
      <c r="GW182" s="221"/>
      <c r="GX182" s="221"/>
      <c r="GY182" s="221"/>
      <c r="GZ182" s="221"/>
      <c r="HA182" s="221"/>
      <c r="HB182" s="221"/>
      <c r="HC182" s="221"/>
      <c r="HD182" s="221"/>
      <c r="HE182" s="221"/>
      <c r="HF182" s="221"/>
      <c r="HG182" s="221"/>
      <c r="HH182" s="221"/>
      <c r="HI182" s="221"/>
      <c r="HJ182" s="221"/>
      <c r="HK182" s="221"/>
      <c r="HL182" s="221"/>
      <c r="HM182" s="221"/>
      <c r="HN182" s="221"/>
      <c r="HO182" s="221"/>
      <c r="HP182" s="221"/>
      <c r="HQ182" s="221"/>
      <c r="HR182" s="221"/>
      <c r="HS182" s="221"/>
      <c r="HT182" s="221"/>
      <c r="HU182" s="221"/>
      <c r="HV182" s="221"/>
      <c r="HW182" s="221"/>
      <c r="HX182" s="221"/>
      <c r="HY182" s="221"/>
      <c r="HZ182" s="221"/>
      <c r="IA182" s="221"/>
      <c r="IB182" s="221"/>
      <c r="IC182" s="221"/>
      <c r="ID182" s="221"/>
      <c r="IE182" s="221"/>
      <c r="IF182" s="221"/>
      <c r="IG182" s="221"/>
      <c r="IH182" s="221"/>
      <c r="II182" s="221"/>
      <c r="IJ182" s="221"/>
      <c r="IK182" s="221"/>
      <c r="IL182" s="221"/>
      <c r="IM182" s="221"/>
      <c r="IN182" s="221"/>
      <c r="IO182" s="221"/>
      <c r="IP182" s="221"/>
      <c r="IQ182" s="221"/>
      <c r="IR182" s="221"/>
      <c r="IS182" s="221"/>
      <c r="IT182" s="221"/>
      <c r="IU182" s="221"/>
      <c r="IV182" s="221"/>
      <c r="IW182" s="221"/>
      <c r="IX182" s="221"/>
      <c r="IY182" s="221"/>
      <c r="IZ182" s="221"/>
      <c r="JA182" s="221"/>
      <c r="JB182" s="221"/>
      <c r="JC182" s="221"/>
      <c r="JD182" s="221"/>
      <c r="JE182" s="221"/>
      <c r="JF182" s="221"/>
      <c r="JG182" s="221"/>
      <c r="JH182" s="221"/>
      <c r="JI182" s="221"/>
      <c r="JJ182" s="221"/>
      <c r="JK182" s="221"/>
      <c r="JL182" s="221"/>
      <c r="JM182" s="221"/>
      <c r="JN182" s="221"/>
      <c r="JO182" s="221"/>
      <c r="JP182" s="221"/>
      <c r="JQ182" s="221"/>
    </row>
    <row r="183" spans="1:277" ht="19" customHeight="1" outlineLevel="1">
      <c r="A183" s="456">
        <v>1904031</v>
      </c>
      <c r="B183" s="694">
        <v>42109</v>
      </c>
      <c r="C183" s="691" t="s">
        <v>1523</v>
      </c>
      <c r="D183" s="691" t="s">
        <v>1259</v>
      </c>
      <c r="E183" s="692" t="s">
        <v>60</v>
      </c>
      <c r="F183" s="693" t="s">
        <v>47</v>
      </c>
      <c r="G183" s="253" t="s">
        <v>1556</v>
      </c>
      <c r="H183" s="294" t="s">
        <v>191</v>
      </c>
      <c r="I183" s="254" t="s">
        <v>155</v>
      </c>
      <c r="J183" s="255" t="s">
        <v>62</v>
      </c>
      <c r="K183" s="256" t="s">
        <v>50</v>
      </c>
      <c r="L183" s="50"/>
      <c r="M183" s="33">
        <v>42111</v>
      </c>
      <c r="N183" s="257" t="s">
        <v>136</v>
      </c>
      <c r="O183" s="258" t="s">
        <v>1830</v>
      </c>
      <c r="P183" s="559"/>
      <c r="Q183" s="290"/>
      <c r="R183" s="586">
        <v>0</v>
      </c>
      <c r="S183" s="585">
        <v>0</v>
      </c>
      <c r="T183" s="602">
        <v>0</v>
      </c>
      <c r="U183" s="594">
        <v>0</v>
      </c>
      <c r="V183" s="585">
        <v>0</v>
      </c>
      <c r="W183" s="602">
        <v>0</v>
      </c>
      <c r="X183" s="594">
        <v>0</v>
      </c>
      <c r="Y183" s="585">
        <v>0</v>
      </c>
      <c r="Z183" s="602">
        <v>0</v>
      </c>
      <c r="AA183" s="594">
        <v>0</v>
      </c>
      <c r="AB183" s="585">
        <v>0</v>
      </c>
      <c r="AC183" s="602">
        <v>0</v>
      </c>
      <c r="AD183" s="594">
        <v>0</v>
      </c>
      <c r="AE183" s="594">
        <v>0</v>
      </c>
      <c r="AF183" s="594">
        <v>0</v>
      </c>
      <c r="AG183" s="585">
        <v>1</v>
      </c>
      <c r="AH183" s="602">
        <v>0</v>
      </c>
      <c r="AI183" s="609">
        <v>0</v>
      </c>
      <c r="AJ183" s="609">
        <v>0</v>
      </c>
      <c r="AK183" s="740"/>
      <c r="AL183" s="524" t="s">
        <v>133</v>
      </c>
      <c r="AM183" s="253" t="s">
        <v>157</v>
      </c>
      <c r="AN183" s="36">
        <v>63.99</v>
      </c>
      <c r="AO183" s="252" t="s">
        <v>1842</v>
      </c>
      <c r="AP183" s="37">
        <v>99.17</v>
      </c>
      <c r="AQ183" s="792">
        <f t="shared" si="13"/>
        <v>35.18</v>
      </c>
      <c r="AR183" s="831">
        <f t="shared" si="15"/>
        <v>0.35474437834022388</v>
      </c>
      <c r="AS183" s="812">
        <v>42138</v>
      </c>
      <c r="AT183" s="256" t="s">
        <v>1254</v>
      </c>
      <c r="AU183" s="38">
        <v>1</v>
      </c>
      <c r="AV183" s="252" t="s">
        <v>1508</v>
      </c>
      <c r="AW183" s="259" t="s">
        <v>1296</v>
      </c>
      <c r="AX183" s="36">
        <v>0</v>
      </c>
      <c r="AY183" s="26"/>
      <c r="AZ183" s="41">
        <v>7.29</v>
      </c>
      <c r="BA183" s="256" t="s">
        <v>1802</v>
      </c>
      <c r="BB183" s="41">
        <v>5.47</v>
      </c>
      <c r="BC183" s="42"/>
      <c r="BD183" s="42"/>
      <c r="BE183" s="42"/>
      <c r="BF183" s="42"/>
      <c r="BG183" s="42"/>
      <c r="BH183" s="221"/>
      <c r="BI183" s="221"/>
      <c r="BJ183" s="221"/>
      <c r="BK183" s="221"/>
      <c r="BL183" s="221"/>
      <c r="BM183" s="221"/>
      <c r="BN183" s="221"/>
      <c r="BO183" s="221"/>
      <c r="BP183" s="221"/>
      <c r="BQ183" s="221"/>
      <c r="BR183" s="221"/>
      <c r="BS183" s="221"/>
      <c r="BT183" s="221"/>
      <c r="BU183" s="221"/>
      <c r="BV183" s="221"/>
      <c r="BW183" s="221"/>
      <c r="BX183" s="221"/>
      <c r="BY183" s="221"/>
      <c r="BZ183" s="221"/>
      <c r="CA183" s="221"/>
      <c r="CB183" s="221"/>
      <c r="CC183" s="221"/>
      <c r="CD183" s="221"/>
      <c r="CE183" s="221"/>
      <c r="CF183" s="221"/>
      <c r="CG183" s="221"/>
      <c r="CH183" s="221"/>
      <c r="CI183" s="221"/>
      <c r="CJ183" s="221"/>
      <c r="CK183" s="221"/>
      <c r="CL183" s="221"/>
      <c r="CM183" s="221"/>
      <c r="CN183" s="221"/>
      <c r="CO183" s="221"/>
      <c r="CP183" s="221"/>
      <c r="CQ183" s="221"/>
      <c r="CR183" s="221"/>
      <c r="CS183" s="221"/>
      <c r="CT183" s="221"/>
      <c r="CU183" s="221"/>
      <c r="CV183" s="221"/>
      <c r="CW183" s="221"/>
      <c r="CX183" s="221"/>
      <c r="CY183" s="221"/>
      <c r="CZ183" s="221"/>
      <c r="DA183" s="221"/>
      <c r="DB183" s="221"/>
      <c r="DC183" s="221"/>
      <c r="DD183" s="221"/>
      <c r="DE183" s="221"/>
      <c r="DF183" s="221"/>
      <c r="DG183" s="221"/>
      <c r="DH183" s="221"/>
      <c r="DI183" s="221"/>
      <c r="DJ183" s="221"/>
      <c r="DK183" s="221"/>
      <c r="DL183" s="221"/>
      <c r="DM183" s="221"/>
      <c r="DN183" s="221"/>
      <c r="DO183" s="221"/>
      <c r="DP183" s="221"/>
      <c r="DQ183" s="221"/>
      <c r="DR183" s="221"/>
      <c r="DS183" s="221"/>
      <c r="DT183" s="221"/>
      <c r="DU183" s="221"/>
      <c r="DV183" s="221"/>
      <c r="DW183" s="221"/>
      <c r="DX183" s="221"/>
      <c r="DY183" s="221"/>
      <c r="DZ183" s="221"/>
      <c r="EA183" s="221"/>
      <c r="EB183" s="221"/>
      <c r="EC183" s="221"/>
      <c r="ED183" s="221"/>
      <c r="EE183" s="221"/>
      <c r="EF183" s="221"/>
      <c r="EG183" s="221"/>
      <c r="EH183" s="221"/>
      <c r="EI183" s="221"/>
      <c r="EJ183" s="221"/>
      <c r="EK183" s="221"/>
      <c r="EL183" s="221"/>
      <c r="EM183" s="221"/>
      <c r="EN183" s="221"/>
      <c r="EO183" s="221"/>
      <c r="EP183" s="221"/>
      <c r="EQ183" s="221"/>
      <c r="ER183" s="221"/>
      <c r="ES183" s="221"/>
      <c r="ET183" s="221"/>
      <c r="EU183" s="221"/>
      <c r="EV183" s="221"/>
      <c r="EW183" s="221"/>
      <c r="EX183" s="221"/>
      <c r="EY183" s="221"/>
      <c r="EZ183" s="221"/>
      <c r="FA183" s="221"/>
      <c r="FB183" s="221"/>
      <c r="FC183" s="221"/>
      <c r="FD183" s="221"/>
      <c r="FE183" s="221"/>
      <c r="FF183" s="221"/>
      <c r="FG183" s="221"/>
      <c r="FH183" s="221"/>
      <c r="FI183" s="221"/>
      <c r="FJ183" s="221"/>
      <c r="FK183" s="221"/>
      <c r="FL183" s="221"/>
      <c r="FM183" s="221"/>
      <c r="FN183" s="221"/>
      <c r="FO183" s="221"/>
      <c r="FP183" s="221"/>
      <c r="FQ183" s="221"/>
      <c r="FR183" s="221"/>
      <c r="FS183" s="221"/>
      <c r="FT183" s="221"/>
      <c r="FU183" s="221"/>
      <c r="FV183" s="221"/>
      <c r="FW183" s="221"/>
      <c r="FX183" s="221"/>
      <c r="FY183" s="221"/>
      <c r="FZ183" s="221"/>
      <c r="GA183" s="221"/>
      <c r="GB183" s="221"/>
      <c r="GC183" s="221"/>
      <c r="GD183" s="221"/>
      <c r="GE183" s="221"/>
      <c r="GF183" s="221"/>
      <c r="GG183" s="221"/>
      <c r="GH183" s="221"/>
      <c r="GI183" s="221"/>
      <c r="GJ183" s="221"/>
      <c r="GK183" s="221"/>
      <c r="GL183" s="221"/>
      <c r="GM183" s="221"/>
      <c r="GN183" s="221"/>
      <c r="GO183" s="221"/>
      <c r="GP183" s="221"/>
      <c r="GQ183" s="221"/>
      <c r="GR183" s="221"/>
      <c r="GS183" s="221"/>
      <c r="GT183" s="221"/>
      <c r="GU183" s="221"/>
      <c r="GV183" s="221"/>
      <c r="GW183" s="221"/>
      <c r="GX183" s="221"/>
      <c r="GY183" s="221"/>
      <c r="GZ183" s="221"/>
      <c r="HA183" s="221"/>
      <c r="HB183" s="221"/>
      <c r="HC183" s="221"/>
      <c r="HD183" s="221"/>
      <c r="HE183" s="221"/>
      <c r="HF183" s="221"/>
      <c r="HG183" s="221"/>
      <c r="HH183" s="221"/>
      <c r="HI183" s="221"/>
      <c r="HJ183" s="221"/>
      <c r="HK183" s="221"/>
      <c r="HL183" s="221"/>
      <c r="HM183" s="221"/>
      <c r="HN183" s="221"/>
      <c r="HO183" s="221"/>
      <c r="HP183" s="221"/>
      <c r="HQ183" s="221"/>
      <c r="HR183" s="221"/>
      <c r="HS183" s="221"/>
      <c r="HT183" s="221"/>
      <c r="HU183" s="221"/>
      <c r="HV183" s="221"/>
      <c r="HW183" s="221"/>
      <c r="HX183" s="221"/>
      <c r="HY183" s="221"/>
      <c r="HZ183" s="221"/>
      <c r="IA183" s="221"/>
      <c r="IB183" s="221"/>
      <c r="IC183" s="221"/>
      <c r="ID183" s="221"/>
      <c r="IE183" s="221"/>
      <c r="IF183" s="221"/>
      <c r="IG183" s="221"/>
      <c r="IH183" s="221"/>
      <c r="II183" s="221"/>
      <c r="IJ183" s="221"/>
      <c r="IK183" s="221"/>
      <c r="IL183" s="221"/>
      <c r="IM183" s="221"/>
      <c r="IN183" s="221"/>
      <c r="IO183" s="221"/>
      <c r="IP183" s="221"/>
      <c r="IQ183" s="221"/>
      <c r="IR183" s="221"/>
      <c r="IS183" s="221"/>
      <c r="IT183" s="221"/>
      <c r="IU183" s="221"/>
      <c r="IV183" s="221"/>
      <c r="IW183" s="221"/>
      <c r="IX183" s="221"/>
      <c r="IY183" s="221"/>
      <c r="IZ183" s="221"/>
      <c r="JA183" s="221"/>
      <c r="JB183" s="221"/>
      <c r="JC183" s="221"/>
      <c r="JD183" s="221"/>
      <c r="JE183" s="221"/>
      <c r="JF183" s="221"/>
      <c r="JG183" s="221"/>
      <c r="JH183" s="221"/>
      <c r="JI183" s="221"/>
      <c r="JJ183" s="221"/>
      <c r="JK183" s="221"/>
      <c r="JL183" s="221"/>
      <c r="JM183" s="221"/>
      <c r="JN183" s="221"/>
      <c r="JO183" s="221"/>
      <c r="JP183" s="221"/>
      <c r="JQ183" s="221"/>
    </row>
    <row r="184" spans="1:277" ht="19" customHeight="1" outlineLevel="1">
      <c r="A184" s="456">
        <v>1904032</v>
      </c>
      <c r="B184" s="694">
        <v>42109</v>
      </c>
      <c r="C184" s="691" t="s">
        <v>1523</v>
      </c>
      <c r="D184" s="691" t="s">
        <v>1259</v>
      </c>
      <c r="E184" s="692" t="s">
        <v>60</v>
      </c>
      <c r="F184" s="693" t="s">
        <v>47</v>
      </c>
      <c r="G184" s="253" t="s">
        <v>1557</v>
      </c>
      <c r="H184" s="294" t="s">
        <v>191</v>
      </c>
      <c r="I184" s="254" t="s">
        <v>155</v>
      </c>
      <c r="J184" s="255" t="s">
        <v>62</v>
      </c>
      <c r="K184" s="256" t="s">
        <v>50</v>
      </c>
      <c r="L184" s="50"/>
      <c r="M184" s="33">
        <v>42111</v>
      </c>
      <c r="N184" s="257" t="s">
        <v>136</v>
      </c>
      <c r="O184" s="258" t="s">
        <v>1285</v>
      </c>
      <c r="P184" s="559"/>
      <c r="Q184" s="290"/>
      <c r="R184" s="586">
        <v>0</v>
      </c>
      <c r="S184" s="585">
        <v>0</v>
      </c>
      <c r="T184" s="602">
        <v>0</v>
      </c>
      <c r="U184" s="594">
        <v>0</v>
      </c>
      <c r="V184" s="585">
        <v>0</v>
      </c>
      <c r="W184" s="602">
        <v>0</v>
      </c>
      <c r="X184" s="594">
        <v>0</v>
      </c>
      <c r="Y184" s="585">
        <v>0</v>
      </c>
      <c r="Z184" s="602">
        <v>0</v>
      </c>
      <c r="AA184" s="594">
        <v>0</v>
      </c>
      <c r="AB184" s="585">
        <v>0</v>
      </c>
      <c r="AC184" s="602">
        <v>0</v>
      </c>
      <c r="AD184" s="594">
        <v>0</v>
      </c>
      <c r="AE184" s="594">
        <v>0</v>
      </c>
      <c r="AF184" s="594">
        <v>0</v>
      </c>
      <c r="AG184" s="585">
        <v>1</v>
      </c>
      <c r="AH184" s="602">
        <v>0</v>
      </c>
      <c r="AI184" s="609">
        <v>0</v>
      </c>
      <c r="AJ184" s="609">
        <v>0</v>
      </c>
      <c r="AK184" s="740"/>
      <c r="AL184" s="524" t="s">
        <v>133</v>
      </c>
      <c r="AM184" s="253" t="s">
        <v>157</v>
      </c>
      <c r="AN184" s="36">
        <v>63.99</v>
      </c>
      <c r="AO184" s="252" t="s">
        <v>1636</v>
      </c>
      <c r="AP184" s="37">
        <v>99.17</v>
      </c>
      <c r="AQ184" s="792">
        <f t="shared" si="13"/>
        <v>35.18</v>
      </c>
      <c r="AR184" s="831">
        <f t="shared" si="15"/>
        <v>0.35474437834022388</v>
      </c>
      <c r="AS184" s="812"/>
      <c r="AT184" s="256" t="s">
        <v>1254</v>
      </c>
      <c r="AU184" s="38">
        <v>1</v>
      </c>
      <c r="AV184" s="252" t="s">
        <v>1508</v>
      </c>
      <c r="AW184" s="259" t="s">
        <v>1296</v>
      </c>
      <c r="AX184" s="36">
        <v>0</v>
      </c>
      <c r="AY184" s="26"/>
      <c r="AZ184" s="41">
        <v>7.29</v>
      </c>
      <c r="BA184" s="256" t="s">
        <v>1802</v>
      </c>
      <c r="BB184" s="41">
        <v>5.47</v>
      </c>
      <c r="BC184" s="42"/>
      <c r="BD184" s="42"/>
      <c r="BE184" s="42"/>
      <c r="BF184" s="42"/>
      <c r="BG184" s="42"/>
      <c r="BH184" s="221"/>
      <c r="BI184" s="221"/>
      <c r="BJ184" s="221"/>
      <c r="BK184" s="221"/>
      <c r="BL184" s="221"/>
      <c r="BM184" s="221"/>
      <c r="BN184" s="221"/>
      <c r="BO184" s="221"/>
      <c r="BP184" s="221"/>
      <c r="BQ184" s="221"/>
      <c r="BR184" s="221"/>
      <c r="BS184" s="221"/>
      <c r="BT184" s="221"/>
      <c r="BU184" s="221"/>
      <c r="BV184" s="221"/>
      <c r="BW184" s="221"/>
      <c r="BX184" s="221"/>
      <c r="BY184" s="221"/>
      <c r="BZ184" s="221"/>
      <c r="CA184" s="221"/>
      <c r="CB184" s="221"/>
      <c r="CC184" s="221"/>
      <c r="CD184" s="221"/>
      <c r="CE184" s="221"/>
      <c r="CF184" s="221"/>
      <c r="CG184" s="221"/>
      <c r="CH184" s="221"/>
      <c r="CI184" s="221"/>
      <c r="CJ184" s="221"/>
      <c r="CK184" s="221"/>
      <c r="CL184" s="221"/>
      <c r="CM184" s="221"/>
      <c r="CN184" s="221"/>
      <c r="CO184" s="221"/>
      <c r="CP184" s="221"/>
      <c r="CQ184" s="221"/>
      <c r="CR184" s="221"/>
      <c r="CS184" s="221"/>
      <c r="CT184" s="221"/>
      <c r="CU184" s="221"/>
      <c r="CV184" s="221"/>
      <c r="CW184" s="221"/>
      <c r="CX184" s="221"/>
      <c r="CY184" s="221"/>
      <c r="CZ184" s="221"/>
      <c r="DA184" s="221"/>
      <c r="DB184" s="221"/>
      <c r="DC184" s="221"/>
      <c r="DD184" s="221"/>
      <c r="DE184" s="221"/>
      <c r="DF184" s="221"/>
      <c r="DG184" s="221"/>
      <c r="DH184" s="221"/>
      <c r="DI184" s="221"/>
      <c r="DJ184" s="221"/>
      <c r="DK184" s="221"/>
      <c r="DL184" s="221"/>
      <c r="DM184" s="221"/>
      <c r="DN184" s="221"/>
      <c r="DO184" s="221"/>
      <c r="DP184" s="221"/>
      <c r="DQ184" s="221"/>
      <c r="DR184" s="221"/>
      <c r="DS184" s="221"/>
      <c r="DT184" s="221"/>
      <c r="DU184" s="221"/>
      <c r="DV184" s="221"/>
      <c r="DW184" s="221"/>
      <c r="DX184" s="221"/>
      <c r="DY184" s="221"/>
      <c r="DZ184" s="221"/>
      <c r="EA184" s="221"/>
      <c r="EB184" s="221"/>
      <c r="EC184" s="221"/>
      <c r="ED184" s="221"/>
      <c r="EE184" s="221"/>
      <c r="EF184" s="221"/>
      <c r="EG184" s="221"/>
      <c r="EH184" s="221"/>
      <c r="EI184" s="221"/>
      <c r="EJ184" s="221"/>
      <c r="EK184" s="221"/>
      <c r="EL184" s="221"/>
      <c r="EM184" s="221"/>
      <c r="EN184" s="221"/>
      <c r="EO184" s="221"/>
      <c r="EP184" s="221"/>
      <c r="EQ184" s="221"/>
      <c r="ER184" s="221"/>
      <c r="ES184" s="221"/>
      <c r="ET184" s="221"/>
      <c r="EU184" s="221"/>
      <c r="EV184" s="221"/>
      <c r="EW184" s="221"/>
      <c r="EX184" s="221"/>
      <c r="EY184" s="221"/>
      <c r="EZ184" s="221"/>
      <c r="FA184" s="221"/>
      <c r="FB184" s="221"/>
      <c r="FC184" s="221"/>
      <c r="FD184" s="221"/>
      <c r="FE184" s="221"/>
      <c r="FF184" s="221"/>
      <c r="FG184" s="221"/>
      <c r="FH184" s="221"/>
      <c r="FI184" s="221"/>
      <c r="FJ184" s="221"/>
      <c r="FK184" s="221"/>
      <c r="FL184" s="221"/>
      <c r="FM184" s="221"/>
      <c r="FN184" s="221"/>
      <c r="FO184" s="221"/>
      <c r="FP184" s="221"/>
      <c r="FQ184" s="221"/>
      <c r="FR184" s="221"/>
      <c r="FS184" s="221"/>
      <c r="FT184" s="221"/>
      <c r="FU184" s="221"/>
      <c r="FV184" s="221"/>
      <c r="FW184" s="221"/>
      <c r="FX184" s="221"/>
      <c r="FY184" s="221"/>
      <c r="FZ184" s="221"/>
      <c r="GA184" s="221"/>
      <c r="GB184" s="221"/>
      <c r="GC184" s="221"/>
      <c r="GD184" s="221"/>
      <c r="GE184" s="221"/>
      <c r="GF184" s="221"/>
      <c r="GG184" s="221"/>
      <c r="GH184" s="221"/>
      <c r="GI184" s="221"/>
      <c r="GJ184" s="221"/>
      <c r="GK184" s="221"/>
      <c r="GL184" s="221"/>
      <c r="GM184" s="221"/>
      <c r="GN184" s="221"/>
      <c r="GO184" s="221"/>
      <c r="GP184" s="221"/>
      <c r="GQ184" s="221"/>
      <c r="GR184" s="221"/>
      <c r="GS184" s="221"/>
      <c r="GT184" s="221"/>
      <c r="GU184" s="221"/>
      <c r="GV184" s="221"/>
      <c r="GW184" s="221"/>
      <c r="GX184" s="221"/>
      <c r="GY184" s="221"/>
      <c r="GZ184" s="221"/>
      <c r="HA184" s="221"/>
      <c r="HB184" s="221"/>
      <c r="HC184" s="221"/>
      <c r="HD184" s="221"/>
      <c r="HE184" s="221"/>
      <c r="HF184" s="221"/>
      <c r="HG184" s="221"/>
      <c r="HH184" s="221"/>
      <c r="HI184" s="221"/>
      <c r="HJ184" s="221"/>
      <c r="HK184" s="221"/>
      <c r="HL184" s="221"/>
      <c r="HM184" s="221"/>
      <c r="HN184" s="221"/>
      <c r="HO184" s="221"/>
      <c r="HP184" s="221"/>
      <c r="HQ184" s="221"/>
      <c r="HR184" s="221"/>
      <c r="HS184" s="221"/>
      <c r="HT184" s="221"/>
      <c r="HU184" s="221"/>
      <c r="HV184" s="221"/>
      <c r="HW184" s="221"/>
      <c r="HX184" s="221"/>
      <c r="HY184" s="221"/>
      <c r="HZ184" s="221"/>
      <c r="IA184" s="221"/>
      <c r="IB184" s="221"/>
      <c r="IC184" s="221"/>
      <c r="ID184" s="221"/>
      <c r="IE184" s="221"/>
      <c r="IF184" s="221"/>
      <c r="IG184" s="221"/>
      <c r="IH184" s="221"/>
      <c r="II184" s="221"/>
      <c r="IJ184" s="221"/>
      <c r="IK184" s="221"/>
      <c r="IL184" s="221"/>
      <c r="IM184" s="221"/>
      <c r="IN184" s="221"/>
      <c r="IO184" s="221"/>
      <c r="IP184" s="221"/>
      <c r="IQ184" s="221"/>
      <c r="IR184" s="221"/>
      <c r="IS184" s="221"/>
      <c r="IT184" s="221"/>
      <c r="IU184" s="221"/>
      <c r="IV184" s="221"/>
      <c r="IW184" s="221"/>
      <c r="IX184" s="221"/>
      <c r="IY184" s="221"/>
      <c r="IZ184" s="221"/>
      <c r="JA184" s="221"/>
      <c r="JB184" s="221"/>
      <c r="JC184" s="221"/>
      <c r="JD184" s="221"/>
      <c r="JE184" s="221"/>
      <c r="JF184" s="221"/>
      <c r="JG184" s="221"/>
      <c r="JH184" s="221"/>
      <c r="JI184" s="221"/>
      <c r="JJ184" s="221"/>
      <c r="JK184" s="221"/>
      <c r="JL184" s="221"/>
      <c r="JM184" s="221"/>
      <c r="JN184" s="221"/>
      <c r="JO184" s="221"/>
      <c r="JP184" s="221"/>
      <c r="JQ184" s="221"/>
    </row>
    <row r="185" spans="1:277" ht="19" customHeight="1" outlineLevel="1">
      <c r="A185" s="456">
        <v>1904033</v>
      </c>
      <c r="B185" s="694">
        <v>42109</v>
      </c>
      <c r="C185" s="691" t="s">
        <v>1523</v>
      </c>
      <c r="D185" s="691" t="s">
        <v>1259</v>
      </c>
      <c r="E185" s="692" t="s">
        <v>60</v>
      </c>
      <c r="F185" s="693" t="s">
        <v>47</v>
      </c>
      <c r="G185" s="253" t="s">
        <v>1558</v>
      </c>
      <c r="H185" s="294" t="s">
        <v>191</v>
      </c>
      <c r="I185" s="254" t="s">
        <v>155</v>
      </c>
      <c r="J185" s="255" t="s">
        <v>62</v>
      </c>
      <c r="K185" s="256" t="s">
        <v>50</v>
      </c>
      <c r="L185" s="50"/>
      <c r="M185" s="33">
        <v>42111</v>
      </c>
      <c r="N185" s="257" t="s">
        <v>136</v>
      </c>
      <c r="O185" s="258" t="s">
        <v>131</v>
      </c>
      <c r="P185" s="559"/>
      <c r="Q185" s="290"/>
      <c r="R185" s="586">
        <v>0</v>
      </c>
      <c r="S185" s="585">
        <v>0</v>
      </c>
      <c r="T185" s="602">
        <v>0</v>
      </c>
      <c r="U185" s="594">
        <v>0</v>
      </c>
      <c r="V185" s="585">
        <v>0</v>
      </c>
      <c r="W185" s="602">
        <v>0</v>
      </c>
      <c r="X185" s="594">
        <v>0</v>
      </c>
      <c r="Y185" s="585">
        <v>0</v>
      </c>
      <c r="Z185" s="602">
        <v>0</v>
      </c>
      <c r="AA185" s="594">
        <v>0</v>
      </c>
      <c r="AB185" s="585">
        <v>0</v>
      </c>
      <c r="AC185" s="602">
        <v>0</v>
      </c>
      <c r="AD185" s="594">
        <v>0</v>
      </c>
      <c r="AE185" s="594">
        <v>0</v>
      </c>
      <c r="AF185" s="594">
        <v>0</v>
      </c>
      <c r="AG185" s="585">
        <v>1</v>
      </c>
      <c r="AH185" s="602">
        <v>0</v>
      </c>
      <c r="AI185" s="609">
        <v>0</v>
      </c>
      <c r="AJ185" s="609">
        <v>0</v>
      </c>
      <c r="AK185" s="740"/>
      <c r="AL185" s="524" t="s">
        <v>133</v>
      </c>
      <c r="AM185" s="253" t="s">
        <v>157</v>
      </c>
      <c r="AN185" s="36">
        <v>63.99</v>
      </c>
      <c r="AO185" s="252" t="s">
        <v>1637</v>
      </c>
      <c r="AP185" s="37">
        <v>99.17</v>
      </c>
      <c r="AQ185" s="792">
        <f t="shared" si="13"/>
        <v>35.18</v>
      </c>
      <c r="AR185" s="831">
        <f t="shared" si="15"/>
        <v>0.35474437834022388</v>
      </c>
      <c r="AS185" s="812">
        <v>42136</v>
      </c>
      <c r="AT185" s="256" t="s">
        <v>1254</v>
      </c>
      <c r="AU185" s="38">
        <v>1</v>
      </c>
      <c r="AV185" s="252" t="s">
        <v>1508</v>
      </c>
      <c r="AW185" s="259" t="s">
        <v>1296</v>
      </c>
      <c r="AX185" s="36">
        <v>0</v>
      </c>
      <c r="AY185" s="26"/>
      <c r="AZ185" s="41">
        <v>7.29</v>
      </c>
      <c r="BA185" s="256" t="s">
        <v>1802</v>
      </c>
      <c r="BB185" s="41">
        <v>5.47</v>
      </c>
      <c r="BC185" s="42"/>
      <c r="BD185" s="42"/>
      <c r="BE185" s="42"/>
      <c r="BF185" s="42"/>
      <c r="BG185" s="42"/>
      <c r="BH185" s="221"/>
      <c r="BI185" s="221"/>
      <c r="BJ185" s="221"/>
      <c r="BK185" s="221"/>
      <c r="BL185" s="221"/>
      <c r="BM185" s="221"/>
      <c r="BN185" s="221"/>
      <c r="BO185" s="221"/>
      <c r="BP185" s="221"/>
      <c r="BQ185" s="221"/>
      <c r="BR185" s="221"/>
      <c r="BS185" s="221"/>
      <c r="BT185" s="221"/>
      <c r="BU185" s="221"/>
      <c r="BV185" s="221"/>
      <c r="BW185" s="221"/>
      <c r="BX185" s="221"/>
      <c r="BY185" s="221"/>
      <c r="BZ185" s="221"/>
      <c r="CA185" s="221"/>
      <c r="CB185" s="221"/>
      <c r="CC185" s="221"/>
      <c r="CD185" s="221"/>
      <c r="CE185" s="221"/>
      <c r="CF185" s="221"/>
      <c r="CG185" s="221"/>
      <c r="CH185" s="221"/>
      <c r="CI185" s="221"/>
      <c r="CJ185" s="221"/>
      <c r="CK185" s="221"/>
      <c r="CL185" s="221"/>
      <c r="CM185" s="221"/>
      <c r="CN185" s="221"/>
      <c r="CO185" s="221"/>
      <c r="CP185" s="221"/>
      <c r="CQ185" s="221"/>
      <c r="CR185" s="221"/>
      <c r="CS185" s="221"/>
      <c r="CT185" s="221"/>
      <c r="CU185" s="221"/>
      <c r="CV185" s="221"/>
      <c r="CW185" s="221"/>
      <c r="CX185" s="221"/>
      <c r="CY185" s="221"/>
      <c r="CZ185" s="221"/>
      <c r="DA185" s="221"/>
      <c r="DB185" s="221"/>
      <c r="DC185" s="221"/>
      <c r="DD185" s="221"/>
      <c r="DE185" s="221"/>
      <c r="DF185" s="221"/>
      <c r="DG185" s="221"/>
      <c r="DH185" s="221"/>
      <c r="DI185" s="221"/>
      <c r="DJ185" s="221"/>
      <c r="DK185" s="221"/>
      <c r="DL185" s="221"/>
      <c r="DM185" s="221"/>
      <c r="DN185" s="221"/>
      <c r="DO185" s="221"/>
      <c r="DP185" s="221"/>
      <c r="DQ185" s="221"/>
      <c r="DR185" s="221"/>
      <c r="DS185" s="221"/>
      <c r="DT185" s="221"/>
      <c r="DU185" s="221"/>
      <c r="DV185" s="221"/>
      <c r="DW185" s="221"/>
      <c r="DX185" s="221"/>
      <c r="DY185" s="221"/>
      <c r="DZ185" s="221"/>
      <c r="EA185" s="221"/>
      <c r="EB185" s="221"/>
      <c r="EC185" s="221"/>
      <c r="ED185" s="221"/>
      <c r="EE185" s="221"/>
      <c r="EF185" s="221"/>
      <c r="EG185" s="221"/>
      <c r="EH185" s="221"/>
      <c r="EI185" s="221"/>
      <c r="EJ185" s="221"/>
      <c r="EK185" s="221"/>
      <c r="EL185" s="221"/>
      <c r="EM185" s="221"/>
      <c r="EN185" s="221"/>
      <c r="EO185" s="221"/>
      <c r="EP185" s="221"/>
      <c r="EQ185" s="221"/>
      <c r="ER185" s="221"/>
      <c r="ES185" s="221"/>
      <c r="ET185" s="221"/>
      <c r="EU185" s="221"/>
      <c r="EV185" s="221"/>
      <c r="EW185" s="221"/>
      <c r="EX185" s="221"/>
      <c r="EY185" s="221"/>
      <c r="EZ185" s="221"/>
      <c r="FA185" s="221"/>
      <c r="FB185" s="221"/>
      <c r="FC185" s="221"/>
      <c r="FD185" s="221"/>
      <c r="FE185" s="221"/>
      <c r="FF185" s="221"/>
      <c r="FG185" s="221"/>
      <c r="FH185" s="221"/>
      <c r="FI185" s="221"/>
      <c r="FJ185" s="221"/>
      <c r="FK185" s="221"/>
      <c r="FL185" s="221"/>
      <c r="FM185" s="221"/>
      <c r="FN185" s="221"/>
      <c r="FO185" s="221"/>
      <c r="FP185" s="221"/>
      <c r="FQ185" s="221"/>
      <c r="FR185" s="221"/>
      <c r="FS185" s="221"/>
      <c r="FT185" s="221"/>
      <c r="FU185" s="221"/>
      <c r="FV185" s="221"/>
      <c r="FW185" s="221"/>
      <c r="FX185" s="221"/>
      <c r="FY185" s="221"/>
      <c r="FZ185" s="221"/>
      <c r="GA185" s="221"/>
      <c r="GB185" s="221"/>
      <c r="GC185" s="221"/>
      <c r="GD185" s="221"/>
      <c r="GE185" s="221"/>
      <c r="GF185" s="221"/>
      <c r="GG185" s="221"/>
      <c r="GH185" s="221"/>
      <c r="GI185" s="221"/>
      <c r="GJ185" s="221"/>
      <c r="GK185" s="221"/>
      <c r="GL185" s="221"/>
      <c r="GM185" s="221"/>
      <c r="GN185" s="221"/>
      <c r="GO185" s="221"/>
      <c r="GP185" s="221"/>
      <c r="GQ185" s="221"/>
      <c r="GR185" s="221"/>
      <c r="GS185" s="221"/>
      <c r="GT185" s="221"/>
      <c r="GU185" s="221"/>
      <c r="GV185" s="221"/>
      <c r="GW185" s="221"/>
      <c r="GX185" s="221"/>
      <c r="GY185" s="221"/>
      <c r="GZ185" s="221"/>
      <c r="HA185" s="221"/>
      <c r="HB185" s="221"/>
      <c r="HC185" s="221"/>
      <c r="HD185" s="221"/>
      <c r="HE185" s="221"/>
      <c r="HF185" s="221"/>
      <c r="HG185" s="221"/>
      <c r="HH185" s="221"/>
      <c r="HI185" s="221"/>
      <c r="HJ185" s="221"/>
      <c r="HK185" s="221"/>
      <c r="HL185" s="221"/>
      <c r="HM185" s="221"/>
      <c r="HN185" s="221"/>
      <c r="HO185" s="221"/>
      <c r="HP185" s="221"/>
      <c r="HQ185" s="221"/>
      <c r="HR185" s="221"/>
      <c r="HS185" s="221"/>
      <c r="HT185" s="221"/>
      <c r="HU185" s="221"/>
      <c r="HV185" s="221"/>
      <c r="HW185" s="221"/>
      <c r="HX185" s="221"/>
      <c r="HY185" s="221"/>
      <c r="HZ185" s="221"/>
      <c r="IA185" s="221"/>
      <c r="IB185" s="221"/>
      <c r="IC185" s="221"/>
      <c r="ID185" s="221"/>
      <c r="IE185" s="221"/>
      <c r="IF185" s="221"/>
      <c r="IG185" s="221"/>
      <c r="IH185" s="221"/>
      <c r="II185" s="221"/>
      <c r="IJ185" s="221"/>
      <c r="IK185" s="221"/>
      <c r="IL185" s="221"/>
      <c r="IM185" s="221"/>
      <c r="IN185" s="221"/>
      <c r="IO185" s="221"/>
      <c r="IP185" s="221"/>
      <c r="IQ185" s="221"/>
      <c r="IR185" s="221"/>
      <c r="IS185" s="221"/>
      <c r="IT185" s="221"/>
      <c r="IU185" s="221"/>
      <c r="IV185" s="221"/>
      <c r="IW185" s="221"/>
      <c r="IX185" s="221"/>
      <c r="IY185" s="221"/>
      <c r="IZ185" s="221"/>
      <c r="JA185" s="221"/>
      <c r="JB185" s="221"/>
      <c r="JC185" s="221"/>
      <c r="JD185" s="221"/>
      <c r="JE185" s="221"/>
      <c r="JF185" s="221"/>
      <c r="JG185" s="221"/>
      <c r="JH185" s="221"/>
      <c r="JI185" s="221"/>
      <c r="JJ185" s="221"/>
      <c r="JK185" s="221"/>
      <c r="JL185" s="221"/>
      <c r="JM185" s="221"/>
      <c r="JN185" s="221"/>
      <c r="JO185" s="221"/>
      <c r="JP185" s="221"/>
      <c r="JQ185" s="221"/>
    </row>
    <row r="186" spans="1:277" ht="19" customHeight="1" outlineLevel="1">
      <c r="A186" s="456">
        <v>1904034</v>
      </c>
      <c r="B186" s="694">
        <v>42109</v>
      </c>
      <c r="C186" s="691" t="s">
        <v>1523</v>
      </c>
      <c r="D186" s="691" t="s">
        <v>1259</v>
      </c>
      <c r="E186" s="692" t="s">
        <v>60</v>
      </c>
      <c r="F186" s="693" t="s">
        <v>47</v>
      </c>
      <c r="G186" s="253" t="s">
        <v>1559</v>
      </c>
      <c r="H186" s="294" t="s">
        <v>191</v>
      </c>
      <c r="I186" s="254" t="s">
        <v>155</v>
      </c>
      <c r="J186" s="255" t="s">
        <v>62</v>
      </c>
      <c r="K186" s="256" t="s">
        <v>50</v>
      </c>
      <c r="L186" s="50"/>
      <c r="M186" s="33">
        <v>42111</v>
      </c>
      <c r="N186" s="257" t="s">
        <v>136</v>
      </c>
      <c r="O186" s="258" t="s">
        <v>1831</v>
      </c>
      <c r="P186" s="559"/>
      <c r="Q186" s="290"/>
      <c r="R186" s="586">
        <v>0</v>
      </c>
      <c r="S186" s="585">
        <v>0</v>
      </c>
      <c r="T186" s="602">
        <v>0</v>
      </c>
      <c r="U186" s="594">
        <v>0</v>
      </c>
      <c r="V186" s="585">
        <v>0</v>
      </c>
      <c r="W186" s="602">
        <v>0</v>
      </c>
      <c r="X186" s="594">
        <v>0</v>
      </c>
      <c r="Y186" s="585">
        <v>0</v>
      </c>
      <c r="Z186" s="602">
        <v>0</v>
      </c>
      <c r="AA186" s="594">
        <v>0</v>
      </c>
      <c r="AB186" s="585">
        <v>0</v>
      </c>
      <c r="AC186" s="602">
        <v>0</v>
      </c>
      <c r="AD186" s="594">
        <v>0</v>
      </c>
      <c r="AE186" s="594">
        <v>0</v>
      </c>
      <c r="AF186" s="594">
        <v>0</v>
      </c>
      <c r="AG186" s="585">
        <v>1</v>
      </c>
      <c r="AH186" s="602">
        <v>0</v>
      </c>
      <c r="AI186" s="609">
        <v>0</v>
      </c>
      <c r="AJ186" s="609">
        <v>0</v>
      </c>
      <c r="AK186" s="740"/>
      <c r="AL186" s="524" t="s">
        <v>133</v>
      </c>
      <c r="AM186" s="253" t="s">
        <v>157</v>
      </c>
      <c r="AN186" s="36">
        <v>63.99</v>
      </c>
      <c r="AO186" s="252" t="s">
        <v>1638</v>
      </c>
      <c r="AP186" s="37">
        <v>99.17</v>
      </c>
      <c r="AQ186" s="792">
        <f t="shared" si="13"/>
        <v>35.18</v>
      </c>
      <c r="AR186" s="831">
        <f t="shared" si="15"/>
        <v>0.35474437834022388</v>
      </c>
      <c r="AS186" s="812">
        <v>42138</v>
      </c>
      <c r="AT186" s="256" t="s">
        <v>1254</v>
      </c>
      <c r="AU186" s="38">
        <v>1</v>
      </c>
      <c r="AV186" s="252" t="s">
        <v>1508</v>
      </c>
      <c r="AW186" s="259" t="s">
        <v>1296</v>
      </c>
      <c r="AX186" s="36">
        <v>0</v>
      </c>
      <c r="AY186" s="26"/>
      <c r="AZ186" s="41">
        <v>7.29</v>
      </c>
      <c r="BA186" s="256" t="s">
        <v>1802</v>
      </c>
      <c r="BB186" s="41">
        <v>5.47</v>
      </c>
      <c r="BC186" s="42"/>
      <c r="BD186" s="42"/>
      <c r="BE186" s="42"/>
      <c r="BF186" s="42"/>
      <c r="BG186" s="42"/>
      <c r="BH186" s="221"/>
      <c r="BI186" s="221"/>
      <c r="BJ186" s="221"/>
      <c r="BK186" s="221"/>
      <c r="BL186" s="221"/>
      <c r="BM186" s="221"/>
      <c r="BN186" s="221"/>
      <c r="BO186" s="221"/>
      <c r="BP186" s="221"/>
      <c r="BQ186" s="221"/>
      <c r="BR186" s="221"/>
      <c r="BS186" s="221"/>
      <c r="BT186" s="221"/>
      <c r="BU186" s="221"/>
      <c r="BV186" s="221"/>
      <c r="BW186" s="221"/>
      <c r="BX186" s="221"/>
      <c r="BY186" s="221"/>
      <c r="BZ186" s="221"/>
      <c r="CA186" s="221"/>
      <c r="CB186" s="221"/>
      <c r="CC186" s="221"/>
      <c r="CD186" s="221"/>
      <c r="CE186" s="221"/>
      <c r="CF186" s="221"/>
      <c r="CG186" s="221"/>
      <c r="CH186" s="221"/>
      <c r="CI186" s="221"/>
      <c r="CJ186" s="221"/>
      <c r="CK186" s="221"/>
      <c r="CL186" s="221"/>
      <c r="CM186" s="221"/>
      <c r="CN186" s="221"/>
      <c r="CO186" s="221"/>
      <c r="CP186" s="221"/>
      <c r="CQ186" s="221"/>
      <c r="CR186" s="221"/>
      <c r="CS186" s="221"/>
      <c r="CT186" s="221"/>
      <c r="CU186" s="221"/>
      <c r="CV186" s="221"/>
      <c r="CW186" s="221"/>
      <c r="CX186" s="221"/>
      <c r="CY186" s="221"/>
      <c r="CZ186" s="221"/>
      <c r="DA186" s="221"/>
      <c r="DB186" s="221"/>
      <c r="DC186" s="221"/>
      <c r="DD186" s="221"/>
      <c r="DE186" s="221"/>
      <c r="DF186" s="221"/>
      <c r="DG186" s="221"/>
      <c r="DH186" s="221"/>
      <c r="DI186" s="221"/>
      <c r="DJ186" s="221"/>
      <c r="DK186" s="221"/>
      <c r="DL186" s="221"/>
      <c r="DM186" s="221"/>
      <c r="DN186" s="221"/>
      <c r="DO186" s="221"/>
      <c r="DP186" s="221"/>
      <c r="DQ186" s="221"/>
      <c r="DR186" s="221"/>
      <c r="DS186" s="221"/>
      <c r="DT186" s="221"/>
      <c r="DU186" s="221"/>
      <c r="DV186" s="221"/>
      <c r="DW186" s="221"/>
      <c r="DX186" s="221"/>
      <c r="DY186" s="221"/>
      <c r="DZ186" s="221"/>
      <c r="EA186" s="221"/>
      <c r="EB186" s="221"/>
      <c r="EC186" s="221"/>
      <c r="ED186" s="221"/>
      <c r="EE186" s="221"/>
      <c r="EF186" s="221"/>
      <c r="EG186" s="221"/>
      <c r="EH186" s="221"/>
      <c r="EI186" s="221"/>
      <c r="EJ186" s="221"/>
      <c r="EK186" s="221"/>
      <c r="EL186" s="221"/>
      <c r="EM186" s="221"/>
      <c r="EN186" s="221"/>
      <c r="EO186" s="221"/>
      <c r="EP186" s="221"/>
      <c r="EQ186" s="221"/>
      <c r="ER186" s="221"/>
      <c r="ES186" s="221"/>
      <c r="ET186" s="221"/>
      <c r="EU186" s="221"/>
      <c r="EV186" s="221"/>
      <c r="EW186" s="221"/>
      <c r="EX186" s="221"/>
      <c r="EY186" s="221"/>
      <c r="EZ186" s="221"/>
      <c r="FA186" s="221"/>
      <c r="FB186" s="221"/>
      <c r="FC186" s="221"/>
      <c r="FD186" s="221"/>
      <c r="FE186" s="221"/>
      <c r="FF186" s="221"/>
      <c r="FG186" s="221"/>
      <c r="FH186" s="221"/>
      <c r="FI186" s="221"/>
      <c r="FJ186" s="221"/>
      <c r="FK186" s="221"/>
      <c r="FL186" s="221"/>
      <c r="FM186" s="221"/>
      <c r="FN186" s="221"/>
      <c r="FO186" s="221"/>
      <c r="FP186" s="221"/>
      <c r="FQ186" s="221"/>
      <c r="FR186" s="221"/>
      <c r="FS186" s="221"/>
      <c r="FT186" s="221"/>
      <c r="FU186" s="221"/>
      <c r="FV186" s="221"/>
      <c r="FW186" s="221"/>
      <c r="FX186" s="221"/>
      <c r="FY186" s="221"/>
      <c r="FZ186" s="221"/>
      <c r="GA186" s="221"/>
      <c r="GB186" s="221"/>
      <c r="GC186" s="221"/>
      <c r="GD186" s="221"/>
      <c r="GE186" s="221"/>
      <c r="GF186" s="221"/>
      <c r="GG186" s="221"/>
      <c r="GH186" s="221"/>
      <c r="GI186" s="221"/>
      <c r="GJ186" s="221"/>
      <c r="GK186" s="221"/>
      <c r="GL186" s="221"/>
      <c r="GM186" s="221"/>
      <c r="GN186" s="221"/>
      <c r="GO186" s="221"/>
      <c r="GP186" s="221"/>
      <c r="GQ186" s="221"/>
      <c r="GR186" s="221"/>
      <c r="GS186" s="221"/>
      <c r="GT186" s="221"/>
      <c r="GU186" s="221"/>
      <c r="GV186" s="221"/>
      <c r="GW186" s="221"/>
      <c r="GX186" s="221"/>
      <c r="GY186" s="221"/>
      <c r="GZ186" s="221"/>
      <c r="HA186" s="221"/>
      <c r="HB186" s="221"/>
      <c r="HC186" s="221"/>
      <c r="HD186" s="221"/>
      <c r="HE186" s="221"/>
      <c r="HF186" s="221"/>
      <c r="HG186" s="221"/>
      <c r="HH186" s="221"/>
      <c r="HI186" s="221"/>
      <c r="HJ186" s="221"/>
      <c r="HK186" s="221"/>
      <c r="HL186" s="221"/>
      <c r="HM186" s="221"/>
      <c r="HN186" s="221"/>
      <c r="HO186" s="221"/>
      <c r="HP186" s="221"/>
      <c r="HQ186" s="221"/>
      <c r="HR186" s="221"/>
      <c r="HS186" s="221"/>
      <c r="HT186" s="221"/>
      <c r="HU186" s="221"/>
      <c r="HV186" s="221"/>
      <c r="HW186" s="221"/>
      <c r="HX186" s="221"/>
      <c r="HY186" s="221"/>
      <c r="HZ186" s="221"/>
      <c r="IA186" s="221"/>
      <c r="IB186" s="221"/>
      <c r="IC186" s="221"/>
      <c r="ID186" s="221"/>
      <c r="IE186" s="221"/>
      <c r="IF186" s="221"/>
      <c r="IG186" s="221"/>
      <c r="IH186" s="221"/>
      <c r="II186" s="221"/>
      <c r="IJ186" s="221"/>
      <c r="IK186" s="221"/>
      <c r="IL186" s="221"/>
      <c r="IM186" s="221"/>
      <c r="IN186" s="221"/>
      <c r="IO186" s="221"/>
      <c r="IP186" s="221"/>
      <c r="IQ186" s="221"/>
      <c r="IR186" s="221"/>
      <c r="IS186" s="221"/>
      <c r="IT186" s="221"/>
      <c r="IU186" s="221"/>
      <c r="IV186" s="221"/>
      <c r="IW186" s="221"/>
      <c r="IX186" s="221"/>
      <c r="IY186" s="221"/>
      <c r="IZ186" s="221"/>
      <c r="JA186" s="221"/>
      <c r="JB186" s="221"/>
      <c r="JC186" s="221"/>
      <c r="JD186" s="221"/>
      <c r="JE186" s="221"/>
      <c r="JF186" s="221"/>
      <c r="JG186" s="221"/>
      <c r="JH186" s="221"/>
      <c r="JI186" s="221"/>
      <c r="JJ186" s="221"/>
      <c r="JK186" s="221"/>
      <c r="JL186" s="221"/>
      <c r="JM186" s="221"/>
      <c r="JN186" s="221"/>
      <c r="JO186" s="221"/>
      <c r="JP186" s="221"/>
      <c r="JQ186" s="221"/>
    </row>
    <row r="187" spans="1:277" ht="19" customHeight="1" outlineLevel="1">
      <c r="A187" s="456">
        <v>1904035</v>
      </c>
      <c r="B187" s="694">
        <v>42109</v>
      </c>
      <c r="C187" s="691" t="s">
        <v>1523</v>
      </c>
      <c r="D187" s="691" t="s">
        <v>1259</v>
      </c>
      <c r="E187" s="692" t="s">
        <v>60</v>
      </c>
      <c r="F187" s="693" t="s">
        <v>47</v>
      </c>
      <c r="G187" s="253" t="s">
        <v>1560</v>
      </c>
      <c r="H187" s="294" t="s">
        <v>191</v>
      </c>
      <c r="I187" s="254" t="s">
        <v>155</v>
      </c>
      <c r="J187" s="255" t="s">
        <v>62</v>
      </c>
      <c r="K187" s="256" t="s">
        <v>50</v>
      </c>
      <c r="L187" s="50"/>
      <c r="M187" s="33">
        <v>42111</v>
      </c>
      <c r="N187" s="257" t="s">
        <v>136</v>
      </c>
      <c r="O187" s="258" t="s">
        <v>1832</v>
      </c>
      <c r="P187" s="559"/>
      <c r="Q187" s="290"/>
      <c r="R187" s="586">
        <v>0</v>
      </c>
      <c r="S187" s="585">
        <v>0</v>
      </c>
      <c r="T187" s="602">
        <v>0</v>
      </c>
      <c r="U187" s="594">
        <v>0</v>
      </c>
      <c r="V187" s="585">
        <v>0</v>
      </c>
      <c r="W187" s="602">
        <v>0</v>
      </c>
      <c r="X187" s="594">
        <v>0</v>
      </c>
      <c r="Y187" s="585">
        <v>0</v>
      </c>
      <c r="Z187" s="602">
        <v>0</v>
      </c>
      <c r="AA187" s="594">
        <v>0</v>
      </c>
      <c r="AB187" s="585">
        <v>0</v>
      </c>
      <c r="AC187" s="602">
        <v>0</v>
      </c>
      <c r="AD187" s="594">
        <v>0</v>
      </c>
      <c r="AE187" s="594">
        <v>0</v>
      </c>
      <c r="AF187" s="594">
        <v>0</v>
      </c>
      <c r="AG187" s="585">
        <v>1</v>
      </c>
      <c r="AH187" s="602">
        <v>0</v>
      </c>
      <c r="AI187" s="609">
        <v>0</v>
      </c>
      <c r="AJ187" s="609">
        <v>0</v>
      </c>
      <c r="AK187" s="740"/>
      <c r="AL187" s="524" t="s">
        <v>133</v>
      </c>
      <c r="AM187" s="253" t="s">
        <v>157</v>
      </c>
      <c r="AN187" s="36">
        <v>63.99</v>
      </c>
      <c r="AO187" s="252" t="s">
        <v>1639</v>
      </c>
      <c r="AP187" s="37">
        <v>99.17</v>
      </c>
      <c r="AQ187" s="792">
        <f t="shared" si="13"/>
        <v>35.18</v>
      </c>
      <c r="AR187" s="831">
        <f t="shared" si="15"/>
        <v>0.35474437834022388</v>
      </c>
      <c r="AS187" s="812"/>
      <c r="AT187" s="256" t="s">
        <v>1254</v>
      </c>
      <c r="AU187" s="38">
        <v>1</v>
      </c>
      <c r="AV187" s="252" t="s">
        <v>1508</v>
      </c>
      <c r="AW187" s="259" t="s">
        <v>1296</v>
      </c>
      <c r="AX187" s="36">
        <v>0</v>
      </c>
      <c r="AY187" s="26"/>
      <c r="AZ187" s="41">
        <v>7.29</v>
      </c>
      <c r="BA187" s="256" t="s">
        <v>1802</v>
      </c>
      <c r="BB187" s="41">
        <v>5.47</v>
      </c>
      <c r="BC187" s="42"/>
      <c r="BD187" s="42"/>
      <c r="BE187" s="42"/>
      <c r="BF187" s="42"/>
      <c r="BG187" s="42"/>
      <c r="BH187" s="221"/>
      <c r="BI187" s="221"/>
      <c r="BJ187" s="221"/>
      <c r="BK187" s="221"/>
      <c r="BL187" s="221"/>
      <c r="BM187" s="221"/>
      <c r="BN187" s="221"/>
      <c r="BO187" s="221"/>
      <c r="BP187" s="221"/>
      <c r="BQ187" s="221"/>
      <c r="BR187" s="221"/>
      <c r="BS187" s="221"/>
      <c r="BT187" s="221"/>
      <c r="BU187" s="221"/>
      <c r="BV187" s="221"/>
      <c r="BW187" s="221"/>
      <c r="BX187" s="221"/>
      <c r="BY187" s="221"/>
      <c r="BZ187" s="221"/>
      <c r="CA187" s="221"/>
      <c r="CB187" s="221"/>
      <c r="CC187" s="221"/>
      <c r="CD187" s="221"/>
      <c r="CE187" s="221"/>
      <c r="CF187" s="221"/>
      <c r="CG187" s="221"/>
      <c r="CH187" s="221"/>
      <c r="CI187" s="221"/>
      <c r="CJ187" s="221"/>
      <c r="CK187" s="221"/>
      <c r="CL187" s="221"/>
      <c r="CM187" s="221"/>
      <c r="CN187" s="221"/>
      <c r="CO187" s="221"/>
      <c r="CP187" s="221"/>
      <c r="CQ187" s="221"/>
      <c r="CR187" s="221"/>
      <c r="CS187" s="221"/>
      <c r="CT187" s="221"/>
      <c r="CU187" s="221"/>
      <c r="CV187" s="221"/>
      <c r="CW187" s="221"/>
      <c r="CX187" s="221"/>
      <c r="CY187" s="221"/>
      <c r="CZ187" s="221"/>
      <c r="DA187" s="221"/>
      <c r="DB187" s="221"/>
      <c r="DC187" s="221"/>
      <c r="DD187" s="221"/>
      <c r="DE187" s="221"/>
      <c r="DF187" s="221"/>
      <c r="DG187" s="221"/>
      <c r="DH187" s="221"/>
      <c r="DI187" s="221"/>
      <c r="DJ187" s="221"/>
      <c r="DK187" s="221"/>
      <c r="DL187" s="221"/>
      <c r="DM187" s="221"/>
      <c r="DN187" s="221"/>
      <c r="DO187" s="221"/>
      <c r="DP187" s="221"/>
      <c r="DQ187" s="221"/>
      <c r="DR187" s="221"/>
      <c r="DS187" s="221"/>
      <c r="DT187" s="221"/>
      <c r="DU187" s="221"/>
      <c r="DV187" s="221"/>
      <c r="DW187" s="221"/>
      <c r="DX187" s="221"/>
      <c r="DY187" s="221"/>
      <c r="DZ187" s="221"/>
      <c r="EA187" s="221"/>
      <c r="EB187" s="221"/>
      <c r="EC187" s="221"/>
      <c r="ED187" s="221"/>
      <c r="EE187" s="221"/>
      <c r="EF187" s="221"/>
      <c r="EG187" s="221"/>
      <c r="EH187" s="221"/>
      <c r="EI187" s="221"/>
      <c r="EJ187" s="221"/>
      <c r="EK187" s="221"/>
      <c r="EL187" s="221"/>
      <c r="EM187" s="221"/>
      <c r="EN187" s="221"/>
      <c r="EO187" s="221"/>
      <c r="EP187" s="221"/>
      <c r="EQ187" s="221"/>
      <c r="ER187" s="221"/>
      <c r="ES187" s="221"/>
      <c r="ET187" s="221"/>
      <c r="EU187" s="221"/>
      <c r="EV187" s="221"/>
      <c r="EW187" s="221"/>
      <c r="EX187" s="221"/>
      <c r="EY187" s="221"/>
      <c r="EZ187" s="221"/>
      <c r="FA187" s="221"/>
      <c r="FB187" s="221"/>
      <c r="FC187" s="221"/>
      <c r="FD187" s="221"/>
      <c r="FE187" s="221"/>
      <c r="FF187" s="221"/>
      <c r="FG187" s="221"/>
      <c r="FH187" s="221"/>
      <c r="FI187" s="221"/>
      <c r="FJ187" s="221"/>
      <c r="FK187" s="221"/>
      <c r="FL187" s="221"/>
      <c r="FM187" s="221"/>
      <c r="FN187" s="221"/>
      <c r="FO187" s="221"/>
      <c r="FP187" s="221"/>
      <c r="FQ187" s="221"/>
      <c r="FR187" s="221"/>
      <c r="FS187" s="221"/>
      <c r="FT187" s="221"/>
      <c r="FU187" s="221"/>
      <c r="FV187" s="221"/>
      <c r="FW187" s="221"/>
      <c r="FX187" s="221"/>
      <c r="FY187" s="221"/>
      <c r="FZ187" s="221"/>
      <c r="GA187" s="221"/>
      <c r="GB187" s="221"/>
      <c r="GC187" s="221"/>
      <c r="GD187" s="221"/>
      <c r="GE187" s="221"/>
      <c r="GF187" s="221"/>
      <c r="GG187" s="221"/>
      <c r="GH187" s="221"/>
      <c r="GI187" s="221"/>
      <c r="GJ187" s="221"/>
      <c r="GK187" s="221"/>
      <c r="GL187" s="221"/>
      <c r="GM187" s="221"/>
      <c r="GN187" s="221"/>
      <c r="GO187" s="221"/>
      <c r="GP187" s="221"/>
      <c r="GQ187" s="221"/>
      <c r="GR187" s="221"/>
      <c r="GS187" s="221"/>
      <c r="GT187" s="221"/>
      <c r="GU187" s="221"/>
      <c r="GV187" s="221"/>
      <c r="GW187" s="221"/>
      <c r="GX187" s="221"/>
      <c r="GY187" s="221"/>
      <c r="GZ187" s="221"/>
      <c r="HA187" s="221"/>
      <c r="HB187" s="221"/>
      <c r="HC187" s="221"/>
      <c r="HD187" s="221"/>
      <c r="HE187" s="221"/>
      <c r="HF187" s="221"/>
      <c r="HG187" s="221"/>
      <c r="HH187" s="221"/>
      <c r="HI187" s="221"/>
      <c r="HJ187" s="221"/>
      <c r="HK187" s="221"/>
      <c r="HL187" s="221"/>
      <c r="HM187" s="221"/>
      <c r="HN187" s="221"/>
      <c r="HO187" s="221"/>
      <c r="HP187" s="221"/>
      <c r="HQ187" s="221"/>
      <c r="HR187" s="221"/>
      <c r="HS187" s="221"/>
      <c r="HT187" s="221"/>
      <c r="HU187" s="221"/>
      <c r="HV187" s="221"/>
      <c r="HW187" s="221"/>
      <c r="HX187" s="221"/>
      <c r="HY187" s="221"/>
      <c r="HZ187" s="221"/>
      <c r="IA187" s="221"/>
      <c r="IB187" s="221"/>
      <c r="IC187" s="221"/>
      <c r="ID187" s="221"/>
      <c r="IE187" s="221"/>
      <c r="IF187" s="221"/>
      <c r="IG187" s="221"/>
      <c r="IH187" s="221"/>
      <c r="II187" s="221"/>
      <c r="IJ187" s="221"/>
      <c r="IK187" s="221"/>
      <c r="IL187" s="221"/>
      <c r="IM187" s="221"/>
      <c r="IN187" s="221"/>
      <c r="IO187" s="221"/>
      <c r="IP187" s="221"/>
      <c r="IQ187" s="221"/>
      <c r="IR187" s="221"/>
      <c r="IS187" s="221"/>
      <c r="IT187" s="221"/>
      <c r="IU187" s="221"/>
      <c r="IV187" s="221"/>
      <c r="IW187" s="221"/>
      <c r="IX187" s="221"/>
      <c r="IY187" s="221"/>
      <c r="IZ187" s="221"/>
      <c r="JA187" s="221"/>
      <c r="JB187" s="221"/>
      <c r="JC187" s="221"/>
      <c r="JD187" s="221"/>
      <c r="JE187" s="221"/>
      <c r="JF187" s="221"/>
      <c r="JG187" s="221"/>
      <c r="JH187" s="221"/>
      <c r="JI187" s="221"/>
      <c r="JJ187" s="221"/>
      <c r="JK187" s="221"/>
      <c r="JL187" s="221"/>
      <c r="JM187" s="221"/>
      <c r="JN187" s="221"/>
      <c r="JO187" s="221"/>
      <c r="JP187" s="221"/>
      <c r="JQ187" s="221"/>
    </row>
    <row r="188" spans="1:277" ht="19" customHeight="1" outlineLevel="1">
      <c r="A188" s="456">
        <v>1904036</v>
      </c>
      <c r="B188" s="694">
        <v>42109</v>
      </c>
      <c r="C188" s="691" t="s">
        <v>1523</v>
      </c>
      <c r="D188" s="691" t="s">
        <v>1259</v>
      </c>
      <c r="E188" s="692" t="s">
        <v>60</v>
      </c>
      <c r="F188" s="693" t="s">
        <v>47</v>
      </c>
      <c r="G188" s="253" t="s">
        <v>1561</v>
      </c>
      <c r="H188" s="294" t="s">
        <v>191</v>
      </c>
      <c r="I188" s="254" t="s">
        <v>155</v>
      </c>
      <c r="J188" s="255" t="s">
        <v>62</v>
      </c>
      <c r="K188" s="256" t="s">
        <v>50</v>
      </c>
      <c r="L188" s="50"/>
      <c r="M188" s="33">
        <v>42111</v>
      </c>
      <c r="N188" s="257" t="s">
        <v>136</v>
      </c>
      <c r="O188" s="258" t="s">
        <v>1833</v>
      </c>
      <c r="P188" s="559"/>
      <c r="Q188" s="290"/>
      <c r="R188" s="586">
        <v>0</v>
      </c>
      <c r="S188" s="585">
        <v>0</v>
      </c>
      <c r="T188" s="602">
        <v>0</v>
      </c>
      <c r="U188" s="594">
        <v>0</v>
      </c>
      <c r="V188" s="585">
        <v>0</v>
      </c>
      <c r="W188" s="602">
        <v>0</v>
      </c>
      <c r="X188" s="594">
        <v>0</v>
      </c>
      <c r="Y188" s="585">
        <v>0</v>
      </c>
      <c r="Z188" s="602">
        <v>0</v>
      </c>
      <c r="AA188" s="594">
        <v>0</v>
      </c>
      <c r="AB188" s="585">
        <v>0</v>
      </c>
      <c r="AC188" s="602">
        <v>0</v>
      </c>
      <c r="AD188" s="594">
        <v>0</v>
      </c>
      <c r="AE188" s="594">
        <v>0</v>
      </c>
      <c r="AF188" s="594">
        <v>0</v>
      </c>
      <c r="AG188" s="585">
        <v>1</v>
      </c>
      <c r="AH188" s="602">
        <v>0</v>
      </c>
      <c r="AI188" s="609">
        <v>0</v>
      </c>
      <c r="AJ188" s="609">
        <v>0</v>
      </c>
      <c r="AK188" s="740"/>
      <c r="AL188" s="524" t="s">
        <v>133</v>
      </c>
      <c r="AM188" s="253" t="s">
        <v>157</v>
      </c>
      <c r="AN188" s="36">
        <v>63.99</v>
      </c>
      <c r="AO188" s="252" t="s">
        <v>1641</v>
      </c>
      <c r="AP188" s="37">
        <v>99.17</v>
      </c>
      <c r="AQ188" s="792">
        <f t="shared" si="13"/>
        <v>35.18</v>
      </c>
      <c r="AR188" s="831">
        <f t="shared" si="15"/>
        <v>0.35474437834022388</v>
      </c>
      <c r="AS188" s="812"/>
      <c r="AT188" s="256" t="s">
        <v>1254</v>
      </c>
      <c r="AU188" s="38">
        <v>1</v>
      </c>
      <c r="AV188" s="252" t="s">
        <v>1508</v>
      </c>
      <c r="AW188" s="259" t="s">
        <v>1296</v>
      </c>
      <c r="AX188" s="36">
        <v>0</v>
      </c>
      <c r="AY188" s="26"/>
      <c r="AZ188" s="41">
        <v>7.29</v>
      </c>
      <c r="BA188" s="256" t="s">
        <v>1802</v>
      </c>
      <c r="BB188" s="41">
        <v>5.47</v>
      </c>
      <c r="BC188" s="42"/>
      <c r="BD188" s="42"/>
      <c r="BE188" s="42"/>
      <c r="BF188" s="42"/>
      <c r="BG188" s="42"/>
      <c r="BH188" s="221"/>
      <c r="BI188" s="221"/>
      <c r="BJ188" s="221"/>
      <c r="BK188" s="221"/>
      <c r="BL188" s="221"/>
      <c r="BM188" s="221"/>
      <c r="BN188" s="221"/>
      <c r="BO188" s="221"/>
      <c r="BP188" s="221"/>
      <c r="BQ188" s="221"/>
      <c r="BR188" s="221"/>
      <c r="BS188" s="221"/>
      <c r="BT188" s="221"/>
      <c r="BU188" s="221"/>
      <c r="BV188" s="221"/>
      <c r="BW188" s="221"/>
      <c r="BX188" s="221"/>
      <c r="BY188" s="221"/>
      <c r="BZ188" s="221"/>
      <c r="CA188" s="221"/>
      <c r="CB188" s="221"/>
      <c r="CC188" s="221"/>
      <c r="CD188" s="221"/>
      <c r="CE188" s="221"/>
      <c r="CF188" s="221"/>
      <c r="CG188" s="221"/>
      <c r="CH188" s="221"/>
      <c r="CI188" s="221"/>
      <c r="CJ188" s="221"/>
      <c r="CK188" s="221"/>
      <c r="CL188" s="221"/>
      <c r="CM188" s="221"/>
      <c r="CN188" s="221"/>
      <c r="CO188" s="221"/>
      <c r="CP188" s="221"/>
      <c r="CQ188" s="221"/>
      <c r="CR188" s="221"/>
      <c r="CS188" s="221"/>
      <c r="CT188" s="221"/>
      <c r="CU188" s="221"/>
      <c r="CV188" s="221"/>
      <c r="CW188" s="221"/>
      <c r="CX188" s="221"/>
      <c r="CY188" s="221"/>
      <c r="CZ188" s="221"/>
      <c r="DA188" s="221"/>
      <c r="DB188" s="221"/>
      <c r="DC188" s="221"/>
      <c r="DD188" s="221"/>
      <c r="DE188" s="221"/>
      <c r="DF188" s="221"/>
      <c r="DG188" s="221"/>
      <c r="DH188" s="221"/>
      <c r="DI188" s="221"/>
      <c r="DJ188" s="221"/>
      <c r="DK188" s="221"/>
      <c r="DL188" s="221"/>
      <c r="DM188" s="221"/>
      <c r="DN188" s="221"/>
      <c r="DO188" s="221"/>
      <c r="DP188" s="221"/>
      <c r="DQ188" s="221"/>
      <c r="DR188" s="221"/>
      <c r="DS188" s="221"/>
      <c r="DT188" s="221"/>
      <c r="DU188" s="221"/>
      <c r="DV188" s="221"/>
      <c r="DW188" s="221"/>
      <c r="DX188" s="221"/>
      <c r="DY188" s="221"/>
      <c r="DZ188" s="221"/>
      <c r="EA188" s="221"/>
      <c r="EB188" s="221"/>
      <c r="EC188" s="221"/>
      <c r="ED188" s="221"/>
      <c r="EE188" s="221"/>
      <c r="EF188" s="221"/>
      <c r="EG188" s="221"/>
      <c r="EH188" s="221"/>
      <c r="EI188" s="221"/>
      <c r="EJ188" s="221"/>
      <c r="EK188" s="221"/>
      <c r="EL188" s="221"/>
      <c r="EM188" s="221"/>
      <c r="EN188" s="221"/>
      <c r="EO188" s="221"/>
      <c r="EP188" s="221"/>
      <c r="EQ188" s="221"/>
      <c r="ER188" s="221"/>
      <c r="ES188" s="221"/>
      <c r="ET188" s="221"/>
      <c r="EU188" s="221"/>
      <c r="EV188" s="221"/>
      <c r="EW188" s="221"/>
      <c r="EX188" s="221"/>
      <c r="EY188" s="221"/>
      <c r="EZ188" s="221"/>
      <c r="FA188" s="221"/>
      <c r="FB188" s="221"/>
      <c r="FC188" s="221"/>
      <c r="FD188" s="221"/>
      <c r="FE188" s="221"/>
      <c r="FF188" s="221"/>
      <c r="FG188" s="221"/>
      <c r="FH188" s="221"/>
      <c r="FI188" s="221"/>
      <c r="FJ188" s="221"/>
      <c r="FK188" s="221"/>
      <c r="FL188" s="221"/>
      <c r="FM188" s="221"/>
      <c r="FN188" s="221"/>
      <c r="FO188" s="221"/>
      <c r="FP188" s="221"/>
      <c r="FQ188" s="221"/>
      <c r="FR188" s="221"/>
      <c r="FS188" s="221"/>
      <c r="FT188" s="221"/>
      <c r="FU188" s="221"/>
      <c r="FV188" s="221"/>
      <c r="FW188" s="221"/>
      <c r="FX188" s="221"/>
      <c r="FY188" s="221"/>
      <c r="FZ188" s="221"/>
      <c r="GA188" s="221"/>
      <c r="GB188" s="221"/>
      <c r="GC188" s="221"/>
      <c r="GD188" s="221"/>
      <c r="GE188" s="221"/>
      <c r="GF188" s="221"/>
      <c r="GG188" s="221"/>
      <c r="GH188" s="221"/>
      <c r="GI188" s="221"/>
      <c r="GJ188" s="221"/>
      <c r="GK188" s="221"/>
      <c r="GL188" s="221"/>
      <c r="GM188" s="221"/>
      <c r="GN188" s="221"/>
      <c r="GO188" s="221"/>
      <c r="GP188" s="221"/>
      <c r="GQ188" s="221"/>
      <c r="GR188" s="221"/>
      <c r="GS188" s="221"/>
      <c r="GT188" s="221"/>
      <c r="GU188" s="221"/>
      <c r="GV188" s="221"/>
      <c r="GW188" s="221"/>
      <c r="GX188" s="221"/>
      <c r="GY188" s="221"/>
      <c r="GZ188" s="221"/>
      <c r="HA188" s="221"/>
      <c r="HB188" s="221"/>
      <c r="HC188" s="221"/>
      <c r="HD188" s="221"/>
      <c r="HE188" s="221"/>
      <c r="HF188" s="221"/>
      <c r="HG188" s="221"/>
      <c r="HH188" s="221"/>
      <c r="HI188" s="221"/>
      <c r="HJ188" s="221"/>
      <c r="HK188" s="221"/>
      <c r="HL188" s="221"/>
      <c r="HM188" s="221"/>
      <c r="HN188" s="221"/>
      <c r="HO188" s="221"/>
      <c r="HP188" s="221"/>
      <c r="HQ188" s="221"/>
      <c r="HR188" s="221"/>
      <c r="HS188" s="221"/>
      <c r="HT188" s="221"/>
      <c r="HU188" s="221"/>
      <c r="HV188" s="221"/>
      <c r="HW188" s="221"/>
      <c r="HX188" s="221"/>
      <c r="HY188" s="221"/>
      <c r="HZ188" s="221"/>
      <c r="IA188" s="221"/>
      <c r="IB188" s="221"/>
      <c r="IC188" s="221"/>
      <c r="ID188" s="221"/>
      <c r="IE188" s="221"/>
      <c r="IF188" s="221"/>
      <c r="IG188" s="221"/>
      <c r="IH188" s="221"/>
      <c r="II188" s="221"/>
      <c r="IJ188" s="221"/>
      <c r="IK188" s="221"/>
      <c r="IL188" s="221"/>
      <c r="IM188" s="221"/>
      <c r="IN188" s="221"/>
      <c r="IO188" s="221"/>
      <c r="IP188" s="221"/>
      <c r="IQ188" s="221"/>
      <c r="IR188" s="221"/>
      <c r="IS188" s="221"/>
      <c r="IT188" s="221"/>
      <c r="IU188" s="221"/>
      <c r="IV188" s="221"/>
      <c r="IW188" s="221"/>
      <c r="IX188" s="221"/>
      <c r="IY188" s="221"/>
      <c r="IZ188" s="221"/>
      <c r="JA188" s="221"/>
      <c r="JB188" s="221"/>
      <c r="JC188" s="221"/>
      <c r="JD188" s="221"/>
      <c r="JE188" s="221"/>
      <c r="JF188" s="221"/>
      <c r="JG188" s="221"/>
      <c r="JH188" s="221"/>
      <c r="JI188" s="221"/>
      <c r="JJ188" s="221"/>
      <c r="JK188" s="221"/>
      <c r="JL188" s="221"/>
      <c r="JM188" s="221"/>
      <c r="JN188" s="221"/>
      <c r="JO188" s="221"/>
      <c r="JP188" s="221"/>
      <c r="JQ188" s="221"/>
    </row>
    <row r="189" spans="1:277" ht="19" customHeight="1" outlineLevel="1">
      <c r="A189" s="456">
        <v>1904037</v>
      </c>
      <c r="B189" s="694">
        <v>42110</v>
      </c>
      <c r="C189" s="691" t="s">
        <v>1523</v>
      </c>
      <c r="D189" s="691" t="s">
        <v>1259</v>
      </c>
      <c r="E189" s="692" t="s">
        <v>89</v>
      </c>
      <c r="F189" s="693" t="s">
        <v>47</v>
      </c>
      <c r="G189" s="253" t="s">
        <v>1835</v>
      </c>
      <c r="H189" s="294" t="s">
        <v>191</v>
      </c>
      <c r="I189" s="254" t="s">
        <v>155</v>
      </c>
      <c r="J189" s="255" t="s">
        <v>62</v>
      </c>
      <c r="K189" s="256" t="s">
        <v>50</v>
      </c>
      <c r="L189" s="50"/>
      <c r="M189" s="33">
        <v>42111</v>
      </c>
      <c r="N189" s="257" t="s">
        <v>443</v>
      </c>
      <c r="O189" s="258" t="s">
        <v>91</v>
      </c>
      <c r="P189" s="559"/>
      <c r="Q189" s="290"/>
      <c r="R189" s="586">
        <v>0</v>
      </c>
      <c r="S189" s="585">
        <v>0</v>
      </c>
      <c r="T189" s="602">
        <v>0</v>
      </c>
      <c r="U189" s="594">
        <v>0</v>
      </c>
      <c r="V189" s="585">
        <v>0</v>
      </c>
      <c r="W189" s="602">
        <v>0</v>
      </c>
      <c r="X189" s="594">
        <v>0</v>
      </c>
      <c r="Y189" s="585">
        <v>0</v>
      </c>
      <c r="Z189" s="602">
        <v>0</v>
      </c>
      <c r="AA189" s="594">
        <v>0</v>
      </c>
      <c r="AB189" s="585">
        <v>0</v>
      </c>
      <c r="AC189" s="602">
        <v>0</v>
      </c>
      <c r="AD189" s="594">
        <v>0</v>
      </c>
      <c r="AE189" s="594">
        <v>0</v>
      </c>
      <c r="AF189" s="594">
        <v>0</v>
      </c>
      <c r="AG189" s="585">
        <v>100</v>
      </c>
      <c r="AH189" s="602">
        <v>0</v>
      </c>
      <c r="AI189" s="609">
        <v>0</v>
      </c>
      <c r="AJ189" s="609">
        <v>0</v>
      </c>
      <c r="AK189" s="740"/>
      <c r="AL189" s="524" t="s">
        <v>1799</v>
      </c>
      <c r="AM189" s="253" t="s">
        <v>157</v>
      </c>
      <c r="AN189" s="36">
        <f>100*AN188</f>
        <v>6399</v>
      </c>
      <c r="AO189" s="252" t="s">
        <v>1642</v>
      </c>
      <c r="AP189" s="37">
        <v>6650</v>
      </c>
      <c r="AQ189" s="792">
        <f t="shared" si="13"/>
        <v>251</v>
      </c>
      <c r="AR189" s="831">
        <f t="shared" si="15"/>
        <v>3.7744360902255636E-2</v>
      </c>
      <c r="AS189" s="812"/>
      <c r="AT189" s="256" t="s">
        <v>1806</v>
      </c>
      <c r="AU189" s="38">
        <v>1</v>
      </c>
      <c r="AV189" s="252"/>
      <c r="AW189" s="259"/>
      <c r="AX189" s="36">
        <v>0</v>
      </c>
      <c r="AY189" s="252" t="s">
        <v>118</v>
      </c>
      <c r="AZ189" s="41">
        <v>0</v>
      </c>
      <c r="BA189" s="256" t="s">
        <v>47</v>
      </c>
      <c r="BB189" s="41">
        <v>0</v>
      </c>
      <c r="BC189" s="42"/>
      <c r="BD189" s="42"/>
      <c r="BE189" s="42"/>
      <c r="BF189" s="42"/>
      <c r="BG189" s="42"/>
      <c r="BH189" s="221"/>
      <c r="BI189" s="221"/>
      <c r="BJ189" s="221"/>
      <c r="BK189" s="221"/>
      <c r="BL189" s="221"/>
      <c r="BM189" s="221"/>
      <c r="BN189" s="221"/>
      <c r="BO189" s="221"/>
      <c r="BP189" s="221"/>
      <c r="BQ189" s="221"/>
      <c r="BR189" s="221"/>
      <c r="BS189" s="221"/>
      <c r="BT189" s="221"/>
      <c r="BU189" s="221"/>
      <c r="BV189" s="221"/>
      <c r="BW189" s="221"/>
      <c r="BX189" s="221"/>
      <c r="BY189" s="221"/>
      <c r="BZ189" s="221"/>
      <c r="CA189" s="221"/>
      <c r="CB189" s="221"/>
      <c r="CC189" s="221"/>
      <c r="CD189" s="221"/>
      <c r="CE189" s="221"/>
      <c r="CF189" s="221"/>
      <c r="CG189" s="221"/>
      <c r="CH189" s="221"/>
      <c r="CI189" s="221"/>
      <c r="CJ189" s="221"/>
      <c r="CK189" s="221"/>
      <c r="CL189" s="221"/>
      <c r="CM189" s="221"/>
      <c r="CN189" s="221"/>
      <c r="CO189" s="221"/>
      <c r="CP189" s="221"/>
      <c r="CQ189" s="221"/>
      <c r="CR189" s="221"/>
      <c r="CS189" s="221"/>
      <c r="CT189" s="221"/>
      <c r="CU189" s="221"/>
      <c r="CV189" s="221"/>
      <c r="CW189" s="221"/>
      <c r="CX189" s="221"/>
      <c r="CY189" s="221"/>
      <c r="CZ189" s="221"/>
      <c r="DA189" s="221"/>
      <c r="DB189" s="221"/>
      <c r="DC189" s="221"/>
      <c r="DD189" s="221"/>
      <c r="DE189" s="221"/>
      <c r="DF189" s="221"/>
      <c r="DG189" s="221"/>
      <c r="DH189" s="221"/>
      <c r="DI189" s="221"/>
      <c r="DJ189" s="221"/>
      <c r="DK189" s="221"/>
      <c r="DL189" s="221"/>
      <c r="DM189" s="221"/>
      <c r="DN189" s="221"/>
      <c r="DO189" s="221"/>
      <c r="DP189" s="221"/>
      <c r="DQ189" s="221"/>
      <c r="DR189" s="221"/>
      <c r="DS189" s="221"/>
      <c r="DT189" s="221"/>
      <c r="DU189" s="221"/>
      <c r="DV189" s="221"/>
      <c r="DW189" s="221"/>
      <c r="DX189" s="221"/>
      <c r="DY189" s="221"/>
      <c r="DZ189" s="221"/>
      <c r="EA189" s="221"/>
      <c r="EB189" s="221"/>
      <c r="EC189" s="221"/>
      <c r="ED189" s="221"/>
      <c r="EE189" s="221"/>
      <c r="EF189" s="221"/>
      <c r="EG189" s="221"/>
      <c r="EH189" s="221"/>
      <c r="EI189" s="221"/>
      <c r="EJ189" s="221"/>
      <c r="EK189" s="221"/>
      <c r="EL189" s="221"/>
      <c r="EM189" s="221"/>
      <c r="EN189" s="221"/>
      <c r="EO189" s="221"/>
      <c r="EP189" s="221"/>
      <c r="EQ189" s="221"/>
      <c r="ER189" s="221"/>
      <c r="ES189" s="221"/>
      <c r="ET189" s="221"/>
      <c r="EU189" s="221"/>
      <c r="EV189" s="221"/>
      <c r="EW189" s="221"/>
      <c r="EX189" s="221"/>
      <c r="EY189" s="221"/>
      <c r="EZ189" s="221"/>
      <c r="FA189" s="221"/>
      <c r="FB189" s="221"/>
      <c r="FC189" s="221"/>
      <c r="FD189" s="221"/>
      <c r="FE189" s="221"/>
      <c r="FF189" s="221"/>
      <c r="FG189" s="221"/>
      <c r="FH189" s="221"/>
      <c r="FI189" s="221"/>
      <c r="FJ189" s="221"/>
      <c r="FK189" s="221"/>
      <c r="FL189" s="221"/>
      <c r="FM189" s="221"/>
      <c r="FN189" s="221"/>
      <c r="FO189" s="221"/>
      <c r="FP189" s="221"/>
      <c r="FQ189" s="221"/>
      <c r="FR189" s="221"/>
      <c r="FS189" s="221"/>
      <c r="FT189" s="221"/>
      <c r="FU189" s="221"/>
      <c r="FV189" s="221"/>
      <c r="FW189" s="221"/>
      <c r="FX189" s="221"/>
      <c r="FY189" s="221"/>
      <c r="FZ189" s="221"/>
      <c r="GA189" s="221"/>
      <c r="GB189" s="221"/>
      <c r="GC189" s="221"/>
      <c r="GD189" s="221"/>
      <c r="GE189" s="221"/>
      <c r="GF189" s="221"/>
      <c r="GG189" s="221"/>
      <c r="GH189" s="221"/>
      <c r="GI189" s="221"/>
      <c r="GJ189" s="221"/>
      <c r="GK189" s="221"/>
      <c r="GL189" s="221"/>
      <c r="GM189" s="221"/>
      <c r="GN189" s="221"/>
      <c r="GO189" s="221"/>
      <c r="GP189" s="221"/>
      <c r="GQ189" s="221"/>
      <c r="GR189" s="221"/>
      <c r="GS189" s="221"/>
      <c r="GT189" s="221"/>
      <c r="GU189" s="221"/>
      <c r="GV189" s="221"/>
      <c r="GW189" s="221"/>
      <c r="GX189" s="221"/>
      <c r="GY189" s="221"/>
      <c r="GZ189" s="221"/>
      <c r="HA189" s="221"/>
      <c r="HB189" s="221"/>
      <c r="HC189" s="221"/>
      <c r="HD189" s="221"/>
      <c r="HE189" s="221"/>
      <c r="HF189" s="221"/>
      <c r="HG189" s="221"/>
      <c r="HH189" s="221"/>
      <c r="HI189" s="221"/>
      <c r="HJ189" s="221"/>
      <c r="HK189" s="221"/>
      <c r="HL189" s="221"/>
      <c r="HM189" s="221"/>
      <c r="HN189" s="221"/>
      <c r="HO189" s="221"/>
      <c r="HP189" s="221"/>
      <c r="HQ189" s="221"/>
      <c r="HR189" s="221"/>
      <c r="HS189" s="221"/>
      <c r="HT189" s="221"/>
      <c r="HU189" s="221"/>
      <c r="HV189" s="221"/>
      <c r="HW189" s="221"/>
      <c r="HX189" s="221"/>
      <c r="HY189" s="221"/>
      <c r="HZ189" s="221"/>
      <c r="IA189" s="221"/>
      <c r="IB189" s="221"/>
      <c r="IC189" s="221"/>
      <c r="ID189" s="221"/>
      <c r="IE189" s="221"/>
      <c r="IF189" s="221"/>
      <c r="IG189" s="221"/>
      <c r="IH189" s="221"/>
      <c r="II189" s="221"/>
      <c r="IJ189" s="221"/>
      <c r="IK189" s="221"/>
      <c r="IL189" s="221"/>
      <c r="IM189" s="221"/>
      <c r="IN189" s="221"/>
      <c r="IO189" s="221"/>
      <c r="IP189" s="221"/>
      <c r="IQ189" s="221"/>
      <c r="IR189" s="221"/>
      <c r="IS189" s="221"/>
      <c r="IT189" s="221"/>
      <c r="IU189" s="221"/>
      <c r="IV189" s="221"/>
      <c r="IW189" s="221"/>
      <c r="IX189" s="221"/>
      <c r="IY189" s="221"/>
      <c r="IZ189" s="221"/>
      <c r="JA189" s="221"/>
      <c r="JB189" s="221"/>
      <c r="JC189" s="221"/>
      <c r="JD189" s="221"/>
      <c r="JE189" s="221"/>
      <c r="JF189" s="221"/>
      <c r="JG189" s="221"/>
      <c r="JH189" s="221"/>
      <c r="JI189" s="221"/>
      <c r="JJ189" s="221"/>
      <c r="JK189" s="221"/>
      <c r="JL189" s="221"/>
      <c r="JM189" s="221"/>
      <c r="JN189" s="221"/>
      <c r="JO189" s="221"/>
      <c r="JP189" s="221"/>
      <c r="JQ189" s="221"/>
    </row>
    <row r="190" spans="1:277" ht="20" customHeight="1" outlineLevel="1">
      <c r="A190" s="456">
        <v>1904020</v>
      </c>
      <c r="B190" s="694">
        <v>42111</v>
      </c>
      <c r="C190" s="691" t="s">
        <v>1523</v>
      </c>
      <c r="D190" s="691" t="s">
        <v>1259</v>
      </c>
      <c r="E190" s="692" t="s">
        <v>60</v>
      </c>
      <c r="F190" s="693" t="s">
        <v>47</v>
      </c>
      <c r="G190" s="253" t="s">
        <v>1620</v>
      </c>
      <c r="H190" s="294" t="s">
        <v>1314</v>
      </c>
      <c r="I190" s="254">
        <v>190925</v>
      </c>
      <c r="J190" s="255" t="s">
        <v>62</v>
      </c>
      <c r="K190" s="256" t="s">
        <v>50</v>
      </c>
      <c r="L190" s="399"/>
      <c r="M190" s="33">
        <v>42112</v>
      </c>
      <c r="N190" s="257" t="s">
        <v>136</v>
      </c>
      <c r="O190" s="258" t="s">
        <v>1798</v>
      </c>
      <c r="P190" s="566"/>
      <c r="Q190" s="294"/>
      <c r="R190" s="586">
        <v>0</v>
      </c>
      <c r="S190" s="585">
        <v>0</v>
      </c>
      <c r="T190" s="602">
        <v>0</v>
      </c>
      <c r="U190" s="594">
        <v>0</v>
      </c>
      <c r="V190" s="585">
        <v>0</v>
      </c>
      <c r="W190" s="602">
        <v>0</v>
      </c>
      <c r="X190" s="594">
        <v>0</v>
      </c>
      <c r="Y190" s="585">
        <v>0</v>
      </c>
      <c r="Z190" s="602">
        <v>0</v>
      </c>
      <c r="AA190" s="594">
        <v>0</v>
      </c>
      <c r="AB190" s="585">
        <v>0</v>
      </c>
      <c r="AC190" s="602">
        <v>0</v>
      </c>
      <c r="AD190" s="594">
        <v>0</v>
      </c>
      <c r="AE190" s="594">
        <v>0</v>
      </c>
      <c r="AF190" s="594">
        <v>0</v>
      </c>
      <c r="AG190" s="585">
        <v>1</v>
      </c>
      <c r="AH190" s="602">
        <v>0</v>
      </c>
      <c r="AI190" s="609">
        <v>0</v>
      </c>
      <c r="AJ190" s="609">
        <v>0</v>
      </c>
      <c r="AK190" s="740"/>
      <c r="AL190" s="524" t="s">
        <v>133</v>
      </c>
      <c r="AM190" s="253" t="s">
        <v>157</v>
      </c>
      <c r="AN190" s="36">
        <f>PRODUCTS!C3</f>
        <v>63.99</v>
      </c>
      <c r="AO190" s="252" t="s">
        <v>1640</v>
      </c>
      <c r="AP190" s="37">
        <v>99.17</v>
      </c>
      <c r="AQ190" s="792">
        <f t="shared" si="13"/>
        <v>35.18</v>
      </c>
      <c r="AR190" s="831">
        <f t="shared" si="15"/>
        <v>0.35474437834022388</v>
      </c>
      <c r="AS190" s="812"/>
      <c r="AT190" s="256" t="s">
        <v>1254</v>
      </c>
      <c r="AU190" s="38">
        <v>1</v>
      </c>
      <c r="AV190" s="252" t="s">
        <v>1508</v>
      </c>
      <c r="AW190" s="259" t="s">
        <v>1296</v>
      </c>
      <c r="AX190" s="36">
        <v>0</v>
      </c>
      <c r="AY190" s="26"/>
      <c r="AZ190" s="41">
        <v>7.29</v>
      </c>
      <c r="BA190" s="256" t="s">
        <v>1802</v>
      </c>
      <c r="BB190" s="41">
        <v>5.47</v>
      </c>
      <c r="BC190" s="42"/>
      <c r="BD190" s="42"/>
      <c r="BE190" s="42"/>
      <c r="BF190" s="42"/>
      <c r="BG190" s="42"/>
      <c r="BH190" s="221"/>
      <c r="BI190" s="221"/>
      <c r="BJ190" s="221"/>
      <c r="BK190" s="221"/>
      <c r="BL190" s="221"/>
      <c r="BM190" s="221"/>
      <c r="BN190" s="221"/>
      <c r="BO190" s="221"/>
      <c r="BP190" s="221"/>
      <c r="BQ190" s="221"/>
      <c r="BR190" s="221"/>
      <c r="BS190" s="221"/>
      <c r="BT190" s="221"/>
      <c r="BU190" s="221"/>
      <c r="BV190" s="221"/>
      <c r="BW190" s="221"/>
      <c r="BX190" s="221"/>
      <c r="BY190" s="221"/>
      <c r="BZ190" s="221"/>
      <c r="CA190" s="221"/>
      <c r="CB190" s="221"/>
      <c r="CC190" s="221"/>
      <c r="CD190" s="221"/>
      <c r="CE190" s="221"/>
      <c r="CF190" s="221"/>
      <c r="CG190" s="221"/>
      <c r="CH190" s="221"/>
      <c r="CI190" s="221"/>
      <c r="CJ190" s="221"/>
      <c r="CK190" s="221"/>
      <c r="CL190" s="221"/>
      <c r="CM190" s="221"/>
      <c r="CN190" s="221"/>
      <c r="CO190" s="221"/>
      <c r="CP190" s="221"/>
      <c r="CQ190" s="221"/>
      <c r="CR190" s="221"/>
      <c r="CS190" s="221"/>
      <c r="CT190" s="221"/>
      <c r="CU190" s="221"/>
      <c r="CV190" s="221"/>
      <c r="CW190" s="221"/>
      <c r="CX190" s="221"/>
      <c r="CY190" s="221"/>
      <c r="CZ190" s="221"/>
      <c r="DA190" s="221"/>
      <c r="DB190" s="221"/>
      <c r="DC190" s="221"/>
      <c r="DD190" s="221"/>
      <c r="DE190" s="221"/>
      <c r="DF190" s="221"/>
      <c r="DG190" s="221"/>
      <c r="DH190" s="221"/>
      <c r="DI190" s="221"/>
      <c r="DJ190" s="221"/>
      <c r="DK190" s="221"/>
      <c r="DL190" s="221"/>
      <c r="DM190" s="221"/>
      <c r="DN190" s="221"/>
      <c r="DO190" s="221"/>
      <c r="DP190" s="221"/>
      <c r="DQ190" s="221"/>
      <c r="DR190" s="221"/>
      <c r="DS190" s="221"/>
      <c r="DT190" s="221"/>
      <c r="DU190" s="221"/>
      <c r="DV190" s="221"/>
      <c r="DW190" s="221"/>
      <c r="DX190" s="221"/>
      <c r="DY190" s="221"/>
      <c r="DZ190" s="221"/>
      <c r="EA190" s="221"/>
      <c r="EB190" s="221"/>
      <c r="EC190" s="221"/>
      <c r="ED190" s="221"/>
      <c r="EE190" s="221"/>
      <c r="EF190" s="221"/>
      <c r="EG190" s="221"/>
      <c r="EH190" s="221"/>
      <c r="EI190" s="221"/>
      <c r="EJ190" s="221"/>
      <c r="EK190" s="221"/>
      <c r="EL190" s="221"/>
      <c r="EM190" s="221"/>
      <c r="EN190" s="221"/>
      <c r="EO190" s="221"/>
      <c r="EP190" s="221"/>
      <c r="EQ190" s="221"/>
      <c r="ER190" s="221"/>
      <c r="ES190" s="221"/>
      <c r="ET190" s="221"/>
      <c r="EU190" s="221"/>
      <c r="EV190" s="221"/>
      <c r="EW190" s="221"/>
      <c r="EX190" s="221"/>
      <c r="EY190" s="221"/>
      <c r="EZ190" s="221"/>
      <c r="FA190" s="221"/>
      <c r="FB190" s="221"/>
      <c r="FC190" s="221"/>
      <c r="FD190" s="221"/>
      <c r="FE190" s="221"/>
      <c r="FF190" s="221"/>
      <c r="FG190" s="221"/>
      <c r="FH190" s="221"/>
      <c r="FI190" s="221"/>
      <c r="FJ190" s="221"/>
      <c r="FK190" s="221"/>
      <c r="FL190" s="221"/>
      <c r="FM190" s="221"/>
      <c r="FN190" s="221"/>
      <c r="FO190" s="221"/>
      <c r="FP190" s="221"/>
      <c r="FQ190" s="221"/>
      <c r="FR190" s="221"/>
      <c r="FS190" s="221"/>
      <c r="FT190" s="221"/>
      <c r="FU190" s="221"/>
      <c r="FV190" s="221"/>
      <c r="FW190" s="221"/>
      <c r="FX190" s="221"/>
      <c r="FY190" s="221"/>
      <c r="FZ190" s="221"/>
      <c r="GA190" s="221"/>
      <c r="GB190" s="221"/>
      <c r="GC190" s="221"/>
      <c r="GD190" s="221"/>
      <c r="GE190" s="221"/>
      <c r="GF190" s="221"/>
      <c r="GG190" s="221"/>
      <c r="GH190" s="221"/>
      <c r="GI190" s="221"/>
      <c r="GJ190" s="221"/>
      <c r="GK190" s="221"/>
      <c r="GL190" s="221"/>
      <c r="GM190" s="221"/>
      <c r="GN190" s="221"/>
      <c r="GO190" s="221"/>
      <c r="GP190" s="221"/>
      <c r="GQ190" s="221"/>
      <c r="GR190" s="221"/>
      <c r="GS190" s="221"/>
      <c r="GT190" s="221"/>
      <c r="GU190" s="221"/>
      <c r="GV190" s="221"/>
      <c r="GW190" s="221"/>
      <c r="GX190" s="221"/>
      <c r="GY190" s="221"/>
      <c r="GZ190" s="221"/>
      <c r="HA190" s="221"/>
      <c r="HB190" s="221"/>
      <c r="HC190" s="221"/>
      <c r="HD190" s="221"/>
      <c r="HE190" s="221"/>
      <c r="HF190" s="221"/>
      <c r="HG190" s="221"/>
      <c r="HH190" s="221"/>
      <c r="HI190" s="221"/>
      <c r="HJ190" s="221"/>
      <c r="HK190" s="221"/>
      <c r="HL190" s="221"/>
      <c r="HM190" s="221"/>
      <c r="HN190" s="221"/>
      <c r="HO190" s="221"/>
      <c r="HP190" s="221"/>
      <c r="HQ190" s="221"/>
      <c r="HR190" s="221"/>
      <c r="HS190" s="221"/>
      <c r="HT190" s="221"/>
      <c r="HU190" s="221"/>
      <c r="HV190" s="221"/>
      <c r="HW190" s="221"/>
      <c r="HX190" s="221"/>
      <c r="HY190" s="221"/>
      <c r="HZ190" s="221"/>
      <c r="IA190" s="221"/>
      <c r="IB190" s="221"/>
      <c r="IC190" s="221"/>
      <c r="ID190" s="221"/>
      <c r="IE190" s="221"/>
      <c r="IF190" s="221"/>
      <c r="IG190" s="221"/>
      <c r="IH190" s="221"/>
      <c r="II190" s="221"/>
      <c r="IJ190" s="221"/>
      <c r="IK190" s="221"/>
      <c r="IL190" s="221"/>
      <c r="IM190" s="221"/>
      <c r="IN190" s="221"/>
      <c r="IO190" s="221"/>
      <c r="IP190" s="221"/>
      <c r="IQ190" s="221"/>
      <c r="IR190" s="221"/>
      <c r="IS190" s="221"/>
      <c r="IT190" s="221"/>
      <c r="IU190" s="221"/>
      <c r="IV190" s="221"/>
      <c r="IW190" s="221"/>
      <c r="IX190" s="221"/>
      <c r="IY190" s="221"/>
      <c r="IZ190" s="221"/>
      <c r="JA190" s="221"/>
      <c r="JB190" s="221"/>
      <c r="JC190" s="221"/>
      <c r="JD190" s="221"/>
      <c r="JE190" s="221"/>
      <c r="JF190" s="221"/>
      <c r="JG190" s="221"/>
      <c r="JH190" s="221"/>
      <c r="JI190" s="221"/>
      <c r="JJ190" s="221"/>
      <c r="JK190" s="221"/>
      <c r="JL190" s="221"/>
      <c r="JM190" s="221"/>
      <c r="JN190" s="221"/>
      <c r="JO190" s="221"/>
      <c r="JP190" s="221"/>
      <c r="JQ190" s="221"/>
    </row>
    <row r="191" spans="1:277" ht="20" customHeight="1" outlineLevel="1">
      <c r="A191" s="456">
        <v>1904021</v>
      </c>
      <c r="B191" s="694">
        <v>42111</v>
      </c>
      <c r="C191" s="691" t="s">
        <v>1523</v>
      </c>
      <c r="D191" s="691" t="s">
        <v>1259</v>
      </c>
      <c r="E191" s="692" t="s">
        <v>60</v>
      </c>
      <c r="F191" s="693" t="s">
        <v>47</v>
      </c>
      <c r="G191" s="253" t="s">
        <v>1619</v>
      </c>
      <c r="H191" s="294" t="s">
        <v>1314</v>
      </c>
      <c r="I191" s="254">
        <v>190925</v>
      </c>
      <c r="J191" s="255" t="s">
        <v>62</v>
      </c>
      <c r="K191" s="256" t="s">
        <v>50</v>
      </c>
      <c r="L191" s="399"/>
      <c r="M191" s="33">
        <v>42112</v>
      </c>
      <c r="N191" s="257" t="s">
        <v>136</v>
      </c>
      <c r="O191" s="258" t="s">
        <v>1800</v>
      </c>
      <c r="P191" s="566"/>
      <c r="Q191" s="294"/>
      <c r="R191" s="586">
        <v>0</v>
      </c>
      <c r="S191" s="585">
        <v>0</v>
      </c>
      <c r="T191" s="602">
        <v>0</v>
      </c>
      <c r="U191" s="594">
        <v>0</v>
      </c>
      <c r="V191" s="585">
        <v>0</v>
      </c>
      <c r="W191" s="602">
        <v>0</v>
      </c>
      <c r="X191" s="594">
        <v>0</v>
      </c>
      <c r="Y191" s="585">
        <v>0</v>
      </c>
      <c r="Z191" s="602">
        <v>0</v>
      </c>
      <c r="AA191" s="594">
        <v>0</v>
      </c>
      <c r="AB191" s="585">
        <v>0</v>
      </c>
      <c r="AC191" s="602">
        <v>0</v>
      </c>
      <c r="AD191" s="594">
        <v>0</v>
      </c>
      <c r="AE191" s="594">
        <v>0</v>
      </c>
      <c r="AF191" s="594">
        <v>0</v>
      </c>
      <c r="AG191" s="585">
        <v>1</v>
      </c>
      <c r="AH191" s="602">
        <v>0</v>
      </c>
      <c r="AI191" s="609">
        <v>0</v>
      </c>
      <c r="AJ191" s="609">
        <v>0</v>
      </c>
      <c r="AK191" s="740"/>
      <c r="AL191" s="524" t="s">
        <v>133</v>
      </c>
      <c r="AM191" s="253" t="s">
        <v>157</v>
      </c>
      <c r="AN191" s="36">
        <f>PRODUCTS!C3</f>
        <v>63.99</v>
      </c>
      <c r="AO191" s="252" t="s">
        <v>1628</v>
      </c>
      <c r="AP191" s="37">
        <v>99.17</v>
      </c>
      <c r="AQ191" s="792">
        <f t="shared" si="13"/>
        <v>35.18</v>
      </c>
      <c r="AR191" s="831">
        <f t="shared" si="15"/>
        <v>0.35474437834022388</v>
      </c>
      <c r="AS191" s="812">
        <v>42146</v>
      </c>
      <c r="AT191" s="256" t="s">
        <v>1254</v>
      </c>
      <c r="AU191" s="38">
        <v>1</v>
      </c>
      <c r="AV191" s="252" t="s">
        <v>1508</v>
      </c>
      <c r="AW191" s="259" t="s">
        <v>1296</v>
      </c>
      <c r="AX191" s="36">
        <v>0</v>
      </c>
      <c r="AY191" s="26"/>
      <c r="AZ191" s="41">
        <v>7.29</v>
      </c>
      <c r="BA191" s="256" t="s">
        <v>1802</v>
      </c>
      <c r="BB191" s="41">
        <f>(AP191-8)*6%</f>
        <v>5.4702000000000002</v>
      </c>
      <c r="BC191" s="42"/>
      <c r="BD191" s="42"/>
      <c r="BE191" s="42"/>
      <c r="BF191" s="42"/>
      <c r="BG191" s="42"/>
      <c r="BH191" s="221"/>
      <c r="BI191" s="221"/>
      <c r="BJ191" s="221"/>
      <c r="BK191" s="221"/>
      <c r="BL191" s="221"/>
      <c r="BM191" s="221"/>
      <c r="BN191" s="221"/>
      <c r="BO191" s="221"/>
      <c r="BP191" s="221"/>
      <c r="BQ191" s="221"/>
      <c r="BR191" s="221"/>
      <c r="BS191" s="221"/>
      <c r="BT191" s="221"/>
      <c r="BU191" s="221"/>
      <c r="BV191" s="221"/>
      <c r="BW191" s="221"/>
      <c r="BX191" s="221"/>
      <c r="BY191" s="221"/>
      <c r="BZ191" s="221"/>
      <c r="CA191" s="221"/>
      <c r="CB191" s="221"/>
      <c r="CC191" s="221"/>
      <c r="CD191" s="221"/>
      <c r="CE191" s="221"/>
      <c r="CF191" s="221"/>
      <c r="CG191" s="221"/>
      <c r="CH191" s="221"/>
      <c r="CI191" s="221"/>
      <c r="CJ191" s="221"/>
      <c r="CK191" s="221"/>
      <c r="CL191" s="221"/>
      <c r="CM191" s="221"/>
      <c r="CN191" s="221"/>
      <c r="CO191" s="221"/>
      <c r="CP191" s="221"/>
      <c r="CQ191" s="221"/>
      <c r="CR191" s="221"/>
      <c r="CS191" s="221"/>
      <c r="CT191" s="221"/>
      <c r="CU191" s="221"/>
      <c r="CV191" s="221"/>
      <c r="CW191" s="221"/>
      <c r="CX191" s="221"/>
      <c r="CY191" s="221"/>
      <c r="CZ191" s="221"/>
      <c r="DA191" s="221"/>
      <c r="DB191" s="221"/>
      <c r="DC191" s="221"/>
      <c r="DD191" s="221"/>
      <c r="DE191" s="221"/>
      <c r="DF191" s="221"/>
      <c r="DG191" s="221"/>
      <c r="DH191" s="221"/>
      <c r="DI191" s="221"/>
      <c r="DJ191" s="221"/>
      <c r="DK191" s="221"/>
      <c r="DL191" s="221"/>
      <c r="DM191" s="221"/>
      <c r="DN191" s="221"/>
      <c r="DO191" s="221"/>
      <c r="DP191" s="221"/>
      <c r="DQ191" s="221"/>
      <c r="DR191" s="221"/>
      <c r="DS191" s="221"/>
      <c r="DT191" s="221"/>
      <c r="DU191" s="221"/>
      <c r="DV191" s="221"/>
      <c r="DW191" s="221"/>
      <c r="DX191" s="221"/>
      <c r="DY191" s="221"/>
      <c r="DZ191" s="221"/>
      <c r="EA191" s="221"/>
      <c r="EB191" s="221"/>
      <c r="EC191" s="221"/>
      <c r="ED191" s="221"/>
      <c r="EE191" s="221"/>
      <c r="EF191" s="221"/>
      <c r="EG191" s="221"/>
      <c r="EH191" s="221"/>
      <c r="EI191" s="221"/>
      <c r="EJ191" s="221"/>
      <c r="EK191" s="221"/>
      <c r="EL191" s="221"/>
      <c r="EM191" s="221"/>
      <c r="EN191" s="221"/>
      <c r="EO191" s="221"/>
      <c r="EP191" s="221"/>
      <c r="EQ191" s="221"/>
      <c r="ER191" s="221"/>
      <c r="ES191" s="221"/>
      <c r="ET191" s="221"/>
      <c r="EU191" s="221"/>
      <c r="EV191" s="221"/>
      <c r="EW191" s="221"/>
      <c r="EX191" s="221"/>
      <c r="EY191" s="221"/>
      <c r="EZ191" s="221"/>
      <c r="FA191" s="221"/>
      <c r="FB191" s="221"/>
      <c r="FC191" s="221"/>
      <c r="FD191" s="221"/>
      <c r="FE191" s="221"/>
      <c r="FF191" s="221"/>
      <c r="FG191" s="221"/>
      <c r="FH191" s="221"/>
      <c r="FI191" s="221"/>
      <c r="FJ191" s="221"/>
      <c r="FK191" s="221"/>
      <c r="FL191" s="221"/>
      <c r="FM191" s="221"/>
      <c r="FN191" s="221"/>
      <c r="FO191" s="221"/>
      <c r="FP191" s="221"/>
      <c r="FQ191" s="221"/>
      <c r="FR191" s="221"/>
      <c r="FS191" s="221"/>
      <c r="FT191" s="221"/>
      <c r="FU191" s="221"/>
      <c r="FV191" s="221"/>
      <c r="FW191" s="221"/>
      <c r="FX191" s="221"/>
      <c r="FY191" s="221"/>
      <c r="FZ191" s="221"/>
      <c r="GA191" s="221"/>
      <c r="GB191" s="221"/>
      <c r="GC191" s="221"/>
      <c r="GD191" s="221"/>
      <c r="GE191" s="221"/>
      <c r="GF191" s="221"/>
      <c r="GG191" s="221"/>
      <c r="GH191" s="221"/>
      <c r="GI191" s="221"/>
      <c r="GJ191" s="221"/>
      <c r="GK191" s="221"/>
      <c r="GL191" s="221"/>
      <c r="GM191" s="221"/>
      <c r="GN191" s="221"/>
      <c r="GO191" s="221"/>
      <c r="GP191" s="221"/>
      <c r="GQ191" s="221"/>
      <c r="GR191" s="221"/>
      <c r="GS191" s="221"/>
      <c r="GT191" s="221"/>
      <c r="GU191" s="221"/>
      <c r="GV191" s="221"/>
      <c r="GW191" s="221"/>
      <c r="GX191" s="221"/>
      <c r="GY191" s="221"/>
      <c r="GZ191" s="221"/>
      <c r="HA191" s="221"/>
      <c r="HB191" s="221"/>
      <c r="HC191" s="221"/>
      <c r="HD191" s="221"/>
      <c r="HE191" s="221"/>
      <c r="HF191" s="221"/>
      <c r="HG191" s="221"/>
      <c r="HH191" s="221"/>
      <c r="HI191" s="221"/>
      <c r="HJ191" s="221"/>
      <c r="HK191" s="221"/>
      <c r="HL191" s="221"/>
      <c r="HM191" s="221"/>
      <c r="HN191" s="221"/>
      <c r="HO191" s="221"/>
      <c r="HP191" s="221"/>
      <c r="HQ191" s="221"/>
      <c r="HR191" s="221"/>
      <c r="HS191" s="221"/>
      <c r="HT191" s="221"/>
      <c r="HU191" s="221"/>
      <c r="HV191" s="221"/>
      <c r="HW191" s="221"/>
      <c r="HX191" s="221"/>
      <c r="HY191" s="221"/>
      <c r="HZ191" s="221"/>
      <c r="IA191" s="221"/>
      <c r="IB191" s="221"/>
      <c r="IC191" s="221"/>
      <c r="ID191" s="221"/>
      <c r="IE191" s="221"/>
      <c r="IF191" s="221"/>
      <c r="IG191" s="221"/>
      <c r="IH191" s="221"/>
      <c r="II191" s="221"/>
      <c r="IJ191" s="221"/>
      <c r="IK191" s="221"/>
      <c r="IL191" s="221"/>
      <c r="IM191" s="221"/>
      <c r="IN191" s="221"/>
      <c r="IO191" s="221"/>
      <c r="IP191" s="221"/>
      <c r="IQ191" s="221"/>
      <c r="IR191" s="221"/>
      <c r="IS191" s="221"/>
      <c r="IT191" s="221"/>
      <c r="IU191" s="221"/>
      <c r="IV191" s="221"/>
      <c r="IW191" s="221"/>
      <c r="IX191" s="221"/>
      <c r="IY191" s="221"/>
      <c r="IZ191" s="221"/>
      <c r="JA191" s="221"/>
      <c r="JB191" s="221"/>
      <c r="JC191" s="221"/>
      <c r="JD191" s="221"/>
      <c r="JE191" s="221"/>
      <c r="JF191" s="221"/>
      <c r="JG191" s="221"/>
      <c r="JH191" s="221"/>
      <c r="JI191" s="221"/>
      <c r="JJ191" s="221"/>
      <c r="JK191" s="221"/>
      <c r="JL191" s="221"/>
      <c r="JM191" s="221"/>
      <c r="JN191" s="221"/>
      <c r="JO191" s="221"/>
      <c r="JP191" s="221"/>
      <c r="JQ191" s="221"/>
    </row>
    <row r="192" spans="1:277" ht="20" customHeight="1" outlineLevel="1">
      <c r="A192" s="456">
        <v>1904022</v>
      </c>
      <c r="B192" s="694">
        <v>42111</v>
      </c>
      <c r="C192" s="691" t="s">
        <v>1523</v>
      </c>
      <c r="D192" s="691" t="s">
        <v>1259</v>
      </c>
      <c r="E192" s="692" t="s">
        <v>60</v>
      </c>
      <c r="F192" s="693" t="s">
        <v>47</v>
      </c>
      <c r="G192" s="253" t="s">
        <v>1797</v>
      </c>
      <c r="H192" s="294" t="s">
        <v>1314</v>
      </c>
      <c r="I192" s="254">
        <v>190925</v>
      </c>
      <c r="J192" s="255" t="s">
        <v>62</v>
      </c>
      <c r="K192" s="256" t="s">
        <v>50</v>
      </c>
      <c r="L192" s="399"/>
      <c r="M192" s="33">
        <v>42112</v>
      </c>
      <c r="N192" s="257" t="s">
        <v>136</v>
      </c>
      <c r="O192" s="258" t="s">
        <v>1801</v>
      </c>
      <c r="P192" s="566"/>
      <c r="Q192" s="294"/>
      <c r="R192" s="586">
        <v>0</v>
      </c>
      <c r="S192" s="585">
        <v>0</v>
      </c>
      <c r="T192" s="602">
        <v>0</v>
      </c>
      <c r="U192" s="594">
        <v>0</v>
      </c>
      <c r="V192" s="585">
        <v>0</v>
      </c>
      <c r="W192" s="602">
        <v>0</v>
      </c>
      <c r="X192" s="594">
        <v>0</v>
      </c>
      <c r="Y192" s="585">
        <v>0</v>
      </c>
      <c r="Z192" s="602">
        <v>0</v>
      </c>
      <c r="AA192" s="594">
        <v>0</v>
      </c>
      <c r="AB192" s="585">
        <v>0</v>
      </c>
      <c r="AC192" s="602">
        <v>0</v>
      </c>
      <c r="AD192" s="594">
        <v>0</v>
      </c>
      <c r="AE192" s="594">
        <v>0</v>
      </c>
      <c r="AF192" s="594">
        <v>0</v>
      </c>
      <c r="AG192" s="585">
        <v>1</v>
      </c>
      <c r="AH192" s="602">
        <v>0</v>
      </c>
      <c r="AI192" s="609">
        <v>0</v>
      </c>
      <c r="AJ192" s="609">
        <v>0</v>
      </c>
      <c r="AK192" s="740"/>
      <c r="AL192" s="524" t="s">
        <v>133</v>
      </c>
      <c r="AM192" s="253" t="s">
        <v>157</v>
      </c>
      <c r="AN192" s="36">
        <f>PRODUCTS!C3</f>
        <v>63.99</v>
      </c>
      <c r="AO192" s="252" t="s">
        <v>1948</v>
      </c>
      <c r="AP192" s="37">
        <v>99.17</v>
      </c>
      <c r="AQ192" s="792">
        <f t="shared" si="13"/>
        <v>35.18</v>
      </c>
      <c r="AR192" s="831">
        <f t="shared" si="15"/>
        <v>0.35474437834022388</v>
      </c>
      <c r="AS192" s="812"/>
      <c r="AT192" s="256" t="s">
        <v>1254</v>
      </c>
      <c r="AU192" s="38">
        <v>1</v>
      </c>
      <c r="AV192" s="252" t="s">
        <v>1508</v>
      </c>
      <c r="AW192" s="259" t="s">
        <v>1296</v>
      </c>
      <c r="AX192" s="36">
        <v>0</v>
      </c>
      <c r="AY192" s="26"/>
      <c r="AZ192" s="41">
        <v>7.29</v>
      </c>
      <c r="BA192" s="256" t="s">
        <v>1802</v>
      </c>
      <c r="BB192" s="41">
        <v>5.47</v>
      </c>
      <c r="BC192" s="42"/>
      <c r="BD192" s="42"/>
      <c r="BE192" s="42"/>
      <c r="BF192" s="42"/>
      <c r="BG192" s="42"/>
      <c r="BH192" s="221"/>
      <c r="BI192" s="221"/>
      <c r="BJ192" s="221"/>
      <c r="BK192" s="221"/>
      <c r="BL192" s="221"/>
      <c r="BM192" s="221"/>
      <c r="BN192" s="221"/>
      <c r="BO192" s="221"/>
      <c r="BP192" s="221"/>
      <c r="BQ192" s="221"/>
      <c r="BR192" s="221"/>
      <c r="BS192" s="221"/>
      <c r="BT192" s="221"/>
      <c r="BU192" s="221"/>
      <c r="BV192" s="221"/>
      <c r="BW192" s="221"/>
      <c r="BX192" s="221"/>
      <c r="BY192" s="221"/>
      <c r="BZ192" s="221"/>
      <c r="CA192" s="221"/>
      <c r="CB192" s="221"/>
      <c r="CC192" s="221"/>
      <c r="CD192" s="221"/>
      <c r="CE192" s="221"/>
      <c r="CF192" s="221"/>
      <c r="CG192" s="221"/>
      <c r="CH192" s="221"/>
      <c r="CI192" s="221"/>
      <c r="CJ192" s="221"/>
      <c r="CK192" s="221"/>
      <c r="CL192" s="221"/>
      <c r="CM192" s="221"/>
      <c r="CN192" s="221"/>
      <c r="CO192" s="221"/>
      <c r="CP192" s="221"/>
      <c r="CQ192" s="221"/>
      <c r="CR192" s="221"/>
      <c r="CS192" s="221"/>
      <c r="CT192" s="221"/>
      <c r="CU192" s="221"/>
      <c r="CV192" s="221"/>
      <c r="CW192" s="221"/>
      <c r="CX192" s="221"/>
      <c r="CY192" s="221"/>
      <c r="CZ192" s="221"/>
      <c r="DA192" s="221"/>
      <c r="DB192" s="221"/>
      <c r="DC192" s="221"/>
      <c r="DD192" s="221"/>
      <c r="DE192" s="221"/>
      <c r="DF192" s="221"/>
      <c r="DG192" s="221"/>
      <c r="DH192" s="221"/>
      <c r="DI192" s="221"/>
      <c r="DJ192" s="221"/>
      <c r="DK192" s="221"/>
      <c r="DL192" s="221"/>
      <c r="DM192" s="221"/>
      <c r="DN192" s="221"/>
      <c r="DO192" s="221"/>
      <c r="DP192" s="221"/>
      <c r="DQ192" s="221"/>
      <c r="DR192" s="221"/>
      <c r="DS192" s="221"/>
      <c r="DT192" s="221"/>
      <c r="DU192" s="221"/>
      <c r="DV192" s="221"/>
      <c r="DW192" s="221"/>
      <c r="DX192" s="221"/>
      <c r="DY192" s="221"/>
      <c r="DZ192" s="221"/>
      <c r="EA192" s="221"/>
      <c r="EB192" s="221"/>
      <c r="EC192" s="221"/>
      <c r="ED192" s="221"/>
      <c r="EE192" s="221"/>
      <c r="EF192" s="221"/>
      <c r="EG192" s="221"/>
      <c r="EH192" s="221"/>
      <c r="EI192" s="221"/>
      <c r="EJ192" s="221"/>
      <c r="EK192" s="221"/>
      <c r="EL192" s="221"/>
      <c r="EM192" s="221"/>
      <c r="EN192" s="221"/>
      <c r="EO192" s="221"/>
      <c r="EP192" s="221"/>
      <c r="EQ192" s="221"/>
      <c r="ER192" s="221"/>
      <c r="ES192" s="221"/>
      <c r="ET192" s="221"/>
      <c r="EU192" s="221"/>
      <c r="EV192" s="221"/>
      <c r="EW192" s="221"/>
      <c r="EX192" s="221"/>
      <c r="EY192" s="221"/>
      <c r="EZ192" s="221"/>
      <c r="FA192" s="221"/>
      <c r="FB192" s="221"/>
      <c r="FC192" s="221"/>
      <c r="FD192" s="221"/>
      <c r="FE192" s="221"/>
      <c r="FF192" s="221"/>
      <c r="FG192" s="221"/>
      <c r="FH192" s="221"/>
      <c r="FI192" s="221"/>
      <c r="FJ192" s="221"/>
      <c r="FK192" s="221"/>
      <c r="FL192" s="221"/>
      <c r="FM192" s="221"/>
      <c r="FN192" s="221"/>
      <c r="FO192" s="221"/>
      <c r="FP192" s="221"/>
      <c r="FQ192" s="221"/>
      <c r="FR192" s="221"/>
      <c r="FS192" s="221"/>
      <c r="FT192" s="221"/>
      <c r="FU192" s="221"/>
      <c r="FV192" s="221"/>
      <c r="FW192" s="221"/>
      <c r="FX192" s="221"/>
      <c r="FY192" s="221"/>
      <c r="FZ192" s="221"/>
      <c r="GA192" s="221"/>
      <c r="GB192" s="221"/>
      <c r="GC192" s="221"/>
      <c r="GD192" s="221"/>
      <c r="GE192" s="221"/>
      <c r="GF192" s="221"/>
      <c r="GG192" s="221"/>
      <c r="GH192" s="221"/>
      <c r="GI192" s="221"/>
      <c r="GJ192" s="221"/>
      <c r="GK192" s="221"/>
      <c r="GL192" s="221"/>
      <c r="GM192" s="221"/>
      <c r="GN192" s="221"/>
      <c r="GO192" s="221"/>
      <c r="GP192" s="221"/>
      <c r="GQ192" s="221"/>
      <c r="GR192" s="221"/>
      <c r="GS192" s="221"/>
      <c r="GT192" s="221"/>
      <c r="GU192" s="221"/>
      <c r="GV192" s="221"/>
      <c r="GW192" s="221"/>
      <c r="GX192" s="221"/>
      <c r="GY192" s="221"/>
      <c r="GZ192" s="221"/>
      <c r="HA192" s="221"/>
      <c r="HB192" s="221"/>
      <c r="HC192" s="221"/>
      <c r="HD192" s="221"/>
      <c r="HE192" s="221"/>
      <c r="HF192" s="221"/>
      <c r="HG192" s="221"/>
      <c r="HH192" s="221"/>
      <c r="HI192" s="221"/>
      <c r="HJ192" s="221"/>
      <c r="HK192" s="221"/>
      <c r="HL192" s="221"/>
      <c r="HM192" s="221"/>
      <c r="HN192" s="221"/>
      <c r="HO192" s="221"/>
      <c r="HP192" s="221"/>
      <c r="HQ192" s="221"/>
      <c r="HR192" s="221"/>
      <c r="HS192" s="221"/>
      <c r="HT192" s="221"/>
      <c r="HU192" s="221"/>
      <c r="HV192" s="221"/>
      <c r="HW192" s="221"/>
      <c r="HX192" s="221"/>
      <c r="HY192" s="221"/>
      <c r="HZ192" s="221"/>
      <c r="IA192" s="221"/>
      <c r="IB192" s="221"/>
      <c r="IC192" s="221"/>
      <c r="ID192" s="221"/>
      <c r="IE192" s="221"/>
      <c r="IF192" s="221"/>
      <c r="IG192" s="221"/>
      <c r="IH192" s="221"/>
      <c r="II192" s="221"/>
      <c r="IJ192" s="221"/>
      <c r="IK192" s="221"/>
      <c r="IL192" s="221"/>
      <c r="IM192" s="221"/>
      <c r="IN192" s="221"/>
      <c r="IO192" s="221"/>
      <c r="IP192" s="221"/>
      <c r="IQ192" s="221"/>
      <c r="IR192" s="221"/>
      <c r="IS192" s="221"/>
      <c r="IT192" s="221"/>
      <c r="IU192" s="221"/>
      <c r="IV192" s="221"/>
      <c r="IW192" s="221"/>
      <c r="IX192" s="221"/>
      <c r="IY192" s="221"/>
      <c r="IZ192" s="221"/>
      <c r="JA192" s="221"/>
      <c r="JB192" s="221"/>
      <c r="JC192" s="221"/>
      <c r="JD192" s="221"/>
      <c r="JE192" s="221"/>
      <c r="JF192" s="221"/>
      <c r="JG192" s="221"/>
      <c r="JH192" s="221"/>
      <c r="JI192" s="221"/>
      <c r="JJ192" s="221"/>
      <c r="JK192" s="221"/>
      <c r="JL192" s="221"/>
      <c r="JM192" s="221"/>
      <c r="JN192" s="221"/>
      <c r="JO192" s="221"/>
      <c r="JP192" s="221"/>
      <c r="JQ192" s="221"/>
    </row>
    <row r="193" spans="1:277" ht="20" customHeight="1" outlineLevel="1">
      <c r="A193" s="456">
        <v>1904023</v>
      </c>
      <c r="B193" s="694">
        <v>42116</v>
      </c>
      <c r="C193" s="691" t="s">
        <v>67</v>
      </c>
      <c r="D193" s="691" t="s">
        <v>1259</v>
      </c>
      <c r="E193" s="692" t="s">
        <v>69</v>
      </c>
      <c r="F193" s="693" t="s">
        <v>47</v>
      </c>
      <c r="G193" s="253" t="s">
        <v>47</v>
      </c>
      <c r="H193" s="294" t="s">
        <v>47</v>
      </c>
      <c r="I193" s="254" t="s">
        <v>47</v>
      </c>
      <c r="J193" s="255" t="s">
        <v>62</v>
      </c>
      <c r="K193" s="256" t="s">
        <v>163</v>
      </c>
      <c r="L193" s="399" t="s">
        <v>47</v>
      </c>
      <c r="M193" s="33">
        <v>42116</v>
      </c>
      <c r="N193" s="257" t="s">
        <v>1666</v>
      </c>
      <c r="O193" s="258" t="s">
        <v>1667</v>
      </c>
      <c r="P193" s="566" t="s">
        <v>1668</v>
      </c>
      <c r="Q193" s="294"/>
      <c r="R193" s="586">
        <v>0</v>
      </c>
      <c r="S193" s="585">
        <v>0</v>
      </c>
      <c r="T193" s="602">
        <v>0</v>
      </c>
      <c r="U193" s="594">
        <v>0</v>
      </c>
      <c r="V193" s="585">
        <v>0</v>
      </c>
      <c r="W193" s="602">
        <v>0</v>
      </c>
      <c r="X193" s="594">
        <v>0</v>
      </c>
      <c r="Y193" s="585">
        <v>0</v>
      </c>
      <c r="Z193" s="602">
        <v>0</v>
      </c>
      <c r="AA193" s="594">
        <v>0</v>
      </c>
      <c r="AB193" s="585">
        <v>0</v>
      </c>
      <c r="AC193" s="602">
        <v>0</v>
      </c>
      <c r="AD193" s="594">
        <v>0</v>
      </c>
      <c r="AE193" s="594">
        <v>0</v>
      </c>
      <c r="AF193" s="594">
        <v>0</v>
      </c>
      <c r="AG193" s="585">
        <v>0</v>
      </c>
      <c r="AH193" s="602">
        <v>0</v>
      </c>
      <c r="AI193" s="609">
        <v>0</v>
      </c>
      <c r="AJ193" s="609">
        <v>0</v>
      </c>
      <c r="AK193" s="740"/>
      <c r="AL193" s="524" t="s">
        <v>47</v>
      </c>
      <c r="AM193" s="253" t="s">
        <v>92</v>
      </c>
      <c r="AN193" s="36"/>
      <c r="AO193" s="252" t="s">
        <v>47</v>
      </c>
      <c r="AP193" s="37">
        <v>0</v>
      </c>
      <c r="AQ193" s="792">
        <f t="shared" ref="AQ193:AQ195" si="16">AP193-AN193</f>
        <v>0</v>
      </c>
      <c r="AR193" s="831" t="e">
        <f t="shared" si="15"/>
        <v>#DIV/0!</v>
      </c>
      <c r="AS193" s="812" t="s">
        <v>47</v>
      </c>
      <c r="AT193" s="256" t="s">
        <v>1245</v>
      </c>
      <c r="AU193" s="38">
        <v>1</v>
      </c>
      <c r="AV193" s="252" t="s">
        <v>489</v>
      </c>
      <c r="AW193" s="259" t="s">
        <v>1669</v>
      </c>
      <c r="AX193" s="36">
        <v>0</v>
      </c>
      <c r="AY193" s="26"/>
      <c r="AZ193" s="41">
        <f>6*1.4</f>
        <v>8.3999999999999986</v>
      </c>
      <c r="BA193" s="31" t="s">
        <v>47</v>
      </c>
      <c r="BB193" s="41">
        <v>0</v>
      </c>
      <c r="BC193" s="42"/>
      <c r="BD193" s="42"/>
      <c r="BE193" s="42"/>
      <c r="BF193" s="42"/>
      <c r="BG193" s="42"/>
      <c r="BH193" s="221"/>
      <c r="BI193" s="221"/>
      <c r="BJ193" s="221"/>
      <c r="BK193" s="221"/>
      <c r="BL193" s="221"/>
      <c r="BM193" s="221"/>
      <c r="BN193" s="221"/>
      <c r="BO193" s="221"/>
      <c r="BP193" s="221"/>
      <c r="BQ193" s="221"/>
      <c r="BR193" s="221"/>
      <c r="BS193" s="221"/>
      <c r="BT193" s="221"/>
      <c r="BU193" s="221"/>
      <c r="BV193" s="221"/>
      <c r="BW193" s="221"/>
      <c r="BX193" s="221"/>
      <c r="BY193" s="221"/>
      <c r="BZ193" s="221"/>
      <c r="CA193" s="221"/>
      <c r="CB193" s="221"/>
      <c r="CC193" s="221"/>
      <c r="CD193" s="221"/>
      <c r="CE193" s="221"/>
      <c r="CF193" s="221"/>
      <c r="CG193" s="221"/>
      <c r="CH193" s="221"/>
      <c r="CI193" s="221"/>
      <c r="CJ193" s="221"/>
      <c r="CK193" s="221"/>
      <c r="CL193" s="221"/>
      <c r="CM193" s="221"/>
      <c r="CN193" s="221"/>
      <c r="CO193" s="221"/>
      <c r="CP193" s="221"/>
      <c r="CQ193" s="221"/>
      <c r="CR193" s="221"/>
      <c r="CS193" s="221"/>
      <c r="CT193" s="221"/>
      <c r="CU193" s="221"/>
      <c r="CV193" s="221"/>
      <c r="CW193" s="221"/>
      <c r="CX193" s="221"/>
      <c r="CY193" s="221"/>
      <c r="CZ193" s="221"/>
      <c r="DA193" s="221"/>
      <c r="DB193" s="221"/>
      <c r="DC193" s="221"/>
      <c r="DD193" s="221"/>
      <c r="DE193" s="221"/>
      <c r="DF193" s="221"/>
      <c r="DG193" s="221"/>
      <c r="DH193" s="221"/>
      <c r="DI193" s="221"/>
      <c r="DJ193" s="221"/>
      <c r="DK193" s="221"/>
      <c r="DL193" s="221"/>
      <c r="DM193" s="221"/>
      <c r="DN193" s="221"/>
      <c r="DO193" s="221"/>
      <c r="DP193" s="221"/>
      <c r="DQ193" s="221"/>
      <c r="DR193" s="221"/>
      <c r="DS193" s="221"/>
      <c r="DT193" s="221"/>
      <c r="DU193" s="221"/>
      <c r="DV193" s="221"/>
      <c r="DW193" s="221"/>
      <c r="DX193" s="221"/>
      <c r="DY193" s="221"/>
      <c r="DZ193" s="221"/>
      <c r="EA193" s="221"/>
      <c r="EB193" s="221"/>
      <c r="EC193" s="221"/>
      <c r="ED193" s="221"/>
      <c r="EE193" s="221"/>
      <c r="EF193" s="221"/>
      <c r="EG193" s="221"/>
      <c r="EH193" s="221"/>
      <c r="EI193" s="221"/>
      <c r="EJ193" s="221"/>
      <c r="EK193" s="221"/>
      <c r="EL193" s="221"/>
      <c r="EM193" s="221"/>
      <c r="EN193" s="221"/>
      <c r="EO193" s="221"/>
      <c r="EP193" s="221"/>
      <c r="EQ193" s="221"/>
      <c r="ER193" s="221"/>
      <c r="ES193" s="221"/>
      <c r="ET193" s="221"/>
      <c r="EU193" s="221"/>
      <c r="EV193" s="221"/>
      <c r="EW193" s="221"/>
      <c r="EX193" s="221"/>
      <c r="EY193" s="221"/>
      <c r="EZ193" s="221"/>
      <c r="FA193" s="221"/>
      <c r="FB193" s="221"/>
      <c r="FC193" s="221"/>
      <c r="FD193" s="221"/>
      <c r="FE193" s="221"/>
      <c r="FF193" s="221"/>
      <c r="FG193" s="221"/>
      <c r="FH193" s="221"/>
      <c r="FI193" s="221"/>
      <c r="FJ193" s="221"/>
      <c r="FK193" s="221"/>
      <c r="FL193" s="221"/>
      <c r="FM193" s="221"/>
      <c r="FN193" s="221"/>
      <c r="FO193" s="221"/>
      <c r="FP193" s="221"/>
      <c r="FQ193" s="221"/>
      <c r="FR193" s="221"/>
      <c r="FS193" s="221"/>
      <c r="FT193" s="221"/>
      <c r="FU193" s="221"/>
      <c r="FV193" s="221"/>
      <c r="FW193" s="221"/>
      <c r="FX193" s="221"/>
      <c r="FY193" s="221"/>
      <c r="FZ193" s="221"/>
      <c r="GA193" s="221"/>
      <c r="GB193" s="221"/>
      <c r="GC193" s="221"/>
      <c r="GD193" s="221"/>
      <c r="GE193" s="221"/>
      <c r="GF193" s="221"/>
      <c r="GG193" s="221"/>
      <c r="GH193" s="221"/>
      <c r="GI193" s="221"/>
      <c r="GJ193" s="221"/>
      <c r="GK193" s="221"/>
      <c r="GL193" s="221"/>
      <c r="GM193" s="221"/>
      <c r="GN193" s="221"/>
      <c r="GO193" s="221"/>
      <c r="GP193" s="221"/>
      <c r="GQ193" s="221"/>
      <c r="GR193" s="221"/>
      <c r="GS193" s="221"/>
      <c r="GT193" s="221"/>
      <c r="GU193" s="221"/>
      <c r="GV193" s="221"/>
      <c r="GW193" s="221"/>
      <c r="GX193" s="221"/>
      <c r="GY193" s="221"/>
      <c r="GZ193" s="221"/>
      <c r="HA193" s="221"/>
      <c r="HB193" s="221"/>
      <c r="HC193" s="221"/>
      <c r="HD193" s="221"/>
      <c r="HE193" s="221"/>
      <c r="HF193" s="221"/>
      <c r="HG193" s="221"/>
      <c r="HH193" s="221"/>
      <c r="HI193" s="221"/>
      <c r="HJ193" s="221"/>
      <c r="HK193" s="221"/>
      <c r="HL193" s="221"/>
      <c r="HM193" s="221"/>
      <c r="HN193" s="221"/>
      <c r="HO193" s="221"/>
      <c r="HP193" s="221"/>
      <c r="HQ193" s="221"/>
      <c r="HR193" s="221"/>
      <c r="HS193" s="221"/>
      <c r="HT193" s="221"/>
      <c r="HU193" s="221"/>
      <c r="HV193" s="221"/>
      <c r="HW193" s="221"/>
      <c r="HX193" s="221"/>
      <c r="HY193" s="221"/>
      <c r="HZ193" s="221"/>
      <c r="IA193" s="221"/>
      <c r="IB193" s="221"/>
      <c r="IC193" s="221"/>
      <c r="ID193" s="221"/>
      <c r="IE193" s="221"/>
      <c r="IF193" s="221"/>
      <c r="IG193" s="221"/>
      <c r="IH193" s="221"/>
      <c r="II193" s="221"/>
      <c r="IJ193" s="221"/>
      <c r="IK193" s="221"/>
      <c r="IL193" s="221"/>
      <c r="IM193" s="221"/>
      <c r="IN193" s="221"/>
      <c r="IO193" s="221"/>
      <c r="IP193" s="221"/>
      <c r="IQ193" s="221"/>
      <c r="IR193" s="221"/>
      <c r="IS193" s="221"/>
      <c r="IT193" s="221"/>
      <c r="IU193" s="221"/>
      <c r="IV193" s="221"/>
      <c r="IW193" s="221"/>
      <c r="IX193" s="221"/>
      <c r="IY193" s="221"/>
      <c r="IZ193" s="221"/>
      <c r="JA193" s="221"/>
      <c r="JB193" s="221"/>
      <c r="JC193" s="221"/>
      <c r="JD193" s="221"/>
      <c r="JE193" s="221"/>
      <c r="JF193" s="221"/>
      <c r="JG193" s="221"/>
      <c r="JH193" s="221"/>
      <c r="JI193" s="221"/>
      <c r="JJ193" s="221"/>
      <c r="JK193" s="221"/>
      <c r="JL193" s="221"/>
      <c r="JM193" s="221"/>
      <c r="JN193" s="221"/>
      <c r="JO193" s="221"/>
      <c r="JP193" s="221"/>
      <c r="JQ193" s="221"/>
    </row>
    <row r="194" spans="1:277" ht="20" customHeight="1" outlineLevel="1">
      <c r="A194" s="456">
        <v>1904024</v>
      </c>
      <c r="B194" s="694">
        <v>42116</v>
      </c>
      <c r="C194" s="691" t="s">
        <v>44</v>
      </c>
      <c r="D194" s="691" t="s">
        <v>73</v>
      </c>
      <c r="E194" s="692" t="s">
        <v>69</v>
      </c>
      <c r="F194" s="693" t="s">
        <v>47</v>
      </c>
      <c r="G194" s="253" t="s">
        <v>1807</v>
      </c>
      <c r="H194" s="294" t="s">
        <v>47</v>
      </c>
      <c r="I194" s="254">
        <v>191633</v>
      </c>
      <c r="J194" s="255" t="s">
        <v>62</v>
      </c>
      <c r="K194" s="256" t="s">
        <v>118</v>
      </c>
      <c r="L194" s="399" t="s">
        <v>123</v>
      </c>
      <c r="M194" s="33">
        <v>42116</v>
      </c>
      <c r="N194" s="257" t="s">
        <v>345</v>
      </c>
      <c r="O194" s="258" t="s">
        <v>1808</v>
      </c>
      <c r="P194" s="566"/>
      <c r="Q194" s="294"/>
      <c r="R194" s="586">
        <v>0</v>
      </c>
      <c r="S194" s="585">
        <v>0</v>
      </c>
      <c r="T194" s="602">
        <v>0</v>
      </c>
      <c r="U194" s="594">
        <v>0</v>
      </c>
      <c r="V194" s="585">
        <v>0</v>
      </c>
      <c r="W194" s="602">
        <v>0</v>
      </c>
      <c r="X194" s="594">
        <v>54</v>
      </c>
      <c r="Y194" s="585">
        <v>0</v>
      </c>
      <c r="Z194" s="602">
        <v>0</v>
      </c>
      <c r="AA194" s="594">
        <v>18</v>
      </c>
      <c r="AB194" s="585">
        <v>0</v>
      </c>
      <c r="AC194" s="602">
        <v>0</v>
      </c>
      <c r="AD194" s="594">
        <v>24</v>
      </c>
      <c r="AE194" s="594">
        <v>0</v>
      </c>
      <c r="AF194" s="594">
        <v>0</v>
      </c>
      <c r="AG194" s="585">
        <v>0</v>
      </c>
      <c r="AH194" s="602">
        <v>0</v>
      </c>
      <c r="AI194" s="609">
        <v>0</v>
      </c>
      <c r="AJ194" s="609">
        <v>0</v>
      </c>
      <c r="AK194" s="740"/>
      <c r="AL194" s="524" t="s">
        <v>1799</v>
      </c>
      <c r="AM194" s="253">
        <v>190993</v>
      </c>
      <c r="AN194" s="36">
        <v>792</v>
      </c>
      <c r="AO194" s="252" t="s">
        <v>1809</v>
      </c>
      <c r="AP194" s="37">
        <f>1477.2-(1477.2*2%)</f>
        <v>1447.6559999999999</v>
      </c>
      <c r="AQ194" s="792">
        <f t="shared" si="16"/>
        <v>655.65599999999995</v>
      </c>
      <c r="AR194" s="831">
        <f t="shared" si="15"/>
        <v>0.45290870206734196</v>
      </c>
      <c r="AS194" s="812">
        <v>42138</v>
      </c>
      <c r="AT194" s="256"/>
      <c r="AU194" s="38"/>
      <c r="AV194" s="252"/>
      <c r="AW194" s="259"/>
      <c r="AX194" s="36">
        <v>0</v>
      </c>
      <c r="AY194" s="252" t="s">
        <v>118</v>
      </c>
      <c r="AZ194" s="41">
        <v>0</v>
      </c>
      <c r="BA194" s="31"/>
      <c r="BB194" s="41"/>
      <c r="BC194" s="42"/>
      <c r="BD194" s="42"/>
      <c r="BE194" s="42"/>
      <c r="BF194" s="42"/>
      <c r="BG194" s="42"/>
      <c r="BH194" s="221"/>
      <c r="BI194" s="221"/>
      <c r="BJ194" s="221"/>
      <c r="BK194" s="221"/>
      <c r="BL194" s="221"/>
      <c r="BM194" s="221"/>
      <c r="BN194" s="221"/>
      <c r="BO194" s="221"/>
      <c r="BP194" s="221"/>
      <c r="BQ194" s="221"/>
      <c r="BR194" s="221"/>
      <c r="BS194" s="221"/>
      <c r="BT194" s="221"/>
      <c r="BU194" s="221"/>
      <c r="BV194" s="221"/>
      <c r="BW194" s="221"/>
      <c r="BX194" s="221"/>
      <c r="BY194" s="221"/>
      <c r="BZ194" s="221"/>
      <c r="CA194" s="221"/>
      <c r="CB194" s="221"/>
      <c r="CC194" s="221"/>
      <c r="CD194" s="221"/>
      <c r="CE194" s="221"/>
      <c r="CF194" s="221"/>
      <c r="CG194" s="221"/>
      <c r="CH194" s="221"/>
      <c r="CI194" s="221"/>
      <c r="CJ194" s="221"/>
      <c r="CK194" s="221"/>
      <c r="CL194" s="221"/>
      <c r="CM194" s="221"/>
      <c r="CN194" s="221"/>
      <c r="CO194" s="221"/>
      <c r="CP194" s="221"/>
      <c r="CQ194" s="221"/>
      <c r="CR194" s="221"/>
      <c r="CS194" s="221"/>
      <c r="CT194" s="221"/>
      <c r="CU194" s="221"/>
      <c r="CV194" s="221"/>
      <c r="CW194" s="221"/>
      <c r="CX194" s="221"/>
      <c r="CY194" s="221"/>
      <c r="CZ194" s="221"/>
      <c r="DA194" s="221"/>
      <c r="DB194" s="221"/>
      <c r="DC194" s="221"/>
      <c r="DD194" s="221"/>
      <c r="DE194" s="221"/>
      <c r="DF194" s="221"/>
      <c r="DG194" s="221"/>
      <c r="DH194" s="221"/>
      <c r="DI194" s="221"/>
      <c r="DJ194" s="221"/>
      <c r="DK194" s="221"/>
      <c r="DL194" s="221"/>
      <c r="DM194" s="221"/>
      <c r="DN194" s="221"/>
      <c r="DO194" s="221"/>
      <c r="DP194" s="221"/>
      <c r="DQ194" s="221"/>
      <c r="DR194" s="221"/>
      <c r="DS194" s="221"/>
      <c r="DT194" s="221"/>
      <c r="DU194" s="221"/>
      <c r="DV194" s="221"/>
      <c r="DW194" s="221"/>
      <c r="DX194" s="221"/>
      <c r="DY194" s="221"/>
      <c r="DZ194" s="221"/>
      <c r="EA194" s="221"/>
      <c r="EB194" s="221"/>
      <c r="EC194" s="221"/>
      <c r="ED194" s="221"/>
      <c r="EE194" s="221"/>
      <c r="EF194" s="221"/>
      <c r="EG194" s="221"/>
      <c r="EH194" s="221"/>
      <c r="EI194" s="221"/>
      <c r="EJ194" s="221"/>
      <c r="EK194" s="221"/>
      <c r="EL194" s="221"/>
      <c r="EM194" s="221"/>
      <c r="EN194" s="221"/>
      <c r="EO194" s="221"/>
      <c r="EP194" s="221"/>
      <c r="EQ194" s="221"/>
      <c r="ER194" s="221"/>
      <c r="ES194" s="221"/>
      <c r="ET194" s="221"/>
      <c r="EU194" s="221"/>
      <c r="EV194" s="221"/>
      <c r="EW194" s="221"/>
      <c r="EX194" s="221"/>
      <c r="EY194" s="221"/>
      <c r="EZ194" s="221"/>
      <c r="FA194" s="221"/>
      <c r="FB194" s="221"/>
      <c r="FC194" s="221"/>
      <c r="FD194" s="221"/>
      <c r="FE194" s="221"/>
      <c r="FF194" s="221"/>
      <c r="FG194" s="221"/>
      <c r="FH194" s="221"/>
      <c r="FI194" s="221"/>
      <c r="FJ194" s="221"/>
      <c r="FK194" s="221"/>
      <c r="FL194" s="221"/>
      <c r="FM194" s="221"/>
      <c r="FN194" s="221"/>
      <c r="FO194" s="221"/>
      <c r="FP194" s="221"/>
      <c r="FQ194" s="221"/>
      <c r="FR194" s="221"/>
      <c r="FS194" s="221"/>
      <c r="FT194" s="221"/>
      <c r="FU194" s="221"/>
      <c r="FV194" s="221"/>
      <c r="FW194" s="221"/>
      <c r="FX194" s="221"/>
      <c r="FY194" s="221"/>
      <c r="FZ194" s="221"/>
      <c r="GA194" s="221"/>
      <c r="GB194" s="221"/>
      <c r="GC194" s="221"/>
      <c r="GD194" s="221"/>
      <c r="GE194" s="221"/>
      <c r="GF194" s="221"/>
      <c r="GG194" s="221"/>
      <c r="GH194" s="221"/>
      <c r="GI194" s="221"/>
      <c r="GJ194" s="221"/>
      <c r="GK194" s="221"/>
      <c r="GL194" s="221"/>
      <c r="GM194" s="221"/>
      <c r="GN194" s="221"/>
      <c r="GO194" s="221"/>
      <c r="GP194" s="221"/>
      <c r="GQ194" s="221"/>
      <c r="GR194" s="221"/>
      <c r="GS194" s="221"/>
      <c r="GT194" s="221"/>
      <c r="GU194" s="221"/>
      <c r="GV194" s="221"/>
      <c r="GW194" s="221"/>
      <c r="GX194" s="221"/>
      <c r="GY194" s="221"/>
      <c r="GZ194" s="221"/>
      <c r="HA194" s="221"/>
      <c r="HB194" s="221"/>
      <c r="HC194" s="221"/>
      <c r="HD194" s="221"/>
      <c r="HE194" s="221"/>
      <c r="HF194" s="221"/>
      <c r="HG194" s="221"/>
      <c r="HH194" s="221"/>
      <c r="HI194" s="221"/>
      <c r="HJ194" s="221"/>
      <c r="HK194" s="221"/>
      <c r="HL194" s="221"/>
      <c r="HM194" s="221"/>
      <c r="HN194" s="221"/>
      <c r="HO194" s="221"/>
      <c r="HP194" s="221"/>
      <c r="HQ194" s="221"/>
      <c r="HR194" s="221"/>
      <c r="HS194" s="221"/>
      <c r="HT194" s="221"/>
      <c r="HU194" s="221"/>
      <c r="HV194" s="221"/>
      <c r="HW194" s="221"/>
      <c r="HX194" s="221"/>
      <c r="HY194" s="221"/>
      <c r="HZ194" s="221"/>
      <c r="IA194" s="221"/>
      <c r="IB194" s="221"/>
      <c r="IC194" s="221"/>
      <c r="ID194" s="221"/>
      <c r="IE194" s="221"/>
      <c r="IF194" s="221"/>
      <c r="IG194" s="221"/>
      <c r="IH194" s="221"/>
      <c r="II194" s="221"/>
      <c r="IJ194" s="221"/>
      <c r="IK194" s="221"/>
      <c r="IL194" s="221"/>
      <c r="IM194" s="221"/>
      <c r="IN194" s="221"/>
      <c r="IO194" s="221"/>
      <c r="IP194" s="221"/>
      <c r="IQ194" s="221"/>
      <c r="IR194" s="221"/>
      <c r="IS194" s="221"/>
      <c r="IT194" s="221"/>
      <c r="IU194" s="221"/>
      <c r="IV194" s="221"/>
      <c r="IW194" s="221"/>
      <c r="IX194" s="221"/>
      <c r="IY194" s="221"/>
      <c r="IZ194" s="221"/>
      <c r="JA194" s="221"/>
      <c r="JB194" s="221"/>
      <c r="JC194" s="221"/>
      <c r="JD194" s="221"/>
      <c r="JE194" s="221"/>
      <c r="JF194" s="221"/>
      <c r="JG194" s="221"/>
      <c r="JH194" s="221"/>
      <c r="JI194" s="221"/>
      <c r="JJ194" s="221"/>
      <c r="JK194" s="221"/>
      <c r="JL194" s="221"/>
      <c r="JM194" s="221"/>
      <c r="JN194" s="221"/>
      <c r="JO194" s="221"/>
      <c r="JP194" s="221"/>
      <c r="JQ194" s="221"/>
    </row>
    <row r="195" spans="1:277" ht="20" customHeight="1" outlineLevel="1">
      <c r="A195" s="456">
        <v>1904021</v>
      </c>
      <c r="B195" s="694">
        <v>42116</v>
      </c>
      <c r="C195" s="691" t="s">
        <v>44</v>
      </c>
      <c r="D195" s="691" t="s">
        <v>1259</v>
      </c>
      <c r="E195" s="692" t="s">
        <v>74</v>
      </c>
      <c r="F195" s="693" t="s">
        <v>47</v>
      </c>
      <c r="G195" s="253" t="s">
        <v>1670</v>
      </c>
      <c r="H195" s="296">
        <v>42117</v>
      </c>
      <c r="I195" s="254">
        <v>191649</v>
      </c>
      <c r="J195" s="255" t="s">
        <v>62</v>
      </c>
      <c r="K195" s="256" t="s">
        <v>50</v>
      </c>
      <c r="L195" s="50">
        <v>168264652</v>
      </c>
      <c r="M195" s="33">
        <v>42117</v>
      </c>
      <c r="N195" s="257" t="s">
        <v>258</v>
      </c>
      <c r="O195" s="258" t="s">
        <v>1252</v>
      </c>
      <c r="P195" s="559"/>
      <c r="Q195" s="290"/>
      <c r="R195" s="586">
        <v>2</v>
      </c>
      <c r="S195" s="585">
        <v>0</v>
      </c>
      <c r="T195" s="602">
        <v>0</v>
      </c>
      <c r="U195" s="594">
        <v>0</v>
      </c>
      <c r="V195" s="585">
        <v>0</v>
      </c>
      <c r="W195" s="602">
        <v>0</v>
      </c>
      <c r="X195" s="594">
        <v>0</v>
      </c>
      <c r="Y195" s="585">
        <v>0</v>
      </c>
      <c r="Z195" s="602">
        <v>0</v>
      </c>
      <c r="AA195" s="594">
        <v>0</v>
      </c>
      <c r="AB195" s="585">
        <v>0</v>
      </c>
      <c r="AC195" s="602">
        <v>0</v>
      </c>
      <c r="AD195" s="594">
        <v>0</v>
      </c>
      <c r="AE195" s="594">
        <v>0</v>
      </c>
      <c r="AF195" s="594">
        <v>0</v>
      </c>
      <c r="AG195" s="585">
        <v>3</v>
      </c>
      <c r="AH195" s="602">
        <v>0</v>
      </c>
      <c r="AI195" s="609">
        <v>0</v>
      </c>
      <c r="AJ195" s="609">
        <v>0</v>
      </c>
      <c r="AK195" s="740"/>
      <c r="AL195" s="524" t="s">
        <v>1268</v>
      </c>
      <c r="AM195" s="253" t="s">
        <v>1732</v>
      </c>
      <c r="AN195" s="36">
        <f>3*PRODUCTS!C3+16</f>
        <v>207.97</v>
      </c>
      <c r="AO195" s="26" t="s">
        <v>1674</v>
      </c>
      <c r="AP195" s="37">
        <v>319.39999999999998</v>
      </c>
      <c r="AQ195" s="792">
        <f t="shared" si="16"/>
        <v>111.42999999999998</v>
      </c>
      <c r="AR195" s="831">
        <f t="shared" si="15"/>
        <v>0.34887288666249211</v>
      </c>
      <c r="AS195" s="812"/>
      <c r="AT195" s="31"/>
      <c r="AU195" s="38"/>
      <c r="AV195" s="26"/>
      <c r="AW195" s="39"/>
      <c r="AX195" s="36"/>
      <c r="AY195" s="26"/>
      <c r="AZ195" s="41"/>
      <c r="BA195" s="31" t="s">
        <v>47</v>
      </c>
      <c r="BB195" s="41">
        <v>0</v>
      </c>
      <c r="BC195" s="42"/>
      <c r="BD195" s="42"/>
      <c r="BE195" s="42"/>
      <c r="BF195" s="42"/>
      <c r="BG195" s="42"/>
      <c r="BH195" s="221"/>
      <c r="BI195" s="221"/>
      <c r="BJ195" s="221"/>
      <c r="BK195" s="221"/>
      <c r="BL195" s="221"/>
      <c r="BM195" s="221"/>
      <c r="BN195" s="221"/>
      <c r="BO195" s="221"/>
      <c r="BP195" s="221"/>
      <c r="BQ195" s="221"/>
      <c r="BR195" s="221"/>
      <c r="BS195" s="221"/>
      <c r="BT195" s="221"/>
      <c r="BU195" s="221"/>
      <c r="BV195" s="221"/>
      <c r="BW195" s="221"/>
      <c r="BX195" s="221"/>
      <c r="BY195" s="221"/>
      <c r="BZ195" s="221"/>
      <c r="CA195" s="221"/>
      <c r="CB195" s="221"/>
      <c r="CC195" s="221"/>
      <c r="CD195" s="221"/>
      <c r="CE195" s="221"/>
      <c r="CF195" s="221"/>
      <c r="CG195" s="221"/>
      <c r="CH195" s="221"/>
      <c r="CI195" s="221"/>
      <c r="CJ195" s="221"/>
      <c r="CK195" s="221"/>
      <c r="CL195" s="221"/>
      <c r="CM195" s="221"/>
      <c r="CN195" s="221"/>
      <c r="CO195" s="221"/>
      <c r="CP195" s="221"/>
      <c r="CQ195" s="221"/>
      <c r="CR195" s="221"/>
      <c r="CS195" s="221"/>
      <c r="CT195" s="221"/>
      <c r="CU195" s="221"/>
      <c r="CV195" s="221"/>
      <c r="CW195" s="221"/>
      <c r="CX195" s="221"/>
      <c r="CY195" s="221"/>
      <c r="CZ195" s="221"/>
      <c r="DA195" s="221"/>
      <c r="DB195" s="221"/>
      <c r="DC195" s="221"/>
      <c r="DD195" s="221"/>
      <c r="DE195" s="221"/>
      <c r="DF195" s="221"/>
      <c r="DG195" s="221"/>
      <c r="DH195" s="221"/>
      <c r="DI195" s="221"/>
      <c r="DJ195" s="221"/>
      <c r="DK195" s="221"/>
      <c r="DL195" s="221"/>
      <c r="DM195" s="221"/>
      <c r="DN195" s="221"/>
      <c r="DO195" s="221"/>
      <c r="DP195" s="221"/>
      <c r="DQ195" s="221"/>
      <c r="DR195" s="221"/>
      <c r="DS195" s="221"/>
      <c r="DT195" s="221"/>
      <c r="DU195" s="221"/>
      <c r="DV195" s="221"/>
      <c r="DW195" s="221"/>
      <c r="DX195" s="221"/>
      <c r="DY195" s="221"/>
      <c r="DZ195" s="221"/>
      <c r="EA195" s="221"/>
      <c r="EB195" s="221"/>
      <c r="EC195" s="221"/>
      <c r="ED195" s="221"/>
      <c r="EE195" s="221"/>
      <c r="EF195" s="221"/>
      <c r="EG195" s="221"/>
      <c r="EH195" s="221"/>
      <c r="EI195" s="221"/>
      <c r="EJ195" s="221"/>
      <c r="EK195" s="221"/>
      <c r="EL195" s="221"/>
      <c r="EM195" s="221"/>
      <c r="EN195" s="221"/>
      <c r="EO195" s="221"/>
      <c r="EP195" s="221"/>
      <c r="EQ195" s="221"/>
      <c r="ER195" s="221"/>
      <c r="ES195" s="221"/>
      <c r="ET195" s="221"/>
      <c r="EU195" s="221"/>
      <c r="EV195" s="221"/>
      <c r="EW195" s="221"/>
      <c r="EX195" s="221"/>
      <c r="EY195" s="221"/>
      <c r="EZ195" s="221"/>
      <c r="FA195" s="221"/>
      <c r="FB195" s="221"/>
      <c r="FC195" s="221"/>
      <c r="FD195" s="221"/>
      <c r="FE195" s="221"/>
      <c r="FF195" s="221"/>
      <c r="FG195" s="221"/>
      <c r="FH195" s="221"/>
      <c r="FI195" s="221"/>
      <c r="FJ195" s="221"/>
      <c r="FK195" s="221"/>
      <c r="FL195" s="221"/>
      <c r="FM195" s="221"/>
      <c r="FN195" s="221"/>
      <c r="FO195" s="221"/>
      <c r="FP195" s="221"/>
      <c r="FQ195" s="221"/>
      <c r="FR195" s="221"/>
      <c r="FS195" s="221"/>
      <c r="FT195" s="221"/>
      <c r="FU195" s="221"/>
      <c r="FV195" s="221"/>
      <c r="FW195" s="221"/>
      <c r="FX195" s="221"/>
      <c r="FY195" s="221"/>
      <c r="FZ195" s="221"/>
      <c r="GA195" s="221"/>
      <c r="GB195" s="221"/>
      <c r="GC195" s="221"/>
      <c r="GD195" s="221"/>
      <c r="GE195" s="221"/>
      <c r="GF195" s="221"/>
      <c r="GG195" s="221"/>
      <c r="GH195" s="221"/>
      <c r="GI195" s="221"/>
      <c r="GJ195" s="221"/>
      <c r="GK195" s="221"/>
      <c r="GL195" s="221"/>
      <c r="GM195" s="221"/>
      <c r="GN195" s="221"/>
      <c r="GO195" s="221"/>
      <c r="GP195" s="221"/>
      <c r="GQ195" s="221"/>
      <c r="GR195" s="221"/>
      <c r="GS195" s="221"/>
      <c r="GT195" s="221"/>
      <c r="GU195" s="221"/>
      <c r="GV195" s="221"/>
      <c r="GW195" s="221"/>
      <c r="GX195" s="221"/>
      <c r="GY195" s="221"/>
      <c r="GZ195" s="221"/>
      <c r="HA195" s="221"/>
      <c r="HB195" s="221"/>
      <c r="HC195" s="221"/>
      <c r="HD195" s="221"/>
      <c r="HE195" s="221"/>
      <c r="HF195" s="221"/>
      <c r="HG195" s="221"/>
      <c r="HH195" s="221"/>
      <c r="HI195" s="221"/>
      <c r="HJ195" s="221"/>
      <c r="HK195" s="221"/>
      <c r="HL195" s="221"/>
      <c r="HM195" s="221"/>
      <c r="HN195" s="221"/>
      <c r="HO195" s="221"/>
      <c r="HP195" s="221"/>
      <c r="HQ195" s="221"/>
      <c r="HR195" s="221"/>
      <c r="HS195" s="221"/>
      <c r="HT195" s="221"/>
      <c r="HU195" s="221"/>
      <c r="HV195" s="221"/>
      <c r="HW195" s="221"/>
      <c r="HX195" s="221"/>
      <c r="HY195" s="221"/>
      <c r="HZ195" s="221"/>
      <c r="IA195" s="221"/>
      <c r="IB195" s="221"/>
      <c r="IC195" s="221"/>
      <c r="ID195" s="221"/>
      <c r="IE195" s="221"/>
      <c r="IF195" s="221"/>
      <c r="IG195" s="221"/>
      <c r="IH195" s="221"/>
      <c r="II195" s="221"/>
      <c r="IJ195" s="221"/>
      <c r="IK195" s="221"/>
      <c r="IL195" s="221"/>
      <c r="IM195" s="221"/>
      <c r="IN195" s="221"/>
      <c r="IO195" s="221"/>
      <c r="IP195" s="221"/>
      <c r="IQ195" s="221"/>
      <c r="IR195" s="221"/>
      <c r="IS195" s="221"/>
      <c r="IT195" s="221"/>
      <c r="IU195" s="221"/>
      <c r="IV195" s="221"/>
      <c r="IW195" s="221"/>
      <c r="IX195" s="221"/>
      <c r="IY195" s="221"/>
      <c r="IZ195" s="221"/>
      <c r="JA195" s="221"/>
      <c r="JB195" s="221"/>
      <c r="JC195" s="221"/>
      <c r="JD195" s="221"/>
      <c r="JE195" s="221"/>
      <c r="JF195" s="221"/>
      <c r="JG195" s="221"/>
      <c r="JH195" s="221"/>
      <c r="JI195" s="221"/>
      <c r="JJ195" s="221"/>
      <c r="JK195" s="221"/>
      <c r="JL195" s="221"/>
      <c r="JM195" s="221"/>
      <c r="JN195" s="221"/>
      <c r="JO195" s="221"/>
      <c r="JP195" s="221"/>
      <c r="JQ195" s="221"/>
    </row>
    <row r="196" spans="1:277" ht="20" customHeight="1" outlineLevel="1">
      <c r="A196" s="456">
        <v>1904022</v>
      </c>
      <c r="B196" s="694">
        <v>42117</v>
      </c>
      <c r="C196" s="691" t="s">
        <v>44</v>
      </c>
      <c r="D196" s="691" t="s">
        <v>1259</v>
      </c>
      <c r="E196" s="692" t="s">
        <v>46</v>
      </c>
      <c r="F196" s="693" t="s">
        <v>47</v>
      </c>
      <c r="G196" s="35" t="s">
        <v>1671</v>
      </c>
      <c r="H196" s="296">
        <v>42117</v>
      </c>
      <c r="I196" s="254">
        <v>191664</v>
      </c>
      <c r="J196" s="30" t="s">
        <v>62</v>
      </c>
      <c r="K196" s="256" t="s">
        <v>50</v>
      </c>
      <c r="L196" s="50">
        <v>168430805</v>
      </c>
      <c r="M196" s="33">
        <v>42118</v>
      </c>
      <c r="N196" s="257" t="s">
        <v>1672</v>
      </c>
      <c r="O196" s="258" t="s">
        <v>52</v>
      </c>
      <c r="P196" s="559" t="s">
        <v>1673</v>
      </c>
      <c r="Q196" s="290"/>
      <c r="R196" s="586">
        <v>3</v>
      </c>
      <c r="S196" s="585">
        <v>0</v>
      </c>
      <c r="T196" s="602">
        <v>0</v>
      </c>
      <c r="U196" s="594">
        <v>0</v>
      </c>
      <c r="V196" s="585">
        <v>0</v>
      </c>
      <c r="W196" s="602">
        <v>0</v>
      </c>
      <c r="X196" s="594">
        <v>0</v>
      </c>
      <c r="Y196" s="585">
        <v>0</v>
      </c>
      <c r="Z196" s="602">
        <v>0</v>
      </c>
      <c r="AA196" s="594">
        <v>0</v>
      </c>
      <c r="AB196" s="585">
        <v>0</v>
      </c>
      <c r="AC196" s="602">
        <v>0</v>
      </c>
      <c r="AD196" s="594">
        <v>0</v>
      </c>
      <c r="AE196" s="594">
        <v>0</v>
      </c>
      <c r="AF196" s="594">
        <v>0</v>
      </c>
      <c r="AG196" s="585">
        <v>0</v>
      </c>
      <c r="AH196" s="602">
        <v>0</v>
      </c>
      <c r="AI196" s="609">
        <v>0</v>
      </c>
      <c r="AJ196" s="609">
        <v>0</v>
      </c>
      <c r="AK196" s="740"/>
      <c r="AL196" s="524" t="s">
        <v>1268</v>
      </c>
      <c r="AM196" s="253">
        <v>191006</v>
      </c>
      <c r="AN196" s="36">
        <v>24</v>
      </c>
      <c r="AO196" s="252" t="s">
        <v>1689</v>
      </c>
      <c r="AP196" s="37">
        <v>51.6</v>
      </c>
      <c r="AQ196" s="792">
        <f t="shared" si="13"/>
        <v>27.6</v>
      </c>
      <c r="AR196" s="831">
        <f t="shared" si="15"/>
        <v>0.53488372093023262</v>
      </c>
      <c r="AS196" s="812"/>
      <c r="AT196" s="31"/>
      <c r="AU196" s="38"/>
      <c r="AV196" s="26"/>
      <c r="AW196" s="39"/>
      <c r="AX196" s="36"/>
      <c r="AY196" s="26"/>
      <c r="AZ196" s="41"/>
      <c r="BA196" s="31" t="s">
        <v>47</v>
      </c>
      <c r="BB196" s="41">
        <v>0</v>
      </c>
      <c r="BC196" s="42"/>
      <c r="BD196" s="42"/>
      <c r="BE196" s="42"/>
      <c r="BF196" s="42"/>
      <c r="BG196" s="42"/>
      <c r="BH196" s="221"/>
      <c r="BI196" s="221"/>
      <c r="BJ196" s="221"/>
      <c r="BK196" s="221"/>
      <c r="BL196" s="221"/>
      <c r="BM196" s="221"/>
      <c r="BN196" s="221"/>
      <c r="BO196" s="221"/>
      <c r="BP196" s="221"/>
      <c r="BQ196" s="221"/>
      <c r="BR196" s="221"/>
      <c r="BS196" s="221"/>
      <c r="BT196" s="221"/>
      <c r="BU196" s="221"/>
      <c r="BV196" s="221"/>
      <c r="BW196" s="221"/>
      <c r="BX196" s="221"/>
      <c r="BY196" s="221"/>
      <c r="BZ196" s="221"/>
      <c r="CA196" s="221"/>
      <c r="CB196" s="221"/>
      <c r="CC196" s="221"/>
      <c r="CD196" s="221"/>
      <c r="CE196" s="221"/>
      <c r="CF196" s="221"/>
      <c r="CG196" s="221"/>
      <c r="CH196" s="221"/>
      <c r="CI196" s="221"/>
      <c r="CJ196" s="221"/>
      <c r="CK196" s="221"/>
      <c r="CL196" s="221"/>
      <c r="CM196" s="221"/>
      <c r="CN196" s="221"/>
      <c r="CO196" s="221"/>
      <c r="CP196" s="221"/>
      <c r="CQ196" s="221"/>
      <c r="CR196" s="221"/>
      <c r="CS196" s="221"/>
      <c r="CT196" s="221"/>
      <c r="CU196" s="221"/>
      <c r="CV196" s="221"/>
      <c r="CW196" s="221"/>
      <c r="CX196" s="221"/>
      <c r="CY196" s="221"/>
      <c r="CZ196" s="221"/>
      <c r="DA196" s="221"/>
      <c r="DB196" s="221"/>
      <c r="DC196" s="221"/>
      <c r="DD196" s="221"/>
      <c r="DE196" s="221"/>
      <c r="DF196" s="221"/>
      <c r="DG196" s="221"/>
      <c r="DH196" s="221"/>
      <c r="DI196" s="221"/>
      <c r="DJ196" s="221"/>
      <c r="DK196" s="221"/>
      <c r="DL196" s="221"/>
      <c r="DM196" s="221"/>
      <c r="DN196" s="221"/>
      <c r="DO196" s="221"/>
      <c r="DP196" s="221"/>
      <c r="DQ196" s="221"/>
      <c r="DR196" s="221"/>
      <c r="DS196" s="221"/>
      <c r="DT196" s="221"/>
      <c r="DU196" s="221"/>
      <c r="DV196" s="221"/>
      <c r="DW196" s="221"/>
      <c r="DX196" s="221"/>
      <c r="DY196" s="221"/>
      <c r="DZ196" s="221"/>
      <c r="EA196" s="221"/>
      <c r="EB196" s="221"/>
      <c r="EC196" s="221"/>
      <c r="ED196" s="221"/>
      <c r="EE196" s="221"/>
      <c r="EF196" s="221"/>
      <c r="EG196" s="221"/>
      <c r="EH196" s="221"/>
      <c r="EI196" s="221"/>
      <c r="EJ196" s="221"/>
      <c r="EK196" s="221"/>
      <c r="EL196" s="221"/>
      <c r="EM196" s="221"/>
      <c r="EN196" s="221"/>
      <c r="EO196" s="221"/>
      <c r="EP196" s="221"/>
      <c r="EQ196" s="221"/>
      <c r="ER196" s="221"/>
      <c r="ES196" s="221"/>
      <c r="ET196" s="221"/>
      <c r="EU196" s="221"/>
      <c r="EV196" s="221"/>
      <c r="EW196" s="221"/>
      <c r="EX196" s="221"/>
      <c r="EY196" s="221"/>
      <c r="EZ196" s="221"/>
      <c r="FA196" s="221"/>
      <c r="FB196" s="221"/>
      <c r="FC196" s="221"/>
      <c r="FD196" s="221"/>
      <c r="FE196" s="221"/>
      <c r="FF196" s="221"/>
      <c r="FG196" s="221"/>
      <c r="FH196" s="221"/>
      <c r="FI196" s="221"/>
      <c r="FJ196" s="221"/>
      <c r="FK196" s="221"/>
      <c r="FL196" s="221"/>
      <c r="FM196" s="221"/>
      <c r="FN196" s="221"/>
      <c r="FO196" s="221"/>
      <c r="FP196" s="221"/>
      <c r="FQ196" s="221"/>
      <c r="FR196" s="221"/>
      <c r="FS196" s="221"/>
      <c r="FT196" s="221"/>
      <c r="FU196" s="221"/>
      <c r="FV196" s="221"/>
      <c r="FW196" s="221"/>
      <c r="FX196" s="221"/>
      <c r="FY196" s="221"/>
      <c r="FZ196" s="221"/>
      <c r="GA196" s="221"/>
      <c r="GB196" s="221"/>
      <c r="GC196" s="221"/>
      <c r="GD196" s="221"/>
      <c r="GE196" s="221"/>
      <c r="GF196" s="221"/>
      <c r="GG196" s="221"/>
      <c r="GH196" s="221"/>
      <c r="GI196" s="221"/>
      <c r="GJ196" s="221"/>
      <c r="GK196" s="221"/>
      <c r="GL196" s="221"/>
      <c r="GM196" s="221"/>
      <c r="GN196" s="221"/>
      <c r="GO196" s="221"/>
      <c r="GP196" s="221"/>
      <c r="GQ196" s="221"/>
      <c r="GR196" s="221"/>
      <c r="GS196" s="221"/>
      <c r="GT196" s="221"/>
      <c r="GU196" s="221"/>
      <c r="GV196" s="221"/>
      <c r="GW196" s="221"/>
      <c r="GX196" s="221"/>
      <c r="GY196" s="221"/>
      <c r="GZ196" s="221"/>
      <c r="HA196" s="221"/>
      <c r="HB196" s="221"/>
      <c r="HC196" s="221"/>
      <c r="HD196" s="221"/>
      <c r="HE196" s="221"/>
      <c r="HF196" s="221"/>
      <c r="HG196" s="221"/>
      <c r="HH196" s="221"/>
      <c r="HI196" s="221"/>
      <c r="HJ196" s="221"/>
      <c r="HK196" s="221"/>
      <c r="HL196" s="221"/>
      <c r="HM196" s="221"/>
      <c r="HN196" s="221"/>
      <c r="HO196" s="221"/>
      <c r="HP196" s="221"/>
      <c r="HQ196" s="221"/>
      <c r="HR196" s="221"/>
      <c r="HS196" s="221"/>
      <c r="HT196" s="221"/>
      <c r="HU196" s="221"/>
      <c r="HV196" s="221"/>
      <c r="HW196" s="221"/>
      <c r="HX196" s="221"/>
      <c r="HY196" s="221"/>
      <c r="HZ196" s="221"/>
      <c r="IA196" s="221"/>
      <c r="IB196" s="221"/>
      <c r="IC196" s="221"/>
      <c r="ID196" s="221"/>
      <c r="IE196" s="221"/>
      <c r="IF196" s="221"/>
      <c r="IG196" s="221"/>
      <c r="IH196" s="221"/>
      <c r="II196" s="221"/>
      <c r="IJ196" s="221"/>
      <c r="IK196" s="221"/>
      <c r="IL196" s="221"/>
      <c r="IM196" s="221"/>
      <c r="IN196" s="221"/>
      <c r="IO196" s="221"/>
      <c r="IP196" s="221"/>
      <c r="IQ196" s="221"/>
      <c r="IR196" s="221"/>
      <c r="IS196" s="221"/>
      <c r="IT196" s="221"/>
      <c r="IU196" s="221"/>
      <c r="IV196" s="221"/>
      <c r="IW196" s="221"/>
      <c r="IX196" s="221"/>
      <c r="IY196" s="221"/>
      <c r="IZ196" s="221"/>
      <c r="JA196" s="221"/>
      <c r="JB196" s="221"/>
      <c r="JC196" s="221"/>
      <c r="JD196" s="221"/>
      <c r="JE196" s="221"/>
      <c r="JF196" s="221"/>
      <c r="JG196" s="221"/>
      <c r="JH196" s="221"/>
      <c r="JI196" s="221"/>
      <c r="JJ196" s="221"/>
      <c r="JK196" s="221"/>
      <c r="JL196" s="221"/>
      <c r="JM196" s="221"/>
      <c r="JN196" s="221"/>
      <c r="JO196" s="221"/>
      <c r="JP196" s="221"/>
      <c r="JQ196" s="221"/>
    </row>
    <row r="197" spans="1:277" ht="20" customHeight="1" outlineLevel="1">
      <c r="A197" s="456">
        <v>1904023</v>
      </c>
      <c r="B197" s="694">
        <v>42117</v>
      </c>
      <c r="C197" s="691" t="s">
        <v>1675</v>
      </c>
      <c r="D197" s="691" t="s">
        <v>96</v>
      </c>
      <c r="E197" s="692" t="s">
        <v>69</v>
      </c>
      <c r="F197" s="693" t="s">
        <v>1676</v>
      </c>
      <c r="G197" s="35"/>
      <c r="H197" s="290"/>
      <c r="I197" s="254"/>
      <c r="J197" s="30"/>
      <c r="K197" s="256"/>
      <c r="L197" s="50"/>
      <c r="M197" s="33"/>
      <c r="N197" s="257" t="s">
        <v>1677</v>
      </c>
      <c r="O197" s="258" t="s">
        <v>1678</v>
      </c>
      <c r="P197" s="559" t="s">
        <v>1679</v>
      </c>
      <c r="Q197" s="290"/>
      <c r="R197" s="586">
        <v>0</v>
      </c>
      <c r="S197" s="585">
        <v>0</v>
      </c>
      <c r="T197" s="602">
        <v>0</v>
      </c>
      <c r="U197" s="594">
        <v>0</v>
      </c>
      <c r="V197" s="585">
        <v>0</v>
      </c>
      <c r="W197" s="602">
        <v>0</v>
      </c>
      <c r="X197" s="594">
        <v>0</v>
      </c>
      <c r="Y197" s="585">
        <v>0</v>
      </c>
      <c r="Z197" s="602">
        <v>0</v>
      </c>
      <c r="AA197" s="594">
        <v>0</v>
      </c>
      <c r="AB197" s="585">
        <v>0</v>
      </c>
      <c r="AC197" s="602">
        <v>0</v>
      </c>
      <c r="AD197" s="594">
        <v>0</v>
      </c>
      <c r="AE197" s="594">
        <v>0</v>
      </c>
      <c r="AF197" s="594">
        <v>0</v>
      </c>
      <c r="AG197" s="585">
        <v>0</v>
      </c>
      <c r="AH197" s="602">
        <v>0</v>
      </c>
      <c r="AI197" s="609">
        <v>0</v>
      </c>
      <c r="AJ197" s="609">
        <v>0</v>
      </c>
      <c r="AK197" s="740"/>
      <c r="AL197" s="524" t="s">
        <v>1680</v>
      </c>
      <c r="AM197" s="253"/>
      <c r="AN197" s="36"/>
      <c r="AO197" s="26" t="s">
        <v>1759</v>
      </c>
      <c r="AP197" s="37">
        <v>610.79999999999995</v>
      </c>
      <c r="AQ197" s="792">
        <f t="shared" si="13"/>
        <v>610.79999999999995</v>
      </c>
      <c r="AR197" s="831">
        <f t="shared" si="15"/>
        <v>1</v>
      </c>
      <c r="AS197" s="812"/>
      <c r="AT197" s="31" t="s">
        <v>1254</v>
      </c>
      <c r="AU197" s="38">
        <v>1</v>
      </c>
      <c r="AV197" s="26"/>
      <c r="AW197" s="39" t="s">
        <v>1760</v>
      </c>
      <c r="AX197" s="36">
        <v>20</v>
      </c>
      <c r="AY197" s="26"/>
      <c r="AZ197" s="41"/>
      <c r="BA197" s="31" t="s">
        <v>47</v>
      </c>
      <c r="BB197" s="41">
        <v>0</v>
      </c>
      <c r="BC197" s="42"/>
      <c r="BD197" s="42"/>
      <c r="BE197" s="42"/>
      <c r="BF197" s="42"/>
      <c r="BG197" s="42"/>
      <c r="BH197" s="221"/>
      <c r="BI197" s="221"/>
      <c r="BJ197" s="221"/>
      <c r="BK197" s="221"/>
      <c r="BL197" s="221"/>
      <c r="BM197" s="221"/>
      <c r="BN197" s="221"/>
      <c r="BO197" s="221"/>
      <c r="BP197" s="221"/>
      <c r="BQ197" s="221"/>
      <c r="BR197" s="221"/>
      <c r="BS197" s="221"/>
      <c r="BT197" s="221"/>
      <c r="BU197" s="221"/>
      <c r="BV197" s="221"/>
      <c r="BW197" s="221"/>
      <c r="BX197" s="221"/>
      <c r="BY197" s="221"/>
      <c r="BZ197" s="221"/>
      <c r="CA197" s="221"/>
      <c r="CB197" s="221"/>
      <c r="CC197" s="221"/>
      <c r="CD197" s="221"/>
      <c r="CE197" s="221"/>
      <c r="CF197" s="221"/>
      <c r="CG197" s="221"/>
      <c r="CH197" s="221"/>
      <c r="CI197" s="221"/>
      <c r="CJ197" s="221"/>
      <c r="CK197" s="221"/>
      <c r="CL197" s="221"/>
      <c r="CM197" s="221"/>
      <c r="CN197" s="221"/>
      <c r="CO197" s="221"/>
      <c r="CP197" s="221"/>
      <c r="CQ197" s="221"/>
      <c r="CR197" s="221"/>
      <c r="CS197" s="221"/>
      <c r="CT197" s="221"/>
      <c r="CU197" s="221"/>
      <c r="CV197" s="221"/>
      <c r="CW197" s="221"/>
      <c r="CX197" s="221"/>
      <c r="CY197" s="221"/>
      <c r="CZ197" s="221"/>
      <c r="DA197" s="221"/>
      <c r="DB197" s="221"/>
      <c r="DC197" s="221"/>
      <c r="DD197" s="221"/>
      <c r="DE197" s="221"/>
      <c r="DF197" s="221"/>
      <c r="DG197" s="221"/>
      <c r="DH197" s="221"/>
      <c r="DI197" s="221"/>
      <c r="DJ197" s="221"/>
      <c r="DK197" s="221"/>
      <c r="DL197" s="221"/>
      <c r="DM197" s="221"/>
      <c r="DN197" s="221"/>
      <c r="DO197" s="221"/>
      <c r="DP197" s="221"/>
      <c r="DQ197" s="221"/>
      <c r="DR197" s="221"/>
      <c r="DS197" s="221"/>
      <c r="DT197" s="221"/>
      <c r="DU197" s="221"/>
      <c r="DV197" s="221"/>
      <c r="DW197" s="221"/>
      <c r="DX197" s="221"/>
      <c r="DY197" s="221"/>
      <c r="DZ197" s="221"/>
      <c r="EA197" s="221"/>
      <c r="EB197" s="221"/>
      <c r="EC197" s="221"/>
      <c r="ED197" s="221"/>
      <c r="EE197" s="221"/>
      <c r="EF197" s="221"/>
      <c r="EG197" s="221"/>
      <c r="EH197" s="221"/>
      <c r="EI197" s="221"/>
      <c r="EJ197" s="221"/>
      <c r="EK197" s="221"/>
      <c r="EL197" s="221"/>
      <c r="EM197" s="221"/>
      <c r="EN197" s="221"/>
      <c r="EO197" s="221"/>
      <c r="EP197" s="221"/>
      <c r="EQ197" s="221"/>
      <c r="ER197" s="221"/>
      <c r="ES197" s="221"/>
      <c r="ET197" s="221"/>
      <c r="EU197" s="221"/>
      <c r="EV197" s="221"/>
      <c r="EW197" s="221"/>
      <c r="EX197" s="221"/>
      <c r="EY197" s="221"/>
      <c r="EZ197" s="221"/>
      <c r="FA197" s="221"/>
      <c r="FB197" s="221"/>
      <c r="FC197" s="221"/>
      <c r="FD197" s="221"/>
      <c r="FE197" s="221"/>
      <c r="FF197" s="221"/>
      <c r="FG197" s="221"/>
      <c r="FH197" s="221"/>
      <c r="FI197" s="221"/>
      <c r="FJ197" s="221"/>
      <c r="FK197" s="221"/>
      <c r="FL197" s="221"/>
      <c r="FM197" s="221"/>
      <c r="FN197" s="221"/>
      <c r="FO197" s="221"/>
      <c r="FP197" s="221"/>
      <c r="FQ197" s="221"/>
      <c r="FR197" s="221"/>
      <c r="FS197" s="221"/>
      <c r="FT197" s="221"/>
      <c r="FU197" s="221"/>
      <c r="FV197" s="221"/>
      <c r="FW197" s="221"/>
      <c r="FX197" s="221"/>
      <c r="FY197" s="221"/>
      <c r="FZ197" s="221"/>
      <c r="GA197" s="221"/>
      <c r="GB197" s="221"/>
      <c r="GC197" s="221"/>
      <c r="GD197" s="221"/>
      <c r="GE197" s="221"/>
      <c r="GF197" s="221"/>
      <c r="GG197" s="221"/>
      <c r="GH197" s="221"/>
      <c r="GI197" s="221"/>
      <c r="GJ197" s="221"/>
      <c r="GK197" s="221"/>
      <c r="GL197" s="221"/>
      <c r="GM197" s="221"/>
      <c r="GN197" s="221"/>
      <c r="GO197" s="221"/>
      <c r="GP197" s="221"/>
      <c r="GQ197" s="221"/>
      <c r="GR197" s="221"/>
      <c r="GS197" s="221"/>
      <c r="GT197" s="221"/>
      <c r="GU197" s="221"/>
      <c r="GV197" s="221"/>
      <c r="GW197" s="221"/>
      <c r="GX197" s="221"/>
      <c r="GY197" s="221"/>
      <c r="GZ197" s="221"/>
      <c r="HA197" s="221"/>
      <c r="HB197" s="221"/>
      <c r="HC197" s="221"/>
      <c r="HD197" s="221"/>
      <c r="HE197" s="221"/>
      <c r="HF197" s="221"/>
      <c r="HG197" s="221"/>
      <c r="HH197" s="221"/>
      <c r="HI197" s="221"/>
      <c r="HJ197" s="221"/>
      <c r="HK197" s="221"/>
      <c r="HL197" s="221"/>
      <c r="HM197" s="221"/>
      <c r="HN197" s="221"/>
      <c r="HO197" s="221"/>
      <c r="HP197" s="221"/>
      <c r="HQ197" s="221"/>
      <c r="HR197" s="221"/>
      <c r="HS197" s="221"/>
      <c r="HT197" s="221"/>
      <c r="HU197" s="221"/>
      <c r="HV197" s="221"/>
      <c r="HW197" s="221"/>
      <c r="HX197" s="221"/>
      <c r="HY197" s="221"/>
      <c r="HZ197" s="221"/>
      <c r="IA197" s="221"/>
      <c r="IB197" s="221"/>
      <c r="IC197" s="221"/>
      <c r="ID197" s="221"/>
      <c r="IE197" s="221"/>
      <c r="IF197" s="221"/>
      <c r="IG197" s="221"/>
      <c r="IH197" s="221"/>
      <c r="II197" s="221"/>
      <c r="IJ197" s="221"/>
      <c r="IK197" s="221"/>
      <c r="IL197" s="221"/>
      <c r="IM197" s="221"/>
      <c r="IN197" s="221"/>
      <c r="IO197" s="221"/>
      <c r="IP197" s="221"/>
      <c r="IQ197" s="221"/>
      <c r="IR197" s="221"/>
      <c r="IS197" s="221"/>
      <c r="IT197" s="221"/>
      <c r="IU197" s="221"/>
      <c r="IV197" s="221"/>
      <c r="IW197" s="221"/>
      <c r="IX197" s="221"/>
      <c r="IY197" s="221"/>
      <c r="IZ197" s="221"/>
      <c r="JA197" s="221"/>
      <c r="JB197" s="221"/>
      <c r="JC197" s="221"/>
      <c r="JD197" s="221"/>
      <c r="JE197" s="221"/>
      <c r="JF197" s="221"/>
      <c r="JG197" s="221"/>
      <c r="JH197" s="221"/>
      <c r="JI197" s="221"/>
      <c r="JJ197" s="221"/>
      <c r="JK197" s="221"/>
      <c r="JL197" s="221"/>
      <c r="JM197" s="221"/>
      <c r="JN197" s="221"/>
      <c r="JO197" s="221"/>
      <c r="JP197" s="221"/>
      <c r="JQ197" s="221"/>
    </row>
    <row r="198" spans="1:277" ht="20" customHeight="1" outlineLevel="1">
      <c r="A198" s="456">
        <v>1904024</v>
      </c>
      <c r="B198" s="694">
        <v>42117</v>
      </c>
      <c r="C198" s="691" t="s">
        <v>1523</v>
      </c>
      <c r="D198" s="691" t="s">
        <v>1259</v>
      </c>
      <c r="E198" s="692" t="s">
        <v>60</v>
      </c>
      <c r="F198" s="693" t="s">
        <v>47</v>
      </c>
      <c r="G198" s="253" t="s">
        <v>1681</v>
      </c>
      <c r="H198" s="290"/>
      <c r="I198" s="254"/>
      <c r="J198" s="255" t="s">
        <v>62</v>
      </c>
      <c r="K198" s="256" t="s">
        <v>50</v>
      </c>
      <c r="L198" s="50">
        <v>168383500</v>
      </c>
      <c r="M198" s="33">
        <v>42118</v>
      </c>
      <c r="N198" s="257" t="s">
        <v>136</v>
      </c>
      <c r="O198" s="258" t="s">
        <v>1834</v>
      </c>
      <c r="P198" s="559"/>
      <c r="Q198" s="290"/>
      <c r="R198" s="586">
        <v>0</v>
      </c>
      <c r="S198" s="585">
        <v>0</v>
      </c>
      <c r="T198" s="602">
        <v>0</v>
      </c>
      <c r="U198" s="594">
        <v>0</v>
      </c>
      <c r="V198" s="585">
        <v>0</v>
      </c>
      <c r="W198" s="602">
        <v>0</v>
      </c>
      <c r="X198" s="594">
        <v>0</v>
      </c>
      <c r="Y198" s="585">
        <v>0</v>
      </c>
      <c r="Z198" s="602">
        <v>0</v>
      </c>
      <c r="AA198" s="594">
        <v>0</v>
      </c>
      <c r="AB198" s="585">
        <v>0</v>
      </c>
      <c r="AC198" s="602">
        <v>0</v>
      </c>
      <c r="AD198" s="594">
        <v>0</v>
      </c>
      <c r="AE198" s="594">
        <v>0</v>
      </c>
      <c r="AF198" s="594">
        <v>0</v>
      </c>
      <c r="AG198" s="585">
        <v>1</v>
      </c>
      <c r="AH198" s="602">
        <v>0</v>
      </c>
      <c r="AI198" s="609">
        <v>0</v>
      </c>
      <c r="AJ198" s="609">
        <v>0</v>
      </c>
      <c r="AK198" s="740"/>
      <c r="AL198" s="524" t="s">
        <v>1683</v>
      </c>
      <c r="AM198" s="253" t="s">
        <v>157</v>
      </c>
      <c r="AN198" s="36">
        <v>63.99</v>
      </c>
      <c r="AO198" s="252" t="s">
        <v>1682</v>
      </c>
      <c r="AP198" s="37">
        <v>99.17</v>
      </c>
      <c r="AQ198" s="792">
        <f t="shared" si="13"/>
        <v>35.18</v>
      </c>
      <c r="AR198" s="831">
        <f t="shared" si="15"/>
        <v>0.35474437834022388</v>
      </c>
      <c r="AS198" s="812">
        <v>42138</v>
      </c>
      <c r="AT198" s="256" t="s">
        <v>1254</v>
      </c>
      <c r="AU198" s="38">
        <v>1</v>
      </c>
      <c r="AV198" s="252" t="s">
        <v>1508</v>
      </c>
      <c r="AW198" s="259" t="s">
        <v>1296</v>
      </c>
      <c r="AX198" s="36">
        <v>0</v>
      </c>
      <c r="AY198" s="26"/>
      <c r="AZ198" s="41">
        <v>7.29</v>
      </c>
      <c r="BA198" s="256" t="s">
        <v>136</v>
      </c>
      <c r="BB198" s="41">
        <v>5.47</v>
      </c>
      <c r="BC198" s="42"/>
      <c r="BD198" s="42"/>
      <c r="BE198" s="42"/>
      <c r="BF198" s="42"/>
      <c r="BG198" s="42"/>
      <c r="BH198" s="221"/>
      <c r="BI198" s="221"/>
      <c r="BJ198" s="221"/>
      <c r="BK198" s="221"/>
      <c r="BL198" s="221"/>
      <c r="BM198" s="221"/>
      <c r="BN198" s="221"/>
      <c r="BO198" s="221"/>
      <c r="BP198" s="221"/>
      <c r="BQ198" s="221"/>
      <c r="BR198" s="221"/>
      <c r="BS198" s="221"/>
      <c r="BT198" s="221"/>
      <c r="BU198" s="221"/>
      <c r="BV198" s="221"/>
      <c r="BW198" s="221"/>
      <c r="BX198" s="221"/>
      <c r="BY198" s="221"/>
      <c r="BZ198" s="221"/>
      <c r="CA198" s="221"/>
      <c r="CB198" s="221"/>
      <c r="CC198" s="221"/>
      <c r="CD198" s="221"/>
      <c r="CE198" s="221"/>
      <c r="CF198" s="221"/>
      <c r="CG198" s="221"/>
      <c r="CH198" s="221"/>
      <c r="CI198" s="221"/>
      <c r="CJ198" s="221"/>
      <c r="CK198" s="221"/>
      <c r="CL198" s="221"/>
      <c r="CM198" s="221"/>
      <c r="CN198" s="221"/>
      <c r="CO198" s="221"/>
      <c r="CP198" s="221"/>
      <c r="CQ198" s="221"/>
      <c r="CR198" s="221"/>
      <c r="CS198" s="221"/>
      <c r="CT198" s="221"/>
      <c r="CU198" s="221"/>
      <c r="CV198" s="221"/>
      <c r="CW198" s="221"/>
      <c r="CX198" s="221"/>
      <c r="CY198" s="221"/>
      <c r="CZ198" s="221"/>
      <c r="DA198" s="221"/>
      <c r="DB198" s="221"/>
      <c r="DC198" s="221"/>
      <c r="DD198" s="221"/>
      <c r="DE198" s="221"/>
      <c r="DF198" s="221"/>
      <c r="DG198" s="221"/>
      <c r="DH198" s="221"/>
      <c r="DI198" s="221"/>
      <c r="DJ198" s="221"/>
      <c r="DK198" s="221"/>
      <c r="DL198" s="221"/>
      <c r="DM198" s="221"/>
      <c r="DN198" s="221"/>
      <c r="DO198" s="221"/>
      <c r="DP198" s="221"/>
      <c r="DQ198" s="221"/>
      <c r="DR198" s="221"/>
      <c r="DS198" s="221"/>
      <c r="DT198" s="221"/>
      <c r="DU198" s="221"/>
      <c r="DV198" s="221"/>
      <c r="DW198" s="221"/>
      <c r="DX198" s="221"/>
      <c r="DY198" s="221"/>
      <c r="DZ198" s="221"/>
      <c r="EA198" s="221"/>
      <c r="EB198" s="221"/>
      <c r="EC198" s="221"/>
      <c r="ED198" s="221"/>
      <c r="EE198" s="221"/>
      <c r="EF198" s="221"/>
      <c r="EG198" s="221"/>
      <c r="EH198" s="221"/>
      <c r="EI198" s="221"/>
      <c r="EJ198" s="221"/>
      <c r="EK198" s="221"/>
      <c r="EL198" s="221"/>
      <c r="EM198" s="221"/>
      <c r="EN198" s="221"/>
      <c r="EO198" s="221"/>
      <c r="EP198" s="221"/>
      <c r="EQ198" s="221"/>
      <c r="ER198" s="221"/>
      <c r="ES198" s="221"/>
      <c r="ET198" s="221"/>
      <c r="EU198" s="221"/>
      <c r="EV198" s="221"/>
      <c r="EW198" s="221"/>
      <c r="EX198" s="221"/>
      <c r="EY198" s="221"/>
      <c r="EZ198" s="221"/>
      <c r="FA198" s="221"/>
      <c r="FB198" s="221"/>
      <c r="FC198" s="221"/>
      <c r="FD198" s="221"/>
      <c r="FE198" s="221"/>
      <c r="FF198" s="221"/>
      <c r="FG198" s="221"/>
      <c r="FH198" s="221"/>
      <c r="FI198" s="221"/>
      <c r="FJ198" s="221"/>
      <c r="FK198" s="221"/>
      <c r="FL198" s="221"/>
      <c r="FM198" s="221"/>
      <c r="FN198" s="221"/>
      <c r="FO198" s="221"/>
      <c r="FP198" s="221"/>
      <c r="FQ198" s="221"/>
      <c r="FR198" s="221"/>
      <c r="FS198" s="221"/>
      <c r="FT198" s="221"/>
      <c r="FU198" s="221"/>
      <c r="FV198" s="221"/>
      <c r="FW198" s="221"/>
      <c r="FX198" s="221"/>
      <c r="FY198" s="221"/>
      <c r="FZ198" s="221"/>
      <c r="GA198" s="221"/>
      <c r="GB198" s="221"/>
      <c r="GC198" s="221"/>
      <c r="GD198" s="221"/>
      <c r="GE198" s="221"/>
      <c r="GF198" s="221"/>
      <c r="GG198" s="221"/>
      <c r="GH198" s="221"/>
      <c r="GI198" s="221"/>
      <c r="GJ198" s="221"/>
      <c r="GK198" s="221"/>
      <c r="GL198" s="221"/>
      <c r="GM198" s="221"/>
      <c r="GN198" s="221"/>
      <c r="GO198" s="221"/>
      <c r="GP198" s="221"/>
      <c r="GQ198" s="221"/>
      <c r="GR198" s="221"/>
      <c r="GS198" s="221"/>
      <c r="GT198" s="221"/>
      <c r="GU198" s="221"/>
      <c r="GV198" s="221"/>
      <c r="GW198" s="221"/>
      <c r="GX198" s="221"/>
      <c r="GY198" s="221"/>
      <c r="GZ198" s="221"/>
      <c r="HA198" s="221"/>
      <c r="HB198" s="221"/>
      <c r="HC198" s="221"/>
      <c r="HD198" s="221"/>
      <c r="HE198" s="221"/>
      <c r="HF198" s="221"/>
      <c r="HG198" s="221"/>
      <c r="HH198" s="221"/>
      <c r="HI198" s="221"/>
      <c r="HJ198" s="221"/>
      <c r="HK198" s="221"/>
      <c r="HL198" s="221"/>
      <c r="HM198" s="221"/>
      <c r="HN198" s="221"/>
      <c r="HO198" s="221"/>
      <c r="HP198" s="221"/>
      <c r="HQ198" s="221"/>
      <c r="HR198" s="221"/>
      <c r="HS198" s="221"/>
      <c r="HT198" s="221"/>
      <c r="HU198" s="221"/>
      <c r="HV198" s="221"/>
      <c r="HW198" s="221"/>
      <c r="HX198" s="221"/>
      <c r="HY198" s="221"/>
      <c r="HZ198" s="221"/>
      <c r="IA198" s="221"/>
      <c r="IB198" s="221"/>
      <c r="IC198" s="221"/>
      <c r="ID198" s="221"/>
      <c r="IE198" s="221"/>
      <c r="IF198" s="221"/>
      <c r="IG198" s="221"/>
      <c r="IH198" s="221"/>
      <c r="II198" s="221"/>
      <c r="IJ198" s="221"/>
      <c r="IK198" s="221"/>
      <c r="IL198" s="221"/>
      <c r="IM198" s="221"/>
      <c r="IN198" s="221"/>
      <c r="IO198" s="221"/>
      <c r="IP198" s="221"/>
      <c r="IQ198" s="221"/>
      <c r="IR198" s="221"/>
      <c r="IS198" s="221"/>
      <c r="IT198" s="221"/>
      <c r="IU198" s="221"/>
      <c r="IV198" s="221"/>
      <c r="IW198" s="221"/>
      <c r="IX198" s="221"/>
      <c r="IY198" s="221"/>
      <c r="IZ198" s="221"/>
      <c r="JA198" s="221"/>
      <c r="JB198" s="221"/>
      <c r="JC198" s="221"/>
      <c r="JD198" s="221"/>
      <c r="JE198" s="221"/>
      <c r="JF198" s="221"/>
      <c r="JG198" s="221"/>
      <c r="JH198" s="221"/>
      <c r="JI198" s="221"/>
      <c r="JJ198" s="221"/>
      <c r="JK198" s="221"/>
      <c r="JL198" s="221"/>
      <c r="JM198" s="221"/>
      <c r="JN198" s="221"/>
      <c r="JO198" s="221"/>
      <c r="JP198" s="221"/>
      <c r="JQ198" s="221"/>
    </row>
    <row r="199" spans="1:277" ht="20" customHeight="1" outlineLevel="1">
      <c r="A199" s="456">
        <v>1904025</v>
      </c>
      <c r="B199" s="694">
        <v>42117</v>
      </c>
      <c r="C199" s="691" t="s">
        <v>44</v>
      </c>
      <c r="D199" s="691" t="s">
        <v>1259</v>
      </c>
      <c r="E199" s="692" t="s">
        <v>333</v>
      </c>
      <c r="F199" s="693" t="s">
        <v>47</v>
      </c>
      <c r="G199" s="253" t="s">
        <v>1690</v>
      </c>
      <c r="H199" s="290"/>
      <c r="I199" s="254" t="s">
        <v>155</v>
      </c>
      <c r="J199" s="255" t="s">
        <v>62</v>
      </c>
      <c r="K199" s="256" t="s">
        <v>50</v>
      </c>
      <c r="L199" s="50"/>
      <c r="M199" s="33"/>
      <c r="N199" s="257" t="s">
        <v>1691</v>
      </c>
      <c r="O199" s="258" t="s">
        <v>1187</v>
      </c>
      <c r="P199" s="566" t="s">
        <v>1692</v>
      </c>
      <c r="Q199" s="294"/>
      <c r="R199" s="586">
        <v>0</v>
      </c>
      <c r="S199" s="585">
        <v>0</v>
      </c>
      <c r="T199" s="602">
        <v>0</v>
      </c>
      <c r="U199" s="594">
        <v>0</v>
      </c>
      <c r="V199" s="585">
        <v>0</v>
      </c>
      <c r="W199" s="602">
        <v>0</v>
      </c>
      <c r="X199" s="594">
        <v>2</v>
      </c>
      <c r="Y199" s="585">
        <v>0</v>
      </c>
      <c r="Z199" s="602">
        <v>0</v>
      </c>
      <c r="AA199" s="594">
        <v>0</v>
      </c>
      <c r="AB199" s="585">
        <v>0</v>
      </c>
      <c r="AC199" s="602">
        <v>0</v>
      </c>
      <c r="AD199" s="594">
        <v>0</v>
      </c>
      <c r="AE199" s="594">
        <v>0</v>
      </c>
      <c r="AF199" s="594">
        <v>0</v>
      </c>
      <c r="AG199" s="585">
        <v>0</v>
      </c>
      <c r="AH199" s="602">
        <v>0</v>
      </c>
      <c r="AI199" s="609">
        <v>0</v>
      </c>
      <c r="AJ199" s="609">
        <v>0</v>
      </c>
      <c r="AK199" s="740"/>
      <c r="AL199" s="524" t="s">
        <v>1268</v>
      </c>
      <c r="AM199" s="253"/>
      <c r="AN199" s="36">
        <f>2*8</f>
        <v>16</v>
      </c>
      <c r="AO199" s="252" t="s">
        <v>1710</v>
      </c>
      <c r="AP199" s="37">
        <v>44</v>
      </c>
      <c r="AQ199" s="792">
        <f t="shared" si="13"/>
        <v>28</v>
      </c>
      <c r="AR199" s="831">
        <f t="shared" si="15"/>
        <v>0.63636363636363635</v>
      </c>
      <c r="AS199" s="812"/>
      <c r="AT199" s="256" t="s">
        <v>1711</v>
      </c>
      <c r="AU199" s="38">
        <v>1</v>
      </c>
      <c r="AV199" s="252" t="s">
        <v>1712</v>
      </c>
      <c r="AW199" s="259" t="s">
        <v>1713</v>
      </c>
      <c r="AX199" s="36">
        <v>0</v>
      </c>
      <c r="AY199" s="252" t="s">
        <v>118</v>
      </c>
      <c r="AZ199" s="41">
        <v>0</v>
      </c>
      <c r="BA199" s="31" t="s">
        <v>47</v>
      </c>
      <c r="BB199" s="41">
        <v>0</v>
      </c>
      <c r="BC199" s="42"/>
      <c r="BD199" s="42"/>
      <c r="BE199" s="42"/>
      <c r="BF199" s="42"/>
      <c r="BG199" s="42"/>
      <c r="BH199" s="221"/>
      <c r="BI199" s="221"/>
      <c r="BJ199" s="221"/>
      <c r="BK199" s="221"/>
      <c r="BL199" s="221"/>
      <c r="BM199" s="221"/>
      <c r="BN199" s="221"/>
      <c r="BO199" s="221"/>
      <c r="BP199" s="221"/>
      <c r="BQ199" s="221"/>
      <c r="BR199" s="221"/>
      <c r="BS199" s="221"/>
      <c r="BT199" s="221"/>
      <c r="BU199" s="221"/>
      <c r="BV199" s="221"/>
      <c r="BW199" s="221"/>
      <c r="BX199" s="221"/>
      <c r="BY199" s="221"/>
      <c r="BZ199" s="221"/>
      <c r="CA199" s="221"/>
      <c r="CB199" s="221"/>
      <c r="CC199" s="221"/>
      <c r="CD199" s="221"/>
      <c r="CE199" s="221"/>
      <c r="CF199" s="221"/>
      <c r="CG199" s="221"/>
      <c r="CH199" s="221"/>
      <c r="CI199" s="221"/>
      <c r="CJ199" s="221"/>
      <c r="CK199" s="221"/>
      <c r="CL199" s="221"/>
      <c r="CM199" s="221"/>
      <c r="CN199" s="221"/>
      <c r="CO199" s="221"/>
      <c r="CP199" s="221"/>
      <c r="CQ199" s="221"/>
      <c r="CR199" s="221"/>
      <c r="CS199" s="221"/>
      <c r="CT199" s="221"/>
      <c r="CU199" s="221"/>
      <c r="CV199" s="221"/>
      <c r="CW199" s="221"/>
      <c r="CX199" s="221"/>
      <c r="CY199" s="221"/>
      <c r="CZ199" s="221"/>
      <c r="DA199" s="221"/>
      <c r="DB199" s="221"/>
      <c r="DC199" s="221"/>
      <c r="DD199" s="221"/>
      <c r="DE199" s="221"/>
      <c r="DF199" s="221"/>
      <c r="DG199" s="221"/>
      <c r="DH199" s="221"/>
      <c r="DI199" s="221"/>
      <c r="DJ199" s="221"/>
      <c r="DK199" s="221"/>
      <c r="DL199" s="221"/>
      <c r="DM199" s="221"/>
      <c r="DN199" s="221"/>
      <c r="DO199" s="221"/>
      <c r="DP199" s="221"/>
      <c r="DQ199" s="221"/>
      <c r="DR199" s="221"/>
      <c r="DS199" s="221"/>
      <c r="DT199" s="221"/>
      <c r="DU199" s="221"/>
      <c r="DV199" s="221"/>
      <c r="DW199" s="221"/>
      <c r="DX199" s="221"/>
      <c r="DY199" s="221"/>
      <c r="DZ199" s="221"/>
      <c r="EA199" s="221"/>
      <c r="EB199" s="221"/>
      <c r="EC199" s="221"/>
      <c r="ED199" s="221"/>
      <c r="EE199" s="221"/>
      <c r="EF199" s="221"/>
      <c r="EG199" s="221"/>
      <c r="EH199" s="221"/>
      <c r="EI199" s="221"/>
      <c r="EJ199" s="221"/>
      <c r="EK199" s="221"/>
      <c r="EL199" s="221"/>
      <c r="EM199" s="221"/>
      <c r="EN199" s="221"/>
      <c r="EO199" s="221"/>
      <c r="EP199" s="221"/>
      <c r="EQ199" s="221"/>
      <c r="ER199" s="221"/>
      <c r="ES199" s="221"/>
      <c r="ET199" s="221"/>
      <c r="EU199" s="221"/>
      <c r="EV199" s="221"/>
      <c r="EW199" s="221"/>
      <c r="EX199" s="221"/>
      <c r="EY199" s="221"/>
      <c r="EZ199" s="221"/>
      <c r="FA199" s="221"/>
      <c r="FB199" s="221"/>
      <c r="FC199" s="221"/>
      <c r="FD199" s="221"/>
      <c r="FE199" s="221"/>
      <c r="FF199" s="221"/>
      <c r="FG199" s="221"/>
      <c r="FH199" s="221"/>
      <c r="FI199" s="221"/>
      <c r="FJ199" s="221"/>
      <c r="FK199" s="221"/>
      <c r="FL199" s="221"/>
      <c r="FM199" s="221"/>
      <c r="FN199" s="221"/>
      <c r="FO199" s="221"/>
      <c r="FP199" s="221"/>
      <c r="FQ199" s="221"/>
      <c r="FR199" s="221"/>
      <c r="FS199" s="221"/>
      <c r="FT199" s="221"/>
      <c r="FU199" s="221"/>
      <c r="FV199" s="221"/>
      <c r="FW199" s="221"/>
      <c r="FX199" s="221"/>
      <c r="FY199" s="221"/>
      <c r="FZ199" s="221"/>
      <c r="GA199" s="221"/>
      <c r="GB199" s="221"/>
      <c r="GC199" s="221"/>
      <c r="GD199" s="221"/>
      <c r="GE199" s="221"/>
      <c r="GF199" s="221"/>
      <c r="GG199" s="221"/>
      <c r="GH199" s="221"/>
      <c r="GI199" s="221"/>
      <c r="GJ199" s="221"/>
      <c r="GK199" s="221"/>
      <c r="GL199" s="221"/>
      <c r="GM199" s="221"/>
      <c r="GN199" s="221"/>
      <c r="GO199" s="221"/>
      <c r="GP199" s="221"/>
      <c r="GQ199" s="221"/>
      <c r="GR199" s="221"/>
      <c r="GS199" s="221"/>
      <c r="GT199" s="221"/>
      <c r="GU199" s="221"/>
      <c r="GV199" s="221"/>
      <c r="GW199" s="221"/>
      <c r="GX199" s="221"/>
      <c r="GY199" s="221"/>
      <c r="GZ199" s="221"/>
      <c r="HA199" s="221"/>
      <c r="HB199" s="221"/>
      <c r="HC199" s="221"/>
      <c r="HD199" s="221"/>
      <c r="HE199" s="221"/>
      <c r="HF199" s="221"/>
      <c r="HG199" s="221"/>
      <c r="HH199" s="221"/>
      <c r="HI199" s="221"/>
      <c r="HJ199" s="221"/>
      <c r="HK199" s="221"/>
      <c r="HL199" s="221"/>
      <c r="HM199" s="221"/>
      <c r="HN199" s="221"/>
      <c r="HO199" s="221"/>
      <c r="HP199" s="221"/>
      <c r="HQ199" s="221"/>
      <c r="HR199" s="221"/>
      <c r="HS199" s="221"/>
      <c r="HT199" s="221"/>
      <c r="HU199" s="221"/>
      <c r="HV199" s="221"/>
      <c r="HW199" s="221"/>
      <c r="HX199" s="221"/>
      <c r="HY199" s="221"/>
      <c r="HZ199" s="221"/>
      <c r="IA199" s="221"/>
      <c r="IB199" s="221"/>
      <c r="IC199" s="221"/>
      <c r="ID199" s="221"/>
      <c r="IE199" s="221"/>
      <c r="IF199" s="221"/>
      <c r="IG199" s="221"/>
      <c r="IH199" s="221"/>
      <c r="II199" s="221"/>
      <c r="IJ199" s="221"/>
      <c r="IK199" s="221"/>
      <c r="IL199" s="221"/>
      <c r="IM199" s="221"/>
      <c r="IN199" s="221"/>
      <c r="IO199" s="221"/>
      <c r="IP199" s="221"/>
      <c r="IQ199" s="221"/>
      <c r="IR199" s="221"/>
      <c r="IS199" s="221"/>
      <c r="IT199" s="221"/>
      <c r="IU199" s="221"/>
      <c r="IV199" s="221"/>
      <c r="IW199" s="221"/>
      <c r="IX199" s="221"/>
      <c r="IY199" s="221"/>
      <c r="IZ199" s="221"/>
      <c r="JA199" s="221"/>
      <c r="JB199" s="221"/>
      <c r="JC199" s="221"/>
      <c r="JD199" s="221"/>
      <c r="JE199" s="221"/>
      <c r="JF199" s="221"/>
      <c r="JG199" s="221"/>
      <c r="JH199" s="221"/>
      <c r="JI199" s="221"/>
      <c r="JJ199" s="221"/>
      <c r="JK199" s="221"/>
      <c r="JL199" s="221"/>
      <c r="JM199" s="221"/>
      <c r="JN199" s="221"/>
      <c r="JO199" s="221"/>
      <c r="JP199" s="221"/>
      <c r="JQ199" s="221"/>
    </row>
    <row r="200" spans="1:277" ht="20" customHeight="1" outlineLevel="1">
      <c r="A200" s="456">
        <v>1904026</v>
      </c>
      <c r="B200" s="694">
        <v>42117</v>
      </c>
      <c r="C200" s="691" t="s">
        <v>1675</v>
      </c>
      <c r="D200" s="691" t="s">
        <v>1259</v>
      </c>
      <c r="E200" s="692" t="s">
        <v>60</v>
      </c>
      <c r="F200" s="693" t="s">
        <v>47</v>
      </c>
      <c r="G200" s="253" t="s">
        <v>1608</v>
      </c>
      <c r="H200" s="294" t="s">
        <v>47</v>
      </c>
      <c r="I200" s="254" t="s">
        <v>155</v>
      </c>
      <c r="J200" s="255" t="s">
        <v>1269</v>
      </c>
      <c r="K200" s="256" t="s">
        <v>50</v>
      </c>
      <c r="L200" s="50">
        <v>168431369</v>
      </c>
      <c r="M200" s="33">
        <v>42118</v>
      </c>
      <c r="N200" s="257" t="s">
        <v>270</v>
      </c>
      <c r="O200" s="258" t="s">
        <v>1686</v>
      </c>
      <c r="P200" s="559"/>
      <c r="Q200" s="290"/>
      <c r="R200" s="586">
        <v>0</v>
      </c>
      <c r="S200" s="585">
        <v>0</v>
      </c>
      <c r="T200" s="602">
        <v>0</v>
      </c>
      <c r="U200" s="594">
        <v>0</v>
      </c>
      <c r="V200" s="585">
        <v>0</v>
      </c>
      <c r="W200" s="602">
        <v>0</v>
      </c>
      <c r="X200" s="594">
        <v>3</v>
      </c>
      <c r="Y200" s="585">
        <v>0</v>
      </c>
      <c r="Z200" s="602">
        <v>0</v>
      </c>
      <c r="AA200" s="594">
        <v>0</v>
      </c>
      <c r="AB200" s="585">
        <v>0</v>
      </c>
      <c r="AC200" s="602">
        <v>0</v>
      </c>
      <c r="AD200" s="594">
        <v>0</v>
      </c>
      <c r="AE200" s="594">
        <v>0</v>
      </c>
      <c r="AF200" s="594">
        <v>0</v>
      </c>
      <c r="AG200" s="585">
        <v>0</v>
      </c>
      <c r="AH200" s="602">
        <v>0</v>
      </c>
      <c r="AI200" s="609">
        <v>0</v>
      </c>
      <c r="AJ200" s="609">
        <v>0</v>
      </c>
      <c r="AK200" s="740"/>
      <c r="AL200" s="524" t="s">
        <v>1687</v>
      </c>
      <c r="AM200" s="253"/>
      <c r="AN200" s="36"/>
      <c r="AO200" s="252" t="s">
        <v>1688</v>
      </c>
      <c r="AP200" s="37">
        <v>1045.44</v>
      </c>
      <c r="AQ200" s="792">
        <f t="shared" si="13"/>
        <v>1045.44</v>
      </c>
      <c r="AR200" s="831">
        <f t="shared" si="15"/>
        <v>1</v>
      </c>
      <c r="AS200" s="812"/>
      <c r="AT200" s="31"/>
      <c r="AU200" s="38"/>
      <c r="AV200" s="26"/>
      <c r="AW200" s="39"/>
      <c r="AX200" s="36"/>
      <c r="AY200" s="26"/>
      <c r="AZ200" s="41"/>
      <c r="BA200" s="31" t="s">
        <v>47</v>
      </c>
      <c r="BB200" s="41">
        <v>0</v>
      </c>
      <c r="BC200" s="42"/>
      <c r="BD200" s="42"/>
      <c r="BE200" s="42"/>
      <c r="BF200" s="42"/>
      <c r="BG200" s="42"/>
      <c r="BH200" s="221"/>
      <c r="BI200" s="221"/>
      <c r="BJ200" s="221"/>
      <c r="BK200" s="221"/>
      <c r="BL200" s="221"/>
      <c r="BM200" s="221"/>
      <c r="BN200" s="221"/>
      <c r="BO200" s="221"/>
      <c r="BP200" s="221"/>
      <c r="BQ200" s="221"/>
      <c r="BR200" s="221"/>
      <c r="BS200" s="221"/>
      <c r="BT200" s="221"/>
      <c r="BU200" s="221"/>
      <c r="BV200" s="221"/>
      <c r="BW200" s="221"/>
      <c r="BX200" s="221"/>
      <c r="BY200" s="221"/>
      <c r="BZ200" s="221"/>
      <c r="CA200" s="221"/>
      <c r="CB200" s="221"/>
      <c r="CC200" s="221"/>
      <c r="CD200" s="221"/>
      <c r="CE200" s="221"/>
      <c r="CF200" s="221"/>
      <c r="CG200" s="221"/>
      <c r="CH200" s="221"/>
      <c r="CI200" s="221"/>
      <c r="CJ200" s="221"/>
      <c r="CK200" s="221"/>
      <c r="CL200" s="221"/>
      <c r="CM200" s="221"/>
      <c r="CN200" s="221"/>
      <c r="CO200" s="221"/>
      <c r="CP200" s="221"/>
      <c r="CQ200" s="221"/>
      <c r="CR200" s="221"/>
      <c r="CS200" s="221"/>
      <c r="CT200" s="221"/>
      <c r="CU200" s="221"/>
      <c r="CV200" s="221"/>
      <c r="CW200" s="221"/>
      <c r="CX200" s="221"/>
      <c r="CY200" s="221"/>
      <c r="CZ200" s="221"/>
      <c r="DA200" s="221"/>
      <c r="DB200" s="221"/>
      <c r="DC200" s="221"/>
      <c r="DD200" s="221"/>
      <c r="DE200" s="221"/>
      <c r="DF200" s="221"/>
      <c r="DG200" s="221"/>
      <c r="DH200" s="221"/>
      <c r="DI200" s="221"/>
      <c r="DJ200" s="221"/>
      <c r="DK200" s="221"/>
      <c r="DL200" s="221"/>
      <c r="DM200" s="221"/>
      <c r="DN200" s="221"/>
      <c r="DO200" s="221"/>
      <c r="DP200" s="221"/>
      <c r="DQ200" s="221"/>
      <c r="DR200" s="221"/>
      <c r="DS200" s="221"/>
      <c r="DT200" s="221"/>
      <c r="DU200" s="221"/>
      <c r="DV200" s="221"/>
      <c r="DW200" s="221"/>
      <c r="DX200" s="221"/>
      <c r="DY200" s="221"/>
      <c r="DZ200" s="221"/>
      <c r="EA200" s="221"/>
      <c r="EB200" s="221"/>
      <c r="EC200" s="221"/>
      <c r="ED200" s="221"/>
      <c r="EE200" s="221"/>
      <c r="EF200" s="221"/>
      <c r="EG200" s="221"/>
      <c r="EH200" s="221"/>
      <c r="EI200" s="221"/>
      <c r="EJ200" s="221"/>
      <c r="EK200" s="221"/>
      <c r="EL200" s="221"/>
      <c r="EM200" s="221"/>
      <c r="EN200" s="221"/>
      <c r="EO200" s="221"/>
      <c r="EP200" s="221"/>
      <c r="EQ200" s="221"/>
      <c r="ER200" s="221"/>
      <c r="ES200" s="221"/>
      <c r="ET200" s="221"/>
      <c r="EU200" s="221"/>
      <c r="EV200" s="221"/>
      <c r="EW200" s="221"/>
      <c r="EX200" s="221"/>
      <c r="EY200" s="221"/>
      <c r="EZ200" s="221"/>
      <c r="FA200" s="221"/>
      <c r="FB200" s="221"/>
      <c r="FC200" s="221"/>
      <c r="FD200" s="221"/>
      <c r="FE200" s="221"/>
      <c r="FF200" s="221"/>
      <c r="FG200" s="221"/>
      <c r="FH200" s="221"/>
      <c r="FI200" s="221"/>
      <c r="FJ200" s="221"/>
      <c r="FK200" s="221"/>
      <c r="FL200" s="221"/>
      <c r="FM200" s="221"/>
      <c r="FN200" s="221"/>
      <c r="FO200" s="221"/>
      <c r="FP200" s="221"/>
      <c r="FQ200" s="221"/>
      <c r="FR200" s="221"/>
      <c r="FS200" s="221"/>
      <c r="FT200" s="221"/>
      <c r="FU200" s="221"/>
      <c r="FV200" s="221"/>
      <c r="FW200" s="221"/>
      <c r="FX200" s="221"/>
      <c r="FY200" s="221"/>
      <c r="FZ200" s="221"/>
      <c r="GA200" s="221"/>
      <c r="GB200" s="221"/>
      <c r="GC200" s="221"/>
      <c r="GD200" s="221"/>
      <c r="GE200" s="221"/>
      <c r="GF200" s="221"/>
      <c r="GG200" s="221"/>
      <c r="GH200" s="221"/>
      <c r="GI200" s="221"/>
      <c r="GJ200" s="221"/>
      <c r="GK200" s="221"/>
      <c r="GL200" s="221"/>
      <c r="GM200" s="221"/>
      <c r="GN200" s="221"/>
      <c r="GO200" s="221"/>
      <c r="GP200" s="221"/>
      <c r="GQ200" s="221"/>
      <c r="GR200" s="221"/>
      <c r="GS200" s="221"/>
      <c r="GT200" s="221"/>
      <c r="GU200" s="221"/>
      <c r="GV200" s="221"/>
      <c r="GW200" s="221"/>
      <c r="GX200" s="221"/>
      <c r="GY200" s="221"/>
      <c r="GZ200" s="221"/>
      <c r="HA200" s="221"/>
      <c r="HB200" s="221"/>
      <c r="HC200" s="221"/>
      <c r="HD200" s="221"/>
      <c r="HE200" s="221"/>
      <c r="HF200" s="221"/>
      <c r="HG200" s="221"/>
      <c r="HH200" s="221"/>
      <c r="HI200" s="221"/>
      <c r="HJ200" s="221"/>
      <c r="HK200" s="221"/>
      <c r="HL200" s="221"/>
      <c r="HM200" s="221"/>
      <c r="HN200" s="221"/>
      <c r="HO200" s="221"/>
      <c r="HP200" s="221"/>
      <c r="HQ200" s="221"/>
      <c r="HR200" s="221"/>
      <c r="HS200" s="221"/>
      <c r="HT200" s="221"/>
      <c r="HU200" s="221"/>
      <c r="HV200" s="221"/>
      <c r="HW200" s="221"/>
      <c r="HX200" s="221"/>
      <c r="HY200" s="221"/>
      <c r="HZ200" s="221"/>
      <c r="IA200" s="221"/>
      <c r="IB200" s="221"/>
      <c r="IC200" s="221"/>
      <c r="ID200" s="221"/>
      <c r="IE200" s="221"/>
      <c r="IF200" s="221"/>
      <c r="IG200" s="221"/>
      <c r="IH200" s="221"/>
      <c r="II200" s="221"/>
      <c r="IJ200" s="221"/>
      <c r="IK200" s="221"/>
      <c r="IL200" s="221"/>
      <c r="IM200" s="221"/>
      <c r="IN200" s="221"/>
      <c r="IO200" s="221"/>
      <c r="IP200" s="221"/>
      <c r="IQ200" s="221"/>
      <c r="IR200" s="221"/>
      <c r="IS200" s="221"/>
      <c r="IT200" s="221"/>
      <c r="IU200" s="221"/>
      <c r="IV200" s="221"/>
      <c r="IW200" s="221"/>
      <c r="IX200" s="221"/>
      <c r="IY200" s="221"/>
      <c r="IZ200" s="221"/>
      <c r="JA200" s="221"/>
      <c r="JB200" s="221"/>
      <c r="JC200" s="221"/>
      <c r="JD200" s="221"/>
      <c r="JE200" s="221"/>
      <c r="JF200" s="221"/>
      <c r="JG200" s="221"/>
      <c r="JH200" s="221"/>
      <c r="JI200" s="221"/>
      <c r="JJ200" s="221"/>
      <c r="JK200" s="221"/>
      <c r="JL200" s="221"/>
      <c r="JM200" s="221"/>
      <c r="JN200" s="221"/>
      <c r="JO200" s="221"/>
      <c r="JP200" s="221"/>
      <c r="JQ200" s="221"/>
    </row>
    <row r="201" spans="1:277" ht="20" customHeight="1" outlineLevel="1">
      <c r="A201" s="456">
        <v>1904028</v>
      </c>
      <c r="B201" s="695">
        <v>42118</v>
      </c>
      <c r="C201" s="696" t="s">
        <v>67</v>
      </c>
      <c r="D201" s="696" t="s">
        <v>1259</v>
      </c>
      <c r="E201" s="697" t="s">
        <v>69</v>
      </c>
      <c r="F201" s="698" t="s">
        <v>1694</v>
      </c>
      <c r="G201" s="441" t="s">
        <v>1730</v>
      </c>
      <c r="H201" s="441" t="s">
        <v>1314</v>
      </c>
      <c r="I201" s="443">
        <v>191846</v>
      </c>
      <c r="J201" s="440" t="s">
        <v>62</v>
      </c>
      <c r="K201" s="440" t="s">
        <v>50</v>
      </c>
      <c r="L201" s="445">
        <v>101111755</v>
      </c>
      <c r="M201" s="446">
        <v>42130</v>
      </c>
      <c r="N201" s="441" t="s">
        <v>1666</v>
      </c>
      <c r="O201" s="441" t="s">
        <v>1695</v>
      </c>
      <c r="P201" s="567"/>
      <c r="Q201" s="626"/>
      <c r="R201" s="586">
        <v>0</v>
      </c>
      <c r="S201" s="585">
        <v>0</v>
      </c>
      <c r="T201" s="602">
        <v>0</v>
      </c>
      <c r="U201" s="594">
        <v>1</v>
      </c>
      <c r="V201" s="585">
        <v>0</v>
      </c>
      <c r="W201" s="602">
        <v>0</v>
      </c>
      <c r="X201" s="594">
        <v>0</v>
      </c>
      <c r="Y201" s="585">
        <v>0</v>
      </c>
      <c r="Z201" s="602">
        <v>0</v>
      </c>
      <c r="AA201" s="594">
        <v>0</v>
      </c>
      <c r="AB201" s="585">
        <v>0</v>
      </c>
      <c r="AC201" s="602">
        <v>0</v>
      </c>
      <c r="AD201" s="594">
        <v>0</v>
      </c>
      <c r="AE201" s="594">
        <v>0</v>
      </c>
      <c r="AF201" s="594">
        <v>0</v>
      </c>
      <c r="AG201" s="585">
        <v>0</v>
      </c>
      <c r="AH201" s="602">
        <v>0</v>
      </c>
      <c r="AI201" s="609">
        <v>0</v>
      </c>
      <c r="AJ201" s="609">
        <v>0</v>
      </c>
      <c r="AK201" s="741"/>
      <c r="AL201" s="527" t="s">
        <v>1262</v>
      </c>
      <c r="AM201" s="441">
        <v>191140</v>
      </c>
      <c r="AN201" s="447">
        <v>63.6</v>
      </c>
      <c r="AO201" s="444" t="s">
        <v>1731</v>
      </c>
      <c r="AP201" s="37">
        <v>253.93</v>
      </c>
      <c r="AQ201" s="795">
        <f t="shared" si="13"/>
        <v>190.33</v>
      </c>
      <c r="AR201" s="831">
        <f t="shared" si="15"/>
        <v>0.74953727405190407</v>
      </c>
      <c r="AS201" s="821">
        <v>42122</v>
      </c>
      <c r="AT201" s="444"/>
      <c r="AU201" s="448"/>
      <c r="AV201" s="444"/>
      <c r="AW201" s="449"/>
      <c r="AX201" s="447">
        <v>15</v>
      </c>
      <c r="AY201" s="440" t="s">
        <v>1910</v>
      </c>
      <c r="AZ201" s="447">
        <v>9.91</v>
      </c>
      <c r="BA201" s="31" t="s">
        <v>47</v>
      </c>
      <c r="BB201" s="41">
        <v>0</v>
      </c>
      <c r="BC201" s="447"/>
      <c r="BD201" s="447"/>
      <c r="BE201" s="447"/>
      <c r="BF201" s="447"/>
      <c r="BG201" s="447"/>
      <c r="BH201" s="221"/>
      <c r="BI201" s="221"/>
      <c r="BJ201" s="221"/>
      <c r="BK201" s="221"/>
      <c r="BL201" s="221"/>
      <c r="BM201" s="221"/>
      <c r="BN201" s="221"/>
      <c r="BO201" s="221"/>
      <c r="BP201" s="221"/>
      <c r="BQ201" s="221"/>
      <c r="BR201" s="221"/>
      <c r="BS201" s="221"/>
      <c r="BT201" s="221"/>
      <c r="BU201" s="221"/>
      <c r="BV201" s="221"/>
      <c r="BW201" s="221"/>
      <c r="BX201" s="221"/>
      <c r="BY201" s="221"/>
      <c r="BZ201" s="221"/>
      <c r="CA201" s="221"/>
      <c r="CB201" s="221"/>
      <c r="CC201" s="221"/>
      <c r="CD201" s="221"/>
      <c r="CE201" s="221"/>
      <c r="CF201" s="221"/>
      <c r="CG201" s="221"/>
      <c r="CH201" s="221"/>
      <c r="CI201" s="221"/>
      <c r="CJ201" s="221"/>
      <c r="CK201" s="221"/>
      <c r="CL201" s="221"/>
      <c r="CM201" s="221"/>
      <c r="CN201" s="221"/>
      <c r="CO201" s="221"/>
      <c r="CP201" s="221"/>
      <c r="CQ201" s="221"/>
      <c r="CR201" s="221"/>
      <c r="CS201" s="221"/>
      <c r="CT201" s="221"/>
      <c r="CU201" s="221"/>
      <c r="CV201" s="221"/>
      <c r="CW201" s="221"/>
      <c r="CX201" s="221"/>
      <c r="CY201" s="221"/>
      <c r="CZ201" s="221"/>
      <c r="DA201" s="221"/>
      <c r="DB201" s="221"/>
      <c r="DC201" s="221"/>
      <c r="DD201" s="221"/>
      <c r="DE201" s="221"/>
      <c r="DF201" s="221"/>
      <c r="DG201" s="221"/>
      <c r="DH201" s="221"/>
      <c r="DI201" s="221"/>
      <c r="DJ201" s="221"/>
      <c r="DK201" s="221"/>
      <c r="DL201" s="221"/>
      <c r="DM201" s="221"/>
      <c r="DN201" s="221"/>
      <c r="DO201" s="221"/>
      <c r="DP201" s="221"/>
      <c r="DQ201" s="221"/>
      <c r="DR201" s="221"/>
      <c r="DS201" s="221"/>
      <c r="DT201" s="221"/>
      <c r="DU201" s="221"/>
      <c r="DV201" s="221"/>
      <c r="DW201" s="221"/>
      <c r="DX201" s="221"/>
      <c r="DY201" s="221"/>
      <c r="DZ201" s="221"/>
      <c r="EA201" s="221"/>
      <c r="EB201" s="221"/>
      <c r="EC201" s="221"/>
      <c r="ED201" s="221"/>
      <c r="EE201" s="221"/>
      <c r="EF201" s="221"/>
      <c r="EG201" s="221"/>
      <c r="EH201" s="221"/>
      <c r="EI201" s="221"/>
      <c r="EJ201" s="221"/>
      <c r="EK201" s="221"/>
      <c r="EL201" s="221"/>
      <c r="EM201" s="221"/>
      <c r="EN201" s="221"/>
      <c r="EO201" s="221"/>
      <c r="EP201" s="221"/>
      <c r="EQ201" s="221"/>
      <c r="ER201" s="221"/>
      <c r="ES201" s="221"/>
      <c r="ET201" s="221"/>
      <c r="EU201" s="221"/>
      <c r="EV201" s="221"/>
      <c r="EW201" s="221"/>
      <c r="EX201" s="221"/>
      <c r="EY201" s="221"/>
      <c r="EZ201" s="221"/>
      <c r="FA201" s="221"/>
      <c r="FB201" s="221"/>
      <c r="FC201" s="221"/>
      <c r="FD201" s="221"/>
      <c r="FE201" s="221"/>
      <c r="FF201" s="221"/>
      <c r="FG201" s="221"/>
      <c r="FH201" s="221"/>
      <c r="FI201" s="221"/>
      <c r="FJ201" s="221"/>
      <c r="FK201" s="221"/>
      <c r="FL201" s="221"/>
      <c r="FM201" s="221"/>
      <c r="FN201" s="221"/>
      <c r="FO201" s="221"/>
      <c r="FP201" s="221"/>
      <c r="FQ201" s="221"/>
      <c r="FR201" s="221"/>
      <c r="FS201" s="221"/>
      <c r="FT201" s="221"/>
      <c r="FU201" s="221"/>
      <c r="FV201" s="221"/>
      <c r="FW201" s="221"/>
      <c r="FX201" s="221"/>
      <c r="FY201" s="221"/>
      <c r="FZ201" s="221"/>
      <c r="GA201" s="221"/>
      <c r="GB201" s="221"/>
      <c r="GC201" s="221"/>
      <c r="GD201" s="221"/>
      <c r="GE201" s="221"/>
      <c r="GF201" s="221"/>
      <c r="GG201" s="221"/>
      <c r="GH201" s="221"/>
      <c r="GI201" s="221"/>
      <c r="GJ201" s="221"/>
      <c r="GK201" s="221"/>
      <c r="GL201" s="221"/>
      <c r="GM201" s="221"/>
      <c r="GN201" s="221"/>
      <c r="GO201" s="221"/>
      <c r="GP201" s="221"/>
      <c r="GQ201" s="221"/>
      <c r="GR201" s="221"/>
      <c r="GS201" s="221"/>
      <c r="GT201" s="221"/>
      <c r="GU201" s="221"/>
      <c r="GV201" s="221"/>
      <c r="GW201" s="221"/>
      <c r="GX201" s="221"/>
      <c r="GY201" s="221"/>
      <c r="GZ201" s="221"/>
      <c r="HA201" s="221"/>
      <c r="HB201" s="221"/>
      <c r="HC201" s="221"/>
      <c r="HD201" s="221"/>
      <c r="HE201" s="221"/>
      <c r="HF201" s="221"/>
      <c r="HG201" s="221"/>
      <c r="HH201" s="221"/>
      <c r="HI201" s="221"/>
      <c r="HJ201" s="221"/>
      <c r="HK201" s="221"/>
      <c r="HL201" s="221"/>
      <c r="HM201" s="221"/>
      <c r="HN201" s="221"/>
      <c r="HO201" s="221"/>
      <c r="HP201" s="221"/>
      <c r="HQ201" s="221"/>
      <c r="HR201" s="221"/>
      <c r="HS201" s="221"/>
      <c r="HT201" s="221"/>
      <c r="HU201" s="221"/>
      <c r="HV201" s="221"/>
      <c r="HW201" s="221"/>
      <c r="HX201" s="221"/>
      <c r="HY201" s="221"/>
      <c r="HZ201" s="221"/>
      <c r="IA201" s="221"/>
      <c r="IB201" s="221"/>
      <c r="IC201" s="221"/>
      <c r="ID201" s="221"/>
      <c r="IE201" s="221"/>
      <c r="IF201" s="221"/>
      <c r="IG201" s="221"/>
      <c r="IH201" s="221"/>
      <c r="II201" s="221"/>
      <c r="IJ201" s="221"/>
      <c r="IK201" s="221"/>
      <c r="IL201" s="221"/>
      <c r="IM201" s="221"/>
      <c r="IN201" s="221"/>
      <c r="IO201" s="221"/>
      <c r="IP201" s="221"/>
      <c r="IQ201" s="221"/>
      <c r="IR201" s="221"/>
      <c r="IS201" s="221"/>
      <c r="IT201" s="221"/>
      <c r="IU201" s="221"/>
      <c r="IV201" s="221"/>
      <c r="IW201" s="221"/>
      <c r="IX201" s="221"/>
      <c r="IY201" s="221"/>
      <c r="IZ201" s="221"/>
      <c r="JA201" s="221"/>
      <c r="JB201" s="221"/>
      <c r="JC201" s="221"/>
      <c r="JD201" s="221"/>
      <c r="JE201" s="221"/>
      <c r="JF201" s="221"/>
      <c r="JG201" s="221"/>
      <c r="JH201" s="221"/>
      <c r="JI201" s="221"/>
      <c r="JJ201" s="221"/>
      <c r="JK201" s="221"/>
      <c r="JL201" s="221"/>
      <c r="JM201" s="221"/>
      <c r="JN201" s="221"/>
      <c r="JO201" s="221"/>
      <c r="JP201" s="221"/>
      <c r="JQ201" s="221"/>
    </row>
    <row r="202" spans="1:277" ht="20" customHeight="1" outlineLevel="1">
      <c r="A202" s="456">
        <v>1904029</v>
      </c>
      <c r="B202" s="695">
        <v>42118</v>
      </c>
      <c r="C202" s="696" t="s">
        <v>44</v>
      </c>
      <c r="D202" s="696" t="s">
        <v>73</v>
      </c>
      <c r="E202" s="697" t="s">
        <v>500</v>
      </c>
      <c r="F202" s="698" t="s">
        <v>501</v>
      </c>
      <c r="G202" s="441" t="s">
        <v>1714</v>
      </c>
      <c r="H202" s="441" t="s">
        <v>1314</v>
      </c>
      <c r="I202" s="443" t="s">
        <v>155</v>
      </c>
      <c r="J202" s="440" t="s">
        <v>62</v>
      </c>
      <c r="K202" s="440" t="s">
        <v>50</v>
      </c>
      <c r="L202" s="445"/>
      <c r="M202" s="446">
        <v>42125</v>
      </c>
      <c r="N202" s="441" t="s">
        <v>502</v>
      </c>
      <c r="O202" s="441" t="s">
        <v>1701</v>
      </c>
      <c r="P202" s="567"/>
      <c r="Q202" s="626"/>
      <c r="R202" s="586">
        <v>0</v>
      </c>
      <c r="S202" s="585">
        <v>0</v>
      </c>
      <c r="T202" s="602">
        <v>0</v>
      </c>
      <c r="U202" s="594">
        <v>0</v>
      </c>
      <c r="V202" s="585">
        <v>0</v>
      </c>
      <c r="W202" s="602">
        <v>0</v>
      </c>
      <c r="X202" s="594">
        <v>0</v>
      </c>
      <c r="Y202" s="585">
        <v>0</v>
      </c>
      <c r="Z202" s="602">
        <v>0</v>
      </c>
      <c r="AA202" s="594">
        <v>0</v>
      </c>
      <c r="AB202" s="585">
        <v>4</v>
      </c>
      <c r="AC202" s="602">
        <v>0</v>
      </c>
      <c r="AD202" s="594">
        <v>0</v>
      </c>
      <c r="AE202" s="594">
        <v>0</v>
      </c>
      <c r="AF202" s="594">
        <v>0</v>
      </c>
      <c r="AG202" s="585">
        <v>0</v>
      </c>
      <c r="AH202" s="602">
        <v>0</v>
      </c>
      <c r="AI202" s="609">
        <v>0</v>
      </c>
      <c r="AJ202" s="609">
        <v>0</v>
      </c>
      <c r="AK202" s="741"/>
      <c r="AL202" s="527" t="s">
        <v>1268</v>
      </c>
      <c r="AM202" s="441" t="s">
        <v>157</v>
      </c>
      <c r="AN202" s="447">
        <f>4*PRODUCTS!E3</f>
        <v>314.08</v>
      </c>
      <c r="AO202" s="444" t="s">
        <v>1689</v>
      </c>
      <c r="AP202" s="37">
        <f>4*95</f>
        <v>380</v>
      </c>
      <c r="AQ202" s="795">
        <f t="shared" si="13"/>
        <v>65.920000000000016</v>
      </c>
      <c r="AR202" s="831">
        <f t="shared" si="15"/>
        <v>0.17347368421052636</v>
      </c>
      <c r="AS202" s="821">
        <v>42119</v>
      </c>
      <c r="AT202" s="444" t="s">
        <v>1703</v>
      </c>
      <c r="AU202" s="448">
        <v>1</v>
      </c>
      <c r="AV202" s="444" t="s">
        <v>282</v>
      </c>
      <c r="AW202" s="449" t="s">
        <v>1704</v>
      </c>
      <c r="AX202" s="447">
        <v>208.9</v>
      </c>
      <c r="AY202" s="440" t="s">
        <v>1787</v>
      </c>
      <c r="AZ202" s="447">
        <v>190.75</v>
      </c>
      <c r="BA202" s="31" t="s">
        <v>47</v>
      </c>
      <c r="BB202" s="41">
        <v>0</v>
      </c>
      <c r="BC202" s="447"/>
      <c r="BD202" s="447"/>
      <c r="BE202" s="447"/>
      <c r="BF202" s="447"/>
      <c r="BG202" s="447"/>
      <c r="BH202" s="221"/>
      <c r="BI202" s="221"/>
      <c r="BJ202" s="221"/>
      <c r="BK202" s="221"/>
      <c r="BL202" s="221"/>
      <c r="BM202" s="221"/>
      <c r="BN202" s="221"/>
      <c r="BO202" s="221"/>
      <c r="BP202" s="221"/>
      <c r="BQ202" s="221"/>
      <c r="BR202" s="221"/>
      <c r="BS202" s="221"/>
      <c r="BT202" s="221"/>
      <c r="BU202" s="221"/>
      <c r="BV202" s="221"/>
      <c r="BW202" s="221"/>
      <c r="BX202" s="221"/>
      <c r="BY202" s="221"/>
      <c r="BZ202" s="221"/>
      <c r="CA202" s="221"/>
      <c r="CB202" s="221"/>
      <c r="CC202" s="221"/>
      <c r="CD202" s="221"/>
      <c r="CE202" s="221"/>
      <c r="CF202" s="221"/>
      <c r="CG202" s="221"/>
      <c r="CH202" s="221"/>
      <c r="CI202" s="221"/>
      <c r="CJ202" s="221"/>
      <c r="CK202" s="221"/>
      <c r="CL202" s="221"/>
      <c r="CM202" s="221"/>
      <c r="CN202" s="221"/>
      <c r="CO202" s="221"/>
      <c r="CP202" s="221"/>
      <c r="CQ202" s="221"/>
      <c r="CR202" s="221"/>
      <c r="CS202" s="221"/>
      <c r="CT202" s="221"/>
      <c r="CU202" s="221"/>
      <c r="CV202" s="221"/>
      <c r="CW202" s="221"/>
      <c r="CX202" s="221"/>
      <c r="CY202" s="221"/>
      <c r="CZ202" s="221"/>
      <c r="DA202" s="221"/>
      <c r="DB202" s="221"/>
      <c r="DC202" s="221"/>
      <c r="DD202" s="221"/>
      <c r="DE202" s="221"/>
      <c r="DF202" s="221"/>
      <c r="DG202" s="221"/>
      <c r="DH202" s="221"/>
      <c r="DI202" s="221"/>
      <c r="DJ202" s="221"/>
      <c r="DK202" s="221"/>
      <c r="DL202" s="221"/>
      <c r="DM202" s="221"/>
      <c r="DN202" s="221"/>
      <c r="DO202" s="221"/>
      <c r="DP202" s="221"/>
      <c r="DQ202" s="221"/>
      <c r="DR202" s="221"/>
      <c r="DS202" s="221"/>
      <c r="DT202" s="221"/>
      <c r="DU202" s="221"/>
      <c r="DV202" s="221"/>
      <c r="DW202" s="221"/>
      <c r="DX202" s="221"/>
      <c r="DY202" s="221"/>
      <c r="DZ202" s="221"/>
      <c r="EA202" s="221"/>
      <c r="EB202" s="221"/>
      <c r="EC202" s="221"/>
      <c r="ED202" s="221"/>
      <c r="EE202" s="221"/>
      <c r="EF202" s="221"/>
      <c r="EG202" s="221"/>
      <c r="EH202" s="221"/>
      <c r="EI202" s="221"/>
      <c r="EJ202" s="221"/>
      <c r="EK202" s="221"/>
      <c r="EL202" s="221"/>
      <c r="EM202" s="221"/>
      <c r="EN202" s="221"/>
      <c r="EO202" s="221"/>
      <c r="EP202" s="221"/>
      <c r="EQ202" s="221"/>
      <c r="ER202" s="221"/>
      <c r="ES202" s="221"/>
      <c r="ET202" s="221"/>
      <c r="EU202" s="221"/>
      <c r="EV202" s="221"/>
      <c r="EW202" s="221"/>
      <c r="EX202" s="221"/>
      <c r="EY202" s="221"/>
      <c r="EZ202" s="221"/>
      <c r="FA202" s="221"/>
      <c r="FB202" s="221"/>
      <c r="FC202" s="221"/>
      <c r="FD202" s="221"/>
      <c r="FE202" s="221"/>
      <c r="FF202" s="221"/>
      <c r="FG202" s="221"/>
      <c r="FH202" s="221"/>
      <c r="FI202" s="221"/>
      <c r="FJ202" s="221"/>
      <c r="FK202" s="221"/>
      <c r="FL202" s="221"/>
      <c r="FM202" s="221"/>
      <c r="FN202" s="221"/>
      <c r="FO202" s="221"/>
      <c r="FP202" s="221"/>
      <c r="FQ202" s="221"/>
      <c r="FR202" s="221"/>
      <c r="FS202" s="221"/>
      <c r="FT202" s="221"/>
      <c r="FU202" s="221"/>
      <c r="FV202" s="221"/>
      <c r="FW202" s="221"/>
      <c r="FX202" s="221"/>
      <c r="FY202" s="221"/>
      <c r="FZ202" s="221"/>
      <c r="GA202" s="221"/>
      <c r="GB202" s="221"/>
      <c r="GC202" s="221"/>
      <c r="GD202" s="221"/>
      <c r="GE202" s="221"/>
      <c r="GF202" s="221"/>
      <c r="GG202" s="221"/>
      <c r="GH202" s="221"/>
      <c r="GI202" s="221"/>
      <c r="GJ202" s="221"/>
      <c r="GK202" s="221"/>
      <c r="GL202" s="221"/>
      <c r="GM202" s="221"/>
      <c r="GN202" s="221"/>
      <c r="GO202" s="221"/>
      <c r="GP202" s="221"/>
      <c r="GQ202" s="221"/>
      <c r="GR202" s="221"/>
      <c r="GS202" s="221"/>
      <c r="GT202" s="221"/>
      <c r="GU202" s="221"/>
      <c r="GV202" s="221"/>
      <c r="GW202" s="221"/>
      <c r="GX202" s="221"/>
      <c r="GY202" s="221"/>
      <c r="GZ202" s="221"/>
      <c r="HA202" s="221"/>
      <c r="HB202" s="221"/>
      <c r="HC202" s="221"/>
      <c r="HD202" s="221"/>
      <c r="HE202" s="221"/>
      <c r="HF202" s="221"/>
      <c r="HG202" s="221"/>
      <c r="HH202" s="221"/>
      <c r="HI202" s="221"/>
      <c r="HJ202" s="221"/>
      <c r="HK202" s="221"/>
      <c r="HL202" s="221"/>
      <c r="HM202" s="221"/>
      <c r="HN202" s="221"/>
      <c r="HO202" s="221"/>
      <c r="HP202" s="221"/>
      <c r="HQ202" s="221"/>
      <c r="HR202" s="221"/>
      <c r="HS202" s="221"/>
      <c r="HT202" s="221"/>
      <c r="HU202" s="221"/>
      <c r="HV202" s="221"/>
      <c r="HW202" s="221"/>
      <c r="HX202" s="221"/>
      <c r="HY202" s="221"/>
      <c r="HZ202" s="221"/>
      <c r="IA202" s="221"/>
      <c r="IB202" s="221"/>
      <c r="IC202" s="221"/>
      <c r="ID202" s="221"/>
      <c r="IE202" s="221"/>
      <c r="IF202" s="221"/>
      <c r="IG202" s="221"/>
      <c r="IH202" s="221"/>
      <c r="II202" s="221"/>
      <c r="IJ202" s="221"/>
      <c r="IK202" s="221"/>
      <c r="IL202" s="221"/>
      <c r="IM202" s="221"/>
      <c r="IN202" s="221"/>
      <c r="IO202" s="221"/>
      <c r="IP202" s="221"/>
      <c r="IQ202" s="221"/>
      <c r="IR202" s="221"/>
      <c r="IS202" s="221"/>
      <c r="IT202" s="221"/>
      <c r="IU202" s="221"/>
      <c r="IV202" s="221"/>
      <c r="IW202" s="221"/>
      <c r="IX202" s="221"/>
      <c r="IY202" s="221"/>
      <c r="IZ202" s="221"/>
      <c r="JA202" s="221"/>
      <c r="JB202" s="221"/>
      <c r="JC202" s="221"/>
      <c r="JD202" s="221"/>
      <c r="JE202" s="221"/>
      <c r="JF202" s="221"/>
      <c r="JG202" s="221"/>
      <c r="JH202" s="221"/>
      <c r="JI202" s="221"/>
      <c r="JJ202" s="221"/>
      <c r="JK202" s="221"/>
      <c r="JL202" s="221"/>
      <c r="JM202" s="221"/>
      <c r="JN202" s="221"/>
      <c r="JO202" s="221"/>
      <c r="JP202" s="221"/>
      <c r="JQ202" s="221"/>
    </row>
    <row r="203" spans="1:277" ht="20" customHeight="1" outlineLevel="1">
      <c r="A203" s="456">
        <v>1904030</v>
      </c>
      <c r="B203" s="695">
        <v>42118</v>
      </c>
      <c r="C203" s="696" t="s">
        <v>44</v>
      </c>
      <c r="D203" s="696" t="s">
        <v>73</v>
      </c>
      <c r="E203" s="697" t="s">
        <v>500</v>
      </c>
      <c r="F203" s="698" t="s">
        <v>501</v>
      </c>
      <c r="G203" s="441" t="s">
        <v>1715</v>
      </c>
      <c r="H203" s="441" t="s">
        <v>1314</v>
      </c>
      <c r="I203" s="443" t="s">
        <v>155</v>
      </c>
      <c r="J203" s="444"/>
      <c r="K203" s="440"/>
      <c r="L203" s="445"/>
      <c r="M203" s="446">
        <v>42123</v>
      </c>
      <c r="N203" s="441" t="s">
        <v>502</v>
      </c>
      <c r="O203" s="441" t="s">
        <v>1705</v>
      </c>
      <c r="P203" s="567"/>
      <c r="Q203" s="626"/>
      <c r="R203" s="586">
        <v>0</v>
      </c>
      <c r="S203" s="585">
        <v>0</v>
      </c>
      <c r="T203" s="602">
        <v>0</v>
      </c>
      <c r="U203" s="594">
        <v>0</v>
      </c>
      <c r="V203" s="585">
        <v>0</v>
      </c>
      <c r="W203" s="602">
        <v>0</v>
      </c>
      <c r="X203" s="594">
        <v>0</v>
      </c>
      <c r="Y203" s="585">
        <v>4</v>
      </c>
      <c r="Z203" s="602">
        <v>0</v>
      </c>
      <c r="AA203" s="594">
        <v>0</v>
      </c>
      <c r="AB203" s="585">
        <v>0</v>
      </c>
      <c r="AC203" s="602">
        <v>0</v>
      </c>
      <c r="AD203" s="594">
        <v>0</v>
      </c>
      <c r="AE203" s="594">
        <v>0</v>
      </c>
      <c r="AF203" s="594">
        <v>0</v>
      </c>
      <c r="AG203" s="585">
        <v>0</v>
      </c>
      <c r="AH203" s="602">
        <v>0</v>
      </c>
      <c r="AI203" s="609">
        <v>0</v>
      </c>
      <c r="AJ203" s="609">
        <v>0</v>
      </c>
      <c r="AK203" s="741"/>
      <c r="AL203" s="527"/>
      <c r="AM203" s="441" t="s">
        <v>157</v>
      </c>
      <c r="AN203" s="447">
        <f>4*PRODUCTS!D3</f>
        <v>280</v>
      </c>
      <c r="AO203" s="444" t="s">
        <v>1689</v>
      </c>
      <c r="AP203" s="37">
        <f t="shared" ref="AP203:AP204" si="17">4*95</f>
        <v>380</v>
      </c>
      <c r="AQ203" s="795">
        <f t="shared" ref="AQ203:AQ204" si="18">AP203-AN203</f>
        <v>100</v>
      </c>
      <c r="AR203" s="831">
        <f t="shared" si="15"/>
        <v>0.26315789473684209</v>
      </c>
      <c r="AS203" s="821">
        <v>42119</v>
      </c>
      <c r="AT203" s="444" t="s">
        <v>1703</v>
      </c>
      <c r="AU203" s="448">
        <v>1</v>
      </c>
      <c r="AV203" s="444" t="s">
        <v>282</v>
      </c>
      <c r="AW203" s="449" t="s">
        <v>1704</v>
      </c>
      <c r="AX203" s="447">
        <v>208.9</v>
      </c>
      <c r="AY203" s="440" t="s">
        <v>1787</v>
      </c>
      <c r="AZ203" s="447">
        <v>190.75</v>
      </c>
      <c r="BA203" s="31" t="s">
        <v>47</v>
      </c>
      <c r="BB203" s="41">
        <v>0</v>
      </c>
      <c r="BC203" s="447"/>
      <c r="BD203" s="447"/>
      <c r="BE203" s="447"/>
      <c r="BF203" s="447"/>
      <c r="BG203" s="447"/>
      <c r="BH203" s="221"/>
      <c r="BI203" s="221"/>
      <c r="BJ203" s="221"/>
      <c r="BK203" s="221"/>
      <c r="BL203" s="221"/>
      <c r="BM203" s="221"/>
      <c r="BN203" s="221"/>
      <c r="BO203" s="221"/>
      <c r="BP203" s="221"/>
      <c r="BQ203" s="221"/>
      <c r="BR203" s="221"/>
      <c r="BS203" s="221"/>
      <c r="BT203" s="221"/>
      <c r="BU203" s="221"/>
      <c r="BV203" s="221"/>
      <c r="BW203" s="221"/>
      <c r="BX203" s="221"/>
      <c r="BY203" s="221"/>
      <c r="BZ203" s="221"/>
      <c r="CA203" s="221"/>
      <c r="CB203" s="221"/>
      <c r="CC203" s="221"/>
      <c r="CD203" s="221"/>
      <c r="CE203" s="221"/>
      <c r="CF203" s="221"/>
      <c r="CG203" s="221"/>
      <c r="CH203" s="221"/>
      <c r="CI203" s="221"/>
      <c r="CJ203" s="221"/>
      <c r="CK203" s="221"/>
      <c r="CL203" s="221"/>
      <c r="CM203" s="221"/>
      <c r="CN203" s="221"/>
      <c r="CO203" s="221"/>
      <c r="CP203" s="221"/>
      <c r="CQ203" s="221"/>
      <c r="CR203" s="221"/>
      <c r="CS203" s="221"/>
      <c r="CT203" s="221"/>
      <c r="CU203" s="221"/>
      <c r="CV203" s="221"/>
      <c r="CW203" s="221"/>
      <c r="CX203" s="221"/>
      <c r="CY203" s="221"/>
      <c r="CZ203" s="221"/>
      <c r="DA203" s="221"/>
      <c r="DB203" s="221"/>
      <c r="DC203" s="221"/>
      <c r="DD203" s="221"/>
      <c r="DE203" s="221"/>
      <c r="DF203" s="221"/>
      <c r="DG203" s="221"/>
      <c r="DH203" s="221"/>
      <c r="DI203" s="221"/>
      <c r="DJ203" s="221"/>
      <c r="DK203" s="221"/>
      <c r="DL203" s="221"/>
      <c r="DM203" s="221"/>
      <c r="DN203" s="221"/>
      <c r="DO203" s="221"/>
      <c r="DP203" s="221"/>
      <c r="DQ203" s="221"/>
      <c r="DR203" s="221"/>
      <c r="DS203" s="221"/>
      <c r="DT203" s="221"/>
      <c r="DU203" s="221"/>
      <c r="DV203" s="221"/>
      <c r="DW203" s="221"/>
      <c r="DX203" s="221"/>
      <c r="DY203" s="221"/>
      <c r="DZ203" s="221"/>
      <c r="EA203" s="221"/>
      <c r="EB203" s="221"/>
      <c r="EC203" s="221"/>
      <c r="ED203" s="221"/>
      <c r="EE203" s="221"/>
      <c r="EF203" s="221"/>
      <c r="EG203" s="221"/>
      <c r="EH203" s="221"/>
      <c r="EI203" s="221"/>
      <c r="EJ203" s="221"/>
      <c r="EK203" s="221"/>
      <c r="EL203" s="221"/>
      <c r="EM203" s="221"/>
      <c r="EN203" s="221"/>
      <c r="EO203" s="221"/>
      <c r="EP203" s="221"/>
      <c r="EQ203" s="221"/>
      <c r="ER203" s="221"/>
      <c r="ES203" s="221"/>
      <c r="ET203" s="221"/>
      <c r="EU203" s="221"/>
      <c r="EV203" s="221"/>
      <c r="EW203" s="221"/>
      <c r="EX203" s="221"/>
      <c r="EY203" s="221"/>
      <c r="EZ203" s="221"/>
      <c r="FA203" s="221"/>
      <c r="FB203" s="221"/>
      <c r="FC203" s="221"/>
      <c r="FD203" s="221"/>
      <c r="FE203" s="221"/>
      <c r="FF203" s="221"/>
      <c r="FG203" s="221"/>
      <c r="FH203" s="221"/>
      <c r="FI203" s="221"/>
      <c r="FJ203" s="221"/>
      <c r="FK203" s="221"/>
      <c r="FL203" s="221"/>
      <c r="FM203" s="221"/>
      <c r="FN203" s="221"/>
      <c r="FO203" s="221"/>
      <c r="FP203" s="221"/>
      <c r="FQ203" s="221"/>
      <c r="FR203" s="221"/>
      <c r="FS203" s="221"/>
      <c r="FT203" s="221"/>
      <c r="FU203" s="221"/>
      <c r="FV203" s="221"/>
      <c r="FW203" s="221"/>
      <c r="FX203" s="221"/>
      <c r="FY203" s="221"/>
      <c r="FZ203" s="221"/>
      <c r="GA203" s="221"/>
      <c r="GB203" s="221"/>
      <c r="GC203" s="221"/>
      <c r="GD203" s="221"/>
      <c r="GE203" s="221"/>
      <c r="GF203" s="221"/>
      <c r="GG203" s="221"/>
      <c r="GH203" s="221"/>
      <c r="GI203" s="221"/>
      <c r="GJ203" s="221"/>
      <c r="GK203" s="221"/>
      <c r="GL203" s="221"/>
      <c r="GM203" s="221"/>
      <c r="GN203" s="221"/>
      <c r="GO203" s="221"/>
      <c r="GP203" s="221"/>
      <c r="GQ203" s="221"/>
      <c r="GR203" s="221"/>
      <c r="GS203" s="221"/>
      <c r="GT203" s="221"/>
      <c r="GU203" s="221"/>
      <c r="GV203" s="221"/>
      <c r="GW203" s="221"/>
      <c r="GX203" s="221"/>
      <c r="GY203" s="221"/>
      <c r="GZ203" s="221"/>
      <c r="HA203" s="221"/>
      <c r="HB203" s="221"/>
      <c r="HC203" s="221"/>
      <c r="HD203" s="221"/>
      <c r="HE203" s="221"/>
      <c r="HF203" s="221"/>
      <c r="HG203" s="221"/>
      <c r="HH203" s="221"/>
      <c r="HI203" s="221"/>
      <c r="HJ203" s="221"/>
      <c r="HK203" s="221"/>
      <c r="HL203" s="221"/>
      <c r="HM203" s="221"/>
      <c r="HN203" s="221"/>
      <c r="HO203" s="221"/>
      <c r="HP203" s="221"/>
      <c r="HQ203" s="221"/>
      <c r="HR203" s="221"/>
      <c r="HS203" s="221"/>
      <c r="HT203" s="221"/>
      <c r="HU203" s="221"/>
      <c r="HV203" s="221"/>
      <c r="HW203" s="221"/>
      <c r="HX203" s="221"/>
      <c r="HY203" s="221"/>
      <c r="HZ203" s="221"/>
      <c r="IA203" s="221"/>
      <c r="IB203" s="221"/>
      <c r="IC203" s="221"/>
      <c r="ID203" s="221"/>
      <c r="IE203" s="221"/>
      <c r="IF203" s="221"/>
      <c r="IG203" s="221"/>
      <c r="IH203" s="221"/>
      <c r="II203" s="221"/>
      <c r="IJ203" s="221"/>
      <c r="IK203" s="221"/>
      <c r="IL203" s="221"/>
      <c r="IM203" s="221"/>
      <c r="IN203" s="221"/>
      <c r="IO203" s="221"/>
      <c r="IP203" s="221"/>
      <c r="IQ203" s="221"/>
      <c r="IR203" s="221"/>
      <c r="IS203" s="221"/>
      <c r="IT203" s="221"/>
      <c r="IU203" s="221"/>
      <c r="IV203" s="221"/>
      <c r="IW203" s="221"/>
      <c r="IX203" s="221"/>
      <c r="IY203" s="221"/>
      <c r="IZ203" s="221"/>
      <c r="JA203" s="221"/>
      <c r="JB203" s="221"/>
      <c r="JC203" s="221"/>
      <c r="JD203" s="221"/>
      <c r="JE203" s="221"/>
      <c r="JF203" s="221"/>
      <c r="JG203" s="221"/>
      <c r="JH203" s="221"/>
      <c r="JI203" s="221"/>
      <c r="JJ203" s="221"/>
      <c r="JK203" s="221"/>
      <c r="JL203" s="221"/>
      <c r="JM203" s="221"/>
      <c r="JN203" s="221"/>
      <c r="JO203" s="221"/>
      <c r="JP203" s="221"/>
      <c r="JQ203" s="221"/>
    </row>
    <row r="204" spans="1:277" ht="20" customHeight="1" outlineLevel="1">
      <c r="A204" s="456">
        <v>1904031</v>
      </c>
      <c r="B204" s="695">
        <v>42118</v>
      </c>
      <c r="C204" s="696" t="s">
        <v>44</v>
      </c>
      <c r="D204" s="696" t="s">
        <v>73</v>
      </c>
      <c r="E204" s="697" t="s">
        <v>500</v>
      </c>
      <c r="F204" s="698" t="s">
        <v>501</v>
      </c>
      <c r="G204" s="441" t="s">
        <v>1716</v>
      </c>
      <c r="H204" s="441" t="s">
        <v>1314</v>
      </c>
      <c r="I204" s="443" t="s">
        <v>155</v>
      </c>
      <c r="J204" s="444"/>
      <c r="K204" s="440"/>
      <c r="L204" s="445"/>
      <c r="M204" s="446">
        <v>42126</v>
      </c>
      <c r="N204" s="441" t="s">
        <v>502</v>
      </c>
      <c r="O204" s="441" t="s">
        <v>1706</v>
      </c>
      <c r="P204" s="567"/>
      <c r="Q204" s="626"/>
      <c r="R204" s="586">
        <v>0</v>
      </c>
      <c r="S204" s="585">
        <v>0</v>
      </c>
      <c r="T204" s="602">
        <v>0</v>
      </c>
      <c r="U204" s="594">
        <v>0</v>
      </c>
      <c r="V204" s="585">
        <v>4</v>
      </c>
      <c r="W204" s="602">
        <v>0</v>
      </c>
      <c r="X204" s="594">
        <v>0</v>
      </c>
      <c r="Y204" s="585">
        <v>0</v>
      </c>
      <c r="Z204" s="602">
        <v>0</v>
      </c>
      <c r="AA204" s="594">
        <v>0</v>
      </c>
      <c r="AB204" s="585">
        <v>0</v>
      </c>
      <c r="AC204" s="602">
        <v>0</v>
      </c>
      <c r="AD204" s="594">
        <v>0</v>
      </c>
      <c r="AE204" s="594">
        <v>0</v>
      </c>
      <c r="AF204" s="594">
        <v>0</v>
      </c>
      <c r="AG204" s="585">
        <v>0</v>
      </c>
      <c r="AH204" s="602">
        <v>0</v>
      </c>
      <c r="AI204" s="609">
        <v>0</v>
      </c>
      <c r="AJ204" s="609">
        <v>0</v>
      </c>
      <c r="AK204" s="741"/>
      <c r="AL204" s="527"/>
      <c r="AM204" s="441" t="s">
        <v>157</v>
      </c>
      <c r="AN204" s="447">
        <f>4*PRODUCTS!F3</f>
        <v>218.92</v>
      </c>
      <c r="AO204" s="444" t="s">
        <v>1689</v>
      </c>
      <c r="AP204" s="37">
        <f t="shared" si="17"/>
        <v>380</v>
      </c>
      <c r="AQ204" s="795">
        <f t="shared" si="18"/>
        <v>161.08000000000001</v>
      </c>
      <c r="AR204" s="831">
        <f t="shared" si="15"/>
        <v>0.42389473684210527</v>
      </c>
      <c r="AS204" s="821">
        <v>42119</v>
      </c>
      <c r="AT204" s="444" t="s">
        <v>1703</v>
      </c>
      <c r="AU204" s="448">
        <v>1</v>
      </c>
      <c r="AV204" s="444" t="s">
        <v>282</v>
      </c>
      <c r="AW204" s="449" t="s">
        <v>1704</v>
      </c>
      <c r="AX204" s="447">
        <v>208.9</v>
      </c>
      <c r="AY204" s="440" t="s">
        <v>1787</v>
      </c>
      <c r="AZ204" s="447">
        <v>190.75</v>
      </c>
      <c r="BA204" s="31" t="s">
        <v>47</v>
      </c>
      <c r="BB204" s="41">
        <v>0</v>
      </c>
      <c r="BC204" s="447"/>
      <c r="BD204" s="447"/>
      <c r="BE204" s="447"/>
      <c r="BF204" s="447"/>
      <c r="BG204" s="447"/>
      <c r="BH204" s="221"/>
      <c r="BI204" s="221"/>
      <c r="BJ204" s="221"/>
      <c r="BK204" s="221"/>
      <c r="BL204" s="221"/>
      <c r="BM204" s="221"/>
      <c r="BN204" s="221"/>
      <c r="BO204" s="221"/>
      <c r="BP204" s="221"/>
      <c r="BQ204" s="221"/>
      <c r="BR204" s="221"/>
      <c r="BS204" s="221"/>
      <c r="BT204" s="221"/>
      <c r="BU204" s="221"/>
      <c r="BV204" s="221"/>
      <c r="BW204" s="221"/>
      <c r="BX204" s="221"/>
      <c r="BY204" s="221"/>
      <c r="BZ204" s="221"/>
      <c r="CA204" s="221"/>
      <c r="CB204" s="221"/>
      <c r="CC204" s="221"/>
      <c r="CD204" s="221"/>
      <c r="CE204" s="221"/>
      <c r="CF204" s="221"/>
      <c r="CG204" s="221"/>
      <c r="CH204" s="221"/>
      <c r="CI204" s="221"/>
      <c r="CJ204" s="221"/>
      <c r="CK204" s="221"/>
      <c r="CL204" s="221"/>
      <c r="CM204" s="221"/>
      <c r="CN204" s="221"/>
      <c r="CO204" s="221"/>
      <c r="CP204" s="221"/>
      <c r="CQ204" s="221"/>
      <c r="CR204" s="221"/>
      <c r="CS204" s="221"/>
      <c r="CT204" s="221"/>
      <c r="CU204" s="221"/>
      <c r="CV204" s="221"/>
      <c r="CW204" s="221"/>
      <c r="CX204" s="221"/>
      <c r="CY204" s="221"/>
      <c r="CZ204" s="221"/>
      <c r="DA204" s="221"/>
      <c r="DB204" s="221"/>
      <c r="DC204" s="221"/>
      <c r="DD204" s="221"/>
      <c r="DE204" s="221"/>
      <c r="DF204" s="221"/>
      <c r="DG204" s="221"/>
      <c r="DH204" s="221"/>
      <c r="DI204" s="221"/>
      <c r="DJ204" s="221"/>
      <c r="DK204" s="221"/>
      <c r="DL204" s="221"/>
      <c r="DM204" s="221"/>
      <c r="DN204" s="221"/>
      <c r="DO204" s="221"/>
      <c r="DP204" s="221"/>
      <c r="DQ204" s="221"/>
      <c r="DR204" s="221"/>
      <c r="DS204" s="221"/>
      <c r="DT204" s="221"/>
      <c r="DU204" s="221"/>
      <c r="DV204" s="221"/>
      <c r="DW204" s="221"/>
      <c r="DX204" s="221"/>
      <c r="DY204" s="221"/>
      <c r="DZ204" s="221"/>
      <c r="EA204" s="221"/>
      <c r="EB204" s="221"/>
      <c r="EC204" s="221"/>
      <c r="ED204" s="221"/>
      <c r="EE204" s="221"/>
      <c r="EF204" s="221"/>
      <c r="EG204" s="221"/>
      <c r="EH204" s="221"/>
      <c r="EI204" s="221"/>
      <c r="EJ204" s="221"/>
      <c r="EK204" s="221"/>
      <c r="EL204" s="221"/>
      <c r="EM204" s="221"/>
      <c r="EN204" s="221"/>
      <c r="EO204" s="221"/>
      <c r="EP204" s="221"/>
      <c r="EQ204" s="221"/>
      <c r="ER204" s="221"/>
      <c r="ES204" s="221"/>
      <c r="ET204" s="221"/>
      <c r="EU204" s="221"/>
      <c r="EV204" s="221"/>
      <c r="EW204" s="221"/>
      <c r="EX204" s="221"/>
      <c r="EY204" s="221"/>
      <c r="EZ204" s="221"/>
      <c r="FA204" s="221"/>
      <c r="FB204" s="221"/>
      <c r="FC204" s="221"/>
      <c r="FD204" s="221"/>
      <c r="FE204" s="221"/>
      <c r="FF204" s="221"/>
      <c r="FG204" s="221"/>
      <c r="FH204" s="221"/>
      <c r="FI204" s="221"/>
      <c r="FJ204" s="221"/>
      <c r="FK204" s="221"/>
      <c r="FL204" s="221"/>
      <c r="FM204" s="221"/>
      <c r="FN204" s="221"/>
      <c r="FO204" s="221"/>
      <c r="FP204" s="221"/>
      <c r="FQ204" s="221"/>
      <c r="FR204" s="221"/>
      <c r="FS204" s="221"/>
      <c r="FT204" s="221"/>
      <c r="FU204" s="221"/>
      <c r="FV204" s="221"/>
      <c r="FW204" s="221"/>
      <c r="FX204" s="221"/>
      <c r="FY204" s="221"/>
      <c r="FZ204" s="221"/>
      <c r="GA204" s="221"/>
      <c r="GB204" s="221"/>
      <c r="GC204" s="221"/>
      <c r="GD204" s="221"/>
      <c r="GE204" s="221"/>
      <c r="GF204" s="221"/>
      <c r="GG204" s="221"/>
      <c r="GH204" s="221"/>
      <c r="GI204" s="221"/>
      <c r="GJ204" s="221"/>
      <c r="GK204" s="221"/>
      <c r="GL204" s="221"/>
      <c r="GM204" s="221"/>
      <c r="GN204" s="221"/>
      <c r="GO204" s="221"/>
      <c r="GP204" s="221"/>
      <c r="GQ204" s="221"/>
      <c r="GR204" s="221"/>
      <c r="GS204" s="221"/>
      <c r="GT204" s="221"/>
      <c r="GU204" s="221"/>
      <c r="GV204" s="221"/>
      <c r="GW204" s="221"/>
      <c r="GX204" s="221"/>
      <c r="GY204" s="221"/>
      <c r="GZ204" s="221"/>
      <c r="HA204" s="221"/>
      <c r="HB204" s="221"/>
      <c r="HC204" s="221"/>
      <c r="HD204" s="221"/>
      <c r="HE204" s="221"/>
      <c r="HF204" s="221"/>
      <c r="HG204" s="221"/>
      <c r="HH204" s="221"/>
      <c r="HI204" s="221"/>
      <c r="HJ204" s="221"/>
      <c r="HK204" s="221"/>
      <c r="HL204" s="221"/>
      <c r="HM204" s="221"/>
      <c r="HN204" s="221"/>
      <c r="HO204" s="221"/>
      <c r="HP204" s="221"/>
      <c r="HQ204" s="221"/>
      <c r="HR204" s="221"/>
      <c r="HS204" s="221"/>
      <c r="HT204" s="221"/>
      <c r="HU204" s="221"/>
      <c r="HV204" s="221"/>
      <c r="HW204" s="221"/>
      <c r="HX204" s="221"/>
      <c r="HY204" s="221"/>
      <c r="HZ204" s="221"/>
      <c r="IA204" s="221"/>
      <c r="IB204" s="221"/>
      <c r="IC204" s="221"/>
      <c r="ID204" s="221"/>
      <c r="IE204" s="221"/>
      <c r="IF204" s="221"/>
      <c r="IG204" s="221"/>
      <c r="IH204" s="221"/>
      <c r="II204" s="221"/>
      <c r="IJ204" s="221"/>
      <c r="IK204" s="221"/>
      <c r="IL204" s="221"/>
      <c r="IM204" s="221"/>
      <c r="IN204" s="221"/>
      <c r="IO204" s="221"/>
      <c r="IP204" s="221"/>
      <c r="IQ204" s="221"/>
      <c r="IR204" s="221"/>
      <c r="IS204" s="221"/>
      <c r="IT204" s="221"/>
      <c r="IU204" s="221"/>
      <c r="IV204" s="221"/>
      <c r="IW204" s="221"/>
      <c r="IX204" s="221"/>
      <c r="IY204" s="221"/>
      <c r="IZ204" s="221"/>
      <c r="JA204" s="221"/>
      <c r="JB204" s="221"/>
      <c r="JC204" s="221"/>
      <c r="JD204" s="221"/>
      <c r="JE204" s="221"/>
      <c r="JF204" s="221"/>
      <c r="JG204" s="221"/>
      <c r="JH204" s="221"/>
      <c r="JI204" s="221"/>
      <c r="JJ204" s="221"/>
      <c r="JK204" s="221"/>
      <c r="JL204" s="221"/>
      <c r="JM204" s="221"/>
      <c r="JN204" s="221"/>
      <c r="JO204" s="221"/>
      <c r="JP204" s="221"/>
      <c r="JQ204" s="221"/>
    </row>
    <row r="205" spans="1:277" ht="20" customHeight="1" outlineLevel="1">
      <c r="A205" s="456">
        <v>1904032</v>
      </c>
      <c r="B205" s="695">
        <v>42122</v>
      </c>
      <c r="C205" s="696" t="s">
        <v>1523</v>
      </c>
      <c r="D205" s="696" t="s">
        <v>73</v>
      </c>
      <c r="E205" s="697" t="s">
        <v>60</v>
      </c>
      <c r="F205" s="698" t="s">
        <v>47</v>
      </c>
      <c r="G205" s="442" t="s">
        <v>1693</v>
      </c>
      <c r="H205" s="441" t="s">
        <v>1314</v>
      </c>
      <c r="I205" s="443">
        <v>191730</v>
      </c>
      <c r="J205" s="444" t="s">
        <v>62</v>
      </c>
      <c r="K205" s="440" t="s">
        <v>50</v>
      </c>
      <c r="L205" s="341">
        <v>169307425</v>
      </c>
      <c r="M205" s="250">
        <v>42122</v>
      </c>
      <c r="N205" s="441" t="s">
        <v>236</v>
      </c>
      <c r="O205" s="441" t="s">
        <v>1708</v>
      </c>
      <c r="P205" s="568" t="s">
        <v>1709</v>
      </c>
      <c r="Q205" s="373"/>
      <c r="R205" s="586">
        <v>0</v>
      </c>
      <c r="S205" s="585">
        <v>0</v>
      </c>
      <c r="T205" s="602">
        <v>0</v>
      </c>
      <c r="U205" s="594">
        <v>0</v>
      </c>
      <c r="V205" s="585">
        <v>1</v>
      </c>
      <c r="W205" s="602">
        <v>0</v>
      </c>
      <c r="X205" s="594">
        <v>0</v>
      </c>
      <c r="Y205" s="585">
        <v>0</v>
      </c>
      <c r="Z205" s="602">
        <v>0</v>
      </c>
      <c r="AA205" s="594">
        <v>0</v>
      </c>
      <c r="AB205" s="585">
        <v>0</v>
      </c>
      <c r="AC205" s="602">
        <v>0</v>
      </c>
      <c r="AD205" s="594">
        <v>0</v>
      </c>
      <c r="AE205" s="594">
        <v>0</v>
      </c>
      <c r="AF205" s="594">
        <v>0</v>
      </c>
      <c r="AG205" s="585">
        <v>3</v>
      </c>
      <c r="AH205" s="602">
        <v>0</v>
      </c>
      <c r="AI205" s="609">
        <v>0</v>
      </c>
      <c r="AJ205" s="609">
        <v>0</v>
      </c>
      <c r="AK205" s="741"/>
      <c r="AL205" s="527" t="s">
        <v>1680</v>
      </c>
      <c r="AM205" s="441" t="s">
        <v>1685</v>
      </c>
      <c r="AN205" s="447">
        <f>3*PRODUCTS!C3+1*PRODUCTS!F3</f>
        <v>246.7</v>
      </c>
      <c r="AO205" s="440" t="s">
        <v>123</v>
      </c>
      <c r="AP205" s="37">
        <v>0</v>
      </c>
      <c r="AQ205" s="795">
        <f t="shared" si="13"/>
        <v>-246.7</v>
      </c>
      <c r="AR205" s="831" t="e">
        <f t="shared" si="15"/>
        <v>#DIV/0!</v>
      </c>
      <c r="AS205" s="821" t="s">
        <v>123</v>
      </c>
      <c r="AT205" s="440" t="s">
        <v>1254</v>
      </c>
      <c r="AU205" s="448">
        <v>1</v>
      </c>
      <c r="AV205" s="440" t="s">
        <v>282</v>
      </c>
      <c r="AW205" s="452" t="s">
        <v>1704</v>
      </c>
      <c r="AX205" s="447">
        <v>0</v>
      </c>
      <c r="AY205" s="440" t="s">
        <v>1786</v>
      </c>
      <c r="AZ205" s="447">
        <v>8.64</v>
      </c>
      <c r="BA205" s="31" t="s">
        <v>47</v>
      </c>
      <c r="BB205" s="41">
        <v>0</v>
      </c>
      <c r="BC205" s="447"/>
      <c r="BD205" s="447"/>
      <c r="BE205" s="447"/>
      <c r="BF205" s="447"/>
      <c r="BG205" s="447"/>
      <c r="BH205" s="221"/>
      <c r="BI205" s="221"/>
      <c r="BJ205" s="221"/>
      <c r="BK205" s="221"/>
      <c r="BL205" s="221"/>
      <c r="BM205" s="221"/>
      <c r="BN205" s="221"/>
      <c r="BO205" s="221"/>
      <c r="BP205" s="221"/>
      <c r="BQ205" s="221"/>
      <c r="BR205" s="221"/>
      <c r="BS205" s="221"/>
      <c r="BT205" s="221"/>
      <c r="BU205" s="221"/>
      <c r="BV205" s="221"/>
      <c r="BW205" s="221"/>
      <c r="BX205" s="221"/>
      <c r="BY205" s="221"/>
      <c r="BZ205" s="221"/>
      <c r="CA205" s="221"/>
      <c r="CB205" s="221"/>
      <c r="CC205" s="221"/>
      <c r="CD205" s="221"/>
      <c r="CE205" s="221"/>
      <c r="CF205" s="221"/>
      <c r="CG205" s="221"/>
      <c r="CH205" s="221"/>
      <c r="CI205" s="221"/>
      <c r="CJ205" s="221"/>
      <c r="CK205" s="221"/>
      <c r="CL205" s="221"/>
      <c r="CM205" s="221"/>
      <c r="CN205" s="221"/>
      <c r="CO205" s="221"/>
      <c r="CP205" s="221"/>
      <c r="CQ205" s="221"/>
      <c r="CR205" s="221"/>
      <c r="CS205" s="221"/>
      <c r="CT205" s="221"/>
      <c r="CU205" s="221"/>
      <c r="CV205" s="221"/>
      <c r="CW205" s="221"/>
      <c r="CX205" s="221"/>
      <c r="CY205" s="221"/>
      <c r="CZ205" s="221"/>
      <c r="DA205" s="221"/>
      <c r="DB205" s="221"/>
      <c r="DC205" s="221"/>
      <c r="DD205" s="221"/>
      <c r="DE205" s="221"/>
      <c r="DF205" s="221"/>
      <c r="DG205" s="221"/>
      <c r="DH205" s="221"/>
      <c r="DI205" s="221"/>
      <c r="DJ205" s="221"/>
      <c r="DK205" s="221"/>
      <c r="DL205" s="221"/>
      <c r="DM205" s="221"/>
      <c r="DN205" s="221"/>
      <c r="DO205" s="221"/>
      <c r="DP205" s="221"/>
      <c r="DQ205" s="221"/>
      <c r="DR205" s="221"/>
      <c r="DS205" s="221"/>
      <c r="DT205" s="221"/>
      <c r="DU205" s="221"/>
      <c r="DV205" s="221"/>
      <c r="DW205" s="221"/>
      <c r="DX205" s="221"/>
      <c r="DY205" s="221"/>
      <c r="DZ205" s="221"/>
      <c r="EA205" s="221"/>
      <c r="EB205" s="221"/>
      <c r="EC205" s="221"/>
      <c r="ED205" s="221"/>
      <c r="EE205" s="221"/>
      <c r="EF205" s="221"/>
      <c r="EG205" s="221"/>
      <c r="EH205" s="221"/>
      <c r="EI205" s="221"/>
      <c r="EJ205" s="221"/>
      <c r="EK205" s="221"/>
      <c r="EL205" s="221"/>
      <c r="EM205" s="221"/>
      <c r="EN205" s="221"/>
      <c r="EO205" s="221"/>
      <c r="EP205" s="221"/>
      <c r="EQ205" s="221"/>
      <c r="ER205" s="221"/>
      <c r="ES205" s="221"/>
      <c r="ET205" s="221"/>
      <c r="EU205" s="221"/>
      <c r="EV205" s="221"/>
      <c r="EW205" s="221"/>
      <c r="EX205" s="221"/>
      <c r="EY205" s="221"/>
      <c r="EZ205" s="221"/>
      <c r="FA205" s="221"/>
      <c r="FB205" s="221"/>
      <c r="FC205" s="221"/>
      <c r="FD205" s="221"/>
      <c r="FE205" s="221"/>
      <c r="FF205" s="221"/>
      <c r="FG205" s="221"/>
      <c r="FH205" s="221"/>
      <c r="FI205" s="221"/>
      <c r="FJ205" s="221"/>
      <c r="FK205" s="221"/>
      <c r="FL205" s="221"/>
      <c r="FM205" s="221"/>
      <c r="FN205" s="221"/>
      <c r="FO205" s="221"/>
      <c r="FP205" s="221"/>
      <c r="FQ205" s="221"/>
      <c r="FR205" s="221"/>
      <c r="FS205" s="221"/>
      <c r="FT205" s="221"/>
      <c r="FU205" s="221"/>
      <c r="FV205" s="221"/>
      <c r="FW205" s="221"/>
      <c r="FX205" s="221"/>
      <c r="FY205" s="221"/>
      <c r="FZ205" s="221"/>
      <c r="GA205" s="221"/>
      <c r="GB205" s="221"/>
      <c r="GC205" s="221"/>
      <c r="GD205" s="221"/>
      <c r="GE205" s="221"/>
      <c r="GF205" s="221"/>
      <c r="GG205" s="221"/>
      <c r="GH205" s="221"/>
      <c r="GI205" s="221"/>
      <c r="GJ205" s="221"/>
      <c r="GK205" s="221"/>
      <c r="GL205" s="221"/>
      <c r="GM205" s="221"/>
      <c r="GN205" s="221"/>
      <c r="GO205" s="221"/>
      <c r="GP205" s="221"/>
      <c r="GQ205" s="221"/>
      <c r="GR205" s="221"/>
      <c r="GS205" s="221"/>
      <c r="GT205" s="221"/>
      <c r="GU205" s="221"/>
      <c r="GV205" s="221"/>
      <c r="GW205" s="221"/>
      <c r="GX205" s="221"/>
      <c r="GY205" s="221"/>
      <c r="GZ205" s="221"/>
      <c r="HA205" s="221"/>
      <c r="HB205" s="221"/>
      <c r="HC205" s="221"/>
      <c r="HD205" s="221"/>
      <c r="HE205" s="221"/>
      <c r="HF205" s="221"/>
      <c r="HG205" s="221"/>
      <c r="HH205" s="221"/>
      <c r="HI205" s="221"/>
      <c r="HJ205" s="221"/>
      <c r="HK205" s="221"/>
      <c r="HL205" s="221"/>
      <c r="HM205" s="221"/>
      <c r="HN205" s="221"/>
      <c r="HO205" s="221"/>
      <c r="HP205" s="221"/>
      <c r="HQ205" s="221"/>
      <c r="HR205" s="221"/>
      <c r="HS205" s="221"/>
      <c r="HT205" s="221"/>
      <c r="HU205" s="221"/>
      <c r="HV205" s="221"/>
      <c r="HW205" s="221"/>
      <c r="HX205" s="221"/>
      <c r="HY205" s="221"/>
      <c r="HZ205" s="221"/>
      <c r="IA205" s="221"/>
      <c r="IB205" s="221"/>
      <c r="IC205" s="221"/>
      <c r="ID205" s="221"/>
      <c r="IE205" s="221"/>
      <c r="IF205" s="221"/>
      <c r="IG205" s="221"/>
      <c r="IH205" s="221"/>
      <c r="II205" s="221"/>
      <c r="IJ205" s="221"/>
      <c r="IK205" s="221"/>
      <c r="IL205" s="221"/>
      <c r="IM205" s="221"/>
      <c r="IN205" s="221"/>
      <c r="IO205" s="221"/>
      <c r="IP205" s="221"/>
      <c r="IQ205" s="221"/>
      <c r="IR205" s="221"/>
      <c r="IS205" s="221"/>
      <c r="IT205" s="221"/>
      <c r="IU205" s="221"/>
      <c r="IV205" s="221"/>
      <c r="IW205" s="221"/>
      <c r="IX205" s="221"/>
      <c r="IY205" s="221"/>
      <c r="IZ205" s="221"/>
      <c r="JA205" s="221"/>
      <c r="JB205" s="221"/>
      <c r="JC205" s="221"/>
      <c r="JD205" s="221"/>
      <c r="JE205" s="221"/>
      <c r="JF205" s="221"/>
      <c r="JG205" s="221"/>
      <c r="JH205" s="221"/>
      <c r="JI205" s="221"/>
      <c r="JJ205" s="221"/>
      <c r="JK205" s="221"/>
      <c r="JL205" s="221"/>
      <c r="JM205" s="221"/>
      <c r="JN205" s="221"/>
      <c r="JO205" s="221"/>
      <c r="JP205" s="221"/>
      <c r="JQ205" s="221"/>
    </row>
    <row r="206" spans="1:277" ht="20" customHeight="1" outlineLevel="1">
      <c r="A206" s="456">
        <v>1904033</v>
      </c>
      <c r="B206" s="695">
        <v>42122</v>
      </c>
      <c r="C206" s="696" t="s">
        <v>67</v>
      </c>
      <c r="D206" s="696" t="s">
        <v>96</v>
      </c>
      <c r="E206" s="697" t="s">
        <v>60</v>
      </c>
      <c r="F206" s="698" t="s">
        <v>1717</v>
      </c>
      <c r="G206" s="442" t="s">
        <v>1718</v>
      </c>
      <c r="H206" s="441" t="s">
        <v>1314</v>
      </c>
      <c r="I206" s="443">
        <v>191746</v>
      </c>
      <c r="J206" s="444" t="s">
        <v>62</v>
      </c>
      <c r="K206" s="440" t="s">
        <v>50</v>
      </c>
      <c r="L206" s="445">
        <v>169582042</v>
      </c>
      <c r="M206" s="446">
        <v>42123</v>
      </c>
      <c r="N206" s="441" t="s">
        <v>338</v>
      </c>
      <c r="O206" s="441" t="s">
        <v>1719</v>
      </c>
      <c r="P206" s="567"/>
      <c r="Q206" s="626"/>
      <c r="R206" s="586">
        <v>0</v>
      </c>
      <c r="S206" s="585">
        <v>0</v>
      </c>
      <c r="T206" s="602">
        <v>0</v>
      </c>
      <c r="U206" s="594">
        <v>0</v>
      </c>
      <c r="V206" s="585">
        <v>0</v>
      </c>
      <c r="W206" s="602">
        <v>0</v>
      </c>
      <c r="X206" s="594">
        <v>4</v>
      </c>
      <c r="Y206" s="585">
        <v>0</v>
      </c>
      <c r="Z206" s="602">
        <v>0</v>
      </c>
      <c r="AA206" s="594">
        <v>0</v>
      </c>
      <c r="AB206" s="585">
        <v>0</v>
      </c>
      <c r="AC206" s="602">
        <v>0</v>
      </c>
      <c r="AD206" s="594">
        <v>0</v>
      </c>
      <c r="AE206" s="594">
        <v>0</v>
      </c>
      <c r="AF206" s="594">
        <v>0</v>
      </c>
      <c r="AG206" s="585">
        <v>0</v>
      </c>
      <c r="AH206" s="602">
        <v>0</v>
      </c>
      <c r="AI206" s="609">
        <v>0</v>
      </c>
      <c r="AJ206" s="609">
        <v>0</v>
      </c>
      <c r="AK206" s="741"/>
      <c r="AL206" s="527" t="s">
        <v>376</v>
      </c>
      <c r="AM206" s="441">
        <v>191084</v>
      </c>
      <c r="AN206" s="447">
        <v>32</v>
      </c>
      <c r="AO206" s="444" t="s">
        <v>1720</v>
      </c>
      <c r="AP206" s="37">
        <v>224</v>
      </c>
      <c r="AQ206" s="795">
        <f t="shared" si="13"/>
        <v>192</v>
      </c>
      <c r="AR206" s="831">
        <f t="shared" si="15"/>
        <v>0.8571428571428571</v>
      </c>
      <c r="AS206" s="821">
        <v>42122</v>
      </c>
      <c r="AT206" s="444" t="s">
        <v>1254</v>
      </c>
      <c r="AU206" s="448">
        <v>1</v>
      </c>
      <c r="AV206" s="444" t="s">
        <v>1721</v>
      </c>
      <c r="AW206" s="449" t="s">
        <v>1722</v>
      </c>
      <c r="AX206" s="447">
        <v>0</v>
      </c>
      <c r="AY206" s="440" t="s">
        <v>1786</v>
      </c>
      <c r="AZ206" s="447">
        <v>7.68</v>
      </c>
      <c r="BA206" s="31" t="s">
        <v>47</v>
      </c>
      <c r="BB206" s="41">
        <v>0</v>
      </c>
      <c r="BC206" s="447"/>
      <c r="BD206" s="447"/>
      <c r="BE206" s="447"/>
      <c r="BF206" s="447"/>
      <c r="BG206" s="447"/>
      <c r="BH206" s="221"/>
      <c r="BI206" s="221"/>
      <c r="BJ206" s="221"/>
      <c r="BK206" s="221"/>
      <c r="BL206" s="221"/>
      <c r="BM206" s="221"/>
      <c r="BN206" s="221"/>
      <c r="BO206" s="221"/>
      <c r="BP206" s="221"/>
      <c r="BQ206" s="221"/>
      <c r="BR206" s="221"/>
      <c r="BS206" s="221"/>
      <c r="BT206" s="221"/>
      <c r="BU206" s="221"/>
      <c r="BV206" s="221"/>
      <c r="BW206" s="221"/>
      <c r="BX206" s="221"/>
      <c r="BY206" s="221"/>
      <c r="BZ206" s="221"/>
      <c r="CA206" s="221"/>
      <c r="CB206" s="221"/>
      <c r="CC206" s="221"/>
      <c r="CD206" s="221"/>
      <c r="CE206" s="221"/>
      <c r="CF206" s="221"/>
      <c r="CG206" s="221"/>
      <c r="CH206" s="221"/>
      <c r="CI206" s="221"/>
      <c r="CJ206" s="221"/>
      <c r="CK206" s="221"/>
      <c r="CL206" s="221"/>
      <c r="CM206" s="221"/>
      <c r="CN206" s="221"/>
      <c r="CO206" s="221"/>
      <c r="CP206" s="221"/>
      <c r="CQ206" s="221"/>
      <c r="CR206" s="221"/>
      <c r="CS206" s="221"/>
      <c r="CT206" s="221"/>
      <c r="CU206" s="221"/>
      <c r="CV206" s="221"/>
      <c r="CW206" s="221"/>
      <c r="CX206" s="221"/>
      <c r="CY206" s="221"/>
      <c r="CZ206" s="221"/>
      <c r="DA206" s="221"/>
      <c r="DB206" s="221"/>
      <c r="DC206" s="221"/>
      <c r="DD206" s="221"/>
      <c r="DE206" s="221"/>
      <c r="DF206" s="221"/>
      <c r="DG206" s="221"/>
      <c r="DH206" s="221"/>
      <c r="DI206" s="221"/>
      <c r="DJ206" s="221"/>
      <c r="DK206" s="221"/>
      <c r="DL206" s="221"/>
      <c r="DM206" s="221"/>
      <c r="DN206" s="221"/>
      <c r="DO206" s="221"/>
      <c r="DP206" s="221"/>
      <c r="DQ206" s="221"/>
      <c r="DR206" s="221"/>
      <c r="DS206" s="221"/>
      <c r="DT206" s="221"/>
      <c r="DU206" s="221"/>
      <c r="DV206" s="221"/>
      <c r="DW206" s="221"/>
      <c r="DX206" s="221"/>
      <c r="DY206" s="221"/>
      <c r="DZ206" s="221"/>
      <c r="EA206" s="221"/>
      <c r="EB206" s="221"/>
      <c r="EC206" s="221"/>
      <c r="ED206" s="221"/>
      <c r="EE206" s="221"/>
      <c r="EF206" s="221"/>
      <c r="EG206" s="221"/>
      <c r="EH206" s="221"/>
      <c r="EI206" s="221"/>
      <c r="EJ206" s="221"/>
      <c r="EK206" s="221"/>
      <c r="EL206" s="221"/>
      <c r="EM206" s="221"/>
      <c r="EN206" s="221"/>
      <c r="EO206" s="221"/>
      <c r="EP206" s="221"/>
      <c r="EQ206" s="221"/>
      <c r="ER206" s="221"/>
      <c r="ES206" s="221"/>
      <c r="ET206" s="221"/>
      <c r="EU206" s="221"/>
      <c r="EV206" s="221"/>
      <c r="EW206" s="221"/>
      <c r="EX206" s="221"/>
      <c r="EY206" s="221"/>
      <c r="EZ206" s="221"/>
      <c r="FA206" s="221"/>
      <c r="FB206" s="221"/>
      <c r="FC206" s="221"/>
      <c r="FD206" s="221"/>
      <c r="FE206" s="221"/>
      <c r="FF206" s="221"/>
      <c r="FG206" s="221"/>
      <c r="FH206" s="221"/>
      <c r="FI206" s="221"/>
      <c r="FJ206" s="221"/>
      <c r="FK206" s="221"/>
      <c r="FL206" s="221"/>
      <c r="FM206" s="221"/>
      <c r="FN206" s="221"/>
      <c r="FO206" s="221"/>
      <c r="FP206" s="221"/>
      <c r="FQ206" s="221"/>
      <c r="FR206" s="221"/>
      <c r="FS206" s="221"/>
      <c r="FT206" s="221"/>
      <c r="FU206" s="221"/>
      <c r="FV206" s="221"/>
      <c r="FW206" s="221"/>
      <c r="FX206" s="221"/>
      <c r="FY206" s="221"/>
      <c r="FZ206" s="221"/>
      <c r="GA206" s="221"/>
      <c r="GB206" s="221"/>
      <c r="GC206" s="221"/>
      <c r="GD206" s="221"/>
      <c r="GE206" s="221"/>
      <c r="GF206" s="221"/>
      <c r="GG206" s="221"/>
      <c r="GH206" s="221"/>
      <c r="GI206" s="221"/>
      <c r="GJ206" s="221"/>
      <c r="GK206" s="221"/>
      <c r="GL206" s="221"/>
      <c r="GM206" s="221"/>
      <c r="GN206" s="221"/>
      <c r="GO206" s="221"/>
      <c r="GP206" s="221"/>
      <c r="GQ206" s="221"/>
      <c r="GR206" s="221"/>
      <c r="GS206" s="221"/>
      <c r="GT206" s="221"/>
      <c r="GU206" s="221"/>
      <c r="GV206" s="221"/>
      <c r="GW206" s="221"/>
      <c r="GX206" s="221"/>
      <c r="GY206" s="221"/>
      <c r="GZ206" s="221"/>
      <c r="HA206" s="221"/>
      <c r="HB206" s="221"/>
      <c r="HC206" s="221"/>
      <c r="HD206" s="221"/>
      <c r="HE206" s="221"/>
      <c r="HF206" s="221"/>
      <c r="HG206" s="221"/>
      <c r="HH206" s="221"/>
      <c r="HI206" s="221"/>
      <c r="HJ206" s="221"/>
      <c r="HK206" s="221"/>
      <c r="HL206" s="221"/>
      <c r="HM206" s="221"/>
      <c r="HN206" s="221"/>
      <c r="HO206" s="221"/>
      <c r="HP206" s="221"/>
      <c r="HQ206" s="221"/>
      <c r="HR206" s="221"/>
      <c r="HS206" s="221"/>
      <c r="HT206" s="221"/>
      <c r="HU206" s="221"/>
      <c r="HV206" s="221"/>
      <c r="HW206" s="221"/>
      <c r="HX206" s="221"/>
      <c r="HY206" s="221"/>
      <c r="HZ206" s="221"/>
      <c r="IA206" s="221"/>
      <c r="IB206" s="221"/>
      <c r="IC206" s="221"/>
      <c r="ID206" s="221"/>
      <c r="IE206" s="221"/>
      <c r="IF206" s="221"/>
      <c r="IG206" s="221"/>
      <c r="IH206" s="221"/>
      <c r="II206" s="221"/>
      <c r="IJ206" s="221"/>
      <c r="IK206" s="221"/>
      <c r="IL206" s="221"/>
      <c r="IM206" s="221"/>
      <c r="IN206" s="221"/>
      <c r="IO206" s="221"/>
      <c r="IP206" s="221"/>
      <c r="IQ206" s="221"/>
      <c r="IR206" s="221"/>
      <c r="IS206" s="221"/>
      <c r="IT206" s="221"/>
      <c r="IU206" s="221"/>
      <c r="IV206" s="221"/>
      <c r="IW206" s="221"/>
      <c r="IX206" s="221"/>
      <c r="IY206" s="221"/>
      <c r="IZ206" s="221"/>
      <c r="JA206" s="221"/>
      <c r="JB206" s="221"/>
      <c r="JC206" s="221"/>
      <c r="JD206" s="221"/>
      <c r="JE206" s="221"/>
      <c r="JF206" s="221"/>
      <c r="JG206" s="221"/>
      <c r="JH206" s="221"/>
      <c r="JI206" s="221"/>
      <c r="JJ206" s="221"/>
      <c r="JK206" s="221"/>
      <c r="JL206" s="221"/>
      <c r="JM206" s="221"/>
      <c r="JN206" s="221"/>
      <c r="JO206" s="221"/>
      <c r="JP206" s="221"/>
      <c r="JQ206" s="221"/>
    </row>
    <row r="207" spans="1:277" ht="20" customHeight="1" outlineLevel="1">
      <c r="A207" s="456">
        <v>1904034</v>
      </c>
      <c r="B207" s="695">
        <v>42123</v>
      </c>
      <c r="C207" s="696" t="s">
        <v>67</v>
      </c>
      <c r="D207" s="696" t="s">
        <v>1259</v>
      </c>
      <c r="E207" s="697" t="s">
        <v>60</v>
      </c>
      <c r="F207" s="698" t="s">
        <v>1729</v>
      </c>
      <c r="G207" s="441" t="s">
        <v>47</v>
      </c>
      <c r="H207" s="441" t="s">
        <v>1314</v>
      </c>
      <c r="I207" s="443" t="s">
        <v>92</v>
      </c>
      <c r="J207" s="444" t="s">
        <v>62</v>
      </c>
      <c r="K207" s="440" t="s">
        <v>50</v>
      </c>
      <c r="L207" s="445">
        <v>101508755</v>
      </c>
      <c r="M207" s="446">
        <v>42133</v>
      </c>
      <c r="N207" s="441" t="s">
        <v>1727</v>
      </c>
      <c r="O207" s="441" t="s">
        <v>1728</v>
      </c>
      <c r="P207" s="567"/>
      <c r="Q207" s="626"/>
      <c r="R207" s="586">
        <v>0</v>
      </c>
      <c r="S207" s="585">
        <v>0</v>
      </c>
      <c r="T207" s="602">
        <v>0</v>
      </c>
      <c r="U207" s="594">
        <v>0</v>
      </c>
      <c r="V207" s="585">
        <v>0</v>
      </c>
      <c r="W207" s="602">
        <v>2</v>
      </c>
      <c r="X207" s="594">
        <v>0</v>
      </c>
      <c r="Y207" s="585">
        <v>0</v>
      </c>
      <c r="Z207" s="602">
        <v>6</v>
      </c>
      <c r="AA207" s="594">
        <v>0</v>
      </c>
      <c r="AB207" s="585">
        <v>0</v>
      </c>
      <c r="AC207" s="602">
        <v>0</v>
      </c>
      <c r="AD207" s="594">
        <v>0</v>
      </c>
      <c r="AE207" s="594">
        <v>0</v>
      </c>
      <c r="AF207" s="594">
        <v>0</v>
      </c>
      <c r="AG207" s="585">
        <v>0</v>
      </c>
      <c r="AH207" s="602">
        <v>1</v>
      </c>
      <c r="AI207" s="609">
        <v>0</v>
      </c>
      <c r="AJ207" s="609">
        <v>0</v>
      </c>
      <c r="AK207" s="741"/>
      <c r="AL207" s="527" t="s">
        <v>92</v>
      </c>
      <c r="AM207" s="441" t="s">
        <v>92</v>
      </c>
      <c r="AN207" s="447">
        <f>(W207*PRODUCTS!G12)+(Z207*PRODUCTS!E12)+('2019 ORDERS - Q1'!AH207*PRODUCTS!C12)</f>
        <v>1.1202732463562994</v>
      </c>
      <c r="AO207" s="440" t="s">
        <v>1836</v>
      </c>
      <c r="AP207" s="37">
        <f>29.65-9</f>
        <v>20.65</v>
      </c>
      <c r="AQ207" s="795">
        <f t="shared" si="13"/>
        <v>19.5297267536437</v>
      </c>
      <c r="AR207" s="831">
        <f t="shared" si="15"/>
        <v>0.94574947959533662</v>
      </c>
      <c r="AS207" s="821" t="s">
        <v>1314</v>
      </c>
      <c r="AT207" s="444"/>
      <c r="AU207" s="448"/>
      <c r="AV207" s="444"/>
      <c r="AW207" s="449"/>
      <c r="AX207" s="447">
        <v>9</v>
      </c>
      <c r="AY207" s="775">
        <v>12646442</v>
      </c>
      <c r="AZ207" s="447">
        <v>7.29</v>
      </c>
      <c r="BA207" s="31" t="s">
        <v>47</v>
      </c>
      <c r="BB207" s="41">
        <v>0</v>
      </c>
      <c r="BC207" s="447"/>
      <c r="BD207" s="447"/>
      <c r="BE207" s="447"/>
      <c r="BF207" s="447"/>
      <c r="BG207" s="447"/>
      <c r="BH207" s="221"/>
      <c r="BI207" s="221"/>
      <c r="BJ207" s="221"/>
      <c r="BK207" s="221"/>
      <c r="BL207" s="221"/>
      <c r="BM207" s="221"/>
      <c r="BN207" s="221"/>
      <c r="BO207" s="221"/>
      <c r="BP207" s="221"/>
      <c r="BQ207" s="221"/>
      <c r="BR207" s="221"/>
      <c r="BS207" s="221"/>
      <c r="BT207" s="221"/>
      <c r="BU207" s="221"/>
      <c r="BV207" s="221"/>
      <c r="BW207" s="221"/>
      <c r="BX207" s="221"/>
      <c r="BY207" s="221"/>
      <c r="BZ207" s="221"/>
      <c r="CA207" s="221"/>
      <c r="CB207" s="221"/>
      <c r="CC207" s="221"/>
      <c r="CD207" s="221"/>
      <c r="CE207" s="221"/>
      <c r="CF207" s="221"/>
      <c r="CG207" s="221"/>
      <c r="CH207" s="221"/>
      <c r="CI207" s="221"/>
      <c r="CJ207" s="221"/>
      <c r="CK207" s="221"/>
      <c r="CL207" s="221"/>
      <c r="CM207" s="221"/>
      <c r="CN207" s="221"/>
      <c r="CO207" s="221"/>
      <c r="CP207" s="221"/>
      <c r="CQ207" s="221"/>
      <c r="CR207" s="221"/>
      <c r="CS207" s="221"/>
      <c r="CT207" s="221"/>
      <c r="CU207" s="221"/>
      <c r="CV207" s="221"/>
      <c r="CW207" s="221"/>
      <c r="CX207" s="221"/>
      <c r="CY207" s="221"/>
      <c r="CZ207" s="221"/>
      <c r="DA207" s="221"/>
      <c r="DB207" s="221"/>
      <c r="DC207" s="221"/>
      <c r="DD207" s="221"/>
      <c r="DE207" s="221"/>
      <c r="DF207" s="221"/>
      <c r="DG207" s="221"/>
      <c r="DH207" s="221"/>
      <c r="DI207" s="221"/>
      <c r="DJ207" s="221"/>
      <c r="DK207" s="221"/>
      <c r="DL207" s="221"/>
      <c r="DM207" s="221"/>
      <c r="DN207" s="221"/>
      <c r="DO207" s="221"/>
      <c r="DP207" s="221"/>
      <c r="DQ207" s="221"/>
      <c r="DR207" s="221"/>
      <c r="DS207" s="221"/>
      <c r="DT207" s="221"/>
      <c r="DU207" s="221"/>
      <c r="DV207" s="221"/>
      <c r="DW207" s="221"/>
      <c r="DX207" s="221"/>
      <c r="DY207" s="221"/>
      <c r="DZ207" s="221"/>
      <c r="EA207" s="221"/>
      <c r="EB207" s="221"/>
      <c r="EC207" s="221"/>
      <c r="ED207" s="221"/>
      <c r="EE207" s="221"/>
      <c r="EF207" s="221"/>
      <c r="EG207" s="221"/>
      <c r="EH207" s="221"/>
      <c r="EI207" s="221"/>
      <c r="EJ207" s="221"/>
      <c r="EK207" s="221"/>
      <c r="EL207" s="221"/>
      <c r="EM207" s="221"/>
      <c r="EN207" s="221"/>
      <c r="EO207" s="221"/>
      <c r="EP207" s="221"/>
      <c r="EQ207" s="221"/>
      <c r="ER207" s="221"/>
      <c r="ES207" s="221"/>
      <c r="ET207" s="221"/>
      <c r="EU207" s="221"/>
      <c r="EV207" s="221"/>
      <c r="EW207" s="221"/>
      <c r="EX207" s="221"/>
      <c r="EY207" s="221"/>
      <c r="EZ207" s="221"/>
      <c r="FA207" s="221"/>
      <c r="FB207" s="221"/>
      <c r="FC207" s="221"/>
      <c r="FD207" s="221"/>
      <c r="FE207" s="221"/>
      <c r="FF207" s="221"/>
      <c r="FG207" s="221"/>
      <c r="FH207" s="221"/>
      <c r="FI207" s="221"/>
      <c r="FJ207" s="221"/>
      <c r="FK207" s="221"/>
      <c r="FL207" s="221"/>
      <c r="FM207" s="221"/>
      <c r="FN207" s="221"/>
      <c r="FO207" s="221"/>
      <c r="FP207" s="221"/>
      <c r="FQ207" s="221"/>
      <c r="FR207" s="221"/>
      <c r="FS207" s="221"/>
      <c r="FT207" s="221"/>
      <c r="FU207" s="221"/>
      <c r="FV207" s="221"/>
      <c r="FW207" s="221"/>
      <c r="FX207" s="221"/>
      <c r="FY207" s="221"/>
      <c r="FZ207" s="221"/>
      <c r="GA207" s="221"/>
      <c r="GB207" s="221"/>
      <c r="GC207" s="221"/>
      <c r="GD207" s="221"/>
      <c r="GE207" s="221"/>
      <c r="GF207" s="221"/>
      <c r="GG207" s="221"/>
      <c r="GH207" s="221"/>
      <c r="GI207" s="221"/>
      <c r="GJ207" s="221"/>
      <c r="GK207" s="221"/>
      <c r="GL207" s="221"/>
      <c r="GM207" s="221"/>
      <c r="GN207" s="221"/>
      <c r="GO207" s="221"/>
      <c r="GP207" s="221"/>
      <c r="GQ207" s="221"/>
      <c r="GR207" s="221"/>
      <c r="GS207" s="221"/>
      <c r="GT207" s="221"/>
      <c r="GU207" s="221"/>
      <c r="GV207" s="221"/>
      <c r="GW207" s="221"/>
      <c r="GX207" s="221"/>
      <c r="GY207" s="221"/>
      <c r="GZ207" s="221"/>
      <c r="HA207" s="221"/>
      <c r="HB207" s="221"/>
      <c r="HC207" s="221"/>
      <c r="HD207" s="221"/>
      <c r="HE207" s="221"/>
      <c r="HF207" s="221"/>
      <c r="HG207" s="221"/>
      <c r="HH207" s="221"/>
      <c r="HI207" s="221"/>
      <c r="HJ207" s="221"/>
      <c r="HK207" s="221"/>
      <c r="HL207" s="221"/>
      <c r="HM207" s="221"/>
      <c r="HN207" s="221"/>
      <c r="HO207" s="221"/>
      <c r="HP207" s="221"/>
      <c r="HQ207" s="221"/>
      <c r="HR207" s="221"/>
      <c r="HS207" s="221"/>
      <c r="HT207" s="221"/>
      <c r="HU207" s="221"/>
      <c r="HV207" s="221"/>
      <c r="HW207" s="221"/>
      <c r="HX207" s="221"/>
      <c r="HY207" s="221"/>
      <c r="HZ207" s="221"/>
      <c r="IA207" s="221"/>
      <c r="IB207" s="221"/>
      <c r="IC207" s="221"/>
      <c r="ID207" s="221"/>
      <c r="IE207" s="221"/>
      <c r="IF207" s="221"/>
      <c r="IG207" s="221"/>
      <c r="IH207" s="221"/>
      <c r="II207" s="221"/>
      <c r="IJ207" s="221"/>
      <c r="IK207" s="221"/>
      <c r="IL207" s="221"/>
      <c r="IM207" s="221"/>
      <c r="IN207" s="221"/>
      <c r="IO207" s="221"/>
      <c r="IP207" s="221"/>
      <c r="IQ207" s="221"/>
      <c r="IR207" s="221"/>
      <c r="IS207" s="221"/>
      <c r="IT207" s="221"/>
      <c r="IU207" s="221"/>
      <c r="IV207" s="221"/>
      <c r="IW207" s="221"/>
      <c r="IX207" s="221"/>
      <c r="IY207" s="221"/>
      <c r="IZ207" s="221"/>
      <c r="JA207" s="221"/>
      <c r="JB207" s="221"/>
      <c r="JC207" s="221"/>
      <c r="JD207" s="221"/>
      <c r="JE207" s="221"/>
      <c r="JF207" s="221"/>
      <c r="JG207" s="221"/>
      <c r="JH207" s="221"/>
      <c r="JI207" s="221"/>
      <c r="JJ207" s="221"/>
      <c r="JK207" s="221"/>
      <c r="JL207" s="221"/>
      <c r="JM207" s="221"/>
      <c r="JN207" s="221"/>
      <c r="JO207" s="221"/>
      <c r="JP207" s="221"/>
      <c r="JQ207" s="221"/>
    </row>
    <row r="208" spans="1:277" ht="20" customHeight="1" outlineLevel="1">
      <c r="A208" s="482">
        <v>1904035</v>
      </c>
      <c r="B208" s="695">
        <v>42123</v>
      </c>
      <c r="C208" s="696" t="s">
        <v>59</v>
      </c>
      <c r="D208" s="696" t="s">
        <v>73</v>
      </c>
      <c r="E208" s="697" t="s">
        <v>60</v>
      </c>
      <c r="F208" s="698" t="s">
        <v>123</v>
      </c>
      <c r="G208" s="442" t="s">
        <v>1733</v>
      </c>
      <c r="H208" s="441" t="s">
        <v>1314</v>
      </c>
      <c r="I208" s="443" t="s">
        <v>155</v>
      </c>
      <c r="J208" s="444" t="s">
        <v>62</v>
      </c>
      <c r="K208" s="440" t="s">
        <v>50</v>
      </c>
      <c r="L208" s="445"/>
      <c r="M208" s="446"/>
      <c r="N208" s="441" t="s">
        <v>59</v>
      </c>
      <c r="O208" s="441" t="s">
        <v>1734</v>
      </c>
      <c r="P208" s="567"/>
      <c r="Q208" s="626"/>
      <c r="R208" s="586">
        <v>0</v>
      </c>
      <c r="S208" s="585">
        <v>0</v>
      </c>
      <c r="T208" s="602">
        <v>0</v>
      </c>
      <c r="U208" s="594">
        <v>0</v>
      </c>
      <c r="V208" s="585">
        <v>0</v>
      </c>
      <c r="W208" s="602">
        <v>0</v>
      </c>
      <c r="X208" s="594">
        <v>0</v>
      </c>
      <c r="Y208" s="585">
        <v>0</v>
      </c>
      <c r="Z208" s="602">
        <v>0</v>
      </c>
      <c r="AA208" s="594">
        <v>0</v>
      </c>
      <c r="AB208" s="585">
        <v>0</v>
      </c>
      <c r="AC208" s="602">
        <v>0</v>
      </c>
      <c r="AD208" s="594">
        <v>0</v>
      </c>
      <c r="AE208" s="594">
        <v>0</v>
      </c>
      <c r="AF208" s="594">
        <v>0</v>
      </c>
      <c r="AG208" s="585">
        <v>0</v>
      </c>
      <c r="AH208" s="602">
        <v>0</v>
      </c>
      <c r="AI208" s="609">
        <v>0</v>
      </c>
      <c r="AJ208" s="609">
        <v>0</v>
      </c>
      <c r="AK208" s="741"/>
      <c r="AL208" s="527" t="s">
        <v>59</v>
      </c>
      <c r="AM208" s="441" t="s">
        <v>1837</v>
      </c>
      <c r="AN208" s="447">
        <v>0</v>
      </c>
      <c r="AO208" s="444" t="s">
        <v>47</v>
      </c>
      <c r="AP208" s="37">
        <v>0</v>
      </c>
      <c r="AQ208" s="795">
        <f t="shared" si="13"/>
        <v>0</v>
      </c>
      <c r="AR208" s="831" t="e">
        <f t="shared" si="15"/>
        <v>#DIV/0!</v>
      </c>
      <c r="AS208" s="821"/>
      <c r="AT208" s="444"/>
      <c r="AU208" s="448"/>
      <c r="AV208" s="444"/>
      <c r="AW208" s="449"/>
      <c r="AX208" s="447"/>
      <c r="AY208" s="444"/>
      <c r="AZ208" s="447"/>
      <c r="BA208" s="31" t="s">
        <v>47</v>
      </c>
      <c r="BB208" s="41">
        <v>0</v>
      </c>
      <c r="BC208" s="447"/>
      <c r="BD208" s="447"/>
      <c r="BE208" s="447"/>
      <c r="BF208" s="447"/>
      <c r="BG208" s="447"/>
      <c r="BH208" s="221"/>
      <c r="BI208" s="221"/>
      <c r="BJ208" s="221"/>
      <c r="BK208" s="221"/>
      <c r="BL208" s="221"/>
      <c r="BM208" s="221"/>
      <c r="BN208" s="221"/>
      <c r="BO208" s="221"/>
      <c r="BP208" s="221"/>
      <c r="BQ208" s="221"/>
      <c r="BR208" s="221"/>
      <c r="BS208" s="221"/>
      <c r="BT208" s="221"/>
      <c r="BU208" s="221"/>
      <c r="BV208" s="221"/>
      <c r="BW208" s="221"/>
      <c r="BX208" s="221"/>
      <c r="BY208" s="221"/>
      <c r="BZ208" s="221"/>
      <c r="CA208" s="221"/>
      <c r="CB208" s="221"/>
      <c r="CC208" s="221"/>
      <c r="CD208" s="221"/>
      <c r="CE208" s="221"/>
      <c r="CF208" s="221"/>
      <c r="CG208" s="221"/>
      <c r="CH208" s="221"/>
      <c r="CI208" s="221"/>
      <c r="CJ208" s="221"/>
      <c r="CK208" s="221"/>
      <c r="CL208" s="221"/>
      <c r="CM208" s="221"/>
      <c r="CN208" s="221"/>
      <c r="CO208" s="221"/>
      <c r="CP208" s="221"/>
      <c r="CQ208" s="221"/>
      <c r="CR208" s="221"/>
      <c r="CS208" s="221"/>
      <c r="CT208" s="221"/>
      <c r="CU208" s="221"/>
      <c r="CV208" s="221"/>
      <c r="CW208" s="221"/>
      <c r="CX208" s="221"/>
      <c r="CY208" s="221"/>
      <c r="CZ208" s="221"/>
      <c r="DA208" s="221"/>
      <c r="DB208" s="221"/>
      <c r="DC208" s="221"/>
      <c r="DD208" s="221"/>
      <c r="DE208" s="221"/>
      <c r="DF208" s="221"/>
      <c r="DG208" s="221"/>
      <c r="DH208" s="221"/>
      <c r="DI208" s="221"/>
      <c r="DJ208" s="221"/>
      <c r="DK208" s="221"/>
      <c r="DL208" s="221"/>
      <c r="DM208" s="221"/>
      <c r="DN208" s="221"/>
      <c r="DO208" s="221"/>
      <c r="DP208" s="221"/>
      <c r="DQ208" s="221"/>
      <c r="DR208" s="221"/>
      <c r="DS208" s="221"/>
      <c r="DT208" s="221"/>
      <c r="DU208" s="221"/>
      <c r="DV208" s="221"/>
      <c r="DW208" s="221"/>
      <c r="DX208" s="221"/>
      <c r="DY208" s="221"/>
      <c r="DZ208" s="221"/>
      <c r="EA208" s="221"/>
      <c r="EB208" s="221"/>
      <c r="EC208" s="221"/>
      <c r="ED208" s="221"/>
      <c r="EE208" s="221"/>
      <c r="EF208" s="221"/>
      <c r="EG208" s="221"/>
      <c r="EH208" s="221"/>
      <c r="EI208" s="221"/>
      <c r="EJ208" s="221"/>
      <c r="EK208" s="221"/>
      <c r="EL208" s="221"/>
      <c r="EM208" s="221"/>
      <c r="EN208" s="221"/>
      <c r="EO208" s="221"/>
      <c r="EP208" s="221"/>
      <c r="EQ208" s="221"/>
      <c r="ER208" s="221"/>
      <c r="ES208" s="221"/>
      <c r="ET208" s="221"/>
      <c r="EU208" s="221"/>
      <c r="EV208" s="221"/>
      <c r="EW208" s="221"/>
      <c r="EX208" s="221"/>
      <c r="EY208" s="221"/>
      <c r="EZ208" s="221"/>
      <c r="FA208" s="221"/>
      <c r="FB208" s="221"/>
      <c r="FC208" s="221"/>
      <c r="FD208" s="221"/>
      <c r="FE208" s="221"/>
      <c r="FF208" s="221"/>
      <c r="FG208" s="221"/>
      <c r="FH208" s="221"/>
      <c r="FI208" s="221"/>
      <c r="FJ208" s="221"/>
      <c r="FK208" s="221"/>
      <c r="FL208" s="221"/>
      <c r="FM208" s="221"/>
      <c r="FN208" s="221"/>
      <c r="FO208" s="221"/>
      <c r="FP208" s="221"/>
      <c r="FQ208" s="221"/>
      <c r="FR208" s="221"/>
      <c r="FS208" s="221"/>
      <c r="FT208" s="221"/>
      <c r="FU208" s="221"/>
      <c r="FV208" s="221"/>
      <c r="FW208" s="221"/>
      <c r="FX208" s="221"/>
      <c r="FY208" s="221"/>
      <c r="FZ208" s="221"/>
      <c r="GA208" s="221"/>
      <c r="GB208" s="221"/>
      <c r="GC208" s="221"/>
      <c r="GD208" s="221"/>
      <c r="GE208" s="221"/>
      <c r="GF208" s="221"/>
      <c r="GG208" s="221"/>
      <c r="GH208" s="221"/>
      <c r="GI208" s="221"/>
      <c r="GJ208" s="221"/>
      <c r="GK208" s="221"/>
      <c r="GL208" s="221"/>
      <c r="GM208" s="221"/>
      <c r="GN208" s="221"/>
      <c r="GO208" s="221"/>
      <c r="GP208" s="221"/>
      <c r="GQ208" s="221"/>
      <c r="GR208" s="221"/>
      <c r="GS208" s="221"/>
      <c r="GT208" s="221"/>
      <c r="GU208" s="221"/>
      <c r="GV208" s="221"/>
      <c r="GW208" s="221"/>
      <c r="GX208" s="221"/>
      <c r="GY208" s="221"/>
      <c r="GZ208" s="221"/>
      <c r="HA208" s="221"/>
      <c r="HB208" s="221"/>
      <c r="HC208" s="221"/>
      <c r="HD208" s="221"/>
      <c r="HE208" s="221"/>
      <c r="HF208" s="221"/>
      <c r="HG208" s="221"/>
      <c r="HH208" s="221"/>
      <c r="HI208" s="221"/>
      <c r="HJ208" s="221"/>
      <c r="HK208" s="221"/>
      <c r="HL208" s="221"/>
      <c r="HM208" s="221"/>
      <c r="HN208" s="221"/>
      <c r="HO208" s="221"/>
      <c r="HP208" s="221"/>
      <c r="HQ208" s="221"/>
      <c r="HR208" s="221"/>
      <c r="HS208" s="221"/>
      <c r="HT208" s="221"/>
      <c r="HU208" s="221"/>
      <c r="HV208" s="221"/>
      <c r="HW208" s="221"/>
      <c r="HX208" s="221"/>
      <c r="HY208" s="221"/>
      <c r="HZ208" s="221"/>
      <c r="IA208" s="221"/>
      <c r="IB208" s="221"/>
      <c r="IC208" s="221"/>
      <c r="ID208" s="221"/>
      <c r="IE208" s="221"/>
      <c r="IF208" s="221"/>
      <c r="IG208" s="221"/>
      <c r="IH208" s="221"/>
      <c r="II208" s="221"/>
      <c r="IJ208" s="221"/>
      <c r="IK208" s="221"/>
      <c r="IL208" s="221"/>
      <c r="IM208" s="221"/>
      <c r="IN208" s="221"/>
      <c r="IO208" s="221"/>
      <c r="IP208" s="221"/>
      <c r="IQ208" s="221"/>
      <c r="IR208" s="221"/>
      <c r="IS208" s="221"/>
      <c r="IT208" s="221"/>
      <c r="IU208" s="221"/>
      <c r="IV208" s="221"/>
      <c r="IW208" s="221"/>
      <c r="IX208" s="221"/>
      <c r="IY208" s="221"/>
      <c r="IZ208" s="221"/>
      <c r="JA208" s="221"/>
      <c r="JB208" s="221"/>
      <c r="JC208" s="221"/>
      <c r="JD208" s="221"/>
      <c r="JE208" s="221"/>
      <c r="JF208" s="221"/>
      <c r="JG208" s="221"/>
      <c r="JH208" s="221"/>
      <c r="JI208" s="221"/>
      <c r="JJ208" s="221"/>
      <c r="JK208" s="221"/>
      <c r="JL208" s="221"/>
      <c r="JM208" s="221"/>
      <c r="JN208" s="221"/>
      <c r="JO208" s="221"/>
      <c r="JP208" s="221"/>
      <c r="JQ208" s="221"/>
    </row>
    <row r="209" spans="1:277" ht="20" customHeight="1" outlineLevel="1" thickBot="1">
      <c r="A209" s="806">
        <v>1904036</v>
      </c>
      <c r="B209" s="699">
        <v>42123</v>
      </c>
      <c r="C209" s="700" t="s">
        <v>44</v>
      </c>
      <c r="D209" s="700" t="s">
        <v>73</v>
      </c>
      <c r="E209" s="701" t="s">
        <v>204</v>
      </c>
      <c r="F209" s="702" t="s">
        <v>1736</v>
      </c>
      <c r="G209" s="472" t="s">
        <v>1735</v>
      </c>
      <c r="H209" s="441" t="s">
        <v>1314</v>
      </c>
      <c r="I209" s="473">
        <v>192130</v>
      </c>
      <c r="J209" s="474" t="s">
        <v>62</v>
      </c>
      <c r="K209" s="470" t="s">
        <v>50</v>
      </c>
      <c r="L209" s="475">
        <v>107074306</v>
      </c>
      <c r="M209" s="476">
        <v>42146</v>
      </c>
      <c r="N209" s="471" t="s">
        <v>1783</v>
      </c>
      <c r="O209" s="471" t="s">
        <v>1838</v>
      </c>
      <c r="P209" s="569"/>
      <c r="Q209" s="626"/>
      <c r="R209" s="586">
        <v>0</v>
      </c>
      <c r="S209" s="585">
        <v>0</v>
      </c>
      <c r="T209" s="602">
        <v>0</v>
      </c>
      <c r="U209" s="594">
        <v>0</v>
      </c>
      <c r="V209" s="585">
        <v>0</v>
      </c>
      <c r="W209" s="602">
        <v>0</v>
      </c>
      <c r="X209" s="594">
        <v>0</v>
      </c>
      <c r="Y209" s="585">
        <v>0</v>
      </c>
      <c r="Z209" s="602">
        <v>0</v>
      </c>
      <c r="AA209" s="594">
        <v>4</v>
      </c>
      <c r="AB209" s="585">
        <v>0</v>
      </c>
      <c r="AC209" s="602">
        <v>0</v>
      </c>
      <c r="AD209" s="594">
        <v>0</v>
      </c>
      <c r="AE209" s="594">
        <v>0</v>
      </c>
      <c r="AF209" s="594">
        <v>0</v>
      </c>
      <c r="AG209" s="585">
        <v>0</v>
      </c>
      <c r="AH209" s="602">
        <v>0</v>
      </c>
      <c r="AI209" s="609">
        <v>0</v>
      </c>
      <c r="AJ209" s="609">
        <v>0</v>
      </c>
      <c r="AK209" s="741"/>
      <c r="AL209" s="528" t="s">
        <v>1268</v>
      </c>
      <c r="AM209" s="471">
        <v>191346</v>
      </c>
      <c r="AN209" s="477">
        <v>33.6</v>
      </c>
      <c r="AO209" s="470" t="s">
        <v>2059</v>
      </c>
      <c r="AP209" s="37">
        <v>88</v>
      </c>
      <c r="AQ209" s="809">
        <f t="shared" si="13"/>
        <v>54.4</v>
      </c>
      <c r="AR209" s="831">
        <f t="shared" si="15"/>
        <v>0.61818181818181817</v>
      </c>
      <c r="AS209" s="822"/>
      <c r="AT209" s="474" t="s">
        <v>1254</v>
      </c>
      <c r="AU209" s="478">
        <v>1</v>
      </c>
      <c r="AV209" s="474"/>
      <c r="AW209" s="479"/>
      <c r="AX209" s="477">
        <v>95</v>
      </c>
      <c r="AY209" s="474"/>
      <c r="AZ209" s="477"/>
      <c r="BA209" s="480" t="s">
        <v>47</v>
      </c>
      <c r="BB209" s="481">
        <v>0</v>
      </c>
      <c r="BC209" s="477"/>
      <c r="BD209" s="477"/>
      <c r="BE209" s="477"/>
      <c r="BF209" s="477"/>
      <c r="BG209" s="477"/>
      <c r="BH209" s="221"/>
      <c r="BI209" s="221"/>
      <c r="BJ209" s="221"/>
      <c r="BK209" s="221"/>
      <c r="BL209" s="221"/>
      <c r="BM209" s="221"/>
      <c r="BN209" s="221"/>
      <c r="BO209" s="221"/>
      <c r="BP209" s="221"/>
      <c r="BQ209" s="221"/>
      <c r="BR209" s="221"/>
      <c r="BS209" s="221"/>
      <c r="BT209" s="221"/>
      <c r="BU209" s="221"/>
      <c r="BV209" s="221"/>
      <c r="BW209" s="221"/>
      <c r="BX209" s="221"/>
      <c r="BY209" s="221"/>
      <c r="BZ209" s="221"/>
      <c r="CA209" s="221"/>
      <c r="CB209" s="221"/>
      <c r="CC209" s="221"/>
      <c r="CD209" s="221"/>
      <c r="CE209" s="221"/>
      <c r="CF209" s="221"/>
      <c r="CG209" s="221"/>
      <c r="CH209" s="221"/>
      <c r="CI209" s="221"/>
      <c r="CJ209" s="221"/>
      <c r="CK209" s="221"/>
      <c r="CL209" s="221"/>
      <c r="CM209" s="221"/>
      <c r="CN209" s="221"/>
      <c r="CO209" s="221"/>
      <c r="CP209" s="221"/>
      <c r="CQ209" s="221"/>
      <c r="CR209" s="221"/>
      <c r="CS209" s="221"/>
      <c r="CT209" s="221"/>
      <c r="CU209" s="221"/>
      <c r="CV209" s="221"/>
      <c r="CW209" s="221"/>
      <c r="CX209" s="221"/>
      <c r="CY209" s="221"/>
      <c r="CZ209" s="221"/>
      <c r="DA209" s="221"/>
      <c r="DB209" s="221"/>
      <c r="DC209" s="221"/>
      <c r="DD209" s="221"/>
      <c r="DE209" s="221"/>
      <c r="DF209" s="221"/>
      <c r="DG209" s="221"/>
      <c r="DH209" s="221"/>
      <c r="DI209" s="221"/>
      <c r="DJ209" s="221"/>
      <c r="DK209" s="221"/>
      <c r="DL209" s="221"/>
      <c r="DM209" s="221"/>
      <c r="DN209" s="221"/>
      <c r="DO209" s="221"/>
      <c r="DP209" s="221"/>
      <c r="DQ209" s="221"/>
      <c r="DR209" s="221"/>
      <c r="DS209" s="221"/>
      <c r="DT209" s="221"/>
      <c r="DU209" s="221"/>
      <c r="DV209" s="221"/>
      <c r="DW209" s="221"/>
      <c r="DX209" s="221"/>
      <c r="DY209" s="221"/>
      <c r="DZ209" s="221"/>
      <c r="EA209" s="221"/>
      <c r="EB209" s="221"/>
      <c r="EC209" s="221"/>
      <c r="ED209" s="221"/>
      <c r="EE209" s="221"/>
      <c r="EF209" s="221"/>
      <c r="EG209" s="221"/>
      <c r="EH209" s="221"/>
      <c r="EI209" s="221"/>
      <c r="EJ209" s="221"/>
      <c r="EK209" s="221"/>
      <c r="EL209" s="221"/>
      <c r="EM209" s="221"/>
      <c r="EN209" s="221"/>
      <c r="EO209" s="221"/>
      <c r="EP209" s="221"/>
      <c r="EQ209" s="221"/>
      <c r="ER209" s="221"/>
      <c r="ES209" s="221"/>
      <c r="ET209" s="221"/>
      <c r="EU209" s="221"/>
      <c r="EV209" s="221"/>
      <c r="EW209" s="221"/>
      <c r="EX209" s="221"/>
      <c r="EY209" s="221"/>
      <c r="EZ209" s="221"/>
      <c r="FA209" s="221"/>
      <c r="FB209" s="221"/>
      <c r="FC209" s="221"/>
      <c r="FD209" s="221"/>
      <c r="FE209" s="221"/>
      <c r="FF209" s="221"/>
      <c r="FG209" s="221"/>
      <c r="FH209" s="221"/>
      <c r="FI209" s="221"/>
      <c r="FJ209" s="221"/>
      <c r="FK209" s="221"/>
      <c r="FL209" s="221"/>
      <c r="FM209" s="221"/>
      <c r="FN209" s="221"/>
      <c r="FO209" s="221"/>
      <c r="FP209" s="221"/>
      <c r="FQ209" s="221"/>
      <c r="FR209" s="221"/>
      <c r="FS209" s="221"/>
      <c r="FT209" s="221"/>
      <c r="FU209" s="221"/>
      <c r="FV209" s="221"/>
      <c r="FW209" s="221"/>
      <c r="FX209" s="221"/>
      <c r="FY209" s="221"/>
      <c r="FZ209" s="221"/>
      <c r="GA209" s="221"/>
      <c r="GB209" s="221"/>
      <c r="GC209" s="221"/>
      <c r="GD209" s="221"/>
      <c r="GE209" s="221"/>
      <c r="GF209" s="221"/>
      <c r="GG209" s="221"/>
      <c r="GH209" s="221"/>
      <c r="GI209" s="221"/>
      <c r="GJ209" s="221"/>
      <c r="GK209" s="221"/>
      <c r="GL209" s="221"/>
      <c r="GM209" s="221"/>
      <c r="GN209" s="221"/>
      <c r="GO209" s="221"/>
      <c r="GP209" s="221"/>
      <c r="GQ209" s="221"/>
      <c r="GR209" s="221"/>
      <c r="GS209" s="221"/>
      <c r="GT209" s="221"/>
      <c r="GU209" s="221"/>
      <c r="GV209" s="221"/>
      <c r="GW209" s="221"/>
      <c r="GX209" s="221"/>
      <c r="GY209" s="221"/>
      <c r="GZ209" s="221"/>
      <c r="HA209" s="221"/>
      <c r="HB209" s="221"/>
      <c r="HC209" s="221"/>
      <c r="HD209" s="221"/>
      <c r="HE209" s="221"/>
      <c r="HF209" s="221"/>
      <c r="HG209" s="221"/>
      <c r="HH209" s="221"/>
      <c r="HI209" s="221"/>
      <c r="HJ209" s="221"/>
      <c r="HK209" s="221"/>
      <c r="HL209" s="221"/>
      <c r="HM209" s="221"/>
      <c r="HN209" s="221"/>
      <c r="HO209" s="221"/>
      <c r="HP209" s="221"/>
      <c r="HQ209" s="221"/>
      <c r="HR209" s="221"/>
      <c r="HS209" s="221"/>
      <c r="HT209" s="221"/>
      <c r="HU209" s="221"/>
      <c r="HV209" s="221"/>
      <c r="HW209" s="221"/>
      <c r="HX209" s="221"/>
      <c r="HY209" s="221"/>
      <c r="HZ209" s="221"/>
      <c r="IA209" s="221"/>
      <c r="IB209" s="221"/>
      <c r="IC209" s="221"/>
      <c r="ID209" s="221"/>
      <c r="IE209" s="221"/>
      <c r="IF209" s="221"/>
      <c r="IG209" s="221"/>
      <c r="IH209" s="221"/>
      <c r="II209" s="221"/>
      <c r="IJ209" s="221"/>
      <c r="IK209" s="221"/>
      <c r="IL209" s="221"/>
      <c r="IM209" s="221"/>
      <c r="IN209" s="221"/>
      <c r="IO209" s="221"/>
      <c r="IP209" s="221"/>
      <c r="IQ209" s="221"/>
      <c r="IR209" s="221"/>
      <c r="IS209" s="221"/>
      <c r="IT209" s="221"/>
      <c r="IU209" s="221"/>
      <c r="IV209" s="221"/>
      <c r="IW209" s="221"/>
      <c r="IX209" s="221"/>
      <c r="IY209" s="221"/>
      <c r="IZ209" s="221"/>
      <c r="JA209" s="221"/>
      <c r="JB209" s="221"/>
      <c r="JC209" s="221"/>
      <c r="JD209" s="221"/>
      <c r="JE209" s="221"/>
      <c r="JF209" s="221"/>
      <c r="JG209" s="221"/>
      <c r="JH209" s="221"/>
      <c r="JI209" s="221"/>
      <c r="JJ209" s="221"/>
      <c r="JK209" s="221"/>
      <c r="JL209" s="221"/>
      <c r="JM209" s="221"/>
      <c r="JN209" s="221"/>
      <c r="JO209" s="221"/>
      <c r="JP209" s="221"/>
      <c r="JQ209" s="221"/>
    </row>
    <row r="210" spans="1:277" s="654" customFormat="1" ht="15" thickBot="1">
      <c r="A210" s="630" t="s">
        <v>156</v>
      </c>
      <c r="B210" s="631" t="s">
        <v>1844</v>
      </c>
      <c r="C210" s="632">
        <f>AQ210+AV210-BB210</f>
        <v>6085.3336218188715</v>
      </c>
      <c r="D210" s="633" t="s">
        <v>2025</v>
      </c>
      <c r="E210" s="634">
        <f>R210+U210+X210+AA210+AD210+AE210+AF210+AJ210</f>
        <v>151</v>
      </c>
      <c r="F210" s="635"/>
      <c r="G210" s="636"/>
      <c r="H210" s="636"/>
      <c r="I210" s="637"/>
      <c r="J210" s="638"/>
      <c r="K210" s="633"/>
      <c r="L210" s="639"/>
      <c r="M210" s="640"/>
      <c r="N210" s="641"/>
      <c r="O210" s="641"/>
      <c r="P210" s="642"/>
      <c r="Q210" s="643"/>
      <c r="R210" s="678">
        <f t="shared" ref="R210:AJ210" si="19">SUM(R152:R209)</f>
        <v>13</v>
      </c>
      <c r="S210" s="667">
        <f t="shared" si="19"/>
        <v>0</v>
      </c>
      <c r="T210" s="667">
        <f t="shared" si="19"/>
        <v>0</v>
      </c>
      <c r="U210" s="679">
        <f t="shared" si="19"/>
        <v>5</v>
      </c>
      <c r="V210" s="666">
        <f t="shared" si="19"/>
        <v>5</v>
      </c>
      <c r="W210" s="666">
        <f t="shared" si="19"/>
        <v>6</v>
      </c>
      <c r="X210" s="680">
        <f t="shared" si="19"/>
        <v>72</v>
      </c>
      <c r="Y210" s="665">
        <f t="shared" si="19"/>
        <v>4</v>
      </c>
      <c r="Z210" s="665">
        <f t="shared" si="19"/>
        <v>20</v>
      </c>
      <c r="AA210" s="681">
        <f t="shared" si="19"/>
        <v>34</v>
      </c>
      <c r="AB210" s="664">
        <f t="shared" si="19"/>
        <v>4</v>
      </c>
      <c r="AC210" s="664">
        <f t="shared" si="19"/>
        <v>23</v>
      </c>
      <c r="AD210" s="682">
        <f t="shared" si="19"/>
        <v>27</v>
      </c>
      <c r="AE210" s="682">
        <f t="shared" si="19"/>
        <v>0</v>
      </c>
      <c r="AF210" s="682">
        <f t="shared" si="19"/>
        <v>0</v>
      </c>
      <c r="AG210" s="663">
        <f t="shared" si="19"/>
        <v>140</v>
      </c>
      <c r="AH210" s="663">
        <f t="shared" si="19"/>
        <v>1</v>
      </c>
      <c r="AI210" s="683">
        <f t="shared" ref="AI210" si="20">SUM(AI152:AI209)</f>
        <v>0</v>
      </c>
      <c r="AJ210" s="683">
        <f t="shared" si="19"/>
        <v>0</v>
      </c>
      <c r="AK210" s="737"/>
      <c r="AL210" s="644" t="s">
        <v>1848</v>
      </c>
      <c r="AM210" s="645" t="s">
        <v>1849</v>
      </c>
      <c r="AN210" s="646">
        <f>SUM(AN152:AN209)</f>
        <v>11898.084478181121</v>
      </c>
      <c r="AO210" s="645" t="s">
        <v>1815</v>
      </c>
      <c r="AP210" s="648">
        <f>SUM(AP152:AP209)</f>
        <v>17964.386000000002</v>
      </c>
      <c r="AQ210" s="810">
        <f>SUM(AQ152:AQ209)</f>
        <v>6066.3015218188721</v>
      </c>
      <c r="AR210" s="834"/>
      <c r="AS210" s="823"/>
      <c r="AT210" s="645" t="s">
        <v>1843</v>
      </c>
      <c r="AU210" s="647"/>
      <c r="AV210" s="648">
        <f>AX210-AZ210</f>
        <v>174.81999999999948</v>
      </c>
      <c r="AW210" s="649"/>
      <c r="AX210" s="646">
        <f>SUM(AX152:AX209)</f>
        <v>1265.7</v>
      </c>
      <c r="AY210" s="647"/>
      <c r="AZ210" s="646">
        <f>SUM(AZ152:AZ209)</f>
        <v>1090.8800000000006</v>
      </c>
      <c r="BA210" s="650" t="s">
        <v>1846</v>
      </c>
      <c r="BB210" s="651">
        <f>SUM(BB152:BB209)</f>
        <v>155.78789999999998</v>
      </c>
      <c r="BC210" s="646"/>
      <c r="BD210" s="646"/>
      <c r="BE210" s="646"/>
      <c r="BF210" s="646"/>
      <c r="BG210" s="652"/>
      <c r="BH210" s="653"/>
      <c r="BI210" s="653"/>
      <c r="BJ210" s="653"/>
      <c r="BK210" s="653"/>
      <c r="BL210" s="653"/>
      <c r="BM210" s="653"/>
      <c r="BN210" s="653"/>
      <c r="BO210" s="653"/>
      <c r="BP210" s="653"/>
      <c r="BQ210" s="653"/>
      <c r="BR210" s="653"/>
      <c r="BS210" s="653"/>
      <c r="BT210" s="653"/>
      <c r="BU210" s="653"/>
      <c r="BV210" s="653"/>
      <c r="BW210" s="653"/>
      <c r="BX210" s="653"/>
      <c r="BY210" s="653"/>
      <c r="BZ210" s="653"/>
      <c r="CA210" s="653"/>
      <c r="CB210" s="653"/>
      <c r="CC210" s="653"/>
      <c r="CD210" s="653"/>
      <c r="CE210" s="653"/>
      <c r="CF210" s="653"/>
      <c r="CG210" s="653"/>
      <c r="CH210" s="653"/>
      <c r="CI210" s="653"/>
      <c r="CJ210" s="653"/>
      <c r="CK210" s="653"/>
      <c r="CL210" s="653"/>
      <c r="CM210" s="653"/>
      <c r="CN210" s="653"/>
      <c r="CO210" s="653"/>
      <c r="CP210" s="653"/>
      <c r="CQ210" s="653"/>
      <c r="CR210" s="653"/>
      <c r="CS210" s="653"/>
      <c r="CT210" s="653"/>
      <c r="CU210" s="653"/>
      <c r="CV210" s="653"/>
      <c r="CW210" s="653"/>
      <c r="CX210" s="653"/>
      <c r="CY210" s="653"/>
      <c r="CZ210" s="653"/>
      <c r="DA210" s="653"/>
      <c r="DB210" s="653"/>
      <c r="DC210" s="653"/>
      <c r="DD210" s="653"/>
      <c r="DE210" s="653"/>
      <c r="DF210" s="653"/>
      <c r="DG210" s="653"/>
      <c r="DH210" s="653"/>
      <c r="DI210" s="653"/>
      <c r="DJ210" s="653"/>
      <c r="DK210" s="653"/>
      <c r="DL210" s="653"/>
      <c r="DM210" s="653"/>
      <c r="DN210" s="653"/>
      <c r="DO210" s="653"/>
      <c r="DP210" s="653"/>
      <c r="DQ210" s="653"/>
      <c r="DR210" s="653"/>
      <c r="DS210" s="653"/>
      <c r="DT210" s="653"/>
      <c r="DU210" s="653"/>
      <c r="DV210" s="653"/>
      <c r="DW210" s="653"/>
      <c r="DX210" s="653"/>
      <c r="DY210" s="653"/>
      <c r="DZ210" s="653"/>
      <c r="EA210" s="653"/>
      <c r="EB210" s="653"/>
      <c r="EC210" s="653"/>
      <c r="ED210" s="653"/>
      <c r="EE210" s="653"/>
      <c r="EF210" s="653"/>
      <c r="EG210" s="653"/>
      <c r="EH210" s="653"/>
      <c r="EI210" s="653"/>
      <c r="EJ210" s="653"/>
      <c r="EK210" s="653"/>
      <c r="EL210" s="653"/>
      <c r="EM210" s="653"/>
      <c r="EN210" s="653"/>
      <c r="EO210" s="653"/>
      <c r="EP210" s="653"/>
      <c r="EQ210" s="653"/>
      <c r="ER210" s="653"/>
      <c r="ES210" s="653"/>
      <c r="ET210" s="653"/>
      <c r="EU210" s="653"/>
      <c r="EV210" s="653"/>
      <c r="EW210" s="653"/>
      <c r="EX210" s="653"/>
      <c r="EY210" s="653"/>
      <c r="EZ210" s="653"/>
      <c r="FA210" s="653"/>
      <c r="FB210" s="653"/>
      <c r="FC210" s="653"/>
      <c r="FD210" s="653"/>
      <c r="FE210" s="653"/>
      <c r="FF210" s="653"/>
      <c r="FG210" s="653"/>
      <c r="FH210" s="653"/>
      <c r="FI210" s="653"/>
      <c r="FJ210" s="653"/>
      <c r="FK210" s="653"/>
      <c r="FL210" s="653"/>
      <c r="FM210" s="653"/>
      <c r="FN210" s="653"/>
      <c r="FO210" s="653"/>
      <c r="FP210" s="653"/>
      <c r="FQ210" s="653"/>
      <c r="FR210" s="653"/>
      <c r="FS210" s="653"/>
      <c r="FT210" s="653"/>
      <c r="FU210" s="653"/>
      <c r="FV210" s="653"/>
      <c r="FW210" s="653"/>
      <c r="FX210" s="653"/>
      <c r="FY210" s="653"/>
      <c r="FZ210" s="653"/>
      <c r="GA210" s="653"/>
      <c r="GB210" s="653"/>
      <c r="GC210" s="653"/>
      <c r="GD210" s="653"/>
      <c r="GE210" s="653"/>
      <c r="GF210" s="653"/>
      <c r="GG210" s="653"/>
      <c r="GH210" s="653"/>
      <c r="GI210" s="653"/>
      <c r="GJ210" s="653"/>
      <c r="GK210" s="653"/>
      <c r="GL210" s="653"/>
      <c r="GM210" s="653"/>
      <c r="GN210" s="653"/>
      <c r="GO210" s="653"/>
      <c r="GP210" s="653"/>
      <c r="GQ210" s="653"/>
      <c r="GR210" s="653"/>
      <c r="GS210" s="653"/>
      <c r="GT210" s="653"/>
      <c r="GU210" s="653"/>
      <c r="GV210" s="653"/>
      <c r="GW210" s="653"/>
      <c r="GX210" s="653"/>
      <c r="GY210" s="653"/>
      <c r="GZ210" s="653"/>
      <c r="HA210" s="653"/>
      <c r="HB210" s="653"/>
      <c r="HC210" s="653"/>
      <c r="HD210" s="653"/>
      <c r="HE210" s="653"/>
      <c r="HF210" s="653"/>
      <c r="HG210" s="653"/>
      <c r="HH210" s="653"/>
      <c r="HI210" s="653"/>
      <c r="HJ210" s="653"/>
      <c r="HK210" s="653"/>
      <c r="HL210" s="653"/>
      <c r="HM210" s="653"/>
      <c r="HN210" s="653"/>
      <c r="HO210" s="653"/>
      <c r="HP210" s="653"/>
      <c r="HQ210" s="653"/>
      <c r="HR210" s="653"/>
      <c r="HS210" s="653"/>
      <c r="HT210" s="653"/>
      <c r="HU210" s="653"/>
      <c r="HV210" s="653"/>
      <c r="HW210" s="653"/>
      <c r="HX210" s="653"/>
      <c r="HY210" s="653"/>
      <c r="HZ210" s="653"/>
      <c r="IA210" s="653"/>
      <c r="IB210" s="653"/>
      <c r="IC210" s="653"/>
      <c r="ID210" s="653"/>
      <c r="IE210" s="653"/>
      <c r="IF210" s="653"/>
      <c r="IG210" s="653"/>
      <c r="IH210" s="653"/>
      <c r="II210" s="653"/>
      <c r="IJ210" s="653"/>
      <c r="IK210" s="653"/>
      <c r="IL210" s="653"/>
      <c r="IM210" s="653"/>
      <c r="IN210" s="653"/>
      <c r="IO210" s="653"/>
      <c r="IP210" s="653"/>
      <c r="IQ210" s="653"/>
      <c r="IR210" s="653"/>
      <c r="IS210" s="653"/>
      <c r="IT210" s="653"/>
      <c r="IU210" s="653"/>
      <c r="IV210" s="653"/>
      <c r="IW210" s="653"/>
      <c r="IX210" s="653"/>
      <c r="IY210" s="653"/>
      <c r="IZ210" s="653"/>
      <c r="JA210" s="653"/>
      <c r="JB210" s="653"/>
      <c r="JC210" s="653"/>
      <c r="JD210" s="653"/>
      <c r="JE210" s="653"/>
      <c r="JF210" s="653"/>
      <c r="JG210" s="653"/>
      <c r="JH210" s="653"/>
      <c r="JI210" s="653"/>
      <c r="JJ210" s="653"/>
      <c r="JK210" s="653"/>
      <c r="JL210" s="653"/>
      <c r="JM210" s="653"/>
      <c r="JN210" s="653"/>
      <c r="JO210" s="653"/>
      <c r="JP210" s="653"/>
      <c r="JQ210" s="653"/>
    </row>
    <row r="211" spans="1:277" ht="20" customHeight="1" outlineLevel="1">
      <c r="A211" s="844">
        <v>1905001</v>
      </c>
      <c r="B211" s="457">
        <v>42125</v>
      </c>
      <c r="C211" s="458" t="s">
        <v>1523</v>
      </c>
      <c r="D211" s="458" t="s">
        <v>1259</v>
      </c>
      <c r="E211" s="555" t="s">
        <v>60</v>
      </c>
      <c r="F211" s="548" t="s">
        <v>123</v>
      </c>
      <c r="G211" s="460" t="s">
        <v>1738</v>
      </c>
      <c r="H211" s="457">
        <v>42129</v>
      </c>
      <c r="I211" s="461">
        <v>191837</v>
      </c>
      <c r="J211" s="462" t="s">
        <v>62</v>
      </c>
      <c r="K211" s="458" t="s">
        <v>50</v>
      </c>
      <c r="L211" s="463">
        <v>104176875</v>
      </c>
      <c r="M211" s="464">
        <v>42143</v>
      </c>
      <c r="N211" s="459" t="s">
        <v>319</v>
      </c>
      <c r="O211" s="459" t="s">
        <v>1839</v>
      </c>
      <c r="P211" s="570"/>
      <c r="Q211" s="626"/>
      <c r="R211" s="586">
        <v>0</v>
      </c>
      <c r="S211" s="585">
        <v>0</v>
      </c>
      <c r="T211" s="602">
        <v>0</v>
      </c>
      <c r="U211" s="594">
        <v>0</v>
      </c>
      <c r="V211" s="585">
        <v>0</v>
      </c>
      <c r="W211" s="602">
        <v>0</v>
      </c>
      <c r="X211" s="594">
        <v>0</v>
      </c>
      <c r="Y211" s="585">
        <v>0</v>
      </c>
      <c r="Z211" s="602">
        <v>0</v>
      </c>
      <c r="AA211" s="594">
        <v>2</v>
      </c>
      <c r="AB211" s="585">
        <v>0</v>
      </c>
      <c r="AC211" s="602">
        <v>0</v>
      </c>
      <c r="AD211" s="594">
        <v>0</v>
      </c>
      <c r="AE211" s="594">
        <v>0</v>
      </c>
      <c r="AF211" s="594">
        <v>0</v>
      </c>
      <c r="AG211" s="585">
        <v>0</v>
      </c>
      <c r="AH211" s="602">
        <v>0</v>
      </c>
      <c r="AI211" s="609">
        <v>0</v>
      </c>
      <c r="AJ211" s="609">
        <v>0</v>
      </c>
      <c r="AK211" s="741"/>
      <c r="AL211" s="529" t="s">
        <v>59</v>
      </c>
      <c r="AM211" s="459">
        <v>191837</v>
      </c>
      <c r="AN211" s="612">
        <v>16.8</v>
      </c>
      <c r="AO211" s="462" t="s">
        <v>1917</v>
      </c>
      <c r="AP211" s="37">
        <v>17</v>
      </c>
      <c r="AQ211" s="795">
        <f t="shared" si="13"/>
        <v>0.19999999999999929</v>
      </c>
      <c r="AR211" s="835">
        <f>AQ211/AP211</f>
        <v>1.1764705882352899E-2</v>
      </c>
      <c r="AS211" s="824"/>
      <c r="AT211" s="462" t="s">
        <v>1254</v>
      </c>
      <c r="AU211" s="466"/>
      <c r="AV211" s="462"/>
      <c r="AW211" s="467"/>
      <c r="AX211" s="773">
        <v>9</v>
      </c>
      <c r="AY211" s="462"/>
      <c r="AZ211" s="773">
        <v>7.64</v>
      </c>
      <c r="BA211" s="468" t="s">
        <v>47</v>
      </c>
      <c r="BB211" s="469">
        <v>0</v>
      </c>
      <c r="BC211" s="465"/>
      <c r="BD211" s="465"/>
      <c r="BE211" s="465"/>
      <c r="BF211" s="465"/>
      <c r="BG211" s="465"/>
      <c r="BH211" s="221"/>
      <c r="BI211" s="221"/>
      <c r="BJ211" s="221"/>
      <c r="BK211" s="221"/>
      <c r="BL211" s="221"/>
      <c r="BM211" s="221"/>
      <c r="BN211" s="221"/>
      <c r="BO211" s="221"/>
      <c r="BP211" s="221"/>
      <c r="BQ211" s="221"/>
      <c r="BR211" s="221"/>
      <c r="BS211" s="221"/>
      <c r="BT211" s="221"/>
      <c r="BU211" s="221"/>
      <c r="BV211" s="221"/>
      <c r="BW211" s="221"/>
      <c r="BX211" s="221"/>
      <c r="BY211" s="221"/>
      <c r="BZ211" s="221"/>
      <c r="CA211" s="221"/>
      <c r="CB211" s="221"/>
      <c r="CC211" s="221"/>
      <c r="CD211" s="221"/>
      <c r="CE211" s="221"/>
      <c r="CF211" s="221"/>
      <c r="CG211" s="221"/>
      <c r="CH211" s="221"/>
      <c r="CI211" s="221"/>
      <c r="CJ211" s="221"/>
      <c r="CK211" s="221"/>
      <c r="CL211" s="221"/>
      <c r="CM211" s="221"/>
      <c r="CN211" s="221"/>
      <c r="CO211" s="221"/>
      <c r="CP211" s="221"/>
      <c r="CQ211" s="221"/>
      <c r="CR211" s="221"/>
      <c r="CS211" s="221"/>
      <c r="CT211" s="221"/>
      <c r="CU211" s="221"/>
      <c r="CV211" s="221"/>
      <c r="CW211" s="221"/>
      <c r="CX211" s="221"/>
      <c r="CY211" s="221"/>
      <c r="CZ211" s="221"/>
      <c r="DA211" s="221"/>
      <c r="DB211" s="221"/>
      <c r="DC211" s="221"/>
      <c r="DD211" s="221"/>
      <c r="DE211" s="221"/>
      <c r="DF211" s="221"/>
      <c r="DG211" s="221"/>
      <c r="DH211" s="221"/>
      <c r="DI211" s="221"/>
      <c r="DJ211" s="221"/>
      <c r="DK211" s="221"/>
      <c r="DL211" s="221"/>
      <c r="DM211" s="221"/>
      <c r="DN211" s="221"/>
      <c r="DO211" s="221"/>
      <c r="DP211" s="221"/>
      <c r="DQ211" s="221"/>
      <c r="DR211" s="221"/>
      <c r="DS211" s="221"/>
      <c r="DT211" s="221"/>
      <c r="DU211" s="221"/>
      <c r="DV211" s="221"/>
      <c r="DW211" s="221"/>
      <c r="DX211" s="221"/>
      <c r="DY211" s="221"/>
      <c r="DZ211" s="221"/>
      <c r="EA211" s="221"/>
      <c r="EB211" s="221"/>
      <c r="EC211" s="221"/>
      <c r="ED211" s="221"/>
      <c r="EE211" s="221"/>
      <c r="EF211" s="221"/>
      <c r="EG211" s="221"/>
      <c r="EH211" s="221"/>
      <c r="EI211" s="221"/>
      <c r="EJ211" s="221"/>
      <c r="EK211" s="221"/>
      <c r="EL211" s="221"/>
      <c r="EM211" s="221"/>
      <c r="EN211" s="221"/>
      <c r="EO211" s="221"/>
      <c r="EP211" s="221"/>
      <c r="EQ211" s="221"/>
      <c r="ER211" s="221"/>
      <c r="ES211" s="221"/>
      <c r="ET211" s="221"/>
      <c r="EU211" s="221"/>
      <c r="EV211" s="221"/>
      <c r="EW211" s="221"/>
      <c r="EX211" s="221"/>
      <c r="EY211" s="221"/>
      <c r="EZ211" s="221"/>
      <c r="FA211" s="221"/>
      <c r="FB211" s="221"/>
      <c r="FC211" s="221"/>
      <c r="FD211" s="221"/>
      <c r="FE211" s="221"/>
      <c r="FF211" s="221"/>
      <c r="FG211" s="221"/>
      <c r="FH211" s="221"/>
      <c r="FI211" s="221"/>
      <c r="FJ211" s="221"/>
      <c r="FK211" s="221"/>
      <c r="FL211" s="221"/>
      <c r="FM211" s="221"/>
      <c r="FN211" s="221"/>
      <c r="FO211" s="221"/>
      <c r="FP211" s="221"/>
      <c r="FQ211" s="221"/>
      <c r="FR211" s="221"/>
      <c r="FS211" s="221"/>
      <c r="FT211" s="221"/>
      <c r="FU211" s="221"/>
      <c r="FV211" s="221"/>
      <c r="FW211" s="221"/>
      <c r="FX211" s="221"/>
      <c r="FY211" s="221"/>
      <c r="FZ211" s="221"/>
      <c r="GA211" s="221"/>
      <c r="GB211" s="221"/>
      <c r="GC211" s="221"/>
      <c r="GD211" s="221"/>
      <c r="GE211" s="221"/>
      <c r="GF211" s="221"/>
      <c r="GG211" s="221"/>
      <c r="GH211" s="221"/>
      <c r="GI211" s="221"/>
      <c r="GJ211" s="221"/>
      <c r="GK211" s="221"/>
      <c r="GL211" s="221"/>
      <c r="GM211" s="221"/>
      <c r="GN211" s="221"/>
      <c r="GO211" s="221"/>
      <c r="GP211" s="221"/>
      <c r="GQ211" s="221"/>
      <c r="GR211" s="221"/>
      <c r="GS211" s="221"/>
      <c r="GT211" s="221"/>
      <c r="GU211" s="221"/>
      <c r="GV211" s="221"/>
      <c r="GW211" s="221"/>
      <c r="GX211" s="221"/>
      <c r="GY211" s="221"/>
      <c r="GZ211" s="221"/>
      <c r="HA211" s="221"/>
      <c r="HB211" s="221"/>
      <c r="HC211" s="221"/>
      <c r="HD211" s="221"/>
      <c r="HE211" s="221"/>
      <c r="HF211" s="221"/>
      <c r="HG211" s="221"/>
      <c r="HH211" s="221"/>
      <c r="HI211" s="221"/>
      <c r="HJ211" s="221"/>
      <c r="HK211" s="221"/>
      <c r="HL211" s="221"/>
      <c r="HM211" s="221"/>
      <c r="HN211" s="221"/>
      <c r="HO211" s="221"/>
      <c r="HP211" s="221"/>
      <c r="HQ211" s="221"/>
      <c r="HR211" s="221"/>
      <c r="HS211" s="221"/>
      <c r="HT211" s="221"/>
      <c r="HU211" s="221"/>
      <c r="HV211" s="221"/>
      <c r="HW211" s="221"/>
      <c r="HX211" s="221"/>
      <c r="HY211" s="221"/>
      <c r="HZ211" s="221"/>
      <c r="IA211" s="221"/>
      <c r="IB211" s="221"/>
      <c r="IC211" s="221"/>
      <c r="ID211" s="221"/>
      <c r="IE211" s="221"/>
      <c r="IF211" s="221"/>
      <c r="IG211" s="221"/>
      <c r="IH211" s="221"/>
      <c r="II211" s="221"/>
      <c r="IJ211" s="221"/>
      <c r="IK211" s="221"/>
      <c r="IL211" s="221"/>
      <c r="IM211" s="221"/>
      <c r="IN211" s="221"/>
      <c r="IO211" s="221"/>
      <c r="IP211" s="221"/>
      <c r="IQ211" s="221"/>
      <c r="IR211" s="221"/>
      <c r="IS211" s="221"/>
      <c r="IT211" s="221"/>
      <c r="IU211" s="221"/>
      <c r="IV211" s="221"/>
      <c r="IW211" s="221"/>
      <c r="IX211" s="221"/>
      <c r="IY211" s="221"/>
      <c r="IZ211" s="221"/>
      <c r="JA211" s="221"/>
      <c r="JB211" s="221"/>
      <c r="JC211" s="221"/>
      <c r="JD211" s="221"/>
      <c r="JE211" s="221"/>
      <c r="JF211" s="221"/>
      <c r="JG211" s="221"/>
      <c r="JH211" s="221"/>
      <c r="JI211" s="221"/>
      <c r="JJ211" s="221"/>
      <c r="JK211" s="221"/>
      <c r="JL211" s="221"/>
      <c r="JM211" s="221"/>
      <c r="JN211" s="221"/>
      <c r="JO211" s="221"/>
      <c r="JP211" s="221"/>
      <c r="JQ211" s="221"/>
    </row>
    <row r="212" spans="1:277" ht="20" customHeight="1" outlineLevel="1">
      <c r="A212" s="482">
        <v>1905002</v>
      </c>
      <c r="B212" s="439">
        <v>42126</v>
      </c>
      <c r="C212" s="440" t="s">
        <v>1675</v>
      </c>
      <c r="D212" s="440" t="s">
        <v>1259</v>
      </c>
      <c r="E212" s="554" t="s">
        <v>74</v>
      </c>
      <c r="F212" s="547" t="s">
        <v>47</v>
      </c>
      <c r="G212" s="441" t="s">
        <v>1739</v>
      </c>
      <c r="H212" s="439">
        <v>42129</v>
      </c>
      <c r="I212" s="443" t="s">
        <v>155</v>
      </c>
      <c r="J212" s="440" t="s">
        <v>1269</v>
      </c>
      <c r="K212" s="440" t="s">
        <v>50</v>
      </c>
      <c r="L212" s="445">
        <v>104181853</v>
      </c>
      <c r="M212" s="446">
        <v>42143</v>
      </c>
      <c r="N212" s="441" t="s">
        <v>75</v>
      </c>
      <c r="O212" s="441" t="s">
        <v>1740</v>
      </c>
      <c r="P212" s="568" t="s">
        <v>1741</v>
      </c>
      <c r="Q212" s="627"/>
      <c r="R212" s="587">
        <v>0</v>
      </c>
      <c r="S212" s="588">
        <v>0</v>
      </c>
      <c r="T212" s="603">
        <v>0</v>
      </c>
      <c r="U212" s="595">
        <v>1</v>
      </c>
      <c r="V212" s="588">
        <v>0</v>
      </c>
      <c r="W212" s="603">
        <v>0</v>
      </c>
      <c r="X212" s="595">
        <v>0</v>
      </c>
      <c r="Y212" s="588">
        <v>0</v>
      </c>
      <c r="Z212" s="603">
        <v>0</v>
      </c>
      <c r="AA212" s="603">
        <v>0</v>
      </c>
      <c r="AB212" s="603">
        <v>0</v>
      </c>
      <c r="AC212" s="603">
        <v>0</v>
      </c>
      <c r="AD212" s="603">
        <v>0</v>
      </c>
      <c r="AE212" s="594">
        <v>0</v>
      </c>
      <c r="AF212" s="594">
        <v>0</v>
      </c>
      <c r="AG212" s="603">
        <v>0</v>
      </c>
      <c r="AH212" s="603">
        <v>0</v>
      </c>
      <c r="AI212" s="603">
        <v>0</v>
      </c>
      <c r="AJ212" s="603">
        <v>0</v>
      </c>
      <c r="AK212" s="742"/>
      <c r="AL212" s="527" t="s">
        <v>1268</v>
      </c>
      <c r="AM212" s="441"/>
      <c r="AN212" s="612"/>
      <c r="AO212" s="444" t="s">
        <v>1918</v>
      </c>
      <c r="AP212" s="37">
        <v>240.69</v>
      </c>
      <c r="AQ212" s="795">
        <f t="shared" si="13"/>
        <v>240.69</v>
      </c>
      <c r="AR212" s="835">
        <f t="shared" ref="AR212:AR298" si="21">AQ212/AP212</f>
        <v>1</v>
      </c>
      <c r="AS212" s="821"/>
      <c r="AT212" s="444" t="s">
        <v>1254</v>
      </c>
      <c r="AU212" s="448">
        <v>1</v>
      </c>
      <c r="AV212" s="444" t="s">
        <v>1919</v>
      </c>
      <c r="AW212" s="449" t="s">
        <v>1920</v>
      </c>
      <c r="AX212" s="612">
        <v>75</v>
      </c>
      <c r="AY212" s="444"/>
      <c r="AZ212" s="612">
        <v>67.010000000000005</v>
      </c>
      <c r="BA212" s="31" t="s">
        <v>47</v>
      </c>
      <c r="BB212" s="41">
        <v>0</v>
      </c>
      <c r="BC212" s="447"/>
      <c r="BD212" s="447"/>
      <c r="BE212" s="447"/>
      <c r="BF212" s="447"/>
      <c r="BG212" s="447"/>
      <c r="BH212" s="221"/>
      <c r="BI212" s="221"/>
      <c r="BJ212" s="221"/>
      <c r="BK212" s="221"/>
      <c r="BL212" s="221"/>
      <c r="BM212" s="221"/>
      <c r="BN212" s="221"/>
      <c r="BO212" s="221"/>
      <c r="BP212" s="221"/>
      <c r="BQ212" s="221"/>
      <c r="BR212" s="221"/>
      <c r="BS212" s="221"/>
      <c r="BT212" s="221"/>
      <c r="BU212" s="221"/>
      <c r="BV212" s="221"/>
      <c r="BW212" s="221"/>
      <c r="BX212" s="221"/>
      <c r="BY212" s="221"/>
      <c r="BZ212" s="221"/>
      <c r="CA212" s="221"/>
      <c r="CB212" s="221"/>
      <c r="CC212" s="221"/>
      <c r="CD212" s="221"/>
      <c r="CE212" s="221"/>
      <c r="CF212" s="221"/>
      <c r="CG212" s="221"/>
      <c r="CH212" s="221"/>
      <c r="CI212" s="221"/>
      <c r="CJ212" s="221"/>
      <c r="CK212" s="221"/>
      <c r="CL212" s="221"/>
      <c r="CM212" s="221"/>
      <c r="CN212" s="221"/>
      <c r="CO212" s="221"/>
      <c r="CP212" s="221"/>
      <c r="CQ212" s="221"/>
      <c r="CR212" s="221"/>
      <c r="CS212" s="221"/>
      <c r="CT212" s="221"/>
      <c r="CU212" s="221"/>
      <c r="CV212" s="221"/>
      <c r="CW212" s="221"/>
      <c r="CX212" s="221"/>
      <c r="CY212" s="221"/>
      <c r="CZ212" s="221"/>
      <c r="DA212" s="221"/>
      <c r="DB212" s="221"/>
      <c r="DC212" s="221"/>
      <c r="DD212" s="221"/>
      <c r="DE212" s="221"/>
      <c r="DF212" s="221"/>
      <c r="DG212" s="221"/>
      <c r="DH212" s="221"/>
      <c r="DI212" s="221"/>
      <c r="DJ212" s="221"/>
      <c r="DK212" s="221"/>
      <c r="DL212" s="221"/>
      <c r="DM212" s="221"/>
      <c r="DN212" s="221"/>
      <c r="DO212" s="221"/>
      <c r="DP212" s="221"/>
      <c r="DQ212" s="221"/>
      <c r="DR212" s="221"/>
      <c r="DS212" s="221"/>
      <c r="DT212" s="221"/>
      <c r="DU212" s="221"/>
      <c r="DV212" s="221"/>
      <c r="DW212" s="221"/>
      <c r="DX212" s="221"/>
      <c r="DY212" s="221"/>
      <c r="DZ212" s="221"/>
      <c r="EA212" s="221"/>
      <c r="EB212" s="221"/>
      <c r="EC212" s="221"/>
      <c r="ED212" s="221"/>
      <c r="EE212" s="221"/>
      <c r="EF212" s="221"/>
      <c r="EG212" s="221"/>
      <c r="EH212" s="221"/>
      <c r="EI212" s="221"/>
      <c r="EJ212" s="221"/>
      <c r="EK212" s="221"/>
      <c r="EL212" s="221"/>
      <c r="EM212" s="221"/>
      <c r="EN212" s="221"/>
      <c r="EO212" s="221"/>
      <c r="EP212" s="221"/>
      <c r="EQ212" s="221"/>
      <c r="ER212" s="221"/>
      <c r="ES212" s="221"/>
      <c r="ET212" s="221"/>
      <c r="EU212" s="221"/>
      <c r="EV212" s="221"/>
      <c r="EW212" s="221"/>
      <c r="EX212" s="221"/>
      <c r="EY212" s="221"/>
      <c r="EZ212" s="221"/>
      <c r="FA212" s="221"/>
      <c r="FB212" s="221"/>
      <c r="FC212" s="221"/>
      <c r="FD212" s="221"/>
      <c r="FE212" s="221"/>
      <c r="FF212" s="221"/>
      <c r="FG212" s="221"/>
      <c r="FH212" s="221"/>
      <c r="FI212" s="221"/>
      <c r="FJ212" s="221"/>
      <c r="FK212" s="221"/>
      <c r="FL212" s="221"/>
      <c r="FM212" s="221"/>
      <c r="FN212" s="221"/>
      <c r="FO212" s="221"/>
      <c r="FP212" s="221"/>
      <c r="FQ212" s="221"/>
      <c r="FR212" s="221"/>
      <c r="FS212" s="221"/>
      <c r="FT212" s="221"/>
      <c r="FU212" s="221"/>
      <c r="FV212" s="221"/>
      <c r="FW212" s="221"/>
      <c r="FX212" s="221"/>
      <c r="FY212" s="221"/>
      <c r="FZ212" s="221"/>
      <c r="GA212" s="221"/>
      <c r="GB212" s="221"/>
      <c r="GC212" s="221"/>
      <c r="GD212" s="221"/>
      <c r="GE212" s="221"/>
      <c r="GF212" s="221"/>
      <c r="GG212" s="221"/>
      <c r="GH212" s="221"/>
      <c r="GI212" s="221"/>
      <c r="GJ212" s="221"/>
      <c r="GK212" s="221"/>
      <c r="GL212" s="221"/>
      <c r="GM212" s="221"/>
      <c r="GN212" s="221"/>
      <c r="GO212" s="221"/>
      <c r="GP212" s="221"/>
      <c r="GQ212" s="221"/>
      <c r="GR212" s="221"/>
      <c r="GS212" s="221"/>
      <c r="GT212" s="221"/>
      <c r="GU212" s="221"/>
      <c r="GV212" s="221"/>
      <c r="GW212" s="221"/>
      <c r="GX212" s="221"/>
      <c r="GY212" s="221"/>
      <c r="GZ212" s="221"/>
      <c r="HA212" s="221"/>
      <c r="HB212" s="221"/>
      <c r="HC212" s="221"/>
      <c r="HD212" s="221"/>
      <c r="HE212" s="221"/>
      <c r="HF212" s="221"/>
      <c r="HG212" s="221"/>
      <c r="HH212" s="221"/>
      <c r="HI212" s="221"/>
      <c r="HJ212" s="221"/>
      <c r="HK212" s="221"/>
      <c r="HL212" s="221"/>
      <c r="HM212" s="221"/>
      <c r="HN212" s="221"/>
      <c r="HO212" s="221"/>
      <c r="HP212" s="221"/>
      <c r="HQ212" s="221"/>
      <c r="HR212" s="221"/>
      <c r="HS212" s="221"/>
      <c r="HT212" s="221"/>
      <c r="HU212" s="221"/>
      <c r="HV212" s="221"/>
      <c r="HW212" s="221"/>
      <c r="HX212" s="221"/>
      <c r="HY212" s="221"/>
      <c r="HZ212" s="221"/>
      <c r="IA212" s="221"/>
      <c r="IB212" s="221"/>
      <c r="IC212" s="221"/>
      <c r="ID212" s="221"/>
      <c r="IE212" s="221"/>
      <c r="IF212" s="221"/>
      <c r="IG212" s="221"/>
      <c r="IH212" s="221"/>
      <c r="II212" s="221"/>
      <c r="IJ212" s="221"/>
      <c r="IK212" s="221"/>
      <c r="IL212" s="221"/>
      <c r="IM212" s="221"/>
      <c r="IN212" s="221"/>
      <c r="IO212" s="221"/>
      <c r="IP212" s="221"/>
      <c r="IQ212" s="221"/>
      <c r="IR212" s="221"/>
      <c r="IS212" s="221"/>
      <c r="IT212" s="221"/>
      <c r="IU212" s="221"/>
      <c r="IV212" s="221"/>
      <c r="IW212" s="221"/>
      <c r="IX212" s="221"/>
      <c r="IY212" s="221"/>
      <c r="IZ212" s="221"/>
      <c r="JA212" s="221"/>
      <c r="JB212" s="221"/>
      <c r="JC212" s="221"/>
      <c r="JD212" s="221"/>
      <c r="JE212" s="221"/>
      <c r="JF212" s="221"/>
      <c r="JG212" s="221"/>
      <c r="JH212" s="221"/>
      <c r="JI212" s="221"/>
      <c r="JJ212" s="221"/>
      <c r="JK212" s="221"/>
      <c r="JL212" s="221"/>
      <c r="JM212" s="221"/>
      <c r="JN212" s="221"/>
      <c r="JO212" s="221"/>
      <c r="JP212" s="221"/>
      <c r="JQ212" s="221"/>
    </row>
    <row r="213" spans="1:277" ht="20" customHeight="1" outlineLevel="1">
      <c r="A213" s="456">
        <v>1905003</v>
      </c>
      <c r="B213" s="439">
        <v>42096</v>
      </c>
      <c r="C213" s="440" t="s">
        <v>1675</v>
      </c>
      <c r="D213" s="440" t="s">
        <v>1238</v>
      </c>
      <c r="E213" s="554" t="s">
        <v>1177</v>
      </c>
      <c r="F213" s="547" t="s">
        <v>47</v>
      </c>
      <c r="G213" s="441" t="s">
        <v>1742</v>
      </c>
      <c r="H213" s="442" t="s">
        <v>191</v>
      </c>
      <c r="I213" s="443">
        <v>191838</v>
      </c>
      <c r="J213" s="440" t="s">
        <v>62</v>
      </c>
      <c r="K213" s="440" t="s">
        <v>50</v>
      </c>
      <c r="L213" s="445"/>
      <c r="M213" s="446">
        <v>42130</v>
      </c>
      <c r="N213" s="441" t="s">
        <v>1106</v>
      </c>
      <c r="O213" s="441" t="s">
        <v>1105</v>
      </c>
      <c r="P213" s="567"/>
      <c r="Q213" s="628"/>
      <c r="R213" s="587">
        <v>0</v>
      </c>
      <c r="S213" s="588">
        <v>0</v>
      </c>
      <c r="T213" s="603">
        <v>0</v>
      </c>
      <c r="U213" s="595">
        <v>0</v>
      </c>
      <c r="V213" s="588">
        <v>0</v>
      </c>
      <c r="W213" s="603">
        <v>0</v>
      </c>
      <c r="X213" s="595">
        <v>0</v>
      </c>
      <c r="Y213" s="588">
        <v>0</v>
      </c>
      <c r="Z213" s="603">
        <v>0</v>
      </c>
      <c r="AA213" s="603">
        <v>0</v>
      </c>
      <c r="AB213" s="603">
        <v>1</v>
      </c>
      <c r="AC213" s="603">
        <v>0</v>
      </c>
      <c r="AD213" s="603">
        <v>0</v>
      </c>
      <c r="AE213" s="594">
        <v>0</v>
      </c>
      <c r="AF213" s="594">
        <v>0</v>
      </c>
      <c r="AG213" s="603">
        <v>1</v>
      </c>
      <c r="AH213" s="603">
        <v>0</v>
      </c>
      <c r="AI213" s="603">
        <v>0</v>
      </c>
      <c r="AJ213" s="603">
        <v>0</v>
      </c>
      <c r="AK213" s="742"/>
      <c r="AL213" s="527" t="s">
        <v>1744</v>
      </c>
      <c r="AM213" s="441" t="s">
        <v>220</v>
      </c>
      <c r="AN213" s="612">
        <f>PRODUCTS!C3+PRODUCTS!D3</f>
        <v>133.99</v>
      </c>
      <c r="AO213" s="440" t="s">
        <v>1743</v>
      </c>
      <c r="AP213" s="37">
        <v>0</v>
      </c>
      <c r="AQ213" s="795">
        <f t="shared" si="13"/>
        <v>-133.99</v>
      </c>
      <c r="AR213" s="835" t="e">
        <f t="shared" si="21"/>
        <v>#DIV/0!</v>
      </c>
      <c r="AS213" s="821" t="s">
        <v>47</v>
      </c>
      <c r="AT213" s="444" t="s">
        <v>1254</v>
      </c>
      <c r="AU213" s="448">
        <v>1</v>
      </c>
      <c r="AV213" s="444" t="s">
        <v>1522</v>
      </c>
      <c r="AW213" s="449" t="s">
        <v>1911</v>
      </c>
      <c r="AX213" s="612">
        <v>0</v>
      </c>
      <c r="AY213" s="440" t="s">
        <v>118</v>
      </c>
      <c r="AZ213" s="612">
        <v>0</v>
      </c>
      <c r="BA213" s="31" t="s">
        <v>47</v>
      </c>
      <c r="BB213" s="41">
        <v>0</v>
      </c>
      <c r="BC213" s="447"/>
      <c r="BD213" s="447"/>
      <c r="BE213" s="447"/>
      <c r="BF213" s="447"/>
      <c r="BG213" s="447"/>
      <c r="BH213" s="221"/>
      <c r="BI213" s="221"/>
      <c r="BJ213" s="221"/>
      <c r="BK213" s="221"/>
      <c r="BL213" s="221"/>
      <c r="BM213" s="221"/>
      <c r="BN213" s="221"/>
      <c r="BO213" s="221"/>
      <c r="BP213" s="221"/>
      <c r="BQ213" s="221"/>
      <c r="BR213" s="221"/>
      <c r="BS213" s="221"/>
      <c r="BT213" s="221"/>
      <c r="BU213" s="221"/>
      <c r="BV213" s="221"/>
      <c r="BW213" s="221"/>
      <c r="BX213" s="221"/>
      <c r="BY213" s="221"/>
      <c r="BZ213" s="221"/>
      <c r="CA213" s="221"/>
      <c r="CB213" s="221"/>
      <c r="CC213" s="221"/>
      <c r="CD213" s="221"/>
      <c r="CE213" s="221"/>
      <c r="CF213" s="221"/>
      <c r="CG213" s="221"/>
      <c r="CH213" s="221"/>
      <c r="CI213" s="221"/>
      <c r="CJ213" s="221"/>
      <c r="CK213" s="221"/>
      <c r="CL213" s="221"/>
      <c r="CM213" s="221"/>
      <c r="CN213" s="221"/>
      <c r="CO213" s="221"/>
      <c r="CP213" s="221"/>
      <c r="CQ213" s="221"/>
      <c r="CR213" s="221"/>
      <c r="CS213" s="221"/>
      <c r="CT213" s="221"/>
      <c r="CU213" s="221"/>
      <c r="CV213" s="221"/>
      <c r="CW213" s="221"/>
      <c r="CX213" s="221"/>
      <c r="CY213" s="221"/>
      <c r="CZ213" s="221"/>
      <c r="DA213" s="221"/>
      <c r="DB213" s="221"/>
      <c r="DC213" s="221"/>
      <c r="DD213" s="221"/>
      <c r="DE213" s="221"/>
      <c r="DF213" s="221"/>
      <c r="DG213" s="221"/>
      <c r="DH213" s="221"/>
      <c r="DI213" s="221"/>
      <c r="DJ213" s="221"/>
      <c r="DK213" s="221"/>
      <c r="DL213" s="221"/>
      <c r="DM213" s="221"/>
      <c r="DN213" s="221"/>
      <c r="DO213" s="221"/>
      <c r="DP213" s="221"/>
      <c r="DQ213" s="221"/>
      <c r="DR213" s="221"/>
      <c r="DS213" s="221"/>
      <c r="DT213" s="221"/>
      <c r="DU213" s="221"/>
      <c r="DV213" s="221"/>
      <c r="DW213" s="221"/>
      <c r="DX213" s="221"/>
      <c r="DY213" s="221"/>
      <c r="DZ213" s="221"/>
      <c r="EA213" s="221"/>
      <c r="EB213" s="221"/>
      <c r="EC213" s="221"/>
      <c r="ED213" s="221"/>
      <c r="EE213" s="221"/>
      <c r="EF213" s="221"/>
      <c r="EG213" s="221"/>
      <c r="EH213" s="221"/>
      <c r="EI213" s="221"/>
      <c r="EJ213" s="221"/>
      <c r="EK213" s="221"/>
      <c r="EL213" s="221"/>
      <c r="EM213" s="221"/>
      <c r="EN213" s="221"/>
      <c r="EO213" s="221"/>
      <c r="EP213" s="221"/>
      <c r="EQ213" s="221"/>
      <c r="ER213" s="221"/>
      <c r="ES213" s="221"/>
      <c r="ET213" s="221"/>
      <c r="EU213" s="221"/>
      <c r="EV213" s="221"/>
      <c r="EW213" s="221"/>
      <c r="EX213" s="221"/>
      <c r="EY213" s="221"/>
      <c r="EZ213" s="221"/>
      <c r="FA213" s="221"/>
      <c r="FB213" s="221"/>
      <c r="FC213" s="221"/>
      <c r="FD213" s="221"/>
      <c r="FE213" s="221"/>
      <c r="FF213" s="221"/>
      <c r="FG213" s="221"/>
      <c r="FH213" s="221"/>
      <c r="FI213" s="221"/>
      <c r="FJ213" s="221"/>
      <c r="FK213" s="221"/>
      <c r="FL213" s="221"/>
      <c r="FM213" s="221"/>
      <c r="FN213" s="221"/>
      <c r="FO213" s="221"/>
      <c r="FP213" s="221"/>
      <c r="FQ213" s="221"/>
      <c r="FR213" s="221"/>
      <c r="FS213" s="221"/>
      <c r="FT213" s="221"/>
      <c r="FU213" s="221"/>
      <c r="FV213" s="221"/>
      <c r="FW213" s="221"/>
      <c r="FX213" s="221"/>
      <c r="FY213" s="221"/>
      <c r="FZ213" s="221"/>
      <c r="GA213" s="221"/>
      <c r="GB213" s="221"/>
      <c r="GC213" s="221"/>
      <c r="GD213" s="221"/>
      <c r="GE213" s="221"/>
      <c r="GF213" s="221"/>
      <c r="GG213" s="221"/>
      <c r="GH213" s="221"/>
      <c r="GI213" s="221"/>
      <c r="GJ213" s="221"/>
      <c r="GK213" s="221"/>
      <c r="GL213" s="221"/>
      <c r="GM213" s="221"/>
      <c r="GN213" s="221"/>
      <c r="GO213" s="221"/>
      <c r="GP213" s="221"/>
      <c r="GQ213" s="221"/>
      <c r="GR213" s="221"/>
      <c r="GS213" s="221"/>
      <c r="GT213" s="221"/>
      <c r="GU213" s="221"/>
      <c r="GV213" s="221"/>
      <c r="GW213" s="221"/>
      <c r="GX213" s="221"/>
      <c r="GY213" s="221"/>
      <c r="GZ213" s="221"/>
      <c r="HA213" s="221"/>
      <c r="HB213" s="221"/>
      <c r="HC213" s="221"/>
      <c r="HD213" s="221"/>
      <c r="HE213" s="221"/>
      <c r="HF213" s="221"/>
      <c r="HG213" s="221"/>
      <c r="HH213" s="221"/>
      <c r="HI213" s="221"/>
      <c r="HJ213" s="221"/>
      <c r="HK213" s="221"/>
      <c r="HL213" s="221"/>
      <c r="HM213" s="221"/>
      <c r="HN213" s="221"/>
      <c r="HO213" s="221"/>
      <c r="HP213" s="221"/>
      <c r="HQ213" s="221"/>
      <c r="HR213" s="221"/>
      <c r="HS213" s="221"/>
      <c r="HT213" s="221"/>
      <c r="HU213" s="221"/>
      <c r="HV213" s="221"/>
      <c r="HW213" s="221"/>
      <c r="HX213" s="221"/>
      <c r="HY213" s="221"/>
      <c r="HZ213" s="221"/>
      <c r="IA213" s="221"/>
      <c r="IB213" s="221"/>
      <c r="IC213" s="221"/>
      <c r="ID213" s="221"/>
      <c r="IE213" s="221"/>
      <c r="IF213" s="221"/>
      <c r="IG213" s="221"/>
      <c r="IH213" s="221"/>
      <c r="II213" s="221"/>
      <c r="IJ213" s="221"/>
      <c r="IK213" s="221"/>
      <c r="IL213" s="221"/>
      <c r="IM213" s="221"/>
      <c r="IN213" s="221"/>
      <c r="IO213" s="221"/>
      <c r="IP213" s="221"/>
      <c r="IQ213" s="221"/>
      <c r="IR213" s="221"/>
      <c r="IS213" s="221"/>
      <c r="IT213" s="221"/>
      <c r="IU213" s="221"/>
      <c r="IV213" s="221"/>
      <c r="IW213" s="221"/>
      <c r="IX213" s="221"/>
      <c r="IY213" s="221"/>
      <c r="IZ213" s="221"/>
      <c r="JA213" s="221"/>
      <c r="JB213" s="221"/>
      <c r="JC213" s="221"/>
      <c r="JD213" s="221"/>
      <c r="JE213" s="221"/>
      <c r="JF213" s="221"/>
      <c r="JG213" s="221"/>
      <c r="JH213" s="221"/>
      <c r="JI213" s="221"/>
      <c r="JJ213" s="221"/>
      <c r="JK213" s="221"/>
      <c r="JL213" s="221"/>
      <c r="JM213" s="221"/>
      <c r="JN213" s="221"/>
      <c r="JO213" s="221"/>
      <c r="JP213" s="221"/>
      <c r="JQ213" s="221"/>
    </row>
    <row r="214" spans="1:277" ht="20" customHeight="1" outlineLevel="1">
      <c r="A214" s="456">
        <v>1905004</v>
      </c>
      <c r="B214" s="439">
        <v>42126</v>
      </c>
      <c r="C214" s="440" t="s">
        <v>1523</v>
      </c>
      <c r="D214" s="440" t="s">
        <v>1259</v>
      </c>
      <c r="E214" s="554" t="s">
        <v>60</v>
      </c>
      <c r="F214" s="547" t="s">
        <v>47</v>
      </c>
      <c r="G214" s="441" t="s">
        <v>1745</v>
      </c>
      <c r="H214" s="442" t="s">
        <v>1314</v>
      </c>
      <c r="I214" s="443">
        <v>192097</v>
      </c>
      <c r="J214" s="440" t="s">
        <v>1269</v>
      </c>
      <c r="K214" s="440" t="s">
        <v>50</v>
      </c>
      <c r="L214" s="445">
        <v>105601605</v>
      </c>
      <c r="M214" s="446">
        <v>42147</v>
      </c>
      <c r="N214" s="441" t="s">
        <v>236</v>
      </c>
      <c r="O214" s="441" t="s">
        <v>1746</v>
      </c>
      <c r="P214" s="568" t="s">
        <v>1747</v>
      </c>
      <c r="Q214" s="627"/>
      <c r="R214" s="587">
        <v>0</v>
      </c>
      <c r="S214" s="588">
        <v>0</v>
      </c>
      <c r="T214" s="603">
        <v>0</v>
      </c>
      <c r="U214" s="595">
        <v>0</v>
      </c>
      <c r="V214" s="588">
        <v>0</v>
      </c>
      <c r="W214" s="603">
        <v>0</v>
      </c>
      <c r="X214" s="595">
        <v>0</v>
      </c>
      <c r="Y214" s="588">
        <v>0</v>
      </c>
      <c r="Z214" s="603">
        <v>0</v>
      </c>
      <c r="AA214" s="603">
        <v>0</v>
      </c>
      <c r="AB214" s="603">
        <v>0</v>
      </c>
      <c r="AC214" s="603">
        <v>0</v>
      </c>
      <c r="AD214" s="603">
        <v>0</v>
      </c>
      <c r="AE214" s="594">
        <v>0</v>
      </c>
      <c r="AF214" s="594">
        <v>1</v>
      </c>
      <c r="AG214" s="603">
        <v>0</v>
      </c>
      <c r="AH214" s="603">
        <v>0</v>
      </c>
      <c r="AI214" s="603">
        <v>0</v>
      </c>
      <c r="AJ214" s="603">
        <v>0</v>
      </c>
      <c r="AK214" s="742"/>
      <c r="AL214" s="527" t="s">
        <v>1680</v>
      </c>
      <c r="AM214" s="441">
        <v>191301</v>
      </c>
      <c r="AN214" s="612">
        <v>49.3</v>
      </c>
      <c r="AO214" s="444" t="s">
        <v>47</v>
      </c>
      <c r="AP214" s="37">
        <v>0</v>
      </c>
      <c r="AQ214" s="795">
        <f t="shared" si="13"/>
        <v>-49.3</v>
      </c>
      <c r="AR214" s="835" t="e">
        <f t="shared" si="21"/>
        <v>#DIV/0!</v>
      </c>
      <c r="AS214" s="821" t="s">
        <v>47</v>
      </c>
      <c r="AT214" s="444" t="s">
        <v>1254</v>
      </c>
      <c r="AU214" s="448">
        <v>1</v>
      </c>
      <c r="AV214" s="444" t="s">
        <v>1947</v>
      </c>
      <c r="AW214" s="449" t="s">
        <v>1713</v>
      </c>
      <c r="AX214" s="612">
        <v>0</v>
      </c>
      <c r="AY214" s="444"/>
      <c r="AZ214" s="612">
        <v>7.31</v>
      </c>
      <c r="BA214" s="31" t="s">
        <v>47</v>
      </c>
      <c r="BB214" s="41">
        <v>0</v>
      </c>
      <c r="BC214" s="447"/>
      <c r="BD214" s="447"/>
      <c r="BE214" s="447"/>
      <c r="BF214" s="447"/>
      <c r="BG214" s="447"/>
      <c r="BH214" s="221"/>
      <c r="BI214" s="221"/>
      <c r="BJ214" s="221"/>
      <c r="BK214" s="221"/>
      <c r="BL214" s="221"/>
      <c r="BM214" s="221"/>
      <c r="BN214" s="221"/>
      <c r="BO214" s="221"/>
      <c r="BP214" s="221"/>
      <c r="BQ214" s="221"/>
      <c r="BR214" s="221"/>
      <c r="BS214" s="221"/>
      <c r="BT214" s="221"/>
      <c r="BU214" s="221"/>
      <c r="BV214" s="221"/>
      <c r="BW214" s="221"/>
      <c r="BX214" s="221"/>
      <c r="BY214" s="221"/>
      <c r="BZ214" s="221"/>
      <c r="CA214" s="221"/>
      <c r="CB214" s="221"/>
      <c r="CC214" s="221"/>
      <c r="CD214" s="221"/>
      <c r="CE214" s="221"/>
      <c r="CF214" s="221"/>
      <c r="CG214" s="221"/>
      <c r="CH214" s="221"/>
      <c r="CI214" s="221"/>
      <c r="CJ214" s="221"/>
      <c r="CK214" s="221"/>
      <c r="CL214" s="221"/>
      <c r="CM214" s="221"/>
      <c r="CN214" s="221"/>
      <c r="CO214" s="221"/>
      <c r="CP214" s="221"/>
      <c r="CQ214" s="221"/>
      <c r="CR214" s="221"/>
      <c r="CS214" s="221"/>
      <c r="CT214" s="221"/>
      <c r="CU214" s="221"/>
      <c r="CV214" s="221"/>
      <c r="CW214" s="221"/>
      <c r="CX214" s="221"/>
      <c r="CY214" s="221"/>
      <c r="CZ214" s="221"/>
      <c r="DA214" s="221"/>
      <c r="DB214" s="221"/>
      <c r="DC214" s="221"/>
      <c r="DD214" s="221"/>
      <c r="DE214" s="221"/>
      <c r="DF214" s="221"/>
      <c r="DG214" s="221"/>
      <c r="DH214" s="221"/>
      <c r="DI214" s="221"/>
      <c r="DJ214" s="221"/>
      <c r="DK214" s="221"/>
      <c r="DL214" s="221"/>
      <c r="DM214" s="221"/>
      <c r="DN214" s="221"/>
      <c r="DO214" s="221"/>
      <c r="DP214" s="221"/>
      <c r="DQ214" s="221"/>
      <c r="DR214" s="221"/>
      <c r="DS214" s="221"/>
      <c r="DT214" s="221"/>
      <c r="DU214" s="221"/>
      <c r="DV214" s="221"/>
      <c r="DW214" s="221"/>
      <c r="DX214" s="221"/>
      <c r="DY214" s="221"/>
      <c r="DZ214" s="221"/>
      <c r="EA214" s="221"/>
      <c r="EB214" s="221"/>
      <c r="EC214" s="221"/>
      <c r="ED214" s="221"/>
      <c r="EE214" s="221"/>
      <c r="EF214" s="221"/>
      <c r="EG214" s="221"/>
      <c r="EH214" s="221"/>
      <c r="EI214" s="221"/>
      <c r="EJ214" s="221"/>
      <c r="EK214" s="221"/>
      <c r="EL214" s="221"/>
      <c r="EM214" s="221"/>
      <c r="EN214" s="221"/>
      <c r="EO214" s="221"/>
      <c r="EP214" s="221"/>
      <c r="EQ214" s="221"/>
      <c r="ER214" s="221"/>
      <c r="ES214" s="221"/>
      <c r="ET214" s="221"/>
      <c r="EU214" s="221"/>
      <c r="EV214" s="221"/>
      <c r="EW214" s="221"/>
      <c r="EX214" s="221"/>
      <c r="EY214" s="221"/>
      <c r="EZ214" s="221"/>
      <c r="FA214" s="221"/>
      <c r="FB214" s="221"/>
      <c r="FC214" s="221"/>
      <c r="FD214" s="221"/>
      <c r="FE214" s="221"/>
      <c r="FF214" s="221"/>
      <c r="FG214" s="221"/>
      <c r="FH214" s="221"/>
      <c r="FI214" s="221"/>
      <c r="FJ214" s="221"/>
      <c r="FK214" s="221"/>
      <c r="FL214" s="221"/>
      <c r="FM214" s="221"/>
      <c r="FN214" s="221"/>
      <c r="FO214" s="221"/>
      <c r="FP214" s="221"/>
      <c r="FQ214" s="221"/>
      <c r="FR214" s="221"/>
      <c r="FS214" s="221"/>
      <c r="FT214" s="221"/>
      <c r="FU214" s="221"/>
      <c r="FV214" s="221"/>
      <c r="FW214" s="221"/>
      <c r="FX214" s="221"/>
      <c r="FY214" s="221"/>
      <c r="FZ214" s="221"/>
      <c r="GA214" s="221"/>
      <c r="GB214" s="221"/>
      <c r="GC214" s="221"/>
      <c r="GD214" s="221"/>
      <c r="GE214" s="221"/>
      <c r="GF214" s="221"/>
      <c r="GG214" s="221"/>
      <c r="GH214" s="221"/>
      <c r="GI214" s="221"/>
      <c r="GJ214" s="221"/>
      <c r="GK214" s="221"/>
      <c r="GL214" s="221"/>
      <c r="GM214" s="221"/>
      <c r="GN214" s="221"/>
      <c r="GO214" s="221"/>
      <c r="GP214" s="221"/>
      <c r="GQ214" s="221"/>
      <c r="GR214" s="221"/>
      <c r="GS214" s="221"/>
      <c r="GT214" s="221"/>
      <c r="GU214" s="221"/>
      <c r="GV214" s="221"/>
      <c r="GW214" s="221"/>
      <c r="GX214" s="221"/>
      <c r="GY214" s="221"/>
      <c r="GZ214" s="221"/>
      <c r="HA214" s="221"/>
      <c r="HB214" s="221"/>
      <c r="HC214" s="221"/>
      <c r="HD214" s="221"/>
      <c r="HE214" s="221"/>
      <c r="HF214" s="221"/>
      <c r="HG214" s="221"/>
      <c r="HH214" s="221"/>
      <c r="HI214" s="221"/>
      <c r="HJ214" s="221"/>
      <c r="HK214" s="221"/>
      <c r="HL214" s="221"/>
      <c r="HM214" s="221"/>
      <c r="HN214" s="221"/>
      <c r="HO214" s="221"/>
      <c r="HP214" s="221"/>
      <c r="HQ214" s="221"/>
      <c r="HR214" s="221"/>
      <c r="HS214" s="221"/>
      <c r="HT214" s="221"/>
      <c r="HU214" s="221"/>
      <c r="HV214" s="221"/>
      <c r="HW214" s="221"/>
      <c r="HX214" s="221"/>
      <c r="HY214" s="221"/>
      <c r="HZ214" s="221"/>
      <c r="IA214" s="221"/>
      <c r="IB214" s="221"/>
      <c r="IC214" s="221"/>
      <c r="ID214" s="221"/>
      <c r="IE214" s="221"/>
      <c r="IF214" s="221"/>
      <c r="IG214" s="221"/>
      <c r="IH214" s="221"/>
      <c r="II214" s="221"/>
      <c r="IJ214" s="221"/>
      <c r="IK214" s="221"/>
      <c r="IL214" s="221"/>
      <c r="IM214" s="221"/>
      <c r="IN214" s="221"/>
      <c r="IO214" s="221"/>
      <c r="IP214" s="221"/>
      <c r="IQ214" s="221"/>
      <c r="IR214" s="221"/>
      <c r="IS214" s="221"/>
      <c r="IT214" s="221"/>
      <c r="IU214" s="221"/>
      <c r="IV214" s="221"/>
      <c r="IW214" s="221"/>
      <c r="IX214" s="221"/>
      <c r="IY214" s="221"/>
      <c r="IZ214" s="221"/>
      <c r="JA214" s="221"/>
      <c r="JB214" s="221"/>
      <c r="JC214" s="221"/>
      <c r="JD214" s="221"/>
      <c r="JE214" s="221"/>
      <c r="JF214" s="221"/>
      <c r="JG214" s="221"/>
      <c r="JH214" s="221"/>
      <c r="JI214" s="221"/>
      <c r="JJ214" s="221"/>
      <c r="JK214" s="221"/>
      <c r="JL214" s="221"/>
      <c r="JM214" s="221"/>
      <c r="JN214" s="221"/>
      <c r="JO214" s="221"/>
      <c r="JP214" s="221"/>
      <c r="JQ214" s="221"/>
    </row>
    <row r="215" spans="1:277" ht="20" customHeight="1" outlineLevel="1">
      <c r="A215" s="482">
        <v>1905005</v>
      </c>
      <c r="B215" s="439">
        <v>42126</v>
      </c>
      <c r="C215" s="440" t="s">
        <v>44</v>
      </c>
      <c r="D215" s="440" t="s">
        <v>1259</v>
      </c>
      <c r="E215" s="554" t="s">
        <v>46</v>
      </c>
      <c r="F215" s="547" t="s">
        <v>1752</v>
      </c>
      <c r="G215" s="442"/>
      <c r="H215" s="442"/>
      <c r="I215" s="443"/>
      <c r="J215" s="444"/>
      <c r="K215" s="440"/>
      <c r="L215" s="445"/>
      <c r="M215" s="446"/>
      <c r="N215" s="441" t="s">
        <v>1299</v>
      </c>
      <c r="O215" s="441" t="s">
        <v>1761</v>
      </c>
      <c r="P215" s="567"/>
      <c r="Q215" s="628"/>
      <c r="R215" s="587">
        <v>0</v>
      </c>
      <c r="S215" s="588">
        <v>0</v>
      </c>
      <c r="T215" s="603">
        <v>0</v>
      </c>
      <c r="U215" s="595">
        <v>0</v>
      </c>
      <c r="V215" s="588">
        <v>0</v>
      </c>
      <c r="W215" s="603">
        <v>0</v>
      </c>
      <c r="X215" s="595">
        <v>0</v>
      </c>
      <c r="Y215" s="588">
        <v>0</v>
      </c>
      <c r="Z215" s="603">
        <v>0</v>
      </c>
      <c r="AA215" s="603">
        <v>0</v>
      </c>
      <c r="AB215" s="603">
        <v>0</v>
      </c>
      <c r="AC215" s="603">
        <v>0</v>
      </c>
      <c r="AD215" s="603">
        <v>0</v>
      </c>
      <c r="AE215" s="594">
        <v>0</v>
      </c>
      <c r="AF215" s="594">
        <v>1</v>
      </c>
      <c r="AG215" s="603">
        <v>0</v>
      </c>
      <c r="AH215" s="603">
        <v>0</v>
      </c>
      <c r="AI215" s="603">
        <v>0</v>
      </c>
      <c r="AJ215" s="603">
        <v>0</v>
      </c>
      <c r="AK215" s="742"/>
      <c r="AL215" s="527" t="s">
        <v>1300</v>
      </c>
      <c r="AM215" s="441">
        <v>190921</v>
      </c>
      <c r="AN215" s="612">
        <v>114.48</v>
      </c>
      <c r="AO215" s="440" t="s">
        <v>1810</v>
      </c>
      <c r="AP215" s="37">
        <v>140.24</v>
      </c>
      <c r="AQ215" s="795">
        <f t="shared" si="13"/>
        <v>25.760000000000005</v>
      </c>
      <c r="AR215" s="835">
        <f t="shared" si="21"/>
        <v>0.18368511123787795</v>
      </c>
      <c r="AS215" s="821">
        <v>42138</v>
      </c>
      <c r="AT215" s="444"/>
      <c r="AU215" s="448"/>
      <c r="AV215" s="444"/>
      <c r="AW215" s="449"/>
      <c r="AX215" s="612"/>
      <c r="AY215" s="444"/>
      <c r="AZ215" s="612"/>
      <c r="BA215" s="31" t="s">
        <v>47</v>
      </c>
      <c r="BB215" s="41">
        <v>0</v>
      </c>
      <c r="BC215" s="447"/>
      <c r="BD215" s="447"/>
      <c r="BE215" s="447"/>
      <c r="BF215" s="447"/>
      <c r="BG215" s="447"/>
      <c r="BH215" s="221"/>
      <c r="BI215" s="221"/>
      <c r="BJ215" s="221"/>
      <c r="BK215" s="221"/>
      <c r="BL215" s="221"/>
      <c r="BM215" s="221"/>
      <c r="BN215" s="221"/>
      <c r="BO215" s="221"/>
      <c r="BP215" s="221"/>
      <c r="BQ215" s="221"/>
      <c r="BR215" s="221"/>
      <c r="BS215" s="221"/>
      <c r="BT215" s="221"/>
      <c r="BU215" s="221"/>
      <c r="BV215" s="221"/>
      <c r="BW215" s="221"/>
      <c r="BX215" s="221"/>
      <c r="BY215" s="221"/>
      <c r="BZ215" s="221"/>
      <c r="CA215" s="221"/>
      <c r="CB215" s="221"/>
      <c r="CC215" s="221"/>
      <c r="CD215" s="221"/>
      <c r="CE215" s="221"/>
      <c r="CF215" s="221"/>
      <c r="CG215" s="221"/>
      <c r="CH215" s="221"/>
      <c r="CI215" s="221"/>
      <c r="CJ215" s="221"/>
      <c r="CK215" s="221"/>
      <c r="CL215" s="221"/>
      <c r="CM215" s="221"/>
      <c r="CN215" s="221"/>
      <c r="CO215" s="221"/>
      <c r="CP215" s="221"/>
      <c r="CQ215" s="221"/>
      <c r="CR215" s="221"/>
      <c r="CS215" s="221"/>
      <c r="CT215" s="221"/>
      <c r="CU215" s="221"/>
      <c r="CV215" s="221"/>
      <c r="CW215" s="221"/>
      <c r="CX215" s="221"/>
      <c r="CY215" s="221"/>
      <c r="CZ215" s="221"/>
      <c r="DA215" s="221"/>
      <c r="DB215" s="221"/>
      <c r="DC215" s="221"/>
      <c r="DD215" s="221"/>
      <c r="DE215" s="221"/>
      <c r="DF215" s="221"/>
      <c r="DG215" s="221"/>
      <c r="DH215" s="221"/>
      <c r="DI215" s="221"/>
      <c r="DJ215" s="221"/>
      <c r="DK215" s="221"/>
      <c r="DL215" s="221"/>
      <c r="DM215" s="221"/>
      <c r="DN215" s="221"/>
      <c r="DO215" s="221"/>
      <c r="DP215" s="221"/>
      <c r="DQ215" s="221"/>
      <c r="DR215" s="221"/>
      <c r="DS215" s="221"/>
      <c r="DT215" s="221"/>
      <c r="DU215" s="221"/>
      <c r="DV215" s="221"/>
      <c r="DW215" s="221"/>
      <c r="DX215" s="221"/>
      <c r="DY215" s="221"/>
      <c r="DZ215" s="221"/>
      <c r="EA215" s="221"/>
      <c r="EB215" s="221"/>
      <c r="EC215" s="221"/>
      <c r="ED215" s="221"/>
      <c r="EE215" s="221"/>
      <c r="EF215" s="221"/>
      <c r="EG215" s="221"/>
      <c r="EH215" s="221"/>
      <c r="EI215" s="221"/>
      <c r="EJ215" s="221"/>
      <c r="EK215" s="221"/>
      <c r="EL215" s="221"/>
      <c r="EM215" s="221"/>
      <c r="EN215" s="221"/>
      <c r="EO215" s="221"/>
      <c r="EP215" s="221"/>
      <c r="EQ215" s="221"/>
      <c r="ER215" s="221"/>
      <c r="ES215" s="221"/>
      <c r="ET215" s="221"/>
      <c r="EU215" s="221"/>
      <c r="EV215" s="221"/>
      <c r="EW215" s="221"/>
      <c r="EX215" s="221"/>
      <c r="EY215" s="221"/>
      <c r="EZ215" s="221"/>
      <c r="FA215" s="221"/>
      <c r="FB215" s="221"/>
      <c r="FC215" s="221"/>
      <c r="FD215" s="221"/>
      <c r="FE215" s="221"/>
      <c r="FF215" s="221"/>
      <c r="FG215" s="221"/>
      <c r="FH215" s="221"/>
      <c r="FI215" s="221"/>
      <c r="FJ215" s="221"/>
      <c r="FK215" s="221"/>
      <c r="FL215" s="221"/>
      <c r="FM215" s="221"/>
      <c r="FN215" s="221"/>
      <c r="FO215" s="221"/>
      <c r="FP215" s="221"/>
      <c r="FQ215" s="221"/>
      <c r="FR215" s="221"/>
      <c r="FS215" s="221"/>
      <c r="FT215" s="221"/>
      <c r="FU215" s="221"/>
      <c r="FV215" s="221"/>
      <c r="FW215" s="221"/>
      <c r="FX215" s="221"/>
      <c r="FY215" s="221"/>
      <c r="FZ215" s="221"/>
      <c r="GA215" s="221"/>
      <c r="GB215" s="221"/>
      <c r="GC215" s="221"/>
      <c r="GD215" s="221"/>
      <c r="GE215" s="221"/>
      <c r="GF215" s="221"/>
      <c r="GG215" s="221"/>
      <c r="GH215" s="221"/>
      <c r="GI215" s="221"/>
      <c r="GJ215" s="221"/>
      <c r="GK215" s="221"/>
      <c r="GL215" s="221"/>
      <c r="GM215" s="221"/>
      <c r="GN215" s="221"/>
      <c r="GO215" s="221"/>
      <c r="GP215" s="221"/>
      <c r="GQ215" s="221"/>
      <c r="GR215" s="221"/>
      <c r="GS215" s="221"/>
      <c r="GT215" s="221"/>
      <c r="GU215" s="221"/>
      <c r="GV215" s="221"/>
      <c r="GW215" s="221"/>
      <c r="GX215" s="221"/>
      <c r="GY215" s="221"/>
      <c r="GZ215" s="221"/>
      <c r="HA215" s="221"/>
      <c r="HB215" s="221"/>
      <c r="HC215" s="221"/>
      <c r="HD215" s="221"/>
      <c r="HE215" s="221"/>
      <c r="HF215" s="221"/>
      <c r="HG215" s="221"/>
      <c r="HH215" s="221"/>
      <c r="HI215" s="221"/>
      <c r="HJ215" s="221"/>
      <c r="HK215" s="221"/>
      <c r="HL215" s="221"/>
      <c r="HM215" s="221"/>
      <c r="HN215" s="221"/>
      <c r="HO215" s="221"/>
      <c r="HP215" s="221"/>
      <c r="HQ215" s="221"/>
      <c r="HR215" s="221"/>
      <c r="HS215" s="221"/>
      <c r="HT215" s="221"/>
      <c r="HU215" s="221"/>
      <c r="HV215" s="221"/>
      <c r="HW215" s="221"/>
      <c r="HX215" s="221"/>
      <c r="HY215" s="221"/>
      <c r="HZ215" s="221"/>
      <c r="IA215" s="221"/>
      <c r="IB215" s="221"/>
      <c r="IC215" s="221"/>
      <c r="ID215" s="221"/>
      <c r="IE215" s="221"/>
      <c r="IF215" s="221"/>
      <c r="IG215" s="221"/>
      <c r="IH215" s="221"/>
      <c r="II215" s="221"/>
      <c r="IJ215" s="221"/>
      <c r="IK215" s="221"/>
      <c r="IL215" s="221"/>
      <c r="IM215" s="221"/>
      <c r="IN215" s="221"/>
      <c r="IO215" s="221"/>
      <c r="IP215" s="221"/>
      <c r="IQ215" s="221"/>
      <c r="IR215" s="221"/>
      <c r="IS215" s="221"/>
      <c r="IT215" s="221"/>
      <c r="IU215" s="221"/>
      <c r="IV215" s="221"/>
      <c r="IW215" s="221"/>
      <c r="IX215" s="221"/>
      <c r="IY215" s="221"/>
      <c r="IZ215" s="221"/>
      <c r="JA215" s="221"/>
      <c r="JB215" s="221"/>
      <c r="JC215" s="221"/>
      <c r="JD215" s="221"/>
      <c r="JE215" s="221"/>
      <c r="JF215" s="221"/>
      <c r="JG215" s="221"/>
      <c r="JH215" s="221"/>
      <c r="JI215" s="221"/>
      <c r="JJ215" s="221"/>
      <c r="JK215" s="221"/>
      <c r="JL215" s="221"/>
      <c r="JM215" s="221"/>
      <c r="JN215" s="221"/>
      <c r="JO215" s="221"/>
      <c r="JP215" s="221"/>
      <c r="JQ215" s="221"/>
    </row>
    <row r="216" spans="1:277" ht="20" customHeight="1" outlineLevel="1">
      <c r="A216" s="456">
        <v>1905006</v>
      </c>
      <c r="B216" s="439">
        <v>42129</v>
      </c>
      <c r="C216" s="440" t="s">
        <v>1748</v>
      </c>
      <c r="D216" s="440" t="s">
        <v>1259</v>
      </c>
      <c r="E216" s="554" t="s">
        <v>60</v>
      </c>
      <c r="F216" s="547" t="s">
        <v>47</v>
      </c>
      <c r="G216" s="442" t="s">
        <v>47</v>
      </c>
      <c r="H216" s="442" t="s">
        <v>47</v>
      </c>
      <c r="I216" s="443" t="s">
        <v>123</v>
      </c>
      <c r="J216" s="444" t="s">
        <v>62</v>
      </c>
      <c r="K216" s="440" t="s">
        <v>50</v>
      </c>
      <c r="L216" s="445">
        <v>100718845</v>
      </c>
      <c r="M216" s="446">
        <v>42129</v>
      </c>
      <c r="N216" s="441" t="s">
        <v>1749</v>
      </c>
      <c r="O216" s="441" t="s">
        <v>1750</v>
      </c>
      <c r="P216" s="567"/>
      <c r="Q216" s="628"/>
      <c r="R216" s="587">
        <v>0</v>
      </c>
      <c r="S216" s="588">
        <v>0</v>
      </c>
      <c r="T216" s="603">
        <v>0</v>
      </c>
      <c r="U216" s="595">
        <v>0</v>
      </c>
      <c r="V216" s="588">
        <v>0</v>
      </c>
      <c r="W216" s="603">
        <v>0</v>
      </c>
      <c r="X216" s="595">
        <v>0</v>
      </c>
      <c r="Y216" s="588">
        <v>0</v>
      </c>
      <c r="Z216" s="603">
        <v>0</v>
      </c>
      <c r="AA216" s="603">
        <v>0</v>
      </c>
      <c r="AB216" s="603">
        <v>0</v>
      </c>
      <c r="AC216" s="603">
        <v>0</v>
      </c>
      <c r="AD216" s="603">
        <v>0</v>
      </c>
      <c r="AE216" s="594">
        <v>0</v>
      </c>
      <c r="AF216" s="594">
        <v>0</v>
      </c>
      <c r="AG216" s="603">
        <v>0</v>
      </c>
      <c r="AH216" s="603">
        <v>1</v>
      </c>
      <c r="AI216" s="603">
        <v>0</v>
      </c>
      <c r="AJ216" s="603">
        <v>0</v>
      </c>
      <c r="AK216" s="742"/>
      <c r="AL216" s="527" t="s">
        <v>123</v>
      </c>
      <c r="AM216" s="441" t="s">
        <v>92</v>
      </c>
      <c r="AN216" s="612">
        <f>1*PRODUCTS!C12</f>
        <v>0.28000000000000003</v>
      </c>
      <c r="AO216" s="444" t="s">
        <v>47</v>
      </c>
      <c r="AP216" s="37">
        <v>0</v>
      </c>
      <c r="AQ216" s="795">
        <f t="shared" si="13"/>
        <v>-0.28000000000000003</v>
      </c>
      <c r="AR216" s="835" t="e">
        <f t="shared" si="21"/>
        <v>#DIV/0!</v>
      </c>
      <c r="AS216" s="821"/>
      <c r="AT216" s="444"/>
      <c r="AU216" s="448">
        <v>1</v>
      </c>
      <c r="AV216" s="444" t="s">
        <v>1245</v>
      </c>
      <c r="AW216" s="449" t="s">
        <v>1751</v>
      </c>
      <c r="AX216" s="612">
        <v>0</v>
      </c>
      <c r="AY216" s="444"/>
      <c r="AZ216" s="612"/>
      <c r="BA216" s="31" t="s">
        <v>47</v>
      </c>
      <c r="BB216" s="41">
        <v>0</v>
      </c>
      <c r="BC216" s="447"/>
      <c r="BD216" s="447"/>
      <c r="BE216" s="447"/>
      <c r="BF216" s="447"/>
      <c r="BG216" s="447"/>
      <c r="BH216" s="221"/>
      <c r="BI216" s="221"/>
      <c r="BJ216" s="221"/>
      <c r="BK216" s="221"/>
      <c r="BL216" s="221"/>
      <c r="BM216" s="221"/>
      <c r="BN216" s="221"/>
      <c r="BO216" s="221"/>
      <c r="BP216" s="221"/>
      <c r="BQ216" s="221"/>
      <c r="BR216" s="221"/>
      <c r="BS216" s="221"/>
      <c r="BT216" s="221"/>
      <c r="BU216" s="221"/>
      <c r="BV216" s="221"/>
      <c r="BW216" s="221"/>
      <c r="BX216" s="221"/>
      <c r="BY216" s="221"/>
      <c r="BZ216" s="221"/>
      <c r="CA216" s="221"/>
      <c r="CB216" s="221"/>
      <c r="CC216" s="221"/>
      <c r="CD216" s="221"/>
      <c r="CE216" s="221"/>
      <c r="CF216" s="221"/>
      <c r="CG216" s="221"/>
      <c r="CH216" s="221"/>
      <c r="CI216" s="221"/>
      <c r="CJ216" s="221"/>
      <c r="CK216" s="221"/>
      <c r="CL216" s="221"/>
      <c r="CM216" s="221"/>
      <c r="CN216" s="221"/>
      <c r="CO216" s="221"/>
      <c r="CP216" s="221"/>
      <c r="CQ216" s="221"/>
      <c r="CR216" s="221"/>
      <c r="CS216" s="221"/>
      <c r="CT216" s="221"/>
      <c r="CU216" s="221"/>
      <c r="CV216" s="221"/>
      <c r="CW216" s="221"/>
      <c r="CX216" s="221"/>
      <c r="CY216" s="221"/>
      <c r="CZ216" s="221"/>
      <c r="DA216" s="221"/>
      <c r="DB216" s="221"/>
      <c r="DC216" s="221"/>
      <c r="DD216" s="221"/>
      <c r="DE216" s="221"/>
      <c r="DF216" s="221"/>
      <c r="DG216" s="221"/>
      <c r="DH216" s="221"/>
      <c r="DI216" s="221"/>
      <c r="DJ216" s="221"/>
      <c r="DK216" s="221"/>
      <c r="DL216" s="221"/>
      <c r="DM216" s="221"/>
      <c r="DN216" s="221"/>
      <c r="DO216" s="221"/>
      <c r="DP216" s="221"/>
      <c r="DQ216" s="221"/>
      <c r="DR216" s="221"/>
      <c r="DS216" s="221"/>
      <c r="DT216" s="221"/>
      <c r="DU216" s="221"/>
      <c r="DV216" s="221"/>
      <c r="DW216" s="221"/>
      <c r="DX216" s="221"/>
      <c r="DY216" s="221"/>
      <c r="DZ216" s="221"/>
      <c r="EA216" s="221"/>
      <c r="EB216" s="221"/>
      <c r="EC216" s="221"/>
      <c r="ED216" s="221"/>
      <c r="EE216" s="221"/>
      <c r="EF216" s="221"/>
      <c r="EG216" s="221"/>
      <c r="EH216" s="221"/>
      <c r="EI216" s="221"/>
      <c r="EJ216" s="221"/>
      <c r="EK216" s="221"/>
      <c r="EL216" s="221"/>
      <c r="EM216" s="221"/>
      <c r="EN216" s="221"/>
      <c r="EO216" s="221"/>
      <c r="EP216" s="221"/>
      <c r="EQ216" s="221"/>
      <c r="ER216" s="221"/>
      <c r="ES216" s="221"/>
      <c r="ET216" s="221"/>
      <c r="EU216" s="221"/>
      <c r="EV216" s="221"/>
      <c r="EW216" s="221"/>
      <c r="EX216" s="221"/>
      <c r="EY216" s="221"/>
      <c r="EZ216" s="221"/>
      <c r="FA216" s="221"/>
      <c r="FB216" s="221"/>
      <c r="FC216" s="221"/>
      <c r="FD216" s="221"/>
      <c r="FE216" s="221"/>
      <c r="FF216" s="221"/>
      <c r="FG216" s="221"/>
      <c r="FH216" s="221"/>
      <c r="FI216" s="221"/>
      <c r="FJ216" s="221"/>
      <c r="FK216" s="221"/>
      <c r="FL216" s="221"/>
      <c r="FM216" s="221"/>
      <c r="FN216" s="221"/>
      <c r="FO216" s="221"/>
      <c r="FP216" s="221"/>
      <c r="FQ216" s="221"/>
      <c r="FR216" s="221"/>
      <c r="FS216" s="221"/>
      <c r="FT216" s="221"/>
      <c r="FU216" s="221"/>
      <c r="FV216" s="221"/>
      <c r="FW216" s="221"/>
      <c r="FX216" s="221"/>
      <c r="FY216" s="221"/>
      <c r="FZ216" s="221"/>
      <c r="GA216" s="221"/>
      <c r="GB216" s="221"/>
      <c r="GC216" s="221"/>
      <c r="GD216" s="221"/>
      <c r="GE216" s="221"/>
      <c r="GF216" s="221"/>
      <c r="GG216" s="221"/>
      <c r="GH216" s="221"/>
      <c r="GI216" s="221"/>
      <c r="GJ216" s="221"/>
      <c r="GK216" s="221"/>
      <c r="GL216" s="221"/>
      <c r="GM216" s="221"/>
      <c r="GN216" s="221"/>
      <c r="GO216" s="221"/>
      <c r="GP216" s="221"/>
      <c r="GQ216" s="221"/>
      <c r="GR216" s="221"/>
      <c r="GS216" s="221"/>
      <c r="GT216" s="221"/>
      <c r="GU216" s="221"/>
      <c r="GV216" s="221"/>
      <c r="GW216" s="221"/>
      <c r="GX216" s="221"/>
      <c r="GY216" s="221"/>
      <c r="GZ216" s="221"/>
      <c r="HA216" s="221"/>
      <c r="HB216" s="221"/>
      <c r="HC216" s="221"/>
      <c r="HD216" s="221"/>
      <c r="HE216" s="221"/>
      <c r="HF216" s="221"/>
      <c r="HG216" s="221"/>
      <c r="HH216" s="221"/>
      <c r="HI216" s="221"/>
      <c r="HJ216" s="221"/>
      <c r="HK216" s="221"/>
      <c r="HL216" s="221"/>
      <c r="HM216" s="221"/>
      <c r="HN216" s="221"/>
      <c r="HO216" s="221"/>
      <c r="HP216" s="221"/>
      <c r="HQ216" s="221"/>
      <c r="HR216" s="221"/>
      <c r="HS216" s="221"/>
      <c r="HT216" s="221"/>
      <c r="HU216" s="221"/>
      <c r="HV216" s="221"/>
      <c r="HW216" s="221"/>
      <c r="HX216" s="221"/>
      <c r="HY216" s="221"/>
      <c r="HZ216" s="221"/>
      <c r="IA216" s="221"/>
      <c r="IB216" s="221"/>
      <c r="IC216" s="221"/>
      <c r="ID216" s="221"/>
      <c r="IE216" s="221"/>
      <c r="IF216" s="221"/>
      <c r="IG216" s="221"/>
      <c r="IH216" s="221"/>
      <c r="II216" s="221"/>
      <c r="IJ216" s="221"/>
      <c r="IK216" s="221"/>
      <c r="IL216" s="221"/>
      <c r="IM216" s="221"/>
      <c r="IN216" s="221"/>
      <c r="IO216" s="221"/>
      <c r="IP216" s="221"/>
      <c r="IQ216" s="221"/>
      <c r="IR216" s="221"/>
      <c r="IS216" s="221"/>
      <c r="IT216" s="221"/>
      <c r="IU216" s="221"/>
      <c r="IV216" s="221"/>
      <c r="IW216" s="221"/>
      <c r="IX216" s="221"/>
      <c r="IY216" s="221"/>
      <c r="IZ216" s="221"/>
      <c r="JA216" s="221"/>
      <c r="JB216" s="221"/>
      <c r="JC216" s="221"/>
      <c r="JD216" s="221"/>
      <c r="JE216" s="221"/>
      <c r="JF216" s="221"/>
      <c r="JG216" s="221"/>
      <c r="JH216" s="221"/>
      <c r="JI216" s="221"/>
      <c r="JJ216" s="221"/>
      <c r="JK216" s="221"/>
      <c r="JL216" s="221"/>
      <c r="JM216" s="221"/>
      <c r="JN216" s="221"/>
      <c r="JO216" s="221"/>
      <c r="JP216" s="221"/>
      <c r="JQ216" s="221"/>
    </row>
    <row r="217" spans="1:277" ht="20" customHeight="1" outlineLevel="1">
      <c r="A217" s="482">
        <v>1905007</v>
      </c>
      <c r="B217" s="439">
        <v>42130</v>
      </c>
      <c r="C217" s="448" t="s">
        <v>67</v>
      </c>
      <c r="D217" s="448" t="s">
        <v>1259</v>
      </c>
      <c r="E217" s="538" t="s">
        <v>333</v>
      </c>
      <c r="F217" s="530" t="s">
        <v>1755</v>
      </c>
      <c r="G217" s="448"/>
      <c r="H217" s="448"/>
      <c r="I217" s="443"/>
      <c r="J217" s="448"/>
      <c r="K217" s="448"/>
      <c r="L217" s="448"/>
      <c r="M217" s="448"/>
      <c r="N217" s="448" t="s">
        <v>1756</v>
      </c>
      <c r="O217" s="448" t="s">
        <v>1757</v>
      </c>
      <c r="P217" s="516" t="s">
        <v>1758</v>
      </c>
      <c r="Q217" s="629"/>
      <c r="R217" s="587">
        <v>0</v>
      </c>
      <c r="S217" s="588">
        <v>0</v>
      </c>
      <c r="T217" s="603">
        <v>0</v>
      </c>
      <c r="U217" s="595">
        <v>0</v>
      </c>
      <c r="V217" s="588">
        <v>0</v>
      </c>
      <c r="W217" s="603">
        <v>0</v>
      </c>
      <c r="X217" s="595">
        <v>0</v>
      </c>
      <c r="Y217" s="588">
        <v>0</v>
      </c>
      <c r="Z217" s="603">
        <v>0</v>
      </c>
      <c r="AA217" s="603">
        <v>0</v>
      </c>
      <c r="AB217" s="603">
        <v>0</v>
      </c>
      <c r="AC217" s="603">
        <v>0</v>
      </c>
      <c r="AD217" s="603">
        <v>0</v>
      </c>
      <c r="AE217" s="594">
        <v>0</v>
      </c>
      <c r="AF217" s="594">
        <v>0</v>
      </c>
      <c r="AG217" s="603">
        <v>0</v>
      </c>
      <c r="AH217" s="603">
        <v>0</v>
      </c>
      <c r="AI217" s="603">
        <v>0</v>
      </c>
      <c r="AJ217" s="603">
        <v>0</v>
      </c>
      <c r="AK217" s="629"/>
      <c r="AL217" s="530" t="s">
        <v>1313</v>
      </c>
      <c r="AM217" s="448"/>
      <c r="AN217" s="612"/>
      <c r="AO217" s="444"/>
      <c r="AP217" s="37"/>
      <c r="AQ217" s="795">
        <f t="shared" si="13"/>
        <v>0</v>
      </c>
      <c r="AR217" s="835" t="e">
        <f t="shared" si="21"/>
        <v>#DIV/0!</v>
      </c>
      <c r="AS217" s="821"/>
      <c r="AT217" s="448"/>
      <c r="AU217" s="448"/>
      <c r="AV217" s="448"/>
      <c r="AW217" s="448"/>
      <c r="AX217" s="612"/>
      <c r="AY217" s="448"/>
      <c r="AZ217" s="612"/>
      <c r="BA217" s="31" t="s">
        <v>47</v>
      </c>
      <c r="BB217" s="41">
        <v>0</v>
      </c>
      <c r="BC217" s="448"/>
      <c r="BD217" s="448"/>
      <c r="BE217" s="448"/>
      <c r="BF217" s="448"/>
      <c r="BG217" s="448"/>
    </row>
    <row r="218" spans="1:277" ht="20" customHeight="1" outlineLevel="1">
      <c r="A218" s="456">
        <v>1905008</v>
      </c>
      <c r="B218" s="439">
        <v>42130</v>
      </c>
      <c r="C218" s="448" t="s">
        <v>1675</v>
      </c>
      <c r="D218" s="448" t="s">
        <v>1259</v>
      </c>
      <c r="E218" s="538" t="s">
        <v>261</v>
      </c>
      <c r="F218" s="530" t="s">
        <v>47</v>
      </c>
      <c r="G218" s="448" t="s">
        <v>1763</v>
      </c>
      <c r="H218" s="514" t="s">
        <v>1314</v>
      </c>
      <c r="I218" s="443" t="s">
        <v>155</v>
      </c>
      <c r="J218" s="448" t="s">
        <v>62</v>
      </c>
      <c r="K218" s="514" t="s">
        <v>50</v>
      </c>
      <c r="L218" s="448">
        <v>112144659</v>
      </c>
      <c r="M218" s="439">
        <v>42173</v>
      </c>
      <c r="N218" s="448" t="s">
        <v>264</v>
      </c>
      <c r="O218" s="514" t="s">
        <v>1816</v>
      </c>
      <c r="P218" s="516"/>
      <c r="Q218" s="629"/>
      <c r="R218" s="589">
        <v>0</v>
      </c>
      <c r="S218" s="590">
        <v>0</v>
      </c>
      <c r="T218" s="604">
        <v>0</v>
      </c>
      <c r="U218" s="596">
        <v>0</v>
      </c>
      <c r="V218" s="590">
        <v>0</v>
      </c>
      <c r="W218" s="604">
        <v>0</v>
      </c>
      <c r="X218" s="596">
        <v>3</v>
      </c>
      <c r="Y218" s="590">
        <v>0</v>
      </c>
      <c r="Z218" s="604">
        <v>0</v>
      </c>
      <c r="AA218" s="596">
        <v>0</v>
      </c>
      <c r="AB218" s="590">
        <v>0</v>
      </c>
      <c r="AC218" s="604">
        <v>0</v>
      </c>
      <c r="AD218" s="596">
        <v>0</v>
      </c>
      <c r="AE218" s="594">
        <v>1</v>
      </c>
      <c r="AF218" s="594">
        <v>0</v>
      </c>
      <c r="AG218" s="590">
        <v>0</v>
      </c>
      <c r="AH218" s="604">
        <v>0</v>
      </c>
      <c r="AI218" s="610">
        <v>0</v>
      </c>
      <c r="AJ218" s="610">
        <v>0</v>
      </c>
      <c r="AK218" s="629"/>
      <c r="AL218" s="530" t="s">
        <v>1313</v>
      </c>
      <c r="AN218" s="612">
        <f>3*8</f>
        <v>24</v>
      </c>
      <c r="AO218" s="440" t="s">
        <v>2079</v>
      </c>
      <c r="AP218" s="37">
        <v>120</v>
      </c>
      <c r="AQ218" s="795">
        <f t="shared" si="13"/>
        <v>96</v>
      </c>
      <c r="AR218" s="835">
        <f t="shared" si="21"/>
        <v>0.8</v>
      </c>
      <c r="AS218" s="821">
        <v>42173</v>
      </c>
      <c r="AT218" s="448" t="s">
        <v>1254</v>
      </c>
      <c r="AU218" s="448">
        <v>1</v>
      </c>
      <c r="AV218" s="448"/>
      <c r="AW218" s="448"/>
      <c r="AX218" s="612">
        <v>0</v>
      </c>
      <c r="AY218" s="448"/>
      <c r="AZ218" s="612">
        <v>25</v>
      </c>
      <c r="BA218" s="31" t="s">
        <v>47</v>
      </c>
      <c r="BB218" s="41">
        <v>0</v>
      </c>
      <c r="BC218" s="448"/>
      <c r="BD218" s="448"/>
      <c r="BE218" s="448"/>
      <c r="BF218" s="448"/>
      <c r="BG218" s="448"/>
      <c r="BH218" s="221"/>
      <c r="BI218" s="221"/>
      <c r="BJ218" s="221"/>
      <c r="BK218" s="221"/>
      <c r="BL218" s="221"/>
      <c r="BM218" s="221"/>
      <c r="BN218" s="221"/>
      <c r="BO218" s="221"/>
      <c r="BP218" s="221"/>
      <c r="BQ218" s="221"/>
      <c r="BR218" s="221"/>
      <c r="BS218" s="221"/>
      <c r="BT218" s="221"/>
      <c r="BU218" s="221"/>
      <c r="BV218" s="221"/>
      <c r="BW218" s="221"/>
      <c r="BX218" s="221"/>
      <c r="BY218" s="221"/>
      <c r="BZ218" s="221"/>
      <c r="CA218" s="221"/>
      <c r="CB218" s="221"/>
      <c r="CC218" s="221"/>
      <c r="CD218" s="221"/>
      <c r="CE218" s="221"/>
      <c r="CF218" s="221"/>
      <c r="CG218" s="221"/>
      <c r="CH218" s="221"/>
      <c r="CI218" s="221"/>
      <c r="CJ218" s="221"/>
      <c r="CK218" s="221"/>
      <c r="CL218" s="221"/>
      <c r="CM218" s="221"/>
      <c r="CN218" s="221"/>
      <c r="CO218" s="221"/>
      <c r="CP218" s="221"/>
      <c r="CQ218" s="221"/>
      <c r="CR218" s="221"/>
      <c r="CS218" s="221"/>
      <c r="CT218" s="221"/>
      <c r="CU218" s="221"/>
      <c r="CV218" s="221"/>
      <c r="CW218" s="221"/>
      <c r="CX218" s="221"/>
      <c r="CY218" s="221"/>
      <c r="CZ218" s="221"/>
      <c r="DA218" s="221"/>
      <c r="DB218" s="221"/>
      <c r="DC218" s="221"/>
      <c r="DD218" s="221"/>
      <c r="DE218" s="221"/>
      <c r="DF218" s="221"/>
      <c r="DG218" s="221"/>
      <c r="DH218" s="221"/>
      <c r="DI218" s="221"/>
      <c r="DJ218" s="221"/>
      <c r="DK218" s="221"/>
      <c r="DL218" s="221"/>
      <c r="DM218" s="221"/>
      <c r="DN218" s="221"/>
      <c r="DO218" s="221"/>
      <c r="DP218" s="221"/>
      <c r="DQ218" s="221"/>
      <c r="DR218" s="221"/>
      <c r="DS218" s="221"/>
      <c r="DT218" s="221"/>
      <c r="DU218" s="221"/>
      <c r="DV218" s="221"/>
      <c r="DW218" s="221"/>
      <c r="DX218" s="221"/>
      <c r="DY218" s="221"/>
      <c r="DZ218" s="221"/>
      <c r="EA218" s="221"/>
      <c r="EB218" s="221"/>
      <c r="EC218" s="221"/>
      <c r="ED218" s="221"/>
      <c r="EE218" s="221"/>
      <c r="EF218" s="221"/>
      <c r="EG218" s="221"/>
      <c r="EH218" s="221"/>
      <c r="EI218" s="221"/>
      <c r="EJ218" s="221"/>
      <c r="EK218" s="221"/>
      <c r="EL218" s="221"/>
      <c r="EM218" s="221"/>
      <c r="EN218" s="221"/>
      <c r="EO218" s="221"/>
      <c r="EP218" s="221"/>
      <c r="EQ218" s="221"/>
      <c r="ER218" s="221"/>
      <c r="ES218" s="221"/>
      <c r="ET218" s="221"/>
      <c r="EU218" s="221"/>
      <c r="EV218" s="221"/>
      <c r="EW218" s="221"/>
      <c r="EX218" s="221"/>
      <c r="EY218" s="221"/>
      <c r="EZ218" s="221"/>
      <c r="FA218" s="221"/>
      <c r="FB218" s="221"/>
      <c r="FC218" s="221"/>
      <c r="FD218" s="221"/>
      <c r="FE218" s="221"/>
      <c r="FF218" s="221"/>
      <c r="FG218" s="221"/>
      <c r="FH218" s="221"/>
      <c r="FI218" s="221"/>
      <c r="FJ218" s="221"/>
      <c r="FK218" s="221"/>
      <c r="FL218" s="221"/>
      <c r="FM218" s="221"/>
      <c r="FN218" s="221"/>
      <c r="FO218" s="221"/>
      <c r="FP218" s="221"/>
      <c r="FQ218" s="221"/>
      <c r="FR218" s="221"/>
      <c r="FS218" s="221"/>
      <c r="FT218" s="221"/>
      <c r="FU218" s="221"/>
      <c r="FV218" s="221"/>
      <c r="FW218" s="221"/>
      <c r="FX218" s="221"/>
      <c r="FY218" s="221"/>
      <c r="FZ218" s="221"/>
      <c r="GA218" s="221"/>
      <c r="GB218" s="221"/>
      <c r="GC218" s="221"/>
      <c r="GD218" s="221"/>
      <c r="GE218" s="221"/>
      <c r="GF218" s="221"/>
      <c r="GG218" s="221"/>
      <c r="GH218" s="221"/>
      <c r="GI218" s="221"/>
      <c r="GJ218" s="221"/>
      <c r="GK218" s="221"/>
      <c r="GL218" s="221"/>
      <c r="GM218" s="221"/>
      <c r="GN218" s="221"/>
      <c r="GO218" s="221"/>
      <c r="GP218" s="221"/>
      <c r="GQ218" s="221"/>
      <c r="GR218" s="221"/>
      <c r="GS218" s="221"/>
      <c r="GT218" s="221"/>
      <c r="GU218" s="221"/>
      <c r="GV218" s="221"/>
      <c r="GW218" s="221"/>
      <c r="GX218" s="221"/>
      <c r="GY218" s="221"/>
      <c r="GZ218" s="221"/>
      <c r="HA218" s="221"/>
      <c r="HB218" s="221"/>
      <c r="HC218" s="221"/>
      <c r="HD218" s="221"/>
      <c r="HE218" s="221"/>
      <c r="HF218" s="221"/>
      <c r="HG218" s="221"/>
      <c r="HH218" s="221"/>
      <c r="HI218" s="221"/>
      <c r="HJ218" s="221"/>
      <c r="HK218" s="221"/>
      <c r="HL218" s="221"/>
      <c r="HM218" s="221"/>
      <c r="HN218" s="221"/>
      <c r="HO218" s="221"/>
      <c r="HP218" s="221"/>
      <c r="HQ218" s="221"/>
      <c r="HR218" s="221"/>
      <c r="HS218" s="221"/>
      <c r="HT218" s="221"/>
      <c r="HU218" s="221"/>
      <c r="HV218" s="221"/>
      <c r="HW218" s="221"/>
      <c r="HX218" s="221"/>
      <c r="HY218" s="221"/>
      <c r="HZ218" s="221"/>
      <c r="IA218" s="221"/>
      <c r="IB218" s="221"/>
      <c r="IC218" s="221"/>
      <c r="ID218" s="221"/>
      <c r="IE218" s="221"/>
      <c r="IF218" s="221"/>
      <c r="IG218" s="221"/>
      <c r="IH218" s="221"/>
      <c r="II218" s="221"/>
      <c r="IJ218" s="221"/>
      <c r="IK218" s="221"/>
      <c r="IL218" s="221"/>
      <c r="IM218" s="221"/>
      <c r="IN218" s="221"/>
      <c r="IO218" s="221"/>
      <c r="IP218" s="221"/>
      <c r="IQ218" s="221"/>
      <c r="IR218" s="221"/>
      <c r="IS218" s="221"/>
      <c r="IT218" s="221"/>
      <c r="IU218" s="221"/>
      <c r="IV218" s="221"/>
      <c r="IW218" s="221"/>
      <c r="IX218" s="221"/>
      <c r="IY218" s="221"/>
      <c r="IZ218" s="221"/>
      <c r="JA218" s="221"/>
      <c r="JB218" s="221"/>
      <c r="JC218" s="221"/>
      <c r="JD218" s="221"/>
      <c r="JE218" s="221"/>
      <c r="JF218" s="221"/>
      <c r="JG218" s="221"/>
      <c r="JH218" s="221"/>
      <c r="JI218" s="221"/>
      <c r="JJ218" s="221"/>
      <c r="JK218" s="221"/>
      <c r="JL218" s="221"/>
      <c r="JM218" s="221"/>
      <c r="JN218" s="221"/>
      <c r="JO218" s="221"/>
      <c r="JP218" s="221"/>
      <c r="JQ218" s="221"/>
    </row>
    <row r="219" spans="1:277" ht="20" customHeight="1" outlineLevel="1">
      <c r="A219" s="456">
        <v>1905009</v>
      </c>
      <c r="B219" s="439">
        <v>42130</v>
      </c>
      <c r="C219" s="448" t="s">
        <v>44</v>
      </c>
      <c r="D219" s="448" t="s">
        <v>73</v>
      </c>
      <c r="E219" s="538" t="s">
        <v>69</v>
      </c>
      <c r="F219" s="530" t="s">
        <v>47</v>
      </c>
      <c r="G219" s="448" t="s">
        <v>1765</v>
      </c>
      <c r="H219" s="514" t="s">
        <v>191</v>
      </c>
      <c r="I219" s="443">
        <v>191876</v>
      </c>
      <c r="J219" s="448" t="s">
        <v>62</v>
      </c>
      <c r="K219" s="514" t="s">
        <v>118</v>
      </c>
      <c r="L219" s="514" t="s">
        <v>123</v>
      </c>
      <c r="M219" s="439">
        <v>42131</v>
      </c>
      <c r="N219" s="448" t="s">
        <v>345</v>
      </c>
      <c r="O219" s="448" t="s">
        <v>1766</v>
      </c>
      <c r="P219" s="516" t="s">
        <v>1764</v>
      </c>
      <c r="Q219" s="629"/>
      <c r="R219" s="589">
        <v>3</v>
      </c>
      <c r="S219" s="590">
        <v>0</v>
      </c>
      <c r="T219" s="604">
        <v>0</v>
      </c>
      <c r="U219" s="596">
        <v>0</v>
      </c>
      <c r="V219" s="590">
        <v>0</v>
      </c>
      <c r="W219" s="604">
        <v>0</v>
      </c>
      <c r="X219" s="596">
        <v>0</v>
      </c>
      <c r="Y219" s="590">
        <v>0</v>
      </c>
      <c r="Z219" s="604">
        <v>0</v>
      </c>
      <c r="AA219" s="596">
        <v>12</v>
      </c>
      <c r="AB219" s="590">
        <v>0</v>
      </c>
      <c r="AC219" s="604">
        <v>0</v>
      </c>
      <c r="AD219" s="596">
        <v>0</v>
      </c>
      <c r="AE219" s="594">
        <v>0</v>
      </c>
      <c r="AF219" s="594">
        <v>0</v>
      </c>
      <c r="AG219" s="590">
        <v>0</v>
      </c>
      <c r="AH219" s="604">
        <v>0</v>
      </c>
      <c r="AI219" s="610">
        <v>0</v>
      </c>
      <c r="AJ219" s="610">
        <v>0</v>
      </c>
      <c r="AK219" s="629"/>
      <c r="AL219" s="530" t="s">
        <v>1683</v>
      </c>
      <c r="AM219" s="448">
        <v>191169</v>
      </c>
      <c r="AN219" s="612">
        <v>116.4</v>
      </c>
      <c r="AO219" s="440" t="s">
        <v>1778</v>
      </c>
      <c r="AP219" s="37">
        <v>252</v>
      </c>
      <c r="AQ219" s="795">
        <f t="shared" si="13"/>
        <v>135.6</v>
      </c>
      <c r="AR219" s="835">
        <f t="shared" si="21"/>
        <v>0.53809523809523807</v>
      </c>
      <c r="AS219" s="821"/>
      <c r="AT219" s="448"/>
      <c r="AU219" s="448"/>
      <c r="AV219" s="448"/>
      <c r="AW219" s="448"/>
      <c r="AX219" s="612">
        <v>0</v>
      </c>
      <c r="AY219" s="514" t="s">
        <v>118</v>
      </c>
      <c r="AZ219" s="612">
        <v>0</v>
      </c>
      <c r="BA219" s="31" t="s">
        <v>47</v>
      </c>
      <c r="BB219" s="41">
        <v>0</v>
      </c>
      <c r="BC219" s="448"/>
      <c r="BD219" s="448"/>
      <c r="BE219" s="448"/>
      <c r="BF219" s="448"/>
      <c r="BG219" s="448"/>
      <c r="BH219" s="221"/>
      <c r="BI219" s="221"/>
      <c r="BJ219" s="221"/>
      <c r="BK219" s="221"/>
      <c r="BL219" s="221"/>
      <c r="BM219" s="221"/>
      <c r="BN219" s="221"/>
      <c r="BO219" s="221"/>
      <c r="BP219" s="221"/>
      <c r="BQ219" s="221"/>
      <c r="BR219" s="221"/>
      <c r="BS219" s="221"/>
      <c r="BT219" s="221"/>
      <c r="BU219" s="221"/>
      <c r="BV219" s="221"/>
      <c r="BW219" s="221"/>
      <c r="BX219" s="221"/>
      <c r="BY219" s="221"/>
      <c r="BZ219" s="221"/>
      <c r="CA219" s="221"/>
      <c r="CB219" s="221"/>
      <c r="CC219" s="221"/>
      <c r="CD219" s="221"/>
      <c r="CE219" s="221"/>
      <c r="CF219" s="221"/>
      <c r="CG219" s="221"/>
      <c r="CH219" s="221"/>
      <c r="CI219" s="221"/>
      <c r="CJ219" s="221"/>
      <c r="CK219" s="221"/>
      <c r="CL219" s="221"/>
      <c r="CM219" s="221"/>
      <c r="CN219" s="221"/>
      <c r="CO219" s="221"/>
      <c r="CP219" s="221"/>
      <c r="CQ219" s="221"/>
      <c r="CR219" s="221"/>
      <c r="CS219" s="221"/>
      <c r="CT219" s="221"/>
      <c r="CU219" s="221"/>
      <c r="CV219" s="221"/>
      <c r="CW219" s="221"/>
      <c r="CX219" s="221"/>
      <c r="CY219" s="221"/>
      <c r="CZ219" s="221"/>
      <c r="DA219" s="221"/>
      <c r="DB219" s="221"/>
      <c r="DC219" s="221"/>
      <c r="DD219" s="221"/>
      <c r="DE219" s="221"/>
      <c r="DF219" s="221"/>
      <c r="DG219" s="221"/>
      <c r="DH219" s="221"/>
      <c r="DI219" s="221"/>
      <c r="DJ219" s="221"/>
      <c r="DK219" s="221"/>
      <c r="DL219" s="221"/>
      <c r="DM219" s="221"/>
      <c r="DN219" s="221"/>
      <c r="DO219" s="221"/>
      <c r="DP219" s="221"/>
      <c r="DQ219" s="221"/>
      <c r="DR219" s="221"/>
      <c r="DS219" s="221"/>
      <c r="DT219" s="221"/>
      <c r="DU219" s="221"/>
      <c r="DV219" s="221"/>
      <c r="DW219" s="221"/>
      <c r="DX219" s="221"/>
      <c r="DY219" s="221"/>
      <c r="DZ219" s="221"/>
      <c r="EA219" s="221"/>
      <c r="EB219" s="221"/>
      <c r="EC219" s="221"/>
      <c r="ED219" s="221"/>
      <c r="EE219" s="221"/>
      <c r="EF219" s="221"/>
      <c r="EG219" s="221"/>
      <c r="EH219" s="221"/>
      <c r="EI219" s="221"/>
      <c r="EJ219" s="221"/>
      <c r="EK219" s="221"/>
      <c r="EL219" s="221"/>
      <c r="EM219" s="221"/>
      <c r="EN219" s="221"/>
      <c r="EO219" s="221"/>
      <c r="EP219" s="221"/>
      <c r="EQ219" s="221"/>
      <c r="ER219" s="221"/>
      <c r="ES219" s="221"/>
      <c r="ET219" s="221"/>
      <c r="EU219" s="221"/>
      <c r="EV219" s="221"/>
      <c r="EW219" s="221"/>
      <c r="EX219" s="221"/>
      <c r="EY219" s="221"/>
      <c r="EZ219" s="221"/>
      <c r="FA219" s="221"/>
      <c r="FB219" s="221"/>
      <c r="FC219" s="221"/>
      <c r="FD219" s="221"/>
      <c r="FE219" s="221"/>
      <c r="FF219" s="221"/>
      <c r="FG219" s="221"/>
      <c r="FH219" s="221"/>
      <c r="FI219" s="221"/>
      <c r="FJ219" s="221"/>
      <c r="FK219" s="221"/>
      <c r="FL219" s="221"/>
      <c r="FM219" s="221"/>
      <c r="FN219" s="221"/>
      <c r="FO219" s="221"/>
      <c r="FP219" s="221"/>
      <c r="FQ219" s="221"/>
      <c r="FR219" s="221"/>
      <c r="FS219" s="221"/>
      <c r="FT219" s="221"/>
      <c r="FU219" s="221"/>
      <c r="FV219" s="221"/>
      <c r="FW219" s="221"/>
      <c r="FX219" s="221"/>
      <c r="FY219" s="221"/>
      <c r="FZ219" s="221"/>
      <c r="GA219" s="221"/>
      <c r="GB219" s="221"/>
      <c r="GC219" s="221"/>
      <c r="GD219" s="221"/>
      <c r="GE219" s="221"/>
      <c r="GF219" s="221"/>
      <c r="GG219" s="221"/>
      <c r="GH219" s="221"/>
      <c r="GI219" s="221"/>
      <c r="GJ219" s="221"/>
      <c r="GK219" s="221"/>
      <c r="GL219" s="221"/>
      <c r="GM219" s="221"/>
      <c r="GN219" s="221"/>
      <c r="GO219" s="221"/>
      <c r="GP219" s="221"/>
      <c r="GQ219" s="221"/>
      <c r="GR219" s="221"/>
      <c r="GS219" s="221"/>
      <c r="GT219" s="221"/>
      <c r="GU219" s="221"/>
      <c r="GV219" s="221"/>
      <c r="GW219" s="221"/>
      <c r="GX219" s="221"/>
      <c r="GY219" s="221"/>
      <c r="GZ219" s="221"/>
      <c r="HA219" s="221"/>
      <c r="HB219" s="221"/>
      <c r="HC219" s="221"/>
      <c r="HD219" s="221"/>
      <c r="HE219" s="221"/>
      <c r="HF219" s="221"/>
      <c r="HG219" s="221"/>
      <c r="HH219" s="221"/>
      <c r="HI219" s="221"/>
      <c r="HJ219" s="221"/>
      <c r="HK219" s="221"/>
      <c r="HL219" s="221"/>
      <c r="HM219" s="221"/>
      <c r="HN219" s="221"/>
      <c r="HO219" s="221"/>
      <c r="HP219" s="221"/>
      <c r="HQ219" s="221"/>
      <c r="HR219" s="221"/>
      <c r="HS219" s="221"/>
      <c r="HT219" s="221"/>
      <c r="HU219" s="221"/>
      <c r="HV219" s="221"/>
      <c r="HW219" s="221"/>
      <c r="HX219" s="221"/>
      <c r="HY219" s="221"/>
      <c r="HZ219" s="221"/>
      <c r="IA219" s="221"/>
      <c r="IB219" s="221"/>
      <c r="IC219" s="221"/>
      <c r="ID219" s="221"/>
      <c r="IE219" s="221"/>
      <c r="IF219" s="221"/>
      <c r="IG219" s="221"/>
      <c r="IH219" s="221"/>
      <c r="II219" s="221"/>
      <c r="IJ219" s="221"/>
      <c r="IK219" s="221"/>
      <c r="IL219" s="221"/>
      <c r="IM219" s="221"/>
      <c r="IN219" s="221"/>
      <c r="IO219" s="221"/>
      <c r="IP219" s="221"/>
      <c r="IQ219" s="221"/>
      <c r="IR219" s="221"/>
      <c r="IS219" s="221"/>
      <c r="IT219" s="221"/>
      <c r="IU219" s="221"/>
      <c r="IV219" s="221"/>
      <c r="IW219" s="221"/>
      <c r="IX219" s="221"/>
      <c r="IY219" s="221"/>
      <c r="IZ219" s="221"/>
      <c r="JA219" s="221"/>
      <c r="JB219" s="221"/>
      <c r="JC219" s="221"/>
      <c r="JD219" s="221"/>
      <c r="JE219" s="221"/>
      <c r="JF219" s="221"/>
      <c r="JG219" s="221"/>
      <c r="JH219" s="221"/>
      <c r="JI219" s="221"/>
      <c r="JJ219" s="221"/>
      <c r="JK219" s="221"/>
      <c r="JL219" s="221"/>
      <c r="JM219" s="221"/>
      <c r="JN219" s="221"/>
      <c r="JO219" s="221"/>
      <c r="JP219" s="221"/>
      <c r="JQ219" s="221"/>
    </row>
    <row r="220" spans="1:277" ht="20" customHeight="1" outlineLevel="1">
      <c r="A220" s="482">
        <v>1905010</v>
      </c>
      <c r="B220" s="439">
        <v>42130</v>
      </c>
      <c r="C220" s="448" t="s">
        <v>44</v>
      </c>
      <c r="D220" s="448" t="s">
        <v>1259</v>
      </c>
      <c r="E220" s="538" t="s">
        <v>46</v>
      </c>
      <c r="F220" s="530"/>
      <c r="G220" s="448"/>
      <c r="H220" s="448"/>
      <c r="I220" s="443"/>
      <c r="J220" s="448"/>
      <c r="K220" s="448"/>
      <c r="L220" s="448"/>
      <c r="M220" s="448"/>
      <c r="N220" s="448" t="s">
        <v>51</v>
      </c>
      <c r="O220" s="448" t="s">
        <v>1767</v>
      </c>
      <c r="P220" s="516"/>
      <c r="Q220" s="629"/>
      <c r="R220" s="587">
        <v>0</v>
      </c>
      <c r="S220" s="588">
        <v>0</v>
      </c>
      <c r="T220" s="603">
        <v>0</v>
      </c>
      <c r="U220" s="595">
        <v>0</v>
      </c>
      <c r="V220" s="588">
        <v>0</v>
      </c>
      <c r="W220" s="603">
        <v>0</v>
      </c>
      <c r="X220" s="595">
        <v>0</v>
      </c>
      <c r="Y220" s="588">
        <v>0</v>
      </c>
      <c r="Z220" s="603">
        <v>0</v>
      </c>
      <c r="AA220" s="603">
        <v>0</v>
      </c>
      <c r="AB220" s="603">
        <v>0</v>
      </c>
      <c r="AC220" s="603">
        <v>0</v>
      </c>
      <c r="AD220" s="603">
        <v>0</v>
      </c>
      <c r="AE220" s="594">
        <v>0</v>
      </c>
      <c r="AF220" s="594">
        <v>0</v>
      </c>
      <c r="AG220" s="603">
        <v>0</v>
      </c>
      <c r="AH220" s="603">
        <v>0</v>
      </c>
      <c r="AI220" s="603">
        <v>0</v>
      </c>
      <c r="AJ220" s="603">
        <v>0</v>
      </c>
      <c r="AK220" s="629"/>
      <c r="AL220" s="530" t="s">
        <v>1683</v>
      </c>
      <c r="AM220" s="448"/>
      <c r="AN220" s="612"/>
      <c r="AO220" s="444"/>
      <c r="AP220" s="37">
        <v>0</v>
      </c>
      <c r="AQ220" s="795">
        <f t="shared" si="13"/>
        <v>0</v>
      </c>
      <c r="AR220" s="835" t="e">
        <f t="shared" si="21"/>
        <v>#DIV/0!</v>
      </c>
      <c r="AS220" s="821"/>
      <c r="AT220" s="448"/>
      <c r="AU220" s="448"/>
      <c r="AV220" s="448"/>
      <c r="AW220" s="448"/>
      <c r="AX220" s="612"/>
      <c r="AY220" s="448"/>
      <c r="AZ220" s="612"/>
      <c r="BA220" s="31" t="s">
        <v>47</v>
      </c>
      <c r="BB220" s="41">
        <v>0</v>
      </c>
      <c r="BC220" s="448"/>
      <c r="BD220" s="448"/>
      <c r="BE220" s="448"/>
      <c r="BF220" s="448"/>
      <c r="BG220" s="448"/>
      <c r="BH220" s="221"/>
      <c r="BI220" s="221"/>
      <c r="BJ220" s="221"/>
      <c r="BK220" s="221"/>
      <c r="BL220" s="221"/>
      <c r="BM220" s="221"/>
      <c r="BN220" s="221"/>
      <c r="BO220" s="221"/>
      <c r="BP220" s="221"/>
      <c r="BQ220" s="221"/>
      <c r="BR220" s="221"/>
      <c r="BS220" s="221"/>
      <c r="BT220" s="221"/>
      <c r="BU220" s="221"/>
      <c r="BV220" s="221"/>
      <c r="BW220" s="221"/>
      <c r="BX220" s="221"/>
      <c r="BY220" s="221"/>
      <c r="BZ220" s="221"/>
      <c r="CA220" s="221"/>
      <c r="CB220" s="221"/>
      <c r="CC220" s="221"/>
      <c r="CD220" s="221"/>
      <c r="CE220" s="221"/>
      <c r="CF220" s="221"/>
      <c r="CG220" s="221"/>
      <c r="CH220" s="221"/>
      <c r="CI220" s="221"/>
      <c r="CJ220" s="221"/>
      <c r="CK220" s="221"/>
      <c r="CL220" s="221"/>
      <c r="CM220" s="221"/>
      <c r="CN220" s="221"/>
      <c r="CO220" s="221"/>
      <c r="CP220" s="221"/>
      <c r="CQ220" s="221"/>
      <c r="CR220" s="221"/>
      <c r="CS220" s="221"/>
      <c r="CT220" s="221"/>
      <c r="CU220" s="221"/>
      <c r="CV220" s="221"/>
      <c r="CW220" s="221"/>
      <c r="CX220" s="221"/>
      <c r="CY220" s="221"/>
      <c r="CZ220" s="221"/>
      <c r="DA220" s="221"/>
      <c r="DB220" s="221"/>
      <c r="DC220" s="221"/>
      <c r="DD220" s="221"/>
      <c r="DE220" s="221"/>
      <c r="DF220" s="221"/>
      <c r="DG220" s="221"/>
      <c r="DH220" s="221"/>
      <c r="DI220" s="221"/>
      <c r="DJ220" s="221"/>
      <c r="DK220" s="221"/>
      <c r="DL220" s="221"/>
      <c r="DM220" s="221"/>
      <c r="DN220" s="221"/>
      <c r="DO220" s="221"/>
      <c r="DP220" s="221"/>
      <c r="DQ220" s="221"/>
      <c r="DR220" s="221"/>
      <c r="DS220" s="221"/>
      <c r="DT220" s="221"/>
      <c r="DU220" s="221"/>
      <c r="DV220" s="221"/>
      <c r="DW220" s="221"/>
      <c r="DX220" s="221"/>
      <c r="DY220" s="221"/>
      <c r="DZ220" s="221"/>
      <c r="EA220" s="221"/>
      <c r="EB220" s="221"/>
      <c r="EC220" s="221"/>
      <c r="ED220" s="221"/>
      <c r="EE220" s="221"/>
      <c r="EF220" s="221"/>
      <c r="EG220" s="221"/>
      <c r="EH220" s="221"/>
      <c r="EI220" s="221"/>
      <c r="EJ220" s="221"/>
      <c r="EK220" s="221"/>
      <c r="EL220" s="221"/>
      <c r="EM220" s="221"/>
      <c r="EN220" s="221"/>
      <c r="EO220" s="221"/>
      <c r="EP220" s="221"/>
      <c r="EQ220" s="221"/>
      <c r="ER220" s="221"/>
      <c r="ES220" s="221"/>
      <c r="ET220" s="221"/>
      <c r="EU220" s="221"/>
      <c r="EV220" s="221"/>
      <c r="EW220" s="221"/>
      <c r="EX220" s="221"/>
      <c r="EY220" s="221"/>
      <c r="EZ220" s="221"/>
      <c r="FA220" s="221"/>
      <c r="FB220" s="221"/>
      <c r="FC220" s="221"/>
      <c r="FD220" s="221"/>
      <c r="FE220" s="221"/>
      <c r="FF220" s="221"/>
      <c r="FG220" s="221"/>
      <c r="FH220" s="221"/>
      <c r="FI220" s="221"/>
      <c r="FJ220" s="221"/>
      <c r="FK220" s="221"/>
      <c r="FL220" s="221"/>
      <c r="FM220" s="221"/>
      <c r="FN220" s="221"/>
      <c r="FO220" s="221"/>
      <c r="FP220" s="221"/>
      <c r="FQ220" s="221"/>
      <c r="FR220" s="221"/>
      <c r="FS220" s="221"/>
      <c r="FT220" s="221"/>
      <c r="FU220" s="221"/>
      <c r="FV220" s="221"/>
      <c r="FW220" s="221"/>
      <c r="FX220" s="221"/>
      <c r="FY220" s="221"/>
      <c r="FZ220" s="221"/>
      <c r="GA220" s="221"/>
      <c r="GB220" s="221"/>
      <c r="GC220" s="221"/>
      <c r="GD220" s="221"/>
      <c r="GE220" s="221"/>
      <c r="GF220" s="221"/>
      <c r="GG220" s="221"/>
      <c r="GH220" s="221"/>
      <c r="GI220" s="221"/>
      <c r="GJ220" s="221"/>
      <c r="GK220" s="221"/>
      <c r="GL220" s="221"/>
      <c r="GM220" s="221"/>
      <c r="GN220" s="221"/>
      <c r="GO220" s="221"/>
      <c r="GP220" s="221"/>
      <c r="GQ220" s="221"/>
      <c r="GR220" s="221"/>
      <c r="GS220" s="221"/>
      <c r="GT220" s="221"/>
      <c r="GU220" s="221"/>
      <c r="GV220" s="221"/>
      <c r="GW220" s="221"/>
      <c r="GX220" s="221"/>
      <c r="GY220" s="221"/>
      <c r="GZ220" s="221"/>
      <c r="HA220" s="221"/>
      <c r="HB220" s="221"/>
      <c r="HC220" s="221"/>
      <c r="HD220" s="221"/>
      <c r="HE220" s="221"/>
      <c r="HF220" s="221"/>
      <c r="HG220" s="221"/>
      <c r="HH220" s="221"/>
      <c r="HI220" s="221"/>
      <c r="HJ220" s="221"/>
      <c r="HK220" s="221"/>
      <c r="HL220" s="221"/>
      <c r="HM220" s="221"/>
      <c r="HN220" s="221"/>
      <c r="HO220" s="221"/>
      <c r="HP220" s="221"/>
      <c r="HQ220" s="221"/>
      <c r="HR220" s="221"/>
      <c r="HS220" s="221"/>
      <c r="HT220" s="221"/>
      <c r="HU220" s="221"/>
      <c r="HV220" s="221"/>
      <c r="HW220" s="221"/>
      <c r="HX220" s="221"/>
      <c r="HY220" s="221"/>
      <c r="HZ220" s="221"/>
      <c r="IA220" s="221"/>
      <c r="IB220" s="221"/>
      <c r="IC220" s="221"/>
      <c r="ID220" s="221"/>
      <c r="IE220" s="221"/>
      <c r="IF220" s="221"/>
      <c r="IG220" s="221"/>
      <c r="IH220" s="221"/>
      <c r="II220" s="221"/>
      <c r="IJ220" s="221"/>
      <c r="IK220" s="221"/>
      <c r="IL220" s="221"/>
      <c r="IM220" s="221"/>
      <c r="IN220" s="221"/>
      <c r="IO220" s="221"/>
      <c r="IP220" s="221"/>
      <c r="IQ220" s="221"/>
      <c r="IR220" s="221"/>
      <c r="IS220" s="221"/>
      <c r="IT220" s="221"/>
      <c r="IU220" s="221"/>
      <c r="IV220" s="221"/>
      <c r="IW220" s="221"/>
      <c r="IX220" s="221"/>
      <c r="IY220" s="221"/>
      <c r="IZ220" s="221"/>
      <c r="JA220" s="221"/>
      <c r="JB220" s="221"/>
      <c r="JC220" s="221"/>
      <c r="JD220" s="221"/>
      <c r="JE220" s="221"/>
      <c r="JF220" s="221"/>
      <c r="JG220" s="221"/>
      <c r="JH220" s="221"/>
      <c r="JI220" s="221"/>
      <c r="JJ220" s="221"/>
      <c r="JK220" s="221"/>
      <c r="JL220" s="221"/>
      <c r="JM220" s="221"/>
      <c r="JN220" s="221"/>
      <c r="JO220" s="221"/>
      <c r="JP220" s="221"/>
      <c r="JQ220" s="221"/>
    </row>
    <row r="221" spans="1:277" ht="20" customHeight="1" outlineLevel="1">
      <c r="A221" s="482">
        <v>1905011</v>
      </c>
      <c r="B221" s="439">
        <v>42130</v>
      </c>
      <c r="C221" s="448" t="s">
        <v>44</v>
      </c>
      <c r="D221" s="448" t="s">
        <v>73</v>
      </c>
      <c r="E221" s="538" t="s">
        <v>500</v>
      </c>
      <c r="F221" s="530" t="s">
        <v>47</v>
      </c>
      <c r="G221" s="448" t="s">
        <v>1768</v>
      </c>
      <c r="H221" s="514" t="s">
        <v>1314</v>
      </c>
      <c r="I221" s="443" t="s">
        <v>155</v>
      </c>
      <c r="J221" s="514" t="s">
        <v>62</v>
      </c>
      <c r="K221" s="448" t="s">
        <v>50</v>
      </c>
      <c r="L221" s="448">
        <v>101469760</v>
      </c>
      <c r="M221" s="439">
        <v>42131</v>
      </c>
      <c r="N221" s="448" t="s">
        <v>502</v>
      </c>
      <c r="O221" s="448" t="s">
        <v>1769</v>
      </c>
      <c r="P221" s="516" t="s">
        <v>1770</v>
      </c>
      <c r="Q221" s="629"/>
      <c r="R221" s="587">
        <v>0</v>
      </c>
      <c r="S221" s="588">
        <v>0</v>
      </c>
      <c r="T221" s="603">
        <v>0</v>
      </c>
      <c r="U221" s="595">
        <v>0</v>
      </c>
      <c r="V221" s="588">
        <v>0</v>
      </c>
      <c r="W221" s="603">
        <v>0</v>
      </c>
      <c r="X221" s="595">
        <v>0</v>
      </c>
      <c r="Y221" s="588">
        <v>0</v>
      </c>
      <c r="Z221" s="603">
        <v>0</v>
      </c>
      <c r="AA221" s="603">
        <v>0</v>
      </c>
      <c r="AB221" s="603">
        <v>0</v>
      </c>
      <c r="AC221" s="603">
        <v>0</v>
      </c>
      <c r="AD221" s="603">
        <v>0</v>
      </c>
      <c r="AE221" s="594">
        <v>2</v>
      </c>
      <c r="AF221" s="594">
        <v>0</v>
      </c>
      <c r="AG221" s="603">
        <v>0</v>
      </c>
      <c r="AH221" s="603">
        <v>0</v>
      </c>
      <c r="AI221" s="603">
        <v>0</v>
      </c>
      <c r="AJ221" s="603">
        <v>0</v>
      </c>
      <c r="AK221" s="629"/>
      <c r="AL221" s="530" t="s">
        <v>1268</v>
      </c>
      <c r="AM221" s="448"/>
      <c r="AN221" s="612">
        <f>2*15.75</f>
        <v>31.5</v>
      </c>
      <c r="AO221" s="444" t="s">
        <v>1771</v>
      </c>
      <c r="AP221" s="37">
        <v>90.3</v>
      </c>
      <c r="AQ221" s="795">
        <f t="shared" si="13"/>
        <v>58.8</v>
      </c>
      <c r="AR221" s="835">
        <f t="shared" si="21"/>
        <v>0.65116279069767435</v>
      </c>
      <c r="AS221" s="821"/>
      <c r="AT221" s="514" t="s">
        <v>1254</v>
      </c>
      <c r="AU221" s="448">
        <v>1</v>
      </c>
      <c r="AV221" s="514" t="s">
        <v>499</v>
      </c>
      <c r="AW221" s="448">
        <v>2</v>
      </c>
      <c r="AX221" s="612">
        <v>85</v>
      </c>
      <c r="AY221" s="448">
        <v>12646443</v>
      </c>
      <c r="AZ221" s="612">
        <v>82.87</v>
      </c>
      <c r="BA221" s="31" t="s">
        <v>47</v>
      </c>
      <c r="BB221" s="41">
        <v>0</v>
      </c>
      <c r="BC221" s="448"/>
      <c r="BD221" s="448"/>
      <c r="BE221" s="448"/>
      <c r="BF221" s="448"/>
      <c r="BG221" s="448"/>
    </row>
    <row r="222" spans="1:277" ht="20" customHeight="1" outlineLevel="1">
      <c r="A222" s="456">
        <v>1905012</v>
      </c>
      <c r="B222" s="439">
        <v>42131</v>
      </c>
      <c r="C222" s="448" t="s">
        <v>44</v>
      </c>
      <c r="D222" s="448" t="s">
        <v>1259</v>
      </c>
      <c r="E222" s="538" t="s">
        <v>116</v>
      </c>
      <c r="F222" s="530" t="s">
        <v>47</v>
      </c>
      <c r="G222" s="448" t="s">
        <v>1775</v>
      </c>
      <c r="H222" s="514" t="s">
        <v>1314</v>
      </c>
      <c r="I222" s="443">
        <v>191159</v>
      </c>
      <c r="J222" s="514" t="s">
        <v>62</v>
      </c>
      <c r="K222" s="514" t="s">
        <v>50</v>
      </c>
      <c r="L222" s="448">
        <v>102003492</v>
      </c>
      <c r="M222" s="439">
        <v>42133</v>
      </c>
      <c r="N222" s="448" t="s">
        <v>201</v>
      </c>
      <c r="O222" s="514" t="s">
        <v>1814</v>
      </c>
      <c r="P222" s="516" t="s">
        <v>1776</v>
      </c>
      <c r="Q222" s="629"/>
      <c r="R222" s="589">
        <v>4</v>
      </c>
      <c r="S222" s="590">
        <v>0</v>
      </c>
      <c r="T222" s="604">
        <v>0</v>
      </c>
      <c r="U222" s="596">
        <v>0</v>
      </c>
      <c r="V222" s="590">
        <v>0</v>
      </c>
      <c r="W222" s="604">
        <v>0</v>
      </c>
      <c r="X222" s="596">
        <v>0</v>
      </c>
      <c r="Y222" s="590">
        <v>0</v>
      </c>
      <c r="Z222" s="604">
        <v>0</v>
      </c>
      <c r="AA222" s="596">
        <v>4</v>
      </c>
      <c r="AB222" s="590">
        <v>0</v>
      </c>
      <c r="AC222" s="604">
        <v>0</v>
      </c>
      <c r="AD222" s="596">
        <v>0</v>
      </c>
      <c r="AE222" s="594">
        <v>4</v>
      </c>
      <c r="AF222" s="594">
        <v>0</v>
      </c>
      <c r="AG222" s="590">
        <v>0</v>
      </c>
      <c r="AH222" s="604">
        <v>0</v>
      </c>
      <c r="AI222" s="610">
        <v>0</v>
      </c>
      <c r="AJ222" s="610">
        <v>0</v>
      </c>
      <c r="AK222" s="629"/>
      <c r="AL222" s="530" t="s">
        <v>1268</v>
      </c>
      <c r="AM222" s="448">
        <v>191159</v>
      </c>
      <c r="AN222" s="612">
        <v>138.1</v>
      </c>
      <c r="AO222" s="440" t="s">
        <v>1817</v>
      </c>
      <c r="AP222" s="37">
        <f>392-115</f>
        <v>277</v>
      </c>
      <c r="AQ222" s="795">
        <f t="shared" si="13"/>
        <v>138.9</v>
      </c>
      <c r="AR222" s="835">
        <f t="shared" si="21"/>
        <v>0.50144404332129966</v>
      </c>
      <c r="AS222" s="821"/>
      <c r="AT222" s="448"/>
      <c r="AU222" s="448"/>
      <c r="AV222" s="448"/>
      <c r="AW222" s="448"/>
      <c r="AX222" s="612">
        <v>85</v>
      </c>
      <c r="AY222" s="448">
        <v>12646443</v>
      </c>
      <c r="AZ222" s="612">
        <v>78.53</v>
      </c>
      <c r="BA222" s="31" t="s">
        <v>47</v>
      </c>
      <c r="BB222" s="41">
        <v>0</v>
      </c>
      <c r="BC222" s="448"/>
      <c r="BD222" s="448"/>
      <c r="BE222" s="448"/>
      <c r="BF222" s="448"/>
      <c r="BG222" s="448"/>
    </row>
    <row r="223" spans="1:277" ht="20" customHeight="1" outlineLevel="1">
      <c r="A223" s="482">
        <v>1905013</v>
      </c>
      <c r="B223" s="439">
        <v>42131</v>
      </c>
      <c r="C223" s="514" t="s">
        <v>67</v>
      </c>
      <c r="D223" s="514" t="s">
        <v>73</v>
      </c>
      <c r="E223" s="539" t="s">
        <v>60</v>
      </c>
      <c r="F223" s="531" t="s">
        <v>47</v>
      </c>
      <c r="G223" s="514" t="s">
        <v>47</v>
      </c>
      <c r="H223" s="514" t="s">
        <v>47</v>
      </c>
      <c r="I223" s="443" t="s">
        <v>124</v>
      </c>
      <c r="J223" s="514" t="s">
        <v>62</v>
      </c>
      <c r="K223" s="514" t="s">
        <v>47</v>
      </c>
      <c r="L223" s="514" t="s">
        <v>47</v>
      </c>
      <c r="M223" s="514" t="s">
        <v>47</v>
      </c>
      <c r="N223" s="514" t="s">
        <v>1779</v>
      </c>
      <c r="O223" s="514" t="s">
        <v>1780</v>
      </c>
      <c r="P223" s="516"/>
      <c r="Q223" s="629"/>
      <c r="R223" s="587">
        <v>0</v>
      </c>
      <c r="S223" s="588">
        <v>0</v>
      </c>
      <c r="T223" s="603">
        <v>0</v>
      </c>
      <c r="U223" s="595">
        <v>0</v>
      </c>
      <c r="V223" s="588">
        <v>0</v>
      </c>
      <c r="W223" s="603">
        <v>0</v>
      </c>
      <c r="X223" s="595">
        <v>0</v>
      </c>
      <c r="Y223" s="588">
        <v>0</v>
      </c>
      <c r="Z223" s="603">
        <v>0</v>
      </c>
      <c r="AA223" s="603">
        <v>0</v>
      </c>
      <c r="AB223" s="603">
        <v>0</v>
      </c>
      <c r="AC223" s="603">
        <v>0</v>
      </c>
      <c r="AD223" s="603">
        <v>0</v>
      </c>
      <c r="AE223" s="594">
        <v>0</v>
      </c>
      <c r="AF223" s="594">
        <v>0</v>
      </c>
      <c r="AG223" s="603">
        <v>0</v>
      </c>
      <c r="AH223" s="603">
        <v>0</v>
      </c>
      <c r="AI223" s="603">
        <v>0</v>
      </c>
      <c r="AJ223" s="603">
        <v>0</v>
      </c>
      <c r="AK223" s="742"/>
      <c r="AL223" s="531" t="s">
        <v>1680</v>
      </c>
      <c r="AM223" s="514" t="s">
        <v>47</v>
      </c>
      <c r="AN223" s="612">
        <v>0</v>
      </c>
      <c r="AO223" s="440" t="s">
        <v>1781</v>
      </c>
      <c r="AP223" s="37">
        <v>26.62</v>
      </c>
      <c r="AQ223" s="795">
        <f t="shared" si="13"/>
        <v>26.62</v>
      </c>
      <c r="AR223" s="835">
        <f t="shared" si="21"/>
        <v>1</v>
      </c>
      <c r="AS223" s="821">
        <v>42136</v>
      </c>
      <c r="AT223" s="448"/>
      <c r="AU223" s="448"/>
      <c r="AV223" s="448"/>
      <c r="AW223" s="448"/>
      <c r="AX223" s="612"/>
      <c r="AY223" s="448"/>
      <c r="AZ223" s="612"/>
      <c r="BA223" s="31" t="s">
        <v>47</v>
      </c>
      <c r="BB223" s="41">
        <v>0</v>
      </c>
      <c r="BC223" s="448"/>
      <c r="BD223" s="448"/>
      <c r="BE223" s="448"/>
      <c r="BF223" s="448"/>
      <c r="BG223" s="448"/>
    </row>
    <row r="224" spans="1:277" ht="20" customHeight="1" outlineLevel="1">
      <c r="A224" s="483">
        <v>1905014</v>
      </c>
      <c r="B224" s="439">
        <v>42131</v>
      </c>
      <c r="C224" s="514" t="s">
        <v>44</v>
      </c>
      <c r="D224" s="514" t="s">
        <v>73</v>
      </c>
      <c r="E224" s="539" t="s">
        <v>204</v>
      </c>
      <c r="F224" s="531" t="s">
        <v>47</v>
      </c>
      <c r="G224" s="514" t="s">
        <v>1782</v>
      </c>
      <c r="H224" s="514" t="s">
        <v>191</v>
      </c>
      <c r="I224" s="443" t="s">
        <v>155</v>
      </c>
      <c r="J224" s="514" t="s">
        <v>62</v>
      </c>
      <c r="K224" s="514" t="s">
        <v>50</v>
      </c>
      <c r="L224" s="448"/>
      <c r="M224" s="448"/>
      <c r="N224" s="514" t="s">
        <v>1783</v>
      </c>
      <c r="O224" s="514" t="s">
        <v>1785</v>
      </c>
      <c r="P224" s="516"/>
      <c r="Q224" s="629"/>
      <c r="R224" s="587">
        <v>0</v>
      </c>
      <c r="S224" s="588">
        <v>0</v>
      </c>
      <c r="T224" s="603">
        <v>0</v>
      </c>
      <c r="U224" s="595">
        <v>0</v>
      </c>
      <c r="V224" s="588">
        <v>0</v>
      </c>
      <c r="W224" s="603">
        <v>0</v>
      </c>
      <c r="X224" s="595">
        <v>0</v>
      </c>
      <c r="Y224" s="588">
        <v>0</v>
      </c>
      <c r="Z224" s="603">
        <v>0</v>
      </c>
      <c r="AA224" s="603">
        <v>4</v>
      </c>
      <c r="AB224" s="603">
        <v>0</v>
      </c>
      <c r="AC224" s="603">
        <v>0</v>
      </c>
      <c r="AD224" s="603">
        <v>0</v>
      </c>
      <c r="AE224" s="594">
        <v>0</v>
      </c>
      <c r="AF224" s="594">
        <v>0</v>
      </c>
      <c r="AG224" s="603">
        <v>0</v>
      </c>
      <c r="AH224" s="603">
        <v>0</v>
      </c>
      <c r="AI224" s="603">
        <v>0</v>
      </c>
      <c r="AJ224" s="603">
        <v>0</v>
      </c>
      <c r="AK224" s="742"/>
      <c r="AL224" s="531" t="s">
        <v>1680</v>
      </c>
      <c r="AM224" s="448">
        <v>191211</v>
      </c>
      <c r="AN224" s="789">
        <f>40.8+PRODUCTS!C3</f>
        <v>104.78999999999999</v>
      </c>
      <c r="AO224" s="440" t="s">
        <v>1784</v>
      </c>
      <c r="AP224" s="37">
        <v>0</v>
      </c>
      <c r="AQ224" s="795">
        <f t="shared" si="13"/>
        <v>-104.78999999999999</v>
      </c>
      <c r="AR224" s="835" t="e">
        <f t="shared" si="21"/>
        <v>#DIV/0!</v>
      </c>
      <c r="AS224" s="821" t="s">
        <v>47</v>
      </c>
      <c r="AT224" s="448"/>
      <c r="AU224" s="448"/>
      <c r="AV224" s="448"/>
      <c r="AW224" s="448"/>
      <c r="AX224" s="612">
        <v>0</v>
      </c>
      <c r="AY224" s="448">
        <v>12656768</v>
      </c>
      <c r="AZ224" s="612">
        <v>153.29</v>
      </c>
      <c r="BA224" s="31" t="s">
        <v>47</v>
      </c>
      <c r="BB224" s="41">
        <v>0</v>
      </c>
      <c r="BC224" s="448"/>
      <c r="BD224" s="448"/>
      <c r="BE224" s="448"/>
      <c r="BF224" s="448"/>
      <c r="BG224" s="448"/>
    </row>
    <row r="225" spans="1:277" ht="20" customHeight="1" outlineLevel="1">
      <c r="A225" s="482">
        <v>1905015</v>
      </c>
      <c r="B225" s="439">
        <v>42131</v>
      </c>
      <c r="C225" s="514" t="s">
        <v>44</v>
      </c>
      <c r="D225" s="448" t="s">
        <v>1259</v>
      </c>
      <c r="E225" s="538" t="s">
        <v>1653</v>
      </c>
      <c r="F225" s="530" t="s">
        <v>1790</v>
      </c>
      <c r="G225" s="448"/>
      <c r="H225" s="448"/>
      <c r="I225" s="443"/>
      <c r="J225" s="448"/>
      <c r="K225" s="448"/>
      <c r="L225" s="448"/>
      <c r="M225" s="448"/>
      <c r="N225" s="448" t="s">
        <v>1655</v>
      </c>
      <c r="O225" s="448" t="s">
        <v>1946</v>
      </c>
      <c r="P225" s="516"/>
      <c r="Q225" s="629"/>
      <c r="R225" s="589">
        <v>14</v>
      </c>
      <c r="S225" s="590">
        <v>1</v>
      </c>
      <c r="T225" s="604">
        <v>0</v>
      </c>
      <c r="U225" s="596">
        <v>0</v>
      </c>
      <c r="V225" s="590">
        <v>1</v>
      </c>
      <c r="W225" s="604">
        <v>0</v>
      </c>
      <c r="X225" s="596">
        <f>55+12</f>
        <v>67</v>
      </c>
      <c r="Y225" s="590">
        <v>1</v>
      </c>
      <c r="Z225" s="604">
        <v>0</v>
      </c>
      <c r="AA225" s="596">
        <v>24</v>
      </c>
      <c r="AB225" s="590">
        <v>1</v>
      </c>
      <c r="AC225" s="604">
        <v>0</v>
      </c>
      <c r="AD225" s="596">
        <v>24</v>
      </c>
      <c r="AE225" s="594">
        <v>12</v>
      </c>
      <c r="AF225" s="594">
        <v>0</v>
      </c>
      <c r="AG225" s="590">
        <v>1</v>
      </c>
      <c r="AH225" s="604">
        <v>0</v>
      </c>
      <c r="AI225" s="610">
        <v>0</v>
      </c>
      <c r="AJ225" s="610">
        <v>0</v>
      </c>
      <c r="AK225" s="629"/>
      <c r="AL225" s="530" t="s">
        <v>1788</v>
      </c>
      <c r="AM225" s="448" t="s">
        <v>1943</v>
      </c>
      <c r="AN225" s="612">
        <f>(R225*PRODUCTS!G8)+('2019 ORDERS - Q1'!X225*PRODUCTS!E8)+('2019 ORDERS - Q1'!AA225*PRODUCTS!D8)+('2019 ORDERS - Q1'!AD225*PRODUCTS!C8)+('2019 ORDERS - Q1'!AE225*PRODUCTS!C10)+PRODUCTS!C3+PRODUCTS!E3+PRODUCTS!F3+PRODUCTS!G3</f>
        <v>1567.1499999999999</v>
      </c>
      <c r="AO225" s="444" t="s">
        <v>1942</v>
      </c>
      <c r="AP225" s="37">
        <v>2519.96</v>
      </c>
      <c r="AQ225" s="795">
        <f t="shared" si="13"/>
        <v>952.81000000000017</v>
      </c>
      <c r="AR225" s="835">
        <f t="shared" si="21"/>
        <v>0.37810520801917497</v>
      </c>
      <c r="AS225" s="821"/>
      <c r="AT225" s="448"/>
      <c r="AU225" s="448"/>
      <c r="AV225" s="448"/>
      <c r="AW225" s="448"/>
      <c r="AX225" s="612">
        <v>1000</v>
      </c>
      <c r="AY225" s="448"/>
      <c r="AZ225" s="612">
        <v>1000</v>
      </c>
      <c r="BA225" s="31" t="s">
        <v>47</v>
      </c>
      <c r="BB225" s="41">
        <v>0</v>
      </c>
      <c r="BC225" s="448"/>
      <c r="BD225" s="448"/>
      <c r="BE225" s="448"/>
      <c r="BF225" s="448"/>
      <c r="BG225" s="448"/>
      <c r="BH225" s="221"/>
      <c r="BI225" s="221"/>
      <c r="BJ225" s="221"/>
      <c r="BK225" s="221"/>
      <c r="BL225" s="221"/>
      <c r="BM225" s="221"/>
      <c r="BN225" s="221"/>
      <c r="BO225" s="221"/>
      <c r="BP225" s="221"/>
      <c r="BQ225" s="221"/>
      <c r="BR225" s="221"/>
      <c r="BS225" s="221"/>
      <c r="BT225" s="221"/>
      <c r="BU225" s="221"/>
      <c r="BV225" s="221"/>
      <c r="BW225" s="221"/>
      <c r="BX225" s="221"/>
      <c r="BY225" s="221"/>
      <c r="BZ225" s="221"/>
      <c r="CA225" s="221"/>
      <c r="CB225" s="221"/>
      <c r="CC225" s="221"/>
      <c r="CD225" s="221"/>
      <c r="CE225" s="221"/>
      <c r="CF225" s="221"/>
      <c r="CG225" s="221"/>
      <c r="CH225" s="221"/>
      <c r="CI225" s="221"/>
      <c r="CJ225" s="221"/>
      <c r="CK225" s="221"/>
      <c r="CL225" s="221"/>
      <c r="CM225" s="221"/>
      <c r="CN225" s="221"/>
      <c r="CO225" s="221"/>
      <c r="CP225" s="221"/>
      <c r="CQ225" s="221"/>
      <c r="CR225" s="221"/>
      <c r="CS225" s="221"/>
      <c r="CT225" s="221"/>
      <c r="CU225" s="221"/>
      <c r="CV225" s="221"/>
      <c r="CW225" s="221"/>
      <c r="CX225" s="221"/>
      <c r="CY225" s="221"/>
      <c r="CZ225" s="221"/>
      <c r="DA225" s="221"/>
      <c r="DB225" s="221"/>
      <c r="DC225" s="221"/>
      <c r="DD225" s="221"/>
      <c r="DE225" s="221"/>
      <c r="DF225" s="221"/>
      <c r="DG225" s="221"/>
      <c r="DH225" s="221"/>
      <c r="DI225" s="221"/>
      <c r="DJ225" s="221"/>
      <c r="DK225" s="221"/>
      <c r="DL225" s="221"/>
      <c r="DM225" s="221"/>
      <c r="DN225" s="221"/>
      <c r="DO225" s="221"/>
      <c r="DP225" s="221"/>
      <c r="DQ225" s="221"/>
      <c r="DR225" s="221"/>
      <c r="DS225" s="221"/>
      <c r="DT225" s="221"/>
      <c r="DU225" s="221"/>
      <c r="DV225" s="221"/>
      <c r="DW225" s="221"/>
      <c r="DX225" s="221"/>
      <c r="DY225" s="221"/>
      <c r="DZ225" s="221"/>
      <c r="EA225" s="221"/>
      <c r="EB225" s="221"/>
      <c r="EC225" s="221"/>
      <c r="ED225" s="221"/>
      <c r="EE225" s="221"/>
      <c r="EF225" s="221"/>
      <c r="EG225" s="221"/>
      <c r="EH225" s="221"/>
      <c r="EI225" s="221"/>
      <c r="EJ225" s="221"/>
      <c r="EK225" s="221"/>
      <c r="EL225" s="221"/>
      <c r="EM225" s="221"/>
      <c r="EN225" s="221"/>
      <c r="EO225" s="221"/>
      <c r="EP225" s="221"/>
      <c r="EQ225" s="221"/>
      <c r="ER225" s="221"/>
      <c r="ES225" s="221"/>
      <c r="ET225" s="221"/>
      <c r="EU225" s="221"/>
      <c r="EV225" s="221"/>
      <c r="EW225" s="221"/>
      <c r="EX225" s="221"/>
      <c r="EY225" s="221"/>
      <c r="EZ225" s="221"/>
      <c r="FA225" s="221"/>
      <c r="FB225" s="221"/>
      <c r="FC225" s="221"/>
      <c r="FD225" s="221"/>
      <c r="FE225" s="221"/>
      <c r="FF225" s="221"/>
      <c r="FG225" s="221"/>
      <c r="FH225" s="221"/>
      <c r="FI225" s="221"/>
      <c r="FJ225" s="221"/>
      <c r="FK225" s="221"/>
      <c r="FL225" s="221"/>
      <c r="FM225" s="221"/>
      <c r="FN225" s="221"/>
      <c r="FO225" s="221"/>
      <c r="FP225" s="221"/>
      <c r="FQ225" s="221"/>
      <c r="FR225" s="221"/>
      <c r="FS225" s="221"/>
      <c r="FT225" s="221"/>
      <c r="FU225" s="221"/>
      <c r="FV225" s="221"/>
      <c r="FW225" s="221"/>
      <c r="FX225" s="221"/>
      <c r="FY225" s="221"/>
      <c r="FZ225" s="221"/>
      <c r="GA225" s="221"/>
      <c r="GB225" s="221"/>
      <c r="GC225" s="221"/>
      <c r="GD225" s="221"/>
      <c r="GE225" s="221"/>
      <c r="GF225" s="221"/>
      <c r="GG225" s="221"/>
      <c r="GH225" s="221"/>
      <c r="GI225" s="221"/>
      <c r="GJ225" s="221"/>
      <c r="GK225" s="221"/>
      <c r="GL225" s="221"/>
      <c r="GM225" s="221"/>
      <c r="GN225" s="221"/>
      <c r="GO225" s="221"/>
      <c r="GP225" s="221"/>
      <c r="GQ225" s="221"/>
      <c r="GR225" s="221"/>
      <c r="GS225" s="221"/>
      <c r="GT225" s="221"/>
      <c r="GU225" s="221"/>
      <c r="GV225" s="221"/>
      <c r="GW225" s="221"/>
      <c r="GX225" s="221"/>
      <c r="GY225" s="221"/>
      <c r="GZ225" s="221"/>
      <c r="HA225" s="221"/>
      <c r="HB225" s="221"/>
      <c r="HC225" s="221"/>
      <c r="HD225" s="221"/>
      <c r="HE225" s="221"/>
      <c r="HF225" s="221"/>
      <c r="HG225" s="221"/>
      <c r="HH225" s="221"/>
      <c r="HI225" s="221"/>
      <c r="HJ225" s="221"/>
      <c r="HK225" s="221"/>
      <c r="HL225" s="221"/>
      <c r="HM225" s="221"/>
      <c r="HN225" s="221"/>
      <c r="HO225" s="221"/>
      <c r="HP225" s="221"/>
      <c r="HQ225" s="221"/>
      <c r="HR225" s="221"/>
      <c r="HS225" s="221"/>
      <c r="HT225" s="221"/>
      <c r="HU225" s="221"/>
      <c r="HV225" s="221"/>
      <c r="HW225" s="221"/>
      <c r="HX225" s="221"/>
      <c r="HY225" s="221"/>
      <c r="HZ225" s="221"/>
      <c r="IA225" s="221"/>
      <c r="IB225" s="221"/>
      <c r="IC225" s="221"/>
      <c r="ID225" s="221"/>
      <c r="IE225" s="221"/>
      <c r="IF225" s="221"/>
      <c r="IG225" s="221"/>
      <c r="IH225" s="221"/>
      <c r="II225" s="221"/>
      <c r="IJ225" s="221"/>
      <c r="IK225" s="221"/>
      <c r="IL225" s="221"/>
      <c r="IM225" s="221"/>
      <c r="IN225" s="221"/>
      <c r="IO225" s="221"/>
      <c r="IP225" s="221"/>
      <c r="IQ225" s="221"/>
      <c r="IR225" s="221"/>
      <c r="IS225" s="221"/>
      <c r="IT225" s="221"/>
      <c r="IU225" s="221"/>
      <c r="IV225" s="221"/>
      <c r="IW225" s="221"/>
      <c r="IX225" s="221"/>
      <c r="IY225" s="221"/>
      <c r="IZ225" s="221"/>
      <c r="JA225" s="221"/>
      <c r="JB225" s="221"/>
      <c r="JC225" s="221"/>
      <c r="JD225" s="221"/>
      <c r="JE225" s="221"/>
      <c r="JF225" s="221"/>
      <c r="JG225" s="221"/>
      <c r="JH225" s="221"/>
      <c r="JI225" s="221"/>
      <c r="JJ225" s="221"/>
      <c r="JK225" s="221"/>
      <c r="JL225" s="221"/>
      <c r="JM225" s="221"/>
      <c r="JN225" s="221"/>
      <c r="JO225" s="221"/>
      <c r="JP225" s="221"/>
      <c r="JQ225" s="221"/>
    </row>
    <row r="226" spans="1:277" ht="20" customHeight="1" outlineLevel="1">
      <c r="A226" s="482">
        <v>1905016</v>
      </c>
      <c r="B226" s="439">
        <v>42132</v>
      </c>
      <c r="C226" s="448" t="s">
        <v>1675</v>
      </c>
      <c r="D226" s="448" t="s">
        <v>73</v>
      </c>
      <c r="E226" s="538" t="s">
        <v>69</v>
      </c>
      <c r="F226" s="530" t="s">
        <v>1789</v>
      </c>
      <c r="G226" s="514" t="s">
        <v>47</v>
      </c>
      <c r="H226" s="514" t="s">
        <v>47</v>
      </c>
      <c r="I226" s="443" t="s">
        <v>47</v>
      </c>
      <c r="J226" s="514" t="s">
        <v>62</v>
      </c>
      <c r="K226" s="514" t="s">
        <v>50</v>
      </c>
      <c r="L226" s="448">
        <v>103502715</v>
      </c>
      <c r="M226" s="448">
        <v>1</v>
      </c>
      <c r="N226" s="448" t="s">
        <v>1791</v>
      </c>
      <c r="O226" s="448" t="s">
        <v>2186</v>
      </c>
      <c r="P226" s="516" t="s">
        <v>1792</v>
      </c>
      <c r="Q226" s="629"/>
      <c r="R226" s="589">
        <v>0</v>
      </c>
      <c r="S226" s="590">
        <v>0</v>
      </c>
      <c r="T226" s="604">
        <v>2</v>
      </c>
      <c r="U226" s="596">
        <v>0</v>
      </c>
      <c r="V226" s="590">
        <v>0</v>
      </c>
      <c r="W226" s="604">
        <v>3</v>
      </c>
      <c r="X226" s="596">
        <v>0</v>
      </c>
      <c r="Y226" s="590">
        <v>0</v>
      </c>
      <c r="Z226" s="604">
        <v>3</v>
      </c>
      <c r="AA226" s="596">
        <v>0</v>
      </c>
      <c r="AB226" s="590">
        <v>0</v>
      </c>
      <c r="AC226" s="604">
        <v>0</v>
      </c>
      <c r="AD226" s="596">
        <v>0</v>
      </c>
      <c r="AE226" s="594">
        <v>0</v>
      </c>
      <c r="AF226" s="594">
        <v>0</v>
      </c>
      <c r="AG226" s="590">
        <v>0</v>
      </c>
      <c r="AH226" s="604">
        <v>0</v>
      </c>
      <c r="AI226" s="610">
        <v>0</v>
      </c>
      <c r="AJ226" s="610">
        <v>0</v>
      </c>
      <c r="AK226" s="629"/>
      <c r="AL226" s="530" t="s">
        <v>1313</v>
      </c>
      <c r="AM226" s="448" t="s">
        <v>92</v>
      </c>
      <c r="AN226" s="612">
        <f>(T226*PRODUCTS!G12)+(W226*PRODUCTS!F12)+('2019 ORDERS - Q1'!Z226*PRODUCTS!E12)</f>
        <v>0.84027324635629941</v>
      </c>
      <c r="AO226" s="444"/>
      <c r="AP226" s="37">
        <v>13</v>
      </c>
      <c r="AQ226" s="795">
        <f t="shared" si="13"/>
        <v>12.159726753643701</v>
      </c>
      <c r="AR226" s="835">
        <f t="shared" si="21"/>
        <v>0.93536359643413092</v>
      </c>
      <c r="AS226" s="821" t="s">
        <v>191</v>
      </c>
      <c r="AT226" s="448" t="s">
        <v>1245</v>
      </c>
      <c r="AU226" s="448"/>
      <c r="AV226" s="448"/>
      <c r="AW226" s="448"/>
      <c r="AX226" s="612">
        <v>0</v>
      </c>
      <c r="AY226" s="448">
        <v>12656768</v>
      </c>
      <c r="AZ226" s="612">
        <v>7.92</v>
      </c>
      <c r="BA226" s="31" t="s">
        <v>47</v>
      </c>
      <c r="BB226" s="41">
        <v>0</v>
      </c>
      <c r="BC226" s="448"/>
      <c r="BD226" s="448"/>
      <c r="BE226" s="448"/>
      <c r="BF226" s="448"/>
      <c r="BG226" s="448"/>
      <c r="BH226" s="221"/>
      <c r="BI226" s="221"/>
      <c r="BJ226" s="221"/>
      <c r="BK226" s="221"/>
      <c r="BL226" s="221"/>
      <c r="BM226" s="221"/>
      <c r="BN226" s="221"/>
      <c r="BO226" s="221"/>
      <c r="BP226" s="221"/>
      <c r="BQ226" s="221"/>
      <c r="BR226" s="221"/>
      <c r="BS226" s="221"/>
      <c r="BT226" s="221"/>
      <c r="BU226" s="221"/>
      <c r="BV226" s="221"/>
      <c r="BW226" s="221"/>
      <c r="BX226" s="221"/>
      <c r="BY226" s="221"/>
      <c r="BZ226" s="221"/>
      <c r="CA226" s="221"/>
      <c r="CB226" s="221"/>
      <c r="CC226" s="221"/>
      <c r="CD226" s="221"/>
      <c r="CE226" s="221"/>
      <c r="CF226" s="221"/>
      <c r="CG226" s="221"/>
      <c r="CH226" s="221"/>
      <c r="CI226" s="221"/>
      <c r="CJ226" s="221"/>
      <c r="CK226" s="221"/>
      <c r="CL226" s="221"/>
      <c r="CM226" s="221"/>
      <c r="CN226" s="221"/>
      <c r="CO226" s="221"/>
      <c r="CP226" s="221"/>
      <c r="CQ226" s="221"/>
      <c r="CR226" s="221"/>
      <c r="CS226" s="221"/>
      <c r="CT226" s="221"/>
      <c r="CU226" s="221"/>
      <c r="CV226" s="221"/>
      <c r="CW226" s="221"/>
      <c r="CX226" s="221"/>
      <c r="CY226" s="221"/>
      <c r="CZ226" s="221"/>
      <c r="DA226" s="221"/>
      <c r="DB226" s="221"/>
      <c r="DC226" s="221"/>
      <c r="DD226" s="221"/>
      <c r="DE226" s="221"/>
      <c r="DF226" s="221"/>
      <c r="DG226" s="221"/>
      <c r="DH226" s="221"/>
      <c r="DI226" s="221"/>
      <c r="DJ226" s="221"/>
      <c r="DK226" s="221"/>
      <c r="DL226" s="221"/>
      <c r="DM226" s="221"/>
      <c r="DN226" s="221"/>
      <c r="DO226" s="221"/>
      <c r="DP226" s="221"/>
      <c r="DQ226" s="221"/>
      <c r="DR226" s="221"/>
      <c r="DS226" s="221"/>
      <c r="DT226" s="221"/>
      <c r="DU226" s="221"/>
      <c r="DV226" s="221"/>
      <c r="DW226" s="221"/>
      <c r="DX226" s="221"/>
      <c r="DY226" s="221"/>
      <c r="DZ226" s="221"/>
      <c r="EA226" s="221"/>
      <c r="EB226" s="221"/>
      <c r="EC226" s="221"/>
      <c r="ED226" s="221"/>
      <c r="EE226" s="221"/>
      <c r="EF226" s="221"/>
      <c r="EG226" s="221"/>
      <c r="EH226" s="221"/>
      <c r="EI226" s="221"/>
      <c r="EJ226" s="221"/>
      <c r="EK226" s="221"/>
      <c r="EL226" s="221"/>
      <c r="EM226" s="221"/>
      <c r="EN226" s="221"/>
      <c r="EO226" s="221"/>
      <c r="EP226" s="221"/>
      <c r="EQ226" s="221"/>
      <c r="ER226" s="221"/>
      <c r="ES226" s="221"/>
      <c r="ET226" s="221"/>
      <c r="EU226" s="221"/>
      <c r="EV226" s="221"/>
      <c r="EW226" s="221"/>
      <c r="EX226" s="221"/>
      <c r="EY226" s="221"/>
      <c r="EZ226" s="221"/>
      <c r="FA226" s="221"/>
      <c r="FB226" s="221"/>
      <c r="FC226" s="221"/>
      <c r="FD226" s="221"/>
      <c r="FE226" s="221"/>
      <c r="FF226" s="221"/>
      <c r="FG226" s="221"/>
      <c r="FH226" s="221"/>
      <c r="FI226" s="221"/>
      <c r="FJ226" s="221"/>
      <c r="FK226" s="221"/>
      <c r="FL226" s="221"/>
      <c r="FM226" s="221"/>
      <c r="FN226" s="221"/>
      <c r="FO226" s="221"/>
      <c r="FP226" s="221"/>
      <c r="FQ226" s="221"/>
      <c r="FR226" s="221"/>
      <c r="FS226" s="221"/>
      <c r="FT226" s="221"/>
      <c r="FU226" s="221"/>
      <c r="FV226" s="221"/>
      <c r="FW226" s="221"/>
      <c r="FX226" s="221"/>
      <c r="FY226" s="221"/>
      <c r="FZ226" s="221"/>
      <c r="GA226" s="221"/>
      <c r="GB226" s="221"/>
      <c r="GC226" s="221"/>
      <c r="GD226" s="221"/>
      <c r="GE226" s="221"/>
      <c r="GF226" s="221"/>
      <c r="GG226" s="221"/>
      <c r="GH226" s="221"/>
      <c r="GI226" s="221"/>
      <c r="GJ226" s="221"/>
      <c r="GK226" s="221"/>
      <c r="GL226" s="221"/>
      <c r="GM226" s="221"/>
      <c r="GN226" s="221"/>
      <c r="GO226" s="221"/>
      <c r="GP226" s="221"/>
      <c r="GQ226" s="221"/>
      <c r="GR226" s="221"/>
      <c r="GS226" s="221"/>
      <c r="GT226" s="221"/>
      <c r="GU226" s="221"/>
      <c r="GV226" s="221"/>
      <c r="GW226" s="221"/>
      <c r="GX226" s="221"/>
      <c r="GY226" s="221"/>
      <c r="GZ226" s="221"/>
      <c r="HA226" s="221"/>
      <c r="HB226" s="221"/>
      <c r="HC226" s="221"/>
      <c r="HD226" s="221"/>
      <c r="HE226" s="221"/>
      <c r="HF226" s="221"/>
      <c r="HG226" s="221"/>
      <c r="HH226" s="221"/>
      <c r="HI226" s="221"/>
      <c r="HJ226" s="221"/>
      <c r="HK226" s="221"/>
      <c r="HL226" s="221"/>
      <c r="HM226" s="221"/>
      <c r="HN226" s="221"/>
      <c r="HO226" s="221"/>
      <c r="HP226" s="221"/>
      <c r="HQ226" s="221"/>
      <c r="HR226" s="221"/>
      <c r="HS226" s="221"/>
      <c r="HT226" s="221"/>
      <c r="HU226" s="221"/>
      <c r="HV226" s="221"/>
      <c r="HW226" s="221"/>
      <c r="HX226" s="221"/>
      <c r="HY226" s="221"/>
      <c r="HZ226" s="221"/>
      <c r="IA226" s="221"/>
      <c r="IB226" s="221"/>
      <c r="IC226" s="221"/>
      <c r="ID226" s="221"/>
      <c r="IE226" s="221"/>
      <c r="IF226" s="221"/>
      <c r="IG226" s="221"/>
      <c r="IH226" s="221"/>
      <c r="II226" s="221"/>
      <c r="IJ226" s="221"/>
      <c r="IK226" s="221"/>
      <c r="IL226" s="221"/>
      <c r="IM226" s="221"/>
      <c r="IN226" s="221"/>
      <c r="IO226" s="221"/>
      <c r="IP226" s="221"/>
      <c r="IQ226" s="221"/>
      <c r="IR226" s="221"/>
      <c r="IS226" s="221"/>
      <c r="IT226" s="221"/>
      <c r="IU226" s="221"/>
      <c r="IV226" s="221"/>
      <c r="IW226" s="221"/>
      <c r="IX226" s="221"/>
      <c r="IY226" s="221"/>
      <c r="IZ226" s="221"/>
      <c r="JA226" s="221"/>
      <c r="JB226" s="221"/>
      <c r="JC226" s="221"/>
      <c r="JD226" s="221"/>
      <c r="JE226" s="221"/>
      <c r="JF226" s="221"/>
      <c r="JG226" s="221"/>
      <c r="JH226" s="221"/>
      <c r="JI226" s="221"/>
      <c r="JJ226" s="221"/>
      <c r="JK226" s="221"/>
      <c r="JL226" s="221"/>
      <c r="JM226" s="221"/>
      <c r="JN226" s="221"/>
      <c r="JO226" s="221"/>
      <c r="JP226" s="221"/>
      <c r="JQ226" s="221"/>
    </row>
    <row r="227" spans="1:277" ht="20" customHeight="1" outlineLevel="1">
      <c r="A227" s="456">
        <v>1905017</v>
      </c>
      <c r="B227" s="611">
        <v>42132</v>
      </c>
      <c r="C227" s="514" t="s">
        <v>67</v>
      </c>
      <c r="D227" s="514" t="s">
        <v>1819</v>
      </c>
      <c r="E227" s="539" t="s">
        <v>1793</v>
      </c>
      <c r="F227" s="531" t="s">
        <v>47</v>
      </c>
      <c r="G227" s="514" t="s">
        <v>47</v>
      </c>
      <c r="H227" s="514" t="s">
        <v>47</v>
      </c>
      <c r="I227" s="443">
        <v>191908</v>
      </c>
      <c r="J227" s="514" t="s">
        <v>1269</v>
      </c>
      <c r="K227" s="514" t="s">
        <v>50</v>
      </c>
      <c r="L227" s="448"/>
      <c r="M227" s="448"/>
      <c r="N227" s="514" t="s">
        <v>1794</v>
      </c>
      <c r="O227" s="514" t="s">
        <v>1167</v>
      </c>
      <c r="P227" s="516" t="s">
        <v>1820</v>
      </c>
      <c r="Q227" s="629"/>
      <c r="R227" s="589">
        <v>0</v>
      </c>
      <c r="S227" s="590">
        <v>0</v>
      </c>
      <c r="T227" s="604">
        <v>0</v>
      </c>
      <c r="U227" s="596">
        <v>0</v>
      </c>
      <c r="V227" s="590">
        <v>1</v>
      </c>
      <c r="W227" s="604">
        <v>0</v>
      </c>
      <c r="X227" s="596">
        <v>0</v>
      </c>
      <c r="Y227" s="590">
        <v>0</v>
      </c>
      <c r="Z227" s="604">
        <v>0</v>
      </c>
      <c r="AA227" s="596">
        <v>0</v>
      </c>
      <c r="AB227" s="590">
        <v>0</v>
      </c>
      <c r="AC227" s="604">
        <v>0</v>
      </c>
      <c r="AD227" s="596">
        <v>0</v>
      </c>
      <c r="AE227" s="594">
        <v>0</v>
      </c>
      <c r="AF227" s="594">
        <v>0</v>
      </c>
      <c r="AG227" s="590">
        <v>0</v>
      </c>
      <c r="AH227" s="604">
        <v>0</v>
      </c>
      <c r="AI227" s="610">
        <v>0</v>
      </c>
      <c r="AJ227" s="610">
        <v>0</v>
      </c>
      <c r="AK227" s="629"/>
      <c r="AL227" s="531" t="s">
        <v>1795</v>
      </c>
      <c r="AM227" s="448">
        <v>191158</v>
      </c>
      <c r="AN227" s="612">
        <v>64.8</v>
      </c>
      <c r="AO227" s="444" t="s">
        <v>1818</v>
      </c>
      <c r="AP227" s="37">
        <v>133.25</v>
      </c>
      <c r="AQ227" s="795">
        <f t="shared" si="13"/>
        <v>68.45</v>
      </c>
      <c r="AR227" s="835">
        <f t="shared" si="21"/>
        <v>0.51369606003752344</v>
      </c>
      <c r="AS227" s="821"/>
      <c r="AT227" s="256" t="s">
        <v>1254</v>
      </c>
      <c r="AU227" s="38">
        <v>1</v>
      </c>
      <c r="AV227" s="252" t="s">
        <v>1508</v>
      </c>
      <c r="AW227" s="259" t="s">
        <v>1296</v>
      </c>
      <c r="AX227" s="36">
        <v>0</v>
      </c>
      <c r="AY227" s="252" t="s">
        <v>1910</v>
      </c>
      <c r="AZ227" s="41">
        <v>23.7</v>
      </c>
      <c r="BA227" s="31" t="s">
        <v>47</v>
      </c>
      <c r="BB227" s="41">
        <v>0</v>
      </c>
      <c r="BC227" s="448"/>
      <c r="BD227" s="448"/>
      <c r="BE227" s="448"/>
      <c r="BF227" s="448"/>
      <c r="BG227" s="448"/>
      <c r="BH227" s="221"/>
      <c r="BI227" s="221"/>
      <c r="BJ227" s="221"/>
      <c r="BK227" s="221"/>
      <c r="BL227" s="221"/>
      <c r="BM227" s="221"/>
      <c r="BN227" s="221"/>
      <c r="BO227" s="221"/>
      <c r="BP227" s="221"/>
      <c r="BQ227" s="221"/>
      <c r="BR227" s="221"/>
      <c r="BS227" s="221"/>
      <c r="BT227" s="221"/>
      <c r="BU227" s="221"/>
      <c r="BV227" s="221"/>
      <c r="BW227" s="221"/>
      <c r="BX227" s="221"/>
      <c r="BY227" s="221"/>
      <c r="BZ227" s="221"/>
      <c r="CA227" s="221"/>
      <c r="CB227" s="221"/>
      <c r="CC227" s="221"/>
      <c r="CD227" s="221"/>
      <c r="CE227" s="221"/>
      <c r="CF227" s="221"/>
      <c r="CG227" s="221"/>
      <c r="CH227" s="221"/>
      <c r="CI227" s="221"/>
      <c r="CJ227" s="221"/>
      <c r="CK227" s="221"/>
      <c r="CL227" s="221"/>
      <c r="CM227" s="221"/>
      <c r="CN227" s="221"/>
      <c r="CO227" s="221"/>
      <c r="CP227" s="221"/>
      <c r="CQ227" s="221"/>
      <c r="CR227" s="221"/>
      <c r="CS227" s="221"/>
      <c r="CT227" s="221"/>
      <c r="CU227" s="221"/>
      <c r="CV227" s="221"/>
      <c r="CW227" s="221"/>
      <c r="CX227" s="221"/>
      <c r="CY227" s="221"/>
      <c r="CZ227" s="221"/>
      <c r="DA227" s="221"/>
      <c r="DB227" s="221"/>
      <c r="DC227" s="221"/>
      <c r="DD227" s="221"/>
      <c r="DE227" s="221"/>
      <c r="DF227" s="221"/>
      <c r="DG227" s="221"/>
      <c r="DH227" s="221"/>
      <c r="DI227" s="221"/>
      <c r="DJ227" s="221"/>
      <c r="DK227" s="221"/>
      <c r="DL227" s="221"/>
      <c r="DM227" s="221"/>
      <c r="DN227" s="221"/>
      <c r="DO227" s="221"/>
      <c r="DP227" s="221"/>
      <c r="DQ227" s="221"/>
      <c r="DR227" s="221"/>
      <c r="DS227" s="221"/>
      <c r="DT227" s="221"/>
      <c r="DU227" s="221"/>
      <c r="DV227" s="221"/>
      <c r="DW227" s="221"/>
      <c r="DX227" s="221"/>
      <c r="DY227" s="221"/>
      <c r="DZ227" s="221"/>
      <c r="EA227" s="221"/>
      <c r="EB227" s="221"/>
      <c r="EC227" s="221"/>
      <c r="ED227" s="221"/>
      <c r="EE227" s="221"/>
      <c r="EF227" s="221"/>
      <c r="EG227" s="221"/>
      <c r="EH227" s="221"/>
      <c r="EI227" s="221"/>
      <c r="EJ227" s="221"/>
      <c r="EK227" s="221"/>
      <c r="EL227" s="221"/>
      <c r="EM227" s="221"/>
      <c r="EN227" s="221"/>
      <c r="EO227" s="221"/>
      <c r="EP227" s="221"/>
      <c r="EQ227" s="221"/>
      <c r="ER227" s="221"/>
      <c r="ES227" s="221"/>
      <c r="ET227" s="221"/>
      <c r="EU227" s="221"/>
      <c r="EV227" s="221"/>
      <c r="EW227" s="221"/>
      <c r="EX227" s="221"/>
      <c r="EY227" s="221"/>
      <c r="EZ227" s="221"/>
      <c r="FA227" s="221"/>
      <c r="FB227" s="221"/>
      <c r="FC227" s="221"/>
      <c r="FD227" s="221"/>
      <c r="FE227" s="221"/>
      <c r="FF227" s="221"/>
      <c r="FG227" s="221"/>
      <c r="FH227" s="221"/>
      <c r="FI227" s="221"/>
      <c r="FJ227" s="221"/>
      <c r="FK227" s="221"/>
      <c r="FL227" s="221"/>
      <c r="FM227" s="221"/>
      <c r="FN227" s="221"/>
      <c r="FO227" s="221"/>
      <c r="FP227" s="221"/>
      <c r="FQ227" s="221"/>
      <c r="FR227" s="221"/>
      <c r="FS227" s="221"/>
      <c r="FT227" s="221"/>
      <c r="FU227" s="221"/>
      <c r="FV227" s="221"/>
      <c r="FW227" s="221"/>
      <c r="FX227" s="221"/>
      <c r="FY227" s="221"/>
      <c r="FZ227" s="221"/>
      <c r="GA227" s="221"/>
      <c r="GB227" s="221"/>
      <c r="GC227" s="221"/>
      <c r="GD227" s="221"/>
      <c r="GE227" s="221"/>
      <c r="GF227" s="221"/>
      <c r="GG227" s="221"/>
      <c r="GH227" s="221"/>
      <c r="GI227" s="221"/>
      <c r="GJ227" s="221"/>
      <c r="GK227" s="221"/>
      <c r="GL227" s="221"/>
      <c r="GM227" s="221"/>
      <c r="GN227" s="221"/>
      <c r="GO227" s="221"/>
      <c r="GP227" s="221"/>
      <c r="GQ227" s="221"/>
      <c r="GR227" s="221"/>
      <c r="GS227" s="221"/>
      <c r="GT227" s="221"/>
      <c r="GU227" s="221"/>
      <c r="GV227" s="221"/>
      <c r="GW227" s="221"/>
      <c r="GX227" s="221"/>
      <c r="GY227" s="221"/>
      <c r="GZ227" s="221"/>
      <c r="HA227" s="221"/>
      <c r="HB227" s="221"/>
      <c r="HC227" s="221"/>
      <c r="HD227" s="221"/>
      <c r="HE227" s="221"/>
      <c r="HF227" s="221"/>
      <c r="HG227" s="221"/>
      <c r="HH227" s="221"/>
      <c r="HI227" s="221"/>
      <c r="HJ227" s="221"/>
      <c r="HK227" s="221"/>
      <c r="HL227" s="221"/>
      <c r="HM227" s="221"/>
      <c r="HN227" s="221"/>
      <c r="HO227" s="221"/>
      <c r="HP227" s="221"/>
      <c r="HQ227" s="221"/>
      <c r="HR227" s="221"/>
      <c r="HS227" s="221"/>
      <c r="HT227" s="221"/>
      <c r="HU227" s="221"/>
      <c r="HV227" s="221"/>
      <c r="HW227" s="221"/>
      <c r="HX227" s="221"/>
      <c r="HY227" s="221"/>
      <c r="HZ227" s="221"/>
      <c r="IA227" s="221"/>
      <c r="IB227" s="221"/>
      <c r="IC227" s="221"/>
      <c r="ID227" s="221"/>
      <c r="IE227" s="221"/>
      <c r="IF227" s="221"/>
      <c r="IG227" s="221"/>
      <c r="IH227" s="221"/>
      <c r="II227" s="221"/>
      <c r="IJ227" s="221"/>
      <c r="IK227" s="221"/>
      <c r="IL227" s="221"/>
      <c r="IM227" s="221"/>
      <c r="IN227" s="221"/>
      <c r="IO227" s="221"/>
      <c r="IP227" s="221"/>
      <c r="IQ227" s="221"/>
      <c r="IR227" s="221"/>
      <c r="IS227" s="221"/>
      <c r="IT227" s="221"/>
      <c r="IU227" s="221"/>
      <c r="IV227" s="221"/>
      <c r="IW227" s="221"/>
      <c r="IX227" s="221"/>
      <c r="IY227" s="221"/>
      <c r="IZ227" s="221"/>
      <c r="JA227" s="221"/>
      <c r="JB227" s="221"/>
      <c r="JC227" s="221"/>
      <c r="JD227" s="221"/>
      <c r="JE227" s="221"/>
      <c r="JF227" s="221"/>
      <c r="JG227" s="221"/>
      <c r="JH227" s="221"/>
      <c r="JI227" s="221"/>
      <c r="JJ227" s="221"/>
      <c r="JK227" s="221"/>
      <c r="JL227" s="221"/>
      <c r="JM227" s="221"/>
      <c r="JN227" s="221"/>
      <c r="JO227" s="221"/>
      <c r="JP227" s="221"/>
      <c r="JQ227" s="221"/>
    </row>
    <row r="228" spans="1:277" ht="20" customHeight="1" outlineLevel="1">
      <c r="A228" s="456">
        <v>1905018</v>
      </c>
      <c r="B228" s="611">
        <v>42132</v>
      </c>
      <c r="C228" s="514" t="s">
        <v>1748</v>
      </c>
      <c r="D228" s="514" t="s">
        <v>1903</v>
      </c>
      <c r="E228" s="539" t="s">
        <v>154</v>
      </c>
      <c r="F228" s="531" t="s">
        <v>47</v>
      </c>
      <c r="G228" s="514" t="s">
        <v>47</v>
      </c>
      <c r="H228" s="514" t="s">
        <v>47</v>
      </c>
      <c r="I228" s="443" t="s">
        <v>47</v>
      </c>
      <c r="J228" s="514" t="s">
        <v>62</v>
      </c>
      <c r="K228" s="514" t="s">
        <v>118</v>
      </c>
      <c r="L228" s="514" t="s">
        <v>123</v>
      </c>
      <c r="M228" s="514" t="s">
        <v>66</v>
      </c>
      <c r="N228" s="514" t="s">
        <v>1904</v>
      </c>
      <c r="O228" s="514" t="s">
        <v>1905</v>
      </c>
      <c r="P228" s="516"/>
      <c r="Q228" s="629"/>
      <c r="R228" s="589">
        <v>0</v>
      </c>
      <c r="S228" s="590">
        <v>0</v>
      </c>
      <c r="T228" s="604">
        <v>0</v>
      </c>
      <c r="U228" s="596">
        <v>0</v>
      </c>
      <c r="V228" s="590">
        <v>1</v>
      </c>
      <c r="W228" s="604">
        <v>0</v>
      </c>
      <c r="X228" s="596">
        <v>0</v>
      </c>
      <c r="Y228" s="590">
        <v>1</v>
      </c>
      <c r="Z228" s="604">
        <v>0</v>
      </c>
      <c r="AA228" s="596">
        <v>0</v>
      </c>
      <c r="AB228" s="590">
        <v>1</v>
      </c>
      <c r="AC228" s="604">
        <v>0</v>
      </c>
      <c r="AD228" s="596">
        <v>0</v>
      </c>
      <c r="AE228" s="594">
        <v>0</v>
      </c>
      <c r="AF228" s="594">
        <v>0</v>
      </c>
      <c r="AG228" s="590">
        <v>1</v>
      </c>
      <c r="AH228" s="604">
        <v>0</v>
      </c>
      <c r="AI228" s="610">
        <v>0</v>
      </c>
      <c r="AJ228" s="610">
        <v>0</v>
      </c>
      <c r="AK228" s="629"/>
      <c r="AL228" s="531" t="s">
        <v>1680</v>
      </c>
      <c r="AM228" s="514" t="s">
        <v>157</v>
      </c>
      <c r="AN228" s="612">
        <f>PRODUCTS!C3+PRODUCTS!E3+PRODUCTS!F3</f>
        <v>197.23999999999998</v>
      </c>
      <c r="AO228" s="440" t="s">
        <v>123</v>
      </c>
      <c r="AP228" s="37">
        <v>0</v>
      </c>
      <c r="AQ228" s="795">
        <f t="shared" si="13"/>
        <v>-197.23999999999998</v>
      </c>
      <c r="AR228" s="835" t="e">
        <f t="shared" si="21"/>
        <v>#DIV/0!</v>
      </c>
      <c r="AS228" s="821" t="s">
        <v>47</v>
      </c>
      <c r="AT228" s="256" t="s">
        <v>1254</v>
      </c>
      <c r="AU228" s="38">
        <v>1</v>
      </c>
      <c r="AV228" s="252" t="s">
        <v>1906</v>
      </c>
      <c r="AW228" s="259" t="s">
        <v>1704</v>
      </c>
      <c r="AX228" s="36">
        <v>0</v>
      </c>
      <c r="AY228" s="252" t="s">
        <v>118</v>
      </c>
      <c r="AZ228" s="41">
        <v>0</v>
      </c>
      <c r="BA228" s="256" t="s">
        <v>47</v>
      </c>
      <c r="BB228" s="41">
        <v>0</v>
      </c>
      <c r="BC228" s="448"/>
      <c r="BD228" s="448"/>
      <c r="BE228" s="448"/>
      <c r="BF228" s="448"/>
      <c r="BG228" s="448"/>
      <c r="BH228" s="221"/>
      <c r="BI228" s="221"/>
      <c r="BJ228" s="221"/>
      <c r="BK228" s="221"/>
      <c r="BL228" s="221"/>
      <c r="BM228" s="221"/>
      <c r="BN228" s="221"/>
      <c r="BO228" s="221"/>
      <c r="BP228" s="221"/>
      <c r="BQ228" s="221"/>
      <c r="BR228" s="221"/>
      <c r="BS228" s="221"/>
      <c r="BT228" s="221"/>
      <c r="BU228" s="221"/>
      <c r="BV228" s="221"/>
      <c r="BW228" s="221"/>
      <c r="BX228" s="221"/>
      <c r="BY228" s="221"/>
      <c r="BZ228" s="221"/>
      <c r="CA228" s="221"/>
      <c r="CB228" s="221"/>
      <c r="CC228" s="221"/>
      <c r="CD228" s="221"/>
      <c r="CE228" s="221"/>
      <c r="CF228" s="221"/>
      <c r="CG228" s="221"/>
      <c r="CH228" s="221"/>
      <c r="CI228" s="221"/>
      <c r="CJ228" s="221"/>
      <c r="CK228" s="221"/>
      <c r="CL228" s="221"/>
      <c r="CM228" s="221"/>
      <c r="CN228" s="221"/>
      <c r="CO228" s="221"/>
      <c r="CP228" s="221"/>
      <c r="CQ228" s="221"/>
      <c r="CR228" s="221"/>
      <c r="CS228" s="221"/>
      <c r="CT228" s="221"/>
      <c r="CU228" s="221"/>
      <c r="CV228" s="221"/>
      <c r="CW228" s="221"/>
      <c r="CX228" s="221"/>
      <c r="CY228" s="221"/>
      <c r="CZ228" s="221"/>
      <c r="DA228" s="221"/>
      <c r="DB228" s="221"/>
      <c r="DC228" s="221"/>
      <c r="DD228" s="221"/>
      <c r="DE228" s="221"/>
      <c r="DF228" s="221"/>
      <c r="DG228" s="221"/>
      <c r="DH228" s="221"/>
      <c r="DI228" s="221"/>
      <c r="DJ228" s="221"/>
      <c r="DK228" s="221"/>
      <c r="DL228" s="221"/>
      <c r="DM228" s="221"/>
      <c r="DN228" s="221"/>
      <c r="DO228" s="221"/>
      <c r="DP228" s="221"/>
      <c r="DQ228" s="221"/>
      <c r="DR228" s="221"/>
      <c r="DS228" s="221"/>
      <c r="DT228" s="221"/>
      <c r="DU228" s="221"/>
      <c r="DV228" s="221"/>
      <c r="DW228" s="221"/>
      <c r="DX228" s="221"/>
      <c r="DY228" s="221"/>
      <c r="DZ228" s="221"/>
      <c r="EA228" s="221"/>
      <c r="EB228" s="221"/>
      <c r="EC228" s="221"/>
      <c r="ED228" s="221"/>
      <c r="EE228" s="221"/>
      <c r="EF228" s="221"/>
      <c r="EG228" s="221"/>
      <c r="EH228" s="221"/>
      <c r="EI228" s="221"/>
      <c r="EJ228" s="221"/>
      <c r="EK228" s="221"/>
      <c r="EL228" s="221"/>
      <c r="EM228" s="221"/>
      <c r="EN228" s="221"/>
      <c r="EO228" s="221"/>
      <c r="EP228" s="221"/>
      <c r="EQ228" s="221"/>
      <c r="ER228" s="221"/>
      <c r="ES228" s="221"/>
      <c r="ET228" s="221"/>
      <c r="EU228" s="221"/>
      <c r="EV228" s="221"/>
      <c r="EW228" s="221"/>
      <c r="EX228" s="221"/>
      <c r="EY228" s="221"/>
      <c r="EZ228" s="221"/>
      <c r="FA228" s="221"/>
      <c r="FB228" s="221"/>
      <c r="FC228" s="221"/>
      <c r="FD228" s="221"/>
      <c r="FE228" s="221"/>
      <c r="FF228" s="221"/>
      <c r="FG228" s="221"/>
      <c r="FH228" s="221"/>
      <c r="FI228" s="221"/>
      <c r="FJ228" s="221"/>
      <c r="FK228" s="221"/>
      <c r="FL228" s="221"/>
      <c r="FM228" s="221"/>
      <c r="FN228" s="221"/>
      <c r="FO228" s="221"/>
      <c r="FP228" s="221"/>
      <c r="FQ228" s="221"/>
      <c r="FR228" s="221"/>
      <c r="FS228" s="221"/>
      <c r="FT228" s="221"/>
      <c r="FU228" s="221"/>
      <c r="FV228" s="221"/>
      <c r="FW228" s="221"/>
      <c r="FX228" s="221"/>
      <c r="FY228" s="221"/>
      <c r="FZ228" s="221"/>
      <c r="GA228" s="221"/>
      <c r="GB228" s="221"/>
      <c r="GC228" s="221"/>
      <c r="GD228" s="221"/>
      <c r="GE228" s="221"/>
      <c r="GF228" s="221"/>
      <c r="GG228" s="221"/>
      <c r="GH228" s="221"/>
      <c r="GI228" s="221"/>
      <c r="GJ228" s="221"/>
      <c r="GK228" s="221"/>
      <c r="GL228" s="221"/>
      <c r="GM228" s="221"/>
      <c r="GN228" s="221"/>
      <c r="GO228" s="221"/>
      <c r="GP228" s="221"/>
      <c r="GQ228" s="221"/>
      <c r="GR228" s="221"/>
      <c r="GS228" s="221"/>
      <c r="GT228" s="221"/>
      <c r="GU228" s="221"/>
      <c r="GV228" s="221"/>
      <c r="GW228" s="221"/>
      <c r="GX228" s="221"/>
      <c r="GY228" s="221"/>
      <c r="GZ228" s="221"/>
      <c r="HA228" s="221"/>
      <c r="HB228" s="221"/>
      <c r="HC228" s="221"/>
      <c r="HD228" s="221"/>
      <c r="HE228" s="221"/>
      <c r="HF228" s="221"/>
      <c r="HG228" s="221"/>
      <c r="HH228" s="221"/>
      <c r="HI228" s="221"/>
      <c r="HJ228" s="221"/>
      <c r="HK228" s="221"/>
      <c r="HL228" s="221"/>
      <c r="HM228" s="221"/>
      <c r="HN228" s="221"/>
      <c r="HO228" s="221"/>
      <c r="HP228" s="221"/>
      <c r="HQ228" s="221"/>
      <c r="HR228" s="221"/>
      <c r="HS228" s="221"/>
      <c r="HT228" s="221"/>
      <c r="HU228" s="221"/>
      <c r="HV228" s="221"/>
      <c r="HW228" s="221"/>
      <c r="HX228" s="221"/>
      <c r="HY228" s="221"/>
      <c r="HZ228" s="221"/>
      <c r="IA228" s="221"/>
      <c r="IB228" s="221"/>
      <c r="IC228" s="221"/>
      <c r="ID228" s="221"/>
      <c r="IE228" s="221"/>
      <c r="IF228" s="221"/>
      <c r="IG228" s="221"/>
      <c r="IH228" s="221"/>
      <c r="II228" s="221"/>
      <c r="IJ228" s="221"/>
      <c r="IK228" s="221"/>
      <c r="IL228" s="221"/>
      <c r="IM228" s="221"/>
      <c r="IN228" s="221"/>
      <c r="IO228" s="221"/>
      <c r="IP228" s="221"/>
      <c r="IQ228" s="221"/>
      <c r="IR228" s="221"/>
      <c r="IS228" s="221"/>
      <c r="IT228" s="221"/>
      <c r="IU228" s="221"/>
      <c r="IV228" s="221"/>
      <c r="IW228" s="221"/>
      <c r="IX228" s="221"/>
      <c r="IY228" s="221"/>
      <c r="IZ228" s="221"/>
      <c r="JA228" s="221"/>
      <c r="JB228" s="221"/>
      <c r="JC228" s="221"/>
      <c r="JD228" s="221"/>
      <c r="JE228" s="221"/>
      <c r="JF228" s="221"/>
      <c r="JG228" s="221"/>
      <c r="JH228" s="221"/>
      <c r="JI228" s="221"/>
      <c r="JJ228" s="221"/>
      <c r="JK228" s="221"/>
      <c r="JL228" s="221"/>
      <c r="JM228" s="221"/>
      <c r="JN228" s="221"/>
      <c r="JO228" s="221"/>
      <c r="JP228" s="221"/>
      <c r="JQ228" s="221"/>
    </row>
    <row r="229" spans="1:277" ht="20" customHeight="1" outlineLevel="1">
      <c r="A229" s="456">
        <v>1905019</v>
      </c>
      <c r="B229" s="439">
        <v>42136</v>
      </c>
      <c r="C229" s="514" t="s">
        <v>1523</v>
      </c>
      <c r="D229" s="514" t="s">
        <v>1259</v>
      </c>
      <c r="E229" s="539" t="s">
        <v>60</v>
      </c>
      <c r="F229" s="531" t="s">
        <v>47</v>
      </c>
      <c r="G229" s="514" t="s">
        <v>1874</v>
      </c>
      <c r="H229" s="439">
        <v>53096</v>
      </c>
      <c r="I229" s="443">
        <v>191963</v>
      </c>
      <c r="J229" s="514" t="s">
        <v>62</v>
      </c>
      <c r="K229" s="514" t="s">
        <v>50</v>
      </c>
      <c r="L229" s="448">
        <v>103665311</v>
      </c>
      <c r="M229" s="439">
        <v>42139</v>
      </c>
      <c r="N229" s="514" t="s">
        <v>1875</v>
      </c>
      <c r="O229" s="514" t="s">
        <v>1885</v>
      </c>
      <c r="P229" s="516"/>
      <c r="Q229" s="629"/>
      <c r="R229" s="589">
        <v>0</v>
      </c>
      <c r="S229" s="590">
        <v>0</v>
      </c>
      <c r="T229" s="604">
        <v>0</v>
      </c>
      <c r="U229" s="596">
        <v>0</v>
      </c>
      <c r="V229" s="590">
        <v>0</v>
      </c>
      <c r="W229" s="604">
        <v>0</v>
      </c>
      <c r="X229" s="596">
        <v>0</v>
      </c>
      <c r="Y229" s="590">
        <v>0</v>
      </c>
      <c r="Z229" s="604">
        <v>0</v>
      </c>
      <c r="AA229" s="596">
        <v>0</v>
      </c>
      <c r="AB229" s="590">
        <v>0</v>
      </c>
      <c r="AC229" s="604">
        <v>0</v>
      </c>
      <c r="AD229" s="596">
        <v>0</v>
      </c>
      <c r="AE229" s="594">
        <v>1</v>
      </c>
      <c r="AF229" s="594">
        <v>0</v>
      </c>
      <c r="AG229" s="590">
        <v>1</v>
      </c>
      <c r="AH229" s="604">
        <v>0</v>
      </c>
      <c r="AI229" s="610">
        <v>0</v>
      </c>
      <c r="AJ229" s="610">
        <v>0</v>
      </c>
      <c r="AK229" s="629"/>
      <c r="AL229" s="531" t="s">
        <v>1725</v>
      </c>
      <c r="AM229" s="514">
        <v>191212</v>
      </c>
      <c r="AN229" s="612">
        <f>PRODUCTS!C3+PRODUCTS!C9</f>
        <v>79.740000000000009</v>
      </c>
      <c r="AO229" s="440" t="s">
        <v>1896</v>
      </c>
      <c r="AP229" s="37">
        <v>99.17</v>
      </c>
      <c r="AQ229" s="795">
        <f t="shared" si="13"/>
        <v>19.429999999999993</v>
      </c>
      <c r="AR229" s="835">
        <f t="shared" si="21"/>
        <v>0.1959261873550468</v>
      </c>
      <c r="AS229" s="821"/>
      <c r="AT229" s="256" t="s">
        <v>1254</v>
      </c>
      <c r="AU229" s="38">
        <v>2</v>
      </c>
      <c r="AV229" s="252" t="s">
        <v>1882</v>
      </c>
      <c r="AW229" s="259" t="s">
        <v>1296</v>
      </c>
      <c r="AX229" s="36">
        <v>0</v>
      </c>
      <c r="AY229" s="26" t="s">
        <v>1941</v>
      </c>
      <c r="AZ229" s="41">
        <v>7.68</v>
      </c>
      <c r="BA229" s="256" t="s">
        <v>1802</v>
      </c>
      <c r="BB229" s="41">
        <f>(AP229-8)*6%</f>
        <v>5.4702000000000002</v>
      </c>
      <c r="BC229" s="448"/>
      <c r="BD229" s="448"/>
      <c r="BE229" s="448"/>
      <c r="BF229" s="448"/>
      <c r="BG229" s="448"/>
      <c r="BH229" s="221"/>
      <c r="BI229" s="221"/>
      <c r="BJ229" s="221"/>
      <c r="BK229" s="221"/>
      <c r="BL229" s="221"/>
      <c r="BM229" s="221"/>
      <c r="BN229" s="221"/>
      <c r="BO229" s="221"/>
      <c r="BP229" s="221"/>
      <c r="BQ229" s="221"/>
      <c r="BR229" s="221"/>
      <c r="BS229" s="221"/>
      <c r="BT229" s="221"/>
      <c r="BU229" s="221"/>
      <c r="BV229" s="221"/>
      <c r="BW229" s="221"/>
      <c r="BX229" s="221"/>
      <c r="BY229" s="221"/>
      <c r="BZ229" s="221"/>
      <c r="CA229" s="221"/>
      <c r="CB229" s="221"/>
      <c r="CC229" s="221"/>
      <c r="CD229" s="221"/>
      <c r="CE229" s="221"/>
      <c r="CF229" s="221"/>
      <c r="CG229" s="221"/>
      <c r="CH229" s="221"/>
      <c r="CI229" s="221"/>
      <c r="CJ229" s="221"/>
      <c r="CK229" s="221"/>
      <c r="CL229" s="221"/>
      <c r="CM229" s="221"/>
      <c r="CN229" s="221"/>
      <c r="CO229" s="221"/>
      <c r="CP229" s="221"/>
      <c r="CQ229" s="221"/>
      <c r="CR229" s="221"/>
      <c r="CS229" s="221"/>
      <c r="CT229" s="221"/>
      <c r="CU229" s="221"/>
      <c r="CV229" s="221"/>
      <c r="CW229" s="221"/>
      <c r="CX229" s="221"/>
      <c r="CY229" s="221"/>
      <c r="CZ229" s="221"/>
      <c r="DA229" s="221"/>
      <c r="DB229" s="221"/>
      <c r="DC229" s="221"/>
      <c r="DD229" s="221"/>
      <c r="DE229" s="221"/>
      <c r="DF229" s="221"/>
      <c r="DG229" s="221"/>
      <c r="DH229" s="221"/>
      <c r="DI229" s="221"/>
      <c r="DJ229" s="221"/>
      <c r="DK229" s="221"/>
      <c r="DL229" s="221"/>
      <c r="DM229" s="221"/>
      <c r="DN229" s="221"/>
      <c r="DO229" s="221"/>
      <c r="DP229" s="221"/>
      <c r="DQ229" s="221"/>
      <c r="DR229" s="221"/>
      <c r="DS229" s="221"/>
      <c r="DT229" s="221"/>
      <c r="DU229" s="221"/>
      <c r="DV229" s="221"/>
      <c r="DW229" s="221"/>
      <c r="DX229" s="221"/>
      <c r="DY229" s="221"/>
      <c r="DZ229" s="221"/>
      <c r="EA229" s="221"/>
      <c r="EB229" s="221"/>
      <c r="EC229" s="221"/>
      <c r="ED229" s="221"/>
      <c r="EE229" s="221"/>
      <c r="EF229" s="221"/>
      <c r="EG229" s="221"/>
      <c r="EH229" s="221"/>
      <c r="EI229" s="221"/>
      <c r="EJ229" s="221"/>
      <c r="EK229" s="221"/>
      <c r="EL229" s="221"/>
      <c r="EM229" s="221"/>
      <c r="EN229" s="221"/>
      <c r="EO229" s="221"/>
      <c r="EP229" s="221"/>
      <c r="EQ229" s="221"/>
      <c r="ER229" s="221"/>
      <c r="ES229" s="221"/>
      <c r="ET229" s="221"/>
      <c r="EU229" s="221"/>
      <c r="EV229" s="221"/>
      <c r="EW229" s="221"/>
      <c r="EX229" s="221"/>
      <c r="EY229" s="221"/>
      <c r="EZ229" s="221"/>
      <c r="FA229" s="221"/>
      <c r="FB229" s="221"/>
      <c r="FC229" s="221"/>
      <c r="FD229" s="221"/>
      <c r="FE229" s="221"/>
      <c r="FF229" s="221"/>
      <c r="FG229" s="221"/>
      <c r="FH229" s="221"/>
      <c r="FI229" s="221"/>
      <c r="FJ229" s="221"/>
      <c r="FK229" s="221"/>
      <c r="FL229" s="221"/>
      <c r="FM229" s="221"/>
      <c r="FN229" s="221"/>
      <c r="FO229" s="221"/>
      <c r="FP229" s="221"/>
      <c r="FQ229" s="221"/>
      <c r="FR229" s="221"/>
      <c r="FS229" s="221"/>
      <c r="FT229" s="221"/>
      <c r="FU229" s="221"/>
      <c r="FV229" s="221"/>
      <c r="FW229" s="221"/>
      <c r="FX229" s="221"/>
      <c r="FY229" s="221"/>
      <c r="FZ229" s="221"/>
      <c r="GA229" s="221"/>
      <c r="GB229" s="221"/>
      <c r="GC229" s="221"/>
      <c r="GD229" s="221"/>
      <c r="GE229" s="221"/>
      <c r="GF229" s="221"/>
      <c r="GG229" s="221"/>
      <c r="GH229" s="221"/>
      <c r="GI229" s="221"/>
      <c r="GJ229" s="221"/>
      <c r="GK229" s="221"/>
      <c r="GL229" s="221"/>
      <c r="GM229" s="221"/>
      <c r="GN229" s="221"/>
      <c r="GO229" s="221"/>
      <c r="GP229" s="221"/>
      <c r="GQ229" s="221"/>
      <c r="GR229" s="221"/>
      <c r="GS229" s="221"/>
      <c r="GT229" s="221"/>
      <c r="GU229" s="221"/>
      <c r="GV229" s="221"/>
      <c r="GW229" s="221"/>
      <c r="GX229" s="221"/>
      <c r="GY229" s="221"/>
      <c r="GZ229" s="221"/>
      <c r="HA229" s="221"/>
      <c r="HB229" s="221"/>
      <c r="HC229" s="221"/>
      <c r="HD229" s="221"/>
      <c r="HE229" s="221"/>
      <c r="HF229" s="221"/>
      <c r="HG229" s="221"/>
      <c r="HH229" s="221"/>
      <c r="HI229" s="221"/>
      <c r="HJ229" s="221"/>
      <c r="HK229" s="221"/>
      <c r="HL229" s="221"/>
      <c r="HM229" s="221"/>
      <c r="HN229" s="221"/>
      <c r="HO229" s="221"/>
      <c r="HP229" s="221"/>
      <c r="HQ229" s="221"/>
      <c r="HR229" s="221"/>
      <c r="HS229" s="221"/>
      <c r="HT229" s="221"/>
      <c r="HU229" s="221"/>
      <c r="HV229" s="221"/>
      <c r="HW229" s="221"/>
      <c r="HX229" s="221"/>
      <c r="HY229" s="221"/>
      <c r="HZ229" s="221"/>
      <c r="IA229" s="221"/>
      <c r="IB229" s="221"/>
      <c r="IC229" s="221"/>
      <c r="ID229" s="221"/>
      <c r="IE229" s="221"/>
      <c r="IF229" s="221"/>
      <c r="IG229" s="221"/>
      <c r="IH229" s="221"/>
      <c r="II229" s="221"/>
      <c r="IJ229" s="221"/>
      <c r="IK229" s="221"/>
      <c r="IL229" s="221"/>
      <c r="IM229" s="221"/>
      <c r="IN229" s="221"/>
      <c r="IO229" s="221"/>
      <c r="IP229" s="221"/>
      <c r="IQ229" s="221"/>
      <c r="IR229" s="221"/>
      <c r="IS229" s="221"/>
      <c r="IT229" s="221"/>
      <c r="IU229" s="221"/>
      <c r="IV229" s="221"/>
      <c r="IW229" s="221"/>
      <c r="IX229" s="221"/>
      <c r="IY229" s="221"/>
      <c r="IZ229" s="221"/>
      <c r="JA229" s="221"/>
      <c r="JB229" s="221"/>
      <c r="JC229" s="221"/>
      <c r="JD229" s="221"/>
      <c r="JE229" s="221"/>
      <c r="JF229" s="221"/>
      <c r="JG229" s="221"/>
      <c r="JH229" s="221"/>
      <c r="JI229" s="221"/>
      <c r="JJ229" s="221"/>
      <c r="JK229" s="221"/>
      <c r="JL229" s="221"/>
      <c r="JM229" s="221"/>
      <c r="JN229" s="221"/>
      <c r="JO229" s="221"/>
      <c r="JP229" s="221"/>
      <c r="JQ229" s="221"/>
    </row>
    <row r="230" spans="1:277" ht="20" customHeight="1" outlineLevel="1">
      <c r="A230" s="456">
        <v>1905020</v>
      </c>
      <c r="B230" s="439">
        <v>42136</v>
      </c>
      <c r="C230" s="514" t="s">
        <v>1523</v>
      </c>
      <c r="D230" s="514" t="s">
        <v>1259</v>
      </c>
      <c r="E230" s="539" t="s">
        <v>60</v>
      </c>
      <c r="F230" s="531" t="s">
        <v>47</v>
      </c>
      <c r="G230" s="514" t="s">
        <v>1877</v>
      </c>
      <c r="H230" s="611">
        <v>42138</v>
      </c>
      <c r="I230" s="443">
        <v>191958</v>
      </c>
      <c r="J230" s="514" t="s">
        <v>62</v>
      </c>
      <c r="K230" s="514" t="s">
        <v>50</v>
      </c>
      <c r="L230" s="448">
        <v>103686501</v>
      </c>
      <c r="M230" s="439">
        <v>42139</v>
      </c>
      <c r="N230" s="514" t="s">
        <v>1880</v>
      </c>
      <c r="O230" s="514" t="s">
        <v>1886</v>
      </c>
      <c r="P230" s="516"/>
      <c r="Q230" s="629"/>
      <c r="R230" s="589">
        <v>0</v>
      </c>
      <c r="S230" s="590">
        <v>0</v>
      </c>
      <c r="T230" s="604">
        <v>0</v>
      </c>
      <c r="U230" s="596">
        <v>0</v>
      </c>
      <c r="V230" s="590">
        <v>0</v>
      </c>
      <c r="W230" s="604">
        <v>0</v>
      </c>
      <c r="X230" s="596">
        <v>0</v>
      </c>
      <c r="Y230" s="590">
        <v>0</v>
      </c>
      <c r="Z230" s="604">
        <v>0</v>
      </c>
      <c r="AA230" s="596">
        <v>0</v>
      </c>
      <c r="AB230" s="590">
        <v>0</v>
      </c>
      <c r="AC230" s="604">
        <v>0</v>
      </c>
      <c r="AD230" s="596">
        <v>0</v>
      </c>
      <c r="AE230" s="594">
        <v>1</v>
      </c>
      <c r="AF230" s="594">
        <v>0</v>
      </c>
      <c r="AG230" s="590">
        <v>1</v>
      </c>
      <c r="AH230" s="604">
        <v>0</v>
      </c>
      <c r="AI230" s="610">
        <v>0</v>
      </c>
      <c r="AJ230" s="610">
        <v>0</v>
      </c>
      <c r="AK230" s="629"/>
      <c r="AL230" s="531" t="s">
        <v>1725</v>
      </c>
      <c r="AM230" s="514">
        <v>191214</v>
      </c>
      <c r="AN230" s="612">
        <f>PRODUCTS!C3+PRODUCTS!C10</f>
        <v>80.240000000000009</v>
      </c>
      <c r="AO230" s="440" t="s">
        <v>1897</v>
      </c>
      <c r="AP230" s="37">
        <v>99.17</v>
      </c>
      <c r="AQ230" s="795">
        <f t="shared" si="13"/>
        <v>18.929999999999993</v>
      </c>
      <c r="AR230" s="835">
        <f t="shared" si="21"/>
        <v>0.19088434002218405</v>
      </c>
      <c r="AS230" s="821"/>
      <c r="AT230" s="256" t="s">
        <v>1254</v>
      </c>
      <c r="AU230" s="38">
        <v>3</v>
      </c>
      <c r="AV230" s="252" t="s">
        <v>1883</v>
      </c>
      <c r="AW230" s="259" t="s">
        <v>1296</v>
      </c>
      <c r="AX230" s="36">
        <v>0</v>
      </c>
      <c r="AY230" s="26" t="s">
        <v>1941</v>
      </c>
      <c r="AZ230" s="41">
        <v>7.68</v>
      </c>
      <c r="BA230" s="256" t="s">
        <v>1802</v>
      </c>
      <c r="BB230" s="41">
        <f t="shared" ref="BB230:BB231" si="22">(AP230-8)*6%</f>
        <v>5.4702000000000002</v>
      </c>
      <c r="BC230" s="448"/>
      <c r="BD230" s="448"/>
      <c r="BE230" s="448"/>
      <c r="BF230" s="448"/>
      <c r="BG230" s="448"/>
      <c r="BH230" s="221"/>
      <c r="BI230" s="221"/>
      <c r="BJ230" s="221"/>
      <c r="BK230" s="221"/>
      <c r="BL230" s="221"/>
      <c r="BM230" s="221"/>
      <c r="BN230" s="221"/>
      <c r="BO230" s="221"/>
      <c r="BP230" s="221"/>
      <c r="BQ230" s="221"/>
      <c r="BR230" s="221"/>
      <c r="BS230" s="221"/>
      <c r="BT230" s="221"/>
      <c r="BU230" s="221"/>
      <c r="BV230" s="221"/>
      <c r="BW230" s="221"/>
      <c r="BX230" s="221"/>
      <c r="BY230" s="221"/>
      <c r="BZ230" s="221"/>
      <c r="CA230" s="221"/>
      <c r="CB230" s="221"/>
      <c r="CC230" s="221"/>
      <c r="CD230" s="221"/>
      <c r="CE230" s="221"/>
      <c r="CF230" s="221"/>
      <c r="CG230" s="221"/>
      <c r="CH230" s="221"/>
      <c r="CI230" s="221"/>
      <c r="CJ230" s="221"/>
      <c r="CK230" s="221"/>
      <c r="CL230" s="221"/>
      <c r="CM230" s="221"/>
      <c r="CN230" s="221"/>
      <c r="CO230" s="221"/>
      <c r="CP230" s="221"/>
      <c r="CQ230" s="221"/>
      <c r="CR230" s="221"/>
      <c r="CS230" s="221"/>
      <c r="CT230" s="221"/>
      <c r="CU230" s="221"/>
      <c r="CV230" s="221"/>
      <c r="CW230" s="221"/>
      <c r="CX230" s="221"/>
      <c r="CY230" s="221"/>
      <c r="CZ230" s="221"/>
      <c r="DA230" s="221"/>
      <c r="DB230" s="221"/>
      <c r="DC230" s="221"/>
      <c r="DD230" s="221"/>
      <c r="DE230" s="221"/>
      <c r="DF230" s="221"/>
      <c r="DG230" s="221"/>
      <c r="DH230" s="221"/>
      <c r="DI230" s="221"/>
      <c r="DJ230" s="221"/>
      <c r="DK230" s="221"/>
      <c r="DL230" s="221"/>
      <c r="DM230" s="221"/>
      <c r="DN230" s="221"/>
      <c r="DO230" s="221"/>
      <c r="DP230" s="221"/>
      <c r="DQ230" s="221"/>
      <c r="DR230" s="221"/>
      <c r="DS230" s="221"/>
      <c r="DT230" s="221"/>
      <c r="DU230" s="221"/>
      <c r="DV230" s="221"/>
      <c r="DW230" s="221"/>
      <c r="DX230" s="221"/>
      <c r="DY230" s="221"/>
      <c r="DZ230" s="221"/>
      <c r="EA230" s="221"/>
      <c r="EB230" s="221"/>
      <c r="EC230" s="221"/>
      <c r="ED230" s="221"/>
      <c r="EE230" s="221"/>
      <c r="EF230" s="221"/>
      <c r="EG230" s="221"/>
      <c r="EH230" s="221"/>
      <c r="EI230" s="221"/>
      <c r="EJ230" s="221"/>
      <c r="EK230" s="221"/>
      <c r="EL230" s="221"/>
      <c r="EM230" s="221"/>
      <c r="EN230" s="221"/>
      <c r="EO230" s="221"/>
      <c r="EP230" s="221"/>
      <c r="EQ230" s="221"/>
      <c r="ER230" s="221"/>
      <c r="ES230" s="221"/>
      <c r="ET230" s="221"/>
      <c r="EU230" s="221"/>
      <c r="EV230" s="221"/>
      <c r="EW230" s="221"/>
      <c r="EX230" s="221"/>
      <c r="EY230" s="221"/>
      <c r="EZ230" s="221"/>
      <c r="FA230" s="221"/>
      <c r="FB230" s="221"/>
      <c r="FC230" s="221"/>
      <c r="FD230" s="221"/>
      <c r="FE230" s="221"/>
      <c r="FF230" s="221"/>
      <c r="FG230" s="221"/>
      <c r="FH230" s="221"/>
      <c r="FI230" s="221"/>
      <c r="FJ230" s="221"/>
      <c r="FK230" s="221"/>
      <c r="FL230" s="221"/>
      <c r="FM230" s="221"/>
      <c r="FN230" s="221"/>
      <c r="FO230" s="221"/>
      <c r="FP230" s="221"/>
      <c r="FQ230" s="221"/>
      <c r="FR230" s="221"/>
      <c r="FS230" s="221"/>
      <c r="FT230" s="221"/>
      <c r="FU230" s="221"/>
      <c r="FV230" s="221"/>
      <c r="FW230" s="221"/>
      <c r="FX230" s="221"/>
      <c r="FY230" s="221"/>
      <c r="FZ230" s="221"/>
      <c r="GA230" s="221"/>
      <c r="GB230" s="221"/>
      <c r="GC230" s="221"/>
      <c r="GD230" s="221"/>
      <c r="GE230" s="221"/>
      <c r="GF230" s="221"/>
      <c r="GG230" s="221"/>
      <c r="GH230" s="221"/>
      <c r="GI230" s="221"/>
      <c r="GJ230" s="221"/>
      <c r="GK230" s="221"/>
      <c r="GL230" s="221"/>
      <c r="GM230" s="221"/>
      <c r="GN230" s="221"/>
      <c r="GO230" s="221"/>
      <c r="GP230" s="221"/>
      <c r="GQ230" s="221"/>
      <c r="GR230" s="221"/>
      <c r="GS230" s="221"/>
      <c r="GT230" s="221"/>
      <c r="GU230" s="221"/>
      <c r="GV230" s="221"/>
      <c r="GW230" s="221"/>
      <c r="GX230" s="221"/>
      <c r="GY230" s="221"/>
      <c r="GZ230" s="221"/>
      <c r="HA230" s="221"/>
      <c r="HB230" s="221"/>
      <c r="HC230" s="221"/>
      <c r="HD230" s="221"/>
      <c r="HE230" s="221"/>
      <c r="HF230" s="221"/>
      <c r="HG230" s="221"/>
      <c r="HH230" s="221"/>
      <c r="HI230" s="221"/>
      <c r="HJ230" s="221"/>
      <c r="HK230" s="221"/>
      <c r="HL230" s="221"/>
      <c r="HM230" s="221"/>
      <c r="HN230" s="221"/>
      <c r="HO230" s="221"/>
      <c r="HP230" s="221"/>
      <c r="HQ230" s="221"/>
      <c r="HR230" s="221"/>
      <c r="HS230" s="221"/>
      <c r="HT230" s="221"/>
      <c r="HU230" s="221"/>
      <c r="HV230" s="221"/>
      <c r="HW230" s="221"/>
      <c r="HX230" s="221"/>
      <c r="HY230" s="221"/>
      <c r="HZ230" s="221"/>
      <c r="IA230" s="221"/>
      <c r="IB230" s="221"/>
      <c r="IC230" s="221"/>
      <c r="ID230" s="221"/>
      <c r="IE230" s="221"/>
      <c r="IF230" s="221"/>
      <c r="IG230" s="221"/>
      <c r="IH230" s="221"/>
      <c r="II230" s="221"/>
      <c r="IJ230" s="221"/>
      <c r="IK230" s="221"/>
      <c r="IL230" s="221"/>
      <c r="IM230" s="221"/>
      <c r="IN230" s="221"/>
      <c r="IO230" s="221"/>
      <c r="IP230" s="221"/>
      <c r="IQ230" s="221"/>
      <c r="IR230" s="221"/>
      <c r="IS230" s="221"/>
      <c r="IT230" s="221"/>
      <c r="IU230" s="221"/>
      <c r="IV230" s="221"/>
      <c r="IW230" s="221"/>
      <c r="IX230" s="221"/>
      <c r="IY230" s="221"/>
      <c r="IZ230" s="221"/>
      <c r="JA230" s="221"/>
      <c r="JB230" s="221"/>
      <c r="JC230" s="221"/>
      <c r="JD230" s="221"/>
      <c r="JE230" s="221"/>
      <c r="JF230" s="221"/>
      <c r="JG230" s="221"/>
      <c r="JH230" s="221"/>
      <c r="JI230" s="221"/>
      <c r="JJ230" s="221"/>
      <c r="JK230" s="221"/>
      <c r="JL230" s="221"/>
      <c r="JM230" s="221"/>
      <c r="JN230" s="221"/>
      <c r="JO230" s="221"/>
      <c r="JP230" s="221"/>
      <c r="JQ230" s="221"/>
    </row>
    <row r="231" spans="1:277" ht="20" customHeight="1" outlineLevel="1">
      <c r="A231" s="456">
        <v>1905021</v>
      </c>
      <c r="B231" s="439">
        <v>42136</v>
      </c>
      <c r="C231" s="514" t="s">
        <v>1523</v>
      </c>
      <c r="D231" s="514" t="s">
        <v>1259</v>
      </c>
      <c r="E231" s="539" t="s">
        <v>60</v>
      </c>
      <c r="F231" s="531" t="s">
        <v>47</v>
      </c>
      <c r="G231" s="514" t="s">
        <v>1878</v>
      </c>
      <c r="H231" s="439">
        <v>42138</v>
      </c>
      <c r="I231" s="443">
        <v>191961</v>
      </c>
      <c r="J231" s="514" t="s">
        <v>62</v>
      </c>
      <c r="K231" s="514" t="s">
        <v>50</v>
      </c>
      <c r="L231" s="448">
        <v>103688652</v>
      </c>
      <c r="M231" s="439">
        <v>42139</v>
      </c>
      <c r="N231" s="514" t="s">
        <v>1887</v>
      </c>
      <c r="O231" s="514" t="s">
        <v>1876</v>
      </c>
      <c r="P231" s="516"/>
      <c r="Q231" s="629"/>
      <c r="R231" s="589">
        <v>0</v>
      </c>
      <c r="S231" s="590">
        <v>0</v>
      </c>
      <c r="T231" s="604">
        <v>0</v>
      </c>
      <c r="U231" s="596">
        <v>0</v>
      </c>
      <c r="V231" s="590">
        <v>0</v>
      </c>
      <c r="W231" s="604">
        <v>0</v>
      </c>
      <c r="X231" s="596">
        <v>0</v>
      </c>
      <c r="Y231" s="590">
        <v>0</v>
      </c>
      <c r="Z231" s="604">
        <v>0</v>
      </c>
      <c r="AA231" s="596">
        <v>0</v>
      </c>
      <c r="AB231" s="590">
        <v>0</v>
      </c>
      <c r="AC231" s="604">
        <v>0</v>
      </c>
      <c r="AD231" s="596">
        <v>0</v>
      </c>
      <c r="AE231" s="594">
        <v>1</v>
      </c>
      <c r="AF231" s="594">
        <v>0</v>
      </c>
      <c r="AG231" s="590">
        <v>1</v>
      </c>
      <c r="AH231" s="604">
        <v>0</v>
      </c>
      <c r="AI231" s="610">
        <v>0</v>
      </c>
      <c r="AJ231" s="610">
        <v>0</v>
      </c>
      <c r="AK231" s="629"/>
      <c r="AL231" s="531" t="s">
        <v>1725</v>
      </c>
      <c r="AM231" s="514">
        <v>191213</v>
      </c>
      <c r="AN231" s="612">
        <f>PRODUCTS!C3+PRODUCTS!C10</f>
        <v>80.240000000000009</v>
      </c>
      <c r="AO231" s="440" t="s">
        <v>1898</v>
      </c>
      <c r="AP231" s="37">
        <v>99.17</v>
      </c>
      <c r="AQ231" s="795">
        <f t="shared" si="13"/>
        <v>18.929999999999993</v>
      </c>
      <c r="AR231" s="835">
        <f t="shared" si="21"/>
        <v>0.19088434002218405</v>
      </c>
      <c r="AS231" s="821"/>
      <c r="AT231" s="256" t="s">
        <v>1254</v>
      </c>
      <c r="AU231" s="38">
        <v>4</v>
      </c>
      <c r="AV231" s="252" t="s">
        <v>1884</v>
      </c>
      <c r="AW231" s="259" t="s">
        <v>1296</v>
      </c>
      <c r="AX231" s="36">
        <v>0</v>
      </c>
      <c r="AY231" s="26" t="s">
        <v>1941</v>
      </c>
      <c r="AZ231" s="41">
        <v>7.68</v>
      </c>
      <c r="BA231" s="256" t="s">
        <v>1802</v>
      </c>
      <c r="BB231" s="41">
        <f t="shared" si="22"/>
        <v>5.4702000000000002</v>
      </c>
      <c r="BC231" s="448"/>
      <c r="BD231" s="448"/>
      <c r="BE231" s="448"/>
      <c r="BF231" s="448"/>
      <c r="BG231" s="448"/>
      <c r="BH231" s="221"/>
      <c r="BI231" s="221"/>
      <c r="BJ231" s="221"/>
      <c r="BK231" s="221"/>
      <c r="BL231" s="221"/>
      <c r="BM231" s="221"/>
      <c r="BN231" s="221"/>
      <c r="BO231" s="221"/>
      <c r="BP231" s="221"/>
      <c r="BQ231" s="221"/>
      <c r="BR231" s="221"/>
      <c r="BS231" s="221"/>
      <c r="BT231" s="221"/>
      <c r="BU231" s="221"/>
      <c r="BV231" s="221"/>
      <c r="BW231" s="221"/>
      <c r="BX231" s="221"/>
      <c r="BY231" s="221"/>
      <c r="BZ231" s="221"/>
      <c r="CA231" s="221"/>
      <c r="CB231" s="221"/>
      <c r="CC231" s="221"/>
      <c r="CD231" s="221"/>
      <c r="CE231" s="221"/>
      <c r="CF231" s="221"/>
      <c r="CG231" s="221"/>
      <c r="CH231" s="221"/>
      <c r="CI231" s="221"/>
      <c r="CJ231" s="221"/>
      <c r="CK231" s="221"/>
      <c r="CL231" s="221"/>
      <c r="CM231" s="221"/>
      <c r="CN231" s="221"/>
      <c r="CO231" s="221"/>
      <c r="CP231" s="221"/>
      <c r="CQ231" s="221"/>
      <c r="CR231" s="221"/>
      <c r="CS231" s="221"/>
      <c r="CT231" s="221"/>
      <c r="CU231" s="221"/>
      <c r="CV231" s="221"/>
      <c r="CW231" s="221"/>
      <c r="CX231" s="221"/>
      <c r="CY231" s="221"/>
      <c r="CZ231" s="221"/>
      <c r="DA231" s="221"/>
      <c r="DB231" s="221"/>
      <c r="DC231" s="221"/>
      <c r="DD231" s="221"/>
      <c r="DE231" s="221"/>
      <c r="DF231" s="221"/>
      <c r="DG231" s="221"/>
      <c r="DH231" s="221"/>
      <c r="DI231" s="221"/>
      <c r="DJ231" s="221"/>
      <c r="DK231" s="221"/>
      <c r="DL231" s="221"/>
      <c r="DM231" s="221"/>
      <c r="DN231" s="221"/>
      <c r="DO231" s="221"/>
      <c r="DP231" s="221"/>
      <c r="DQ231" s="221"/>
      <c r="DR231" s="221"/>
      <c r="DS231" s="221"/>
      <c r="DT231" s="221"/>
      <c r="DU231" s="221"/>
      <c r="DV231" s="221"/>
      <c r="DW231" s="221"/>
      <c r="DX231" s="221"/>
      <c r="DY231" s="221"/>
      <c r="DZ231" s="221"/>
      <c r="EA231" s="221"/>
      <c r="EB231" s="221"/>
      <c r="EC231" s="221"/>
      <c r="ED231" s="221"/>
      <c r="EE231" s="221"/>
      <c r="EF231" s="221"/>
      <c r="EG231" s="221"/>
      <c r="EH231" s="221"/>
      <c r="EI231" s="221"/>
      <c r="EJ231" s="221"/>
      <c r="EK231" s="221"/>
      <c r="EL231" s="221"/>
      <c r="EM231" s="221"/>
      <c r="EN231" s="221"/>
      <c r="EO231" s="221"/>
      <c r="EP231" s="221"/>
      <c r="EQ231" s="221"/>
      <c r="ER231" s="221"/>
      <c r="ES231" s="221"/>
      <c r="ET231" s="221"/>
      <c r="EU231" s="221"/>
      <c r="EV231" s="221"/>
      <c r="EW231" s="221"/>
      <c r="EX231" s="221"/>
      <c r="EY231" s="221"/>
      <c r="EZ231" s="221"/>
      <c r="FA231" s="221"/>
      <c r="FB231" s="221"/>
      <c r="FC231" s="221"/>
      <c r="FD231" s="221"/>
      <c r="FE231" s="221"/>
      <c r="FF231" s="221"/>
      <c r="FG231" s="221"/>
      <c r="FH231" s="221"/>
      <c r="FI231" s="221"/>
      <c r="FJ231" s="221"/>
      <c r="FK231" s="221"/>
      <c r="FL231" s="221"/>
      <c r="FM231" s="221"/>
      <c r="FN231" s="221"/>
      <c r="FO231" s="221"/>
      <c r="FP231" s="221"/>
      <c r="FQ231" s="221"/>
      <c r="FR231" s="221"/>
      <c r="FS231" s="221"/>
      <c r="FT231" s="221"/>
      <c r="FU231" s="221"/>
      <c r="FV231" s="221"/>
      <c r="FW231" s="221"/>
      <c r="FX231" s="221"/>
      <c r="FY231" s="221"/>
      <c r="FZ231" s="221"/>
      <c r="GA231" s="221"/>
      <c r="GB231" s="221"/>
      <c r="GC231" s="221"/>
      <c r="GD231" s="221"/>
      <c r="GE231" s="221"/>
      <c r="GF231" s="221"/>
      <c r="GG231" s="221"/>
      <c r="GH231" s="221"/>
      <c r="GI231" s="221"/>
      <c r="GJ231" s="221"/>
      <c r="GK231" s="221"/>
      <c r="GL231" s="221"/>
      <c r="GM231" s="221"/>
      <c r="GN231" s="221"/>
      <c r="GO231" s="221"/>
      <c r="GP231" s="221"/>
      <c r="GQ231" s="221"/>
      <c r="GR231" s="221"/>
      <c r="GS231" s="221"/>
      <c r="GT231" s="221"/>
      <c r="GU231" s="221"/>
      <c r="GV231" s="221"/>
      <c r="GW231" s="221"/>
      <c r="GX231" s="221"/>
      <c r="GY231" s="221"/>
      <c r="GZ231" s="221"/>
      <c r="HA231" s="221"/>
      <c r="HB231" s="221"/>
      <c r="HC231" s="221"/>
      <c r="HD231" s="221"/>
      <c r="HE231" s="221"/>
      <c r="HF231" s="221"/>
      <c r="HG231" s="221"/>
      <c r="HH231" s="221"/>
      <c r="HI231" s="221"/>
      <c r="HJ231" s="221"/>
      <c r="HK231" s="221"/>
      <c r="HL231" s="221"/>
      <c r="HM231" s="221"/>
      <c r="HN231" s="221"/>
      <c r="HO231" s="221"/>
      <c r="HP231" s="221"/>
      <c r="HQ231" s="221"/>
      <c r="HR231" s="221"/>
      <c r="HS231" s="221"/>
      <c r="HT231" s="221"/>
      <c r="HU231" s="221"/>
      <c r="HV231" s="221"/>
      <c r="HW231" s="221"/>
      <c r="HX231" s="221"/>
      <c r="HY231" s="221"/>
      <c r="HZ231" s="221"/>
      <c r="IA231" s="221"/>
      <c r="IB231" s="221"/>
      <c r="IC231" s="221"/>
      <c r="ID231" s="221"/>
      <c r="IE231" s="221"/>
      <c r="IF231" s="221"/>
      <c r="IG231" s="221"/>
      <c r="IH231" s="221"/>
      <c r="II231" s="221"/>
      <c r="IJ231" s="221"/>
      <c r="IK231" s="221"/>
      <c r="IL231" s="221"/>
      <c r="IM231" s="221"/>
      <c r="IN231" s="221"/>
      <c r="IO231" s="221"/>
      <c r="IP231" s="221"/>
      <c r="IQ231" s="221"/>
      <c r="IR231" s="221"/>
      <c r="IS231" s="221"/>
      <c r="IT231" s="221"/>
      <c r="IU231" s="221"/>
      <c r="IV231" s="221"/>
      <c r="IW231" s="221"/>
      <c r="IX231" s="221"/>
      <c r="IY231" s="221"/>
      <c r="IZ231" s="221"/>
      <c r="JA231" s="221"/>
      <c r="JB231" s="221"/>
      <c r="JC231" s="221"/>
      <c r="JD231" s="221"/>
      <c r="JE231" s="221"/>
      <c r="JF231" s="221"/>
      <c r="JG231" s="221"/>
      <c r="JH231" s="221"/>
      <c r="JI231" s="221"/>
      <c r="JJ231" s="221"/>
      <c r="JK231" s="221"/>
      <c r="JL231" s="221"/>
      <c r="JM231" s="221"/>
      <c r="JN231" s="221"/>
      <c r="JO231" s="221"/>
      <c r="JP231" s="221"/>
      <c r="JQ231" s="221"/>
    </row>
    <row r="232" spans="1:277" ht="20" customHeight="1" outlineLevel="1">
      <c r="A232" s="482">
        <v>1905022</v>
      </c>
      <c r="B232" s="439">
        <v>42136</v>
      </c>
      <c r="C232" s="514" t="s">
        <v>67</v>
      </c>
      <c r="D232" s="514" t="s">
        <v>1259</v>
      </c>
      <c r="E232" s="539" t="s">
        <v>69</v>
      </c>
      <c r="F232" s="531" t="s">
        <v>47</v>
      </c>
      <c r="G232" s="514" t="s">
        <v>47</v>
      </c>
      <c r="H232" s="514" t="s">
        <v>47</v>
      </c>
      <c r="I232" s="443" t="s">
        <v>47</v>
      </c>
      <c r="J232" s="514" t="s">
        <v>62</v>
      </c>
      <c r="K232" s="514" t="s">
        <v>1861</v>
      </c>
      <c r="L232" s="448">
        <v>0</v>
      </c>
      <c r="M232" s="439">
        <v>42139</v>
      </c>
      <c r="N232" s="514" t="s">
        <v>1890</v>
      </c>
      <c r="O232" s="514" t="s">
        <v>1891</v>
      </c>
      <c r="P232" s="516"/>
      <c r="Q232" s="629"/>
      <c r="R232" s="589">
        <v>0</v>
      </c>
      <c r="S232" s="590">
        <v>0</v>
      </c>
      <c r="T232" s="604">
        <v>0</v>
      </c>
      <c r="U232" s="596">
        <v>0</v>
      </c>
      <c r="V232" s="590">
        <v>0</v>
      </c>
      <c r="W232" s="604">
        <v>0</v>
      </c>
      <c r="X232" s="596">
        <v>0</v>
      </c>
      <c r="Y232" s="590">
        <v>0</v>
      </c>
      <c r="Z232" s="604">
        <v>0</v>
      </c>
      <c r="AA232" s="596">
        <v>0</v>
      </c>
      <c r="AB232" s="590">
        <v>0</v>
      </c>
      <c r="AC232" s="604">
        <v>0</v>
      </c>
      <c r="AD232" s="596">
        <v>0</v>
      </c>
      <c r="AE232" s="594">
        <v>0</v>
      </c>
      <c r="AF232" s="594">
        <v>0</v>
      </c>
      <c r="AG232" s="590">
        <v>0</v>
      </c>
      <c r="AH232" s="604">
        <v>1</v>
      </c>
      <c r="AI232" s="610">
        <v>0</v>
      </c>
      <c r="AJ232" s="610">
        <v>0</v>
      </c>
      <c r="AK232" s="629"/>
      <c r="AL232" s="531" t="s">
        <v>47</v>
      </c>
      <c r="AM232" s="514" t="s">
        <v>92</v>
      </c>
      <c r="AN232" s="612">
        <f>PRODUCTS!C14</f>
        <v>1.32</v>
      </c>
      <c r="AO232" s="440" t="s">
        <v>47</v>
      </c>
      <c r="AP232" s="37">
        <v>0</v>
      </c>
      <c r="AQ232" s="795">
        <f t="shared" si="13"/>
        <v>-1.32</v>
      </c>
      <c r="AR232" s="835" t="e">
        <f t="shared" si="21"/>
        <v>#DIV/0!</v>
      </c>
      <c r="AS232" s="821" t="s">
        <v>47</v>
      </c>
      <c r="AT232" s="256" t="s">
        <v>1245</v>
      </c>
      <c r="AU232" s="38">
        <v>1</v>
      </c>
      <c r="AV232" s="252" t="s">
        <v>489</v>
      </c>
      <c r="AW232" s="259" t="s">
        <v>1907</v>
      </c>
      <c r="AX232" s="36">
        <v>0</v>
      </c>
      <c r="AY232" s="252" t="s">
        <v>47</v>
      </c>
      <c r="AZ232" s="41">
        <v>4.8</v>
      </c>
      <c r="BA232" s="256" t="s">
        <v>47</v>
      </c>
      <c r="BB232" s="41">
        <v>0</v>
      </c>
      <c r="BC232" s="448"/>
      <c r="BD232" s="448"/>
      <c r="BE232" s="448"/>
      <c r="BF232" s="448"/>
      <c r="BG232" s="448"/>
      <c r="BH232" s="221"/>
      <c r="BI232" s="221"/>
      <c r="BJ232" s="221"/>
      <c r="BK232" s="221"/>
      <c r="BL232" s="221"/>
      <c r="BM232" s="221"/>
      <c r="BN232" s="221"/>
      <c r="BO232" s="221"/>
      <c r="BP232" s="221"/>
      <c r="BQ232" s="221"/>
      <c r="BR232" s="221"/>
      <c r="BS232" s="221"/>
      <c r="BT232" s="221"/>
      <c r="BU232" s="221"/>
      <c r="BV232" s="221"/>
      <c r="BW232" s="221"/>
      <c r="BX232" s="221"/>
      <c r="BY232" s="221"/>
      <c r="BZ232" s="221"/>
      <c r="CA232" s="221"/>
      <c r="CB232" s="221"/>
      <c r="CC232" s="221"/>
      <c r="CD232" s="221"/>
      <c r="CE232" s="221"/>
      <c r="CF232" s="221"/>
      <c r="CG232" s="221"/>
      <c r="CH232" s="221"/>
      <c r="CI232" s="221"/>
      <c r="CJ232" s="221"/>
      <c r="CK232" s="221"/>
      <c r="CL232" s="221"/>
      <c r="CM232" s="221"/>
      <c r="CN232" s="221"/>
      <c r="CO232" s="221"/>
      <c r="CP232" s="221"/>
      <c r="CQ232" s="221"/>
      <c r="CR232" s="221"/>
      <c r="CS232" s="221"/>
      <c r="CT232" s="221"/>
      <c r="CU232" s="221"/>
      <c r="CV232" s="221"/>
      <c r="CW232" s="221"/>
      <c r="CX232" s="221"/>
      <c r="CY232" s="221"/>
      <c r="CZ232" s="221"/>
      <c r="DA232" s="221"/>
      <c r="DB232" s="221"/>
      <c r="DC232" s="221"/>
      <c r="DD232" s="221"/>
      <c r="DE232" s="221"/>
      <c r="DF232" s="221"/>
      <c r="DG232" s="221"/>
      <c r="DH232" s="221"/>
      <c r="DI232" s="221"/>
      <c r="DJ232" s="221"/>
      <c r="DK232" s="221"/>
      <c r="DL232" s="221"/>
      <c r="DM232" s="221"/>
      <c r="DN232" s="221"/>
      <c r="DO232" s="221"/>
      <c r="DP232" s="221"/>
      <c r="DQ232" s="221"/>
      <c r="DR232" s="221"/>
      <c r="DS232" s="221"/>
      <c r="DT232" s="221"/>
      <c r="DU232" s="221"/>
      <c r="DV232" s="221"/>
      <c r="DW232" s="221"/>
      <c r="DX232" s="221"/>
      <c r="DY232" s="221"/>
      <c r="DZ232" s="221"/>
      <c r="EA232" s="221"/>
      <c r="EB232" s="221"/>
      <c r="EC232" s="221"/>
      <c r="ED232" s="221"/>
      <c r="EE232" s="221"/>
      <c r="EF232" s="221"/>
      <c r="EG232" s="221"/>
      <c r="EH232" s="221"/>
      <c r="EI232" s="221"/>
      <c r="EJ232" s="221"/>
      <c r="EK232" s="221"/>
      <c r="EL232" s="221"/>
      <c r="EM232" s="221"/>
      <c r="EN232" s="221"/>
      <c r="EO232" s="221"/>
      <c r="EP232" s="221"/>
      <c r="EQ232" s="221"/>
      <c r="ER232" s="221"/>
      <c r="ES232" s="221"/>
      <c r="ET232" s="221"/>
      <c r="EU232" s="221"/>
      <c r="EV232" s="221"/>
      <c r="EW232" s="221"/>
      <c r="EX232" s="221"/>
      <c r="EY232" s="221"/>
      <c r="EZ232" s="221"/>
      <c r="FA232" s="221"/>
      <c r="FB232" s="221"/>
      <c r="FC232" s="221"/>
      <c r="FD232" s="221"/>
      <c r="FE232" s="221"/>
      <c r="FF232" s="221"/>
      <c r="FG232" s="221"/>
      <c r="FH232" s="221"/>
      <c r="FI232" s="221"/>
      <c r="FJ232" s="221"/>
      <c r="FK232" s="221"/>
      <c r="FL232" s="221"/>
      <c r="FM232" s="221"/>
      <c r="FN232" s="221"/>
      <c r="FO232" s="221"/>
      <c r="FP232" s="221"/>
      <c r="FQ232" s="221"/>
      <c r="FR232" s="221"/>
      <c r="FS232" s="221"/>
      <c r="FT232" s="221"/>
      <c r="FU232" s="221"/>
      <c r="FV232" s="221"/>
      <c r="FW232" s="221"/>
      <c r="FX232" s="221"/>
      <c r="FY232" s="221"/>
      <c r="FZ232" s="221"/>
      <c r="GA232" s="221"/>
      <c r="GB232" s="221"/>
      <c r="GC232" s="221"/>
      <c r="GD232" s="221"/>
      <c r="GE232" s="221"/>
      <c r="GF232" s="221"/>
      <c r="GG232" s="221"/>
      <c r="GH232" s="221"/>
      <c r="GI232" s="221"/>
      <c r="GJ232" s="221"/>
      <c r="GK232" s="221"/>
      <c r="GL232" s="221"/>
      <c r="GM232" s="221"/>
      <c r="GN232" s="221"/>
      <c r="GO232" s="221"/>
      <c r="GP232" s="221"/>
      <c r="GQ232" s="221"/>
      <c r="GR232" s="221"/>
      <c r="GS232" s="221"/>
      <c r="GT232" s="221"/>
      <c r="GU232" s="221"/>
      <c r="GV232" s="221"/>
      <c r="GW232" s="221"/>
      <c r="GX232" s="221"/>
      <c r="GY232" s="221"/>
      <c r="GZ232" s="221"/>
      <c r="HA232" s="221"/>
      <c r="HB232" s="221"/>
      <c r="HC232" s="221"/>
      <c r="HD232" s="221"/>
      <c r="HE232" s="221"/>
      <c r="HF232" s="221"/>
      <c r="HG232" s="221"/>
      <c r="HH232" s="221"/>
      <c r="HI232" s="221"/>
      <c r="HJ232" s="221"/>
      <c r="HK232" s="221"/>
      <c r="HL232" s="221"/>
      <c r="HM232" s="221"/>
      <c r="HN232" s="221"/>
      <c r="HO232" s="221"/>
      <c r="HP232" s="221"/>
      <c r="HQ232" s="221"/>
      <c r="HR232" s="221"/>
      <c r="HS232" s="221"/>
      <c r="HT232" s="221"/>
      <c r="HU232" s="221"/>
      <c r="HV232" s="221"/>
      <c r="HW232" s="221"/>
      <c r="HX232" s="221"/>
      <c r="HY232" s="221"/>
      <c r="HZ232" s="221"/>
      <c r="IA232" s="221"/>
      <c r="IB232" s="221"/>
      <c r="IC232" s="221"/>
      <c r="ID232" s="221"/>
      <c r="IE232" s="221"/>
      <c r="IF232" s="221"/>
      <c r="IG232" s="221"/>
      <c r="IH232" s="221"/>
      <c r="II232" s="221"/>
      <c r="IJ232" s="221"/>
      <c r="IK232" s="221"/>
      <c r="IL232" s="221"/>
      <c r="IM232" s="221"/>
      <c r="IN232" s="221"/>
      <c r="IO232" s="221"/>
      <c r="IP232" s="221"/>
      <c r="IQ232" s="221"/>
      <c r="IR232" s="221"/>
      <c r="IS232" s="221"/>
      <c r="IT232" s="221"/>
      <c r="IU232" s="221"/>
      <c r="IV232" s="221"/>
      <c r="IW232" s="221"/>
      <c r="IX232" s="221"/>
      <c r="IY232" s="221"/>
      <c r="IZ232" s="221"/>
      <c r="JA232" s="221"/>
      <c r="JB232" s="221"/>
      <c r="JC232" s="221"/>
      <c r="JD232" s="221"/>
      <c r="JE232" s="221"/>
      <c r="JF232" s="221"/>
      <c r="JG232" s="221"/>
      <c r="JH232" s="221"/>
      <c r="JI232" s="221"/>
      <c r="JJ232" s="221"/>
      <c r="JK232" s="221"/>
      <c r="JL232" s="221"/>
      <c r="JM232" s="221"/>
      <c r="JN232" s="221"/>
      <c r="JO232" s="221"/>
      <c r="JP232" s="221"/>
      <c r="JQ232" s="221"/>
    </row>
    <row r="233" spans="1:277" ht="20" customHeight="1" outlineLevel="1">
      <c r="A233" s="482">
        <v>1905023</v>
      </c>
      <c r="B233" s="439">
        <v>42136</v>
      </c>
      <c r="C233" s="514" t="s">
        <v>1523</v>
      </c>
      <c r="D233" s="514" t="s">
        <v>1259</v>
      </c>
      <c r="E233" s="539" t="s">
        <v>60</v>
      </c>
      <c r="F233" s="531" t="s">
        <v>47</v>
      </c>
      <c r="G233" s="514" t="s">
        <v>47</v>
      </c>
      <c r="H233" s="514" t="s">
        <v>47</v>
      </c>
      <c r="I233" s="443" t="s">
        <v>47</v>
      </c>
      <c r="J233" s="514" t="s">
        <v>62</v>
      </c>
      <c r="K233" s="514" t="s">
        <v>50</v>
      </c>
      <c r="L233" s="448">
        <v>102962004</v>
      </c>
      <c r="M233" s="439">
        <v>42139</v>
      </c>
      <c r="N233" s="514" t="s">
        <v>1892</v>
      </c>
      <c r="O233" s="514" t="s">
        <v>1893</v>
      </c>
      <c r="P233" s="516"/>
      <c r="Q233" s="629"/>
      <c r="R233" s="589">
        <v>0</v>
      </c>
      <c r="S233" s="590">
        <v>0</v>
      </c>
      <c r="T233" s="604">
        <v>1</v>
      </c>
      <c r="U233" s="596">
        <v>0</v>
      </c>
      <c r="V233" s="590">
        <v>0</v>
      </c>
      <c r="W233" s="604">
        <v>1</v>
      </c>
      <c r="X233" s="596">
        <v>0</v>
      </c>
      <c r="Y233" s="590">
        <v>0</v>
      </c>
      <c r="Z233" s="604">
        <v>0</v>
      </c>
      <c r="AA233" s="596">
        <v>0</v>
      </c>
      <c r="AB233" s="590">
        <v>0</v>
      </c>
      <c r="AC233" s="604">
        <v>0</v>
      </c>
      <c r="AD233" s="596">
        <v>0</v>
      </c>
      <c r="AE233" s="594">
        <v>0</v>
      </c>
      <c r="AF233" s="594">
        <v>0</v>
      </c>
      <c r="AG233" s="590">
        <v>0</v>
      </c>
      <c r="AH233" s="604">
        <v>0</v>
      </c>
      <c r="AI233" s="610">
        <v>0</v>
      </c>
      <c r="AJ233" s="610">
        <v>0</v>
      </c>
      <c r="AK233" s="629"/>
      <c r="AL233" s="530"/>
      <c r="AM233" s="514" t="s">
        <v>92</v>
      </c>
      <c r="AN233" s="612">
        <f>1*PRODUCTS!C14+1*PRODUCTS!D12</f>
        <v>1.44</v>
      </c>
      <c r="AO233" s="440" t="s">
        <v>47</v>
      </c>
      <c r="AP233" s="37">
        <v>0</v>
      </c>
      <c r="AQ233" s="795">
        <f t="shared" si="13"/>
        <v>-1.44</v>
      </c>
      <c r="AR233" s="835" t="e">
        <f t="shared" si="21"/>
        <v>#DIV/0!</v>
      </c>
      <c r="AS233" s="821" t="s">
        <v>47</v>
      </c>
      <c r="AT233" s="256" t="s">
        <v>1245</v>
      </c>
      <c r="AU233" s="38">
        <v>1</v>
      </c>
      <c r="AV233" s="252"/>
      <c r="AW233" s="259" t="s">
        <v>1899</v>
      </c>
      <c r="AX233" s="36">
        <v>0</v>
      </c>
      <c r="AY233" s="26" t="s">
        <v>1941</v>
      </c>
      <c r="AZ233" s="41">
        <v>16.84</v>
      </c>
      <c r="BA233" s="256" t="s">
        <v>47</v>
      </c>
      <c r="BB233" s="41">
        <v>0</v>
      </c>
      <c r="BC233" s="448"/>
      <c r="BD233" s="448"/>
      <c r="BE233" s="448"/>
      <c r="BF233" s="448"/>
      <c r="BG233" s="448"/>
      <c r="BH233" s="221"/>
      <c r="BI233" s="221"/>
      <c r="BJ233" s="221"/>
      <c r="BK233" s="221"/>
      <c r="BL233" s="221"/>
      <c r="BM233" s="221"/>
      <c r="BN233" s="221"/>
      <c r="BO233" s="221"/>
      <c r="BP233" s="221"/>
      <c r="BQ233" s="221"/>
      <c r="BR233" s="221"/>
      <c r="BS233" s="221"/>
      <c r="BT233" s="221"/>
      <c r="BU233" s="221"/>
      <c r="BV233" s="221"/>
      <c r="BW233" s="221"/>
      <c r="BX233" s="221"/>
      <c r="BY233" s="221"/>
      <c r="BZ233" s="221"/>
      <c r="CA233" s="221"/>
      <c r="CB233" s="221"/>
      <c r="CC233" s="221"/>
      <c r="CD233" s="221"/>
      <c r="CE233" s="221"/>
      <c r="CF233" s="221"/>
      <c r="CG233" s="221"/>
      <c r="CH233" s="221"/>
      <c r="CI233" s="221"/>
      <c r="CJ233" s="221"/>
      <c r="CK233" s="221"/>
      <c r="CL233" s="221"/>
      <c r="CM233" s="221"/>
      <c r="CN233" s="221"/>
      <c r="CO233" s="221"/>
      <c r="CP233" s="221"/>
      <c r="CQ233" s="221"/>
      <c r="CR233" s="221"/>
      <c r="CS233" s="221"/>
      <c r="CT233" s="221"/>
      <c r="CU233" s="221"/>
      <c r="CV233" s="221"/>
      <c r="CW233" s="221"/>
      <c r="CX233" s="221"/>
      <c r="CY233" s="221"/>
      <c r="CZ233" s="221"/>
      <c r="DA233" s="221"/>
      <c r="DB233" s="221"/>
      <c r="DC233" s="221"/>
      <c r="DD233" s="221"/>
      <c r="DE233" s="221"/>
      <c r="DF233" s="221"/>
      <c r="DG233" s="221"/>
      <c r="DH233" s="221"/>
      <c r="DI233" s="221"/>
      <c r="DJ233" s="221"/>
      <c r="DK233" s="221"/>
      <c r="DL233" s="221"/>
      <c r="DM233" s="221"/>
      <c r="DN233" s="221"/>
      <c r="DO233" s="221"/>
      <c r="DP233" s="221"/>
      <c r="DQ233" s="221"/>
      <c r="DR233" s="221"/>
      <c r="DS233" s="221"/>
      <c r="DT233" s="221"/>
      <c r="DU233" s="221"/>
      <c r="DV233" s="221"/>
      <c r="DW233" s="221"/>
      <c r="DX233" s="221"/>
      <c r="DY233" s="221"/>
      <c r="DZ233" s="221"/>
      <c r="EA233" s="221"/>
      <c r="EB233" s="221"/>
      <c r="EC233" s="221"/>
      <c r="ED233" s="221"/>
      <c r="EE233" s="221"/>
      <c r="EF233" s="221"/>
      <c r="EG233" s="221"/>
      <c r="EH233" s="221"/>
      <c r="EI233" s="221"/>
      <c r="EJ233" s="221"/>
      <c r="EK233" s="221"/>
      <c r="EL233" s="221"/>
      <c r="EM233" s="221"/>
      <c r="EN233" s="221"/>
      <c r="EO233" s="221"/>
      <c r="EP233" s="221"/>
      <c r="EQ233" s="221"/>
      <c r="ER233" s="221"/>
      <c r="ES233" s="221"/>
      <c r="ET233" s="221"/>
      <c r="EU233" s="221"/>
      <c r="EV233" s="221"/>
      <c r="EW233" s="221"/>
      <c r="EX233" s="221"/>
      <c r="EY233" s="221"/>
      <c r="EZ233" s="221"/>
      <c r="FA233" s="221"/>
      <c r="FB233" s="221"/>
      <c r="FC233" s="221"/>
      <c r="FD233" s="221"/>
      <c r="FE233" s="221"/>
      <c r="FF233" s="221"/>
      <c r="FG233" s="221"/>
      <c r="FH233" s="221"/>
      <c r="FI233" s="221"/>
      <c r="FJ233" s="221"/>
      <c r="FK233" s="221"/>
      <c r="FL233" s="221"/>
      <c r="FM233" s="221"/>
      <c r="FN233" s="221"/>
      <c r="FO233" s="221"/>
      <c r="FP233" s="221"/>
      <c r="FQ233" s="221"/>
      <c r="FR233" s="221"/>
      <c r="FS233" s="221"/>
      <c r="FT233" s="221"/>
      <c r="FU233" s="221"/>
      <c r="FV233" s="221"/>
      <c r="FW233" s="221"/>
      <c r="FX233" s="221"/>
      <c r="FY233" s="221"/>
      <c r="FZ233" s="221"/>
      <c r="GA233" s="221"/>
      <c r="GB233" s="221"/>
      <c r="GC233" s="221"/>
      <c r="GD233" s="221"/>
      <c r="GE233" s="221"/>
      <c r="GF233" s="221"/>
      <c r="GG233" s="221"/>
      <c r="GH233" s="221"/>
      <c r="GI233" s="221"/>
      <c r="GJ233" s="221"/>
      <c r="GK233" s="221"/>
      <c r="GL233" s="221"/>
      <c r="GM233" s="221"/>
      <c r="GN233" s="221"/>
      <c r="GO233" s="221"/>
      <c r="GP233" s="221"/>
      <c r="GQ233" s="221"/>
      <c r="GR233" s="221"/>
      <c r="GS233" s="221"/>
      <c r="GT233" s="221"/>
      <c r="GU233" s="221"/>
      <c r="GV233" s="221"/>
      <c r="GW233" s="221"/>
      <c r="GX233" s="221"/>
      <c r="GY233" s="221"/>
      <c r="GZ233" s="221"/>
      <c r="HA233" s="221"/>
      <c r="HB233" s="221"/>
      <c r="HC233" s="221"/>
      <c r="HD233" s="221"/>
      <c r="HE233" s="221"/>
      <c r="HF233" s="221"/>
      <c r="HG233" s="221"/>
      <c r="HH233" s="221"/>
      <c r="HI233" s="221"/>
      <c r="HJ233" s="221"/>
      <c r="HK233" s="221"/>
      <c r="HL233" s="221"/>
      <c r="HM233" s="221"/>
      <c r="HN233" s="221"/>
      <c r="HO233" s="221"/>
      <c r="HP233" s="221"/>
      <c r="HQ233" s="221"/>
      <c r="HR233" s="221"/>
      <c r="HS233" s="221"/>
      <c r="HT233" s="221"/>
      <c r="HU233" s="221"/>
      <c r="HV233" s="221"/>
      <c r="HW233" s="221"/>
      <c r="HX233" s="221"/>
      <c r="HY233" s="221"/>
      <c r="HZ233" s="221"/>
      <c r="IA233" s="221"/>
      <c r="IB233" s="221"/>
      <c r="IC233" s="221"/>
      <c r="ID233" s="221"/>
      <c r="IE233" s="221"/>
      <c r="IF233" s="221"/>
      <c r="IG233" s="221"/>
      <c r="IH233" s="221"/>
      <c r="II233" s="221"/>
      <c r="IJ233" s="221"/>
      <c r="IK233" s="221"/>
      <c r="IL233" s="221"/>
      <c r="IM233" s="221"/>
      <c r="IN233" s="221"/>
      <c r="IO233" s="221"/>
      <c r="IP233" s="221"/>
      <c r="IQ233" s="221"/>
      <c r="IR233" s="221"/>
      <c r="IS233" s="221"/>
      <c r="IT233" s="221"/>
      <c r="IU233" s="221"/>
      <c r="IV233" s="221"/>
      <c r="IW233" s="221"/>
      <c r="IX233" s="221"/>
      <c r="IY233" s="221"/>
      <c r="IZ233" s="221"/>
      <c r="JA233" s="221"/>
      <c r="JB233" s="221"/>
      <c r="JC233" s="221"/>
      <c r="JD233" s="221"/>
      <c r="JE233" s="221"/>
      <c r="JF233" s="221"/>
      <c r="JG233" s="221"/>
      <c r="JH233" s="221"/>
      <c r="JI233" s="221"/>
      <c r="JJ233" s="221"/>
      <c r="JK233" s="221"/>
      <c r="JL233" s="221"/>
      <c r="JM233" s="221"/>
      <c r="JN233" s="221"/>
      <c r="JO233" s="221"/>
      <c r="JP233" s="221"/>
      <c r="JQ233" s="221"/>
    </row>
    <row r="234" spans="1:277" ht="20" customHeight="1" outlineLevel="1">
      <c r="A234" s="456">
        <v>1905024</v>
      </c>
      <c r="B234" s="439">
        <v>42138</v>
      </c>
      <c r="C234" s="514" t="s">
        <v>44</v>
      </c>
      <c r="D234" s="514" t="s">
        <v>1259</v>
      </c>
      <c r="E234" s="539" t="s">
        <v>101</v>
      </c>
      <c r="F234" s="531" t="s">
        <v>47</v>
      </c>
      <c r="G234" s="514" t="s">
        <v>1894</v>
      </c>
      <c r="H234" s="439">
        <v>42138</v>
      </c>
      <c r="I234" s="443">
        <v>191984</v>
      </c>
      <c r="J234" s="514" t="s">
        <v>62</v>
      </c>
      <c r="K234" s="448" t="s">
        <v>50</v>
      </c>
      <c r="L234" s="448">
        <v>106699243</v>
      </c>
      <c r="M234" s="439">
        <v>42139</v>
      </c>
      <c r="N234" s="514" t="s">
        <v>283</v>
      </c>
      <c r="O234" s="514" t="s">
        <v>1895</v>
      </c>
      <c r="P234" s="516" t="s">
        <v>2061</v>
      </c>
      <c r="Q234" s="629"/>
      <c r="R234" s="589">
        <v>0</v>
      </c>
      <c r="S234" s="590">
        <v>0</v>
      </c>
      <c r="T234" s="604">
        <v>0</v>
      </c>
      <c r="U234" s="596">
        <v>0</v>
      </c>
      <c r="V234" s="590">
        <v>0</v>
      </c>
      <c r="W234" s="604">
        <v>0</v>
      </c>
      <c r="X234" s="596">
        <v>0</v>
      </c>
      <c r="Y234" s="590">
        <v>0</v>
      </c>
      <c r="Z234" s="604">
        <v>0</v>
      </c>
      <c r="AA234" s="596">
        <v>1</v>
      </c>
      <c r="AB234" s="590">
        <v>0</v>
      </c>
      <c r="AC234" s="604">
        <v>0</v>
      </c>
      <c r="AD234" s="596">
        <v>0</v>
      </c>
      <c r="AE234" s="594">
        <v>1</v>
      </c>
      <c r="AF234" s="594">
        <v>0</v>
      </c>
      <c r="AG234" s="590">
        <v>0</v>
      </c>
      <c r="AH234" s="604">
        <v>0</v>
      </c>
      <c r="AI234" s="610">
        <v>0</v>
      </c>
      <c r="AJ234" s="610">
        <v>0</v>
      </c>
      <c r="AK234" s="629"/>
      <c r="AL234" s="531" t="s">
        <v>78</v>
      </c>
      <c r="AM234" s="448">
        <v>191345</v>
      </c>
      <c r="AN234" s="612">
        <v>24.15</v>
      </c>
      <c r="AO234" s="444" t="s">
        <v>2060</v>
      </c>
      <c r="AP234" s="37">
        <v>36.47</v>
      </c>
      <c r="AQ234" s="795">
        <f t="shared" si="13"/>
        <v>12.32</v>
      </c>
      <c r="AR234" s="835">
        <f t="shared" si="21"/>
        <v>0.33781190019193857</v>
      </c>
      <c r="AS234" s="821"/>
      <c r="AT234" s="448" t="s">
        <v>1254</v>
      </c>
      <c r="AU234" s="448">
        <v>1</v>
      </c>
      <c r="AV234" s="448"/>
      <c r="AW234" s="448"/>
      <c r="AX234" s="612">
        <v>30</v>
      </c>
      <c r="AY234" s="448"/>
      <c r="AZ234" s="612"/>
      <c r="BA234" s="31" t="s">
        <v>47</v>
      </c>
      <c r="BB234" s="41">
        <v>0</v>
      </c>
      <c r="BC234" s="448"/>
      <c r="BD234" s="448"/>
      <c r="BE234" s="448"/>
      <c r="BF234" s="448"/>
      <c r="BG234" s="448"/>
      <c r="BH234" s="221"/>
      <c r="BI234" s="221"/>
      <c r="BJ234" s="221"/>
      <c r="BK234" s="221"/>
      <c r="BL234" s="221"/>
      <c r="BM234" s="221"/>
      <c r="BN234" s="221"/>
      <c r="BO234" s="221"/>
      <c r="BP234" s="221"/>
      <c r="BQ234" s="221"/>
      <c r="BR234" s="221"/>
      <c r="BS234" s="221"/>
      <c r="BT234" s="221"/>
      <c r="BU234" s="221"/>
      <c r="BV234" s="221"/>
      <c r="BW234" s="221"/>
      <c r="BX234" s="221"/>
      <c r="BY234" s="221"/>
      <c r="BZ234" s="221"/>
      <c r="CA234" s="221"/>
      <c r="CB234" s="221"/>
      <c r="CC234" s="221"/>
      <c r="CD234" s="221"/>
      <c r="CE234" s="221"/>
      <c r="CF234" s="221"/>
      <c r="CG234" s="221"/>
      <c r="CH234" s="221"/>
      <c r="CI234" s="221"/>
      <c r="CJ234" s="221"/>
      <c r="CK234" s="221"/>
      <c r="CL234" s="221"/>
      <c r="CM234" s="221"/>
      <c r="CN234" s="221"/>
      <c r="CO234" s="221"/>
      <c r="CP234" s="221"/>
      <c r="CQ234" s="221"/>
      <c r="CR234" s="221"/>
      <c r="CS234" s="221"/>
      <c r="CT234" s="221"/>
      <c r="CU234" s="221"/>
      <c r="CV234" s="221"/>
      <c r="CW234" s="221"/>
      <c r="CX234" s="221"/>
      <c r="CY234" s="221"/>
      <c r="CZ234" s="221"/>
      <c r="DA234" s="221"/>
      <c r="DB234" s="221"/>
      <c r="DC234" s="221"/>
      <c r="DD234" s="221"/>
      <c r="DE234" s="221"/>
      <c r="DF234" s="221"/>
      <c r="DG234" s="221"/>
      <c r="DH234" s="221"/>
      <c r="DI234" s="221"/>
      <c r="DJ234" s="221"/>
      <c r="DK234" s="221"/>
      <c r="DL234" s="221"/>
      <c r="DM234" s="221"/>
      <c r="DN234" s="221"/>
      <c r="DO234" s="221"/>
      <c r="DP234" s="221"/>
      <c r="DQ234" s="221"/>
      <c r="DR234" s="221"/>
      <c r="DS234" s="221"/>
      <c r="DT234" s="221"/>
      <c r="DU234" s="221"/>
      <c r="DV234" s="221"/>
      <c r="DW234" s="221"/>
      <c r="DX234" s="221"/>
      <c r="DY234" s="221"/>
      <c r="DZ234" s="221"/>
      <c r="EA234" s="221"/>
      <c r="EB234" s="221"/>
      <c r="EC234" s="221"/>
      <c r="ED234" s="221"/>
      <c r="EE234" s="221"/>
      <c r="EF234" s="221"/>
      <c r="EG234" s="221"/>
      <c r="EH234" s="221"/>
      <c r="EI234" s="221"/>
      <c r="EJ234" s="221"/>
      <c r="EK234" s="221"/>
      <c r="EL234" s="221"/>
      <c r="EM234" s="221"/>
      <c r="EN234" s="221"/>
      <c r="EO234" s="221"/>
      <c r="EP234" s="221"/>
      <c r="EQ234" s="221"/>
      <c r="ER234" s="221"/>
      <c r="ES234" s="221"/>
      <c r="ET234" s="221"/>
      <c r="EU234" s="221"/>
      <c r="EV234" s="221"/>
      <c r="EW234" s="221"/>
      <c r="EX234" s="221"/>
      <c r="EY234" s="221"/>
      <c r="EZ234" s="221"/>
      <c r="FA234" s="221"/>
      <c r="FB234" s="221"/>
      <c r="FC234" s="221"/>
      <c r="FD234" s="221"/>
      <c r="FE234" s="221"/>
      <c r="FF234" s="221"/>
      <c r="FG234" s="221"/>
      <c r="FH234" s="221"/>
      <c r="FI234" s="221"/>
      <c r="FJ234" s="221"/>
      <c r="FK234" s="221"/>
      <c r="FL234" s="221"/>
      <c r="FM234" s="221"/>
      <c r="FN234" s="221"/>
      <c r="FO234" s="221"/>
      <c r="FP234" s="221"/>
      <c r="FQ234" s="221"/>
      <c r="FR234" s="221"/>
      <c r="FS234" s="221"/>
      <c r="FT234" s="221"/>
      <c r="FU234" s="221"/>
      <c r="FV234" s="221"/>
      <c r="FW234" s="221"/>
      <c r="FX234" s="221"/>
      <c r="FY234" s="221"/>
      <c r="FZ234" s="221"/>
      <c r="GA234" s="221"/>
      <c r="GB234" s="221"/>
      <c r="GC234" s="221"/>
      <c r="GD234" s="221"/>
      <c r="GE234" s="221"/>
      <c r="GF234" s="221"/>
      <c r="GG234" s="221"/>
      <c r="GH234" s="221"/>
      <c r="GI234" s="221"/>
      <c r="GJ234" s="221"/>
      <c r="GK234" s="221"/>
      <c r="GL234" s="221"/>
      <c r="GM234" s="221"/>
      <c r="GN234" s="221"/>
      <c r="GO234" s="221"/>
      <c r="GP234" s="221"/>
      <c r="GQ234" s="221"/>
      <c r="GR234" s="221"/>
      <c r="GS234" s="221"/>
      <c r="GT234" s="221"/>
      <c r="GU234" s="221"/>
      <c r="GV234" s="221"/>
      <c r="GW234" s="221"/>
      <c r="GX234" s="221"/>
      <c r="GY234" s="221"/>
      <c r="GZ234" s="221"/>
      <c r="HA234" s="221"/>
      <c r="HB234" s="221"/>
      <c r="HC234" s="221"/>
      <c r="HD234" s="221"/>
      <c r="HE234" s="221"/>
      <c r="HF234" s="221"/>
      <c r="HG234" s="221"/>
      <c r="HH234" s="221"/>
      <c r="HI234" s="221"/>
      <c r="HJ234" s="221"/>
      <c r="HK234" s="221"/>
      <c r="HL234" s="221"/>
      <c r="HM234" s="221"/>
      <c r="HN234" s="221"/>
      <c r="HO234" s="221"/>
      <c r="HP234" s="221"/>
      <c r="HQ234" s="221"/>
      <c r="HR234" s="221"/>
      <c r="HS234" s="221"/>
      <c r="HT234" s="221"/>
      <c r="HU234" s="221"/>
      <c r="HV234" s="221"/>
      <c r="HW234" s="221"/>
      <c r="HX234" s="221"/>
      <c r="HY234" s="221"/>
      <c r="HZ234" s="221"/>
      <c r="IA234" s="221"/>
      <c r="IB234" s="221"/>
      <c r="IC234" s="221"/>
      <c r="ID234" s="221"/>
      <c r="IE234" s="221"/>
      <c r="IF234" s="221"/>
      <c r="IG234" s="221"/>
      <c r="IH234" s="221"/>
      <c r="II234" s="221"/>
      <c r="IJ234" s="221"/>
      <c r="IK234" s="221"/>
      <c r="IL234" s="221"/>
      <c r="IM234" s="221"/>
      <c r="IN234" s="221"/>
      <c r="IO234" s="221"/>
      <c r="IP234" s="221"/>
      <c r="IQ234" s="221"/>
      <c r="IR234" s="221"/>
      <c r="IS234" s="221"/>
      <c r="IT234" s="221"/>
      <c r="IU234" s="221"/>
      <c r="IV234" s="221"/>
      <c r="IW234" s="221"/>
      <c r="IX234" s="221"/>
      <c r="IY234" s="221"/>
      <c r="IZ234" s="221"/>
      <c r="JA234" s="221"/>
      <c r="JB234" s="221"/>
      <c r="JC234" s="221"/>
      <c r="JD234" s="221"/>
      <c r="JE234" s="221"/>
      <c r="JF234" s="221"/>
      <c r="JG234" s="221"/>
      <c r="JH234" s="221"/>
      <c r="JI234" s="221"/>
      <c r="JJ234" s="221"/>
      <c r="JK234" s="221"/>
      <c r="JL234" s="221"/>
      <c r="JM234" s="221"/>
      <c r="JN234" s="221"/>
      <c r="JO234" s="221"/>
      <c r="JP234" s="221"/>
      <c r="JQ234" s="221"/>
    </row>
    <row r="235" spans="1:277" ht="20" customHeight="1" outlineLevel="1">
      <c r="A235" s="482">
        <v>1905025</v>
      </c>
      <c r="B235" s="439">
        <v>42139</v>
      </c>
      <c r="C235" s="514" t="s">
        <v>1748</v>
      </c>
      <c r="D235" s="514" t="s">
        <v>1259</v>
      </c>
      <c r="E235" s="539" t="s">
        <v>538</v>
      </c>
      <c r="F235" s="531" t="s">
        <v>47</v>
      </c>
      <c r="G235" s="514" t="s">
        <v>1900</v>
      </c>
      <c r="H235" s="514" t="s">
        <v>1314</v>
      </c>
      <c r="I235" s="443" t="s">
        <v>155</v>
      </c>
      <c r="J235" s="514" t="s">
        <v>62</v>
      </c>
      <c r="K235" s="514" t="s">
        <v>50</v>
      </c>
      <c r="L235" s="448">
        <v>104191232</v>
      </c>
      <c r="M235" s="439">
        <v>42143</v>
      </c>
      <c r="N235" s="514" t="s">
        <v>1707</v>
      </c>
      <c r="O235" s="514" t="s">
        <v>1876</v>
      </c>
      <c r="P235" s="516"/>
      <c r="Q235" s="629"/>
      <c r="R235" s="589">
        <v>0</v>
      </c>
      <c r="S235" s="590">
        <v>0</v>
      </c>
      <c r="T235" s="604">
        <v>0</v>
      </c>
      <c r="U235" s="596">
        <v>0</v>
      </c>
      <c r="V235" s="590">
        <v>0</v>
      </c>
      <c r="W235" s="604">
        <v>0</v>
      </c>
      <c r="X235" s="596">
        <v>0</v>
      </c>
      <c r="Y235" s="590">
        <v>0</v>
      </c>
      <c r="Z235" s="604">
        <v>0</v>
      </c>
      <c r="AA235" s="596">
        <v>0</v>
      </c>
      <c r="AB235" s="590">
        <v>0</v>
      </c>
      <c r="AC235" s="604">
        <v>0</v>
      </c>
      <c r="AD235" s="596">
        <v>0</v>
      </c>
      <c r="AE235" s="594">
        <v>0</v>
      </c>
      <c r="AF235" s="594">
        <v>0</v>
      </c>
      <c r="AG235" s="590">
        <v>1</v>
      </c>
      <c r="AH235" s="604">
        <v>0</v>
      </c>
      <c r="AI235" s="610">
        <v>0</v>
      </c>
      <c r="AJ235" s="610">
        <v>0</v>
      </c>
      <c r="AK235" s="629"/>
      <c r="AL235" s="531" t="s">
        <v>1725</v>
      </c>
      <c r="AM235" s="514" t="s">
        <v>157</v>
      </c>
      <c r="AN235" s="612">
        <f>1*PRODUCTS!C3</f>
        <v>63.99</v>
      </c>
      <c r="AO235" s="440" t="s">
        <v>1922</v>
      </c>
      <c r="AP235" s="37">
        <v>99.17</v>
      </c>
      <c r="AQ235" s="795">
        <f t="shared" si="13"/>
        <v>35.18</v>
      </c>
      <c r="AR235" s="835">
        <f t="shared" si="21"/>
        <v>0.35474437834022388</v>
      </c>
      <c r="AS235" s="821"/>
      <c r="AT235" s="514" t="s">
        <v>1254</v>
      </c>
      <c r="AU235" s="448">
        <v>1</v>
      </c>
      <c r="AV235" s="252" t="s">
        <v>1508</v>
      </c>
      <c r="AW235" s="259" t="s">
        <v>1296</v>
      </c>
      <c r="AX235" s="612">
        <v>0</v>
      </c>
      <c r="AY235" s="448">
        <v>1265676</v>
      </c>
      <c r="AZ235" s="612">
        <v>7.31</v>
      </c>
      <c r="BA235" s="256" t="s">
        <v>1802</v>
      </c>
      <c r="BB235" s="41">
        <f t="shared" ref="BB235" si="23">(AP235-8)*6%</f>
        <v>5.4702000000000002</v>
      </c>
      <c r="BC235" s="448"/>
      <c r="BD235" s="448"/>
      <c r="BE235" s="448"/>
      <c r="BF235" s="448"/>
      <c r="BG235" s="448"/>
      <c r="BH235" s="221"/>
      <c r="BI235" s="221"/>
      <c r="BJ235" s="221"/>
      <c r="BK235" s="221"/>
      <c r="BL235" s="221"/>
      <c r="BM235" s="221"/>
      <c r="BN235" s="221"/>
      <c r="BO235" s="221"/>
      <c r="BP235" s="221"/>
      <c r="BQ235" s="221"/>
      <c r="BR235" s="221"/>
      <c r="BS235" s="221"/>
      <c r="BT235" s="221"/>
      <c r="BU235" s="221"/>
      <c r="BV235" s="221"/>
      <c r="BW235" s="221"/>
      <c r="BX235" s="221"/>
      <c r="BY235" s="221"/>
      <c r="BZ235" s="221"/>
      <c r="CA235" s="221"/>
      <c r="CB235" s="221"/>
      <c r="CC235" s="221"/>
      <c r="CD235" s="221"/>
      <c r="CE235" s="221"/>
      <c r="CF235" s="221"/>
      <c r="CG235" s="221"/>
      <c r="CH235" s="221"/>
      <c r="CI235" s="221"/>
      <c r="CJ235" s="221"/>
      <c r="CK235" s="221"/>
      <c r="CL235" s="221"/>
      <c r="CM235" s="221"/>
      <c r="CN235" s="221"/>
      <c r="CO235" s="221"/>
      <c r="CP235" s="221"/>
      <c r="CQ235" s="221"/>
      <c r="CR235" s="221"/>
      <c r="CS235" s="221"/>
      <c r="CT235" s="221"/>
      <c r="CU235" s="221"/>
      <c r="CV235" s="221"/>
      <c r="CW235" s="221"/>
      <c r="CX235" s="221"/>
      <c r="CY235" s="221"/>
      <c r="CZ235" s="221"/>
      <c r="DA235" s="221"/>
      <c r="DB235" s="221"/>
      <c r="DC235" s="221"/>
      <c r="DD235" s="221"/>
      <c r="DE235" s="221"/>
      <c r="DF235" s="221"/>
      <c r="DG235" s="221"/>
      <c r="DH235" s="221"/>
      <c r="DI235" s="221"/>
      <c r="DJ235" s="221"/>
      <c r="DK235" s="221"/>
      <c r="DL235" s="221"/>
      <c r="DM235" s="221"/>
      <c r="DN235" s="221"/>
      <c r="DO235" s="221"/>
      <c r="DP235" s="221"/>
      <c r="DQ235" s="221"/>
      <c r="DR235" s="221"/>
      <c r="DS235" s="221"/>
      <c r="DT235" s="221"/>
      <c r="DU235" s="221"/>
      <c r="DV235" s="221"/>
      <c r="DW235" s="221"/>
      <c r="DX235" s="221"/>
      <c r="DY235" s="221"/>
      <c r="DZ235" s="221"/>
      <c r="EA235" s="221"/>
      <c r="EB235" s="221"/>
      <c r="EC235" s="221"/>
      <c r="ED235" s="221"/>
      <c r="EE235" s="221"/>
      <c r="EF235" s="221"/>
      <c r="EG235" s="221"/>
      <c r="EH235" s="221"/>
      <c r="EI235" s="221"/>
      <c r="EJ235" s="221"/>
      <c r="EK235" s="221"/>
      <c r="EL235" s="221"/>
      <c r="EM235" s="221"/>
      <c r="EN235" s="221"/>
      <c r="EO235" s="221"/>
      <c r="EP235" s="221"/>
      <c r="EQ235" s="221"/>
      <c r="ER235" s="221"/>
      <c r="ES235" s="221"/>
      <c r="ET235" s="221"/>
      <c r="EU235" s="221"/>
      <c r="EV235" s="221"/>
      <c r="EW235" s="221"/>
      <c r="EX235" s="221"/>
      <c r="EY235" s="221"/>
      <c r="EZ235" s="221"/>
      <c r="FA235" s="221"/>
      <c r="FB235" s="221"/>
      <c r="FC235" s="221"/>
      <c r="FD235" s="221"/>
      <c r="FE235" s="221"/>
      <c r="FF235" s="221"/>
      <c r="FG235" s="221"/>
      <c r="FH235" s="221"/>
      <c r="FI235" s="221"/>
      <c r="FJ235" s="221"/>
      <c r="FK235" s="221"/>
      <c r="FL235" s="221"/>
      <c r="FM235" s="221"/>
      <c r="FN235" s="221"/>
      <c r="FO235" s="221"/>
      <c r="FP235" s="221"/>
      <c r="FQ235" s="221"/>
      <c r="FR235" s="221"/>
      <c r="FS235" s="221"/>
      <c r="FT235" s="221"/>
      <c r="FU235" s="221"/>
      <c r="FV235" s="221"/>
      <c r="FW235" s="221"/>
      <c r="FX235" s="221"/>
      <c r="FY235" s="221"/>
      <c r="FZ235" s="221"/>
      <c r="GA235" s="221"/>
      <c r="GB235" s="221"/>
      <c r="GC235" s="221"/>
      <c r="GD235" s="221"/>
      <c r="GE235" s="221"/>
      <c r="GF235" s="221"/>
      <c r="GG235" s="221"/>
      <c r="GH235" s="221"/>
      <c r="GI235" s="221"/>
      <c r="GJ235" s="221"/>
      <c r="GK235" s="221"/>
      <c r="GL235" s="221"/>
      <c r="GM235" s="221"/>
      <c r="GN235" s="221"/>
      <c r="GO235" s="221"/>
      <c r="GP235" s="221"/>
      <c r="GQ235" s="221"/>
      <c r="GR235" s="221"/>
      <c r="GS235" s="221"/>
      <c r="GT235" s="221"/>
      <c r="GU235" s="221"/>
      <c r="GV235" s="221"/>
      <c r="GW235" s="221"/>
      <c r="GX235" s="221"/>
      <c r="GY235" s="221"/>
      <c r="GZ235" s="221"/>
      <c r="HA235" s="221"/>
      <c r="HB235" s="221"/>
      <c r="HC235" s="221"/>
      <c r="HD235" s="221"/>
      <c r="HE235" s="221"/>
      <c r="HF235" s="221"/>
      <c r="HG235" s="221"/>
      <c r="HH235" s="221"/>
      <c r="HI235" s="221"/>
      <c r="HJ235" s="221"/>
      <c r="HK235" s="221"/>
      <c r="HL235" s="221"/>
      <c r="HM235" s="221"/>
      <c r="HN235" s="221"/>
      <c r="HO235" s="221"/>
      <c r="HP235" s="221"/>
      <c r="HQ235" s="221"/>
      <c r="HR235" s="221"/>
      <c r="HS235" s="221"/>
      <c r="HT235" s="221"/>
      <c r="HU235" s="221"/>
      <c r="HV235" s="221"/>
      <c r="HW235" s="221"/>
      <c r="HX235" s="221"/>
      <c r="HY235" s="221"/>
      <c r="HZ235" s="221"/>
      <c r="IA235" s="221"/>
      <c r="IB235" s="221"/>
      <c r="IC235" s="221"/>
      <c r="ID235" s="221"/>
      <c r="IE235" s="221"/>
      <c r="IF235" s="221"/>
      <c r="IG235" s="221"/>
      <c r="IH235" s="221"/>
      <c r="II235" s="221"/>
      <c r="IJ235" s="221"/>
      <c r="IK235" s="221"/>
      <c r="IL235" s="221"/>
      <c r="IM235" s="221"/>
      <c r="IN235" s="221"/>
      <c r="IO235" s="221"/>
      <c r="IP235" s="221"/>
      <c r="IQ235" s="221"/>
      <c r="IR235" s="221"/>
      <c r="IS235" s="221"/>
      <c r="IT235" s="221"/>
      <c r="IU235" s="221"/>
      <c r="IV235" s="221"/>
      <c r="IW235" s="221"/>
      <c r="IX235" s="221"/>
      <c r="IY235" s="221"/>
      <c r="IZ235" s="221"/>
      <c r="JA235" s="221"/>
      <c r="JB235" s="221"/>
      <c r="JC235" s="221"/>
      <c r="JD235" s="221"/>
      <c r="JE235" s="221"/>
      <c r="JF235" s="221"/>
      <c r="JG235" s="221"/>
      <c r="JH235" s="221"/>
      <c r="JI235" s="221"/>
      <c r="JJ235" s="221"/>
      <c r="JK235" s="221"/>
      <c r="JL235" s="221"/>
      <c r="JM235" s="221"/>
      <c r="JN235" s="221"/>
      <c r="JO235" s="221"/>
      <c r="JP235" s="221"/>
      <c r="JQ235" s="221"/>
    </row>
    <row r="236" spans="1:277" ht="20" customHeight="1" outlineLevel="1">
      <c r="A236" s="456">
        <v>1905026</v>
      </c>
      <c r="B236" s="439">
        <v>42139</v>
      </c>
      <c r="C236" s="514" t="s">
        <v>1748</v>
      </c>
      <c r="D236" s="514" t="s">
        <v>1259</v>
      </c>
      <c r="E236" s="539" t="s">
        <v>538</v>
      </c>
      <c r="F236" s="531" t="s">
        <v>47</v>
      </c>
      <c r="G236" s="514" t="s">
        <v>1901</v>
      </c>
      <c r="H236" s="514" t="s">
        <v>1314</v>
      </c>
      <c r="I236" s="443">
        <v>192025</v>
      </c>
      <c r="J236" s="514" t="s">
        <v>62</v>
      </c>
      <c r="K236" s="514" t="s">
        <v>50</v>
      </c>
      <c r="L236" s="448">
        <v>104193750</v>
      </c>
      <c r="M236" s="439">
        <v>42143</v>
      </c>
      <c r="N236" s="514" t="s">
        <v>1902</v>
      </c>
      <c r="O236" s="514" t="s">
        <v>1876</v>
      </c>
      <c r="P236" s="516"/>
      <c r="Q236" s="629"/>
      <c r="R236" s="589">
        <v>0</v>
      </c>
      <c r="S236" s="590">
        <v>0</v>
      </c>
      <c r="T236" s="604">
        <v>0</v>
      </c>
      <c r="U236" s="596">
        <v>0</v>
      </c>
      <c r="V236" s="590">
        <v>0</v>
      </c>
      <c r="W236" s="604">
        <v>0</v>
      </c>
      <c r="X236" s="596">
        <v>0</v>
      </c>
      <c r="Y236" s="590">
        <v>0</v>
      </c>
      <c r="Z236" s="604">
        <v>0</v>
      </c>
      <c r="AA236" s="596">
        <v>0</v>
      </c>
      <c r="AB236" s="590">
        <v>0</v>
      </c>
      <c r="AC236" s="604">
        <v>0</v>
      </c>
      <c r="AD236" s="596">
        <v>0</v>
      </c>
      <c r="AE236" s="594">
        <v>0</v>
      </c>
      <c r="AF236" s="594">
        <v>0</v>
      </c>
      <c r="AG236" s="590">
        <v>1</v>
      </c>
      <c r="AH236" s="604">
        <v>0</v>
      </c>
      <c r="AI236" s="610">
        <v>0</v>
      </c>
      <c r="AJ236" s="610">
        <v>0</v>
      </c>
      <c r="AK236" s="629"/>
      <c r="AL236" s="531" t="s">
        <v>1725</v>
      </c>
      <c r="AM236" s="514" t="s">
        <v>157</v>
      </c>
      <c r="AN236" s="612">
        <f>1*PRODUCTS!C3</f>
        <v>63.99</v>
      </c>
      <c r="AO236" s="440" t="s">
        <v>1921</v>
      </c>
      <c r="AP236" s="37">
        <v>99.17</v>
      </c>
      <c r="AQ236" s="795">
        <f t="shared" ref="AQ236" si="24">AP236-AN236</f>
        <v>35.18</v>
      </c>
      <c r="AR236" s="835">
        <f t="shared" si="21"/>
        <v>0.35474437834022388</v>
      </c>
      <c r="AS236" s="821" t="s">
        <v>1314</v>
      </c>
      <c r="AT236" s="514" t="s">
        <v>1254</v>
      </c>
      <c r="AU236" s="448">
        <v>1</v>
      </c>
      <c r="AV236" s="252" t="s">
        <v>1508</v>
      </c>
      <c r="AW236" s="259" t="s">
        <v>1296</v>
      </c>
      <c r="AX236" s="612">
        <v>0</v>
      </c>
      <c r="AY236" s="448"/>
      <c r="AZ236" s="612">
        <v>7.31</v>
      </c>
      <c r="BA236" s="256" t="s">
        <v>1802</v>
      </c>
      <c r="BB236" s="41">
        <f t="shared" ref="BB236" si="25">(AP236-8)*6%</f>
        <v>5.4702000000000002</v>
      </c>
      <c r="BC236" s="448"/>
      <c r="BD236" s="448"/>
      <c r="BE236" s="448"/>
      <c r="BF236" s="448"/>
      <c r="BG236" s="448"/>
      <c r="BH236" s="221"/>
      <c r="BI236" s="221"/>
      <c r="BJ236" s="221"/>
      <c r="BK236" s="221"/>
      <c r="BL236" s="221"/>
      <c r="BM236" s="221"/>
      <c r="BN236" s="221"/>
      <c r="BO236" s="221"/>
      <c r="BP236" s="221"/>
      <c r="BQ236" s="221"/>
      <c r="BR236" s="221"/>
      <c r="BS236" s="221"/>
      <c r="BT236" s="221"/>
      <c r="BU236" s="221"/>
      <c r="BV236" s="221"/>
      <c r="BW236" s="221"/>
      <c r="BX236" s="221"/>
      <c r="BY236" s="221"/>
      <c r="BZ236" s="221"/>
      <c r="CA236" s="221"/>
      <c r="CB236" s="221"/>
      <c r="CC236" s="221"/>
      <c r="CD236" s="221"/>
      <c r="CE236" s="221"/>
      <c r="CF236" s="221"/>
      <c r="CG236" s="221"/>
      <c r="CH236" s="221"/>
      <c r="CI236" s="221"/>
      <c r="CJ236" s="221"/>
      <c r="CK236" s="221"/>
      <c r="CL236" s="221"/>
      <c r="CM236" s="221"/>
      <c r="CN236" s="221"/>
      <c r="CO236" s="221"/>
      <c r="CP236" s="221"/>
      <c r="CQ236" s="221"/>
      <c r="CR236" s="221"/>
      <c r="CS236" s="221"/>
      <c r="CT236" s="221"/>
      <c r="CU236" s="221"/>
      <c r="CV236" s="221"/>
      <c r="CW236" s="221"/>
      <c r="CX236" s="221"/>
      <c r="CY236" s="221"/>
      <c r="CZ236" s="221"/>
      <c r="DA236" s="221"/>
      <c r="DB236" s="221"/>
      <c r="DC236" s="221"/>
      <c r="DD236" s="221"/>
      <c r="DE236" s="221"/>
      <c r="DF236" s="221"/>
      <c r="DG236" s="221"/>
      <c r="DH236" s="221"/>
      <c r="DI236" s="221"/>
      <c r="DJ236" s="221"/>
      <c r="DK236" s="221"/>
      <c r="DL236" s="221"/>
      <c r="DM236" s="221"/>
      <c r="DN236" s="221"/>
      <c r="DO236" s="221"/>
      <c r="DP236" s="221"/>
      <c r="DQ236" s="221"/>
      <c r="DR236" s="221"/>
      <c r="DS236" s="221"/>
      <c r="DT236" s="221"/>
      <c r="DU236" s="221"/>
      <c r="DV236" s="221"/>
      <c r="DW236" s="221"/>
      <c r="DX236" s="221"/>
      <c r="DY236" s="221"/>
      <c r="DZ236" s="221"/>
      <c r="EA236" s="221"/>
      <c r="EB236" s="221"/>
      <c r="EC236" s="221"/>
      <c r="ED236" s="221"/>
      <c r="EE236" s="221"/>
      <c r="EF236" s="221"/>
      <c r="EG236" s="221"/>
      <c r="EH236" s="221"/>
      <c r="EI236" s="221"/>
      <c r="EJ236" s="221"/>
      <c r="EK236" s="221"/>
      <c r="EL236" s="221"/>
      <c r="EM236" s="221"/>
      <c r="EN236" s="221"/>
      <c r="EO236" s="221"/>
      <c r="EP236" s="221"/>
      <c r="EQ236" s="221"/>
      <c r="ER236" s="221"/>
      <c r="ES236" s="221"/>
      <c r="ET236" s="221"/>
      <c r="EU236" s="221"/>
      <c r="EV236" s="221"/>
      <c r="EW236" s="221"/>
      <c r="EX236" s="221"/>
      <c r="EY236" s="221"/>
      <c r="EZ236" s="221"/>
      <c r="FA236" s="221"/>
      <c r="FB236" s="221"/>
      <c r="FC236" s="221"/>
      <c r="FD236" s="221"/>
      <c r="FE236" s="221"/>
      <c r="FF236" s="221"/>
      <c r="FG236" s="221"/>
      <c r="FH236" s="221"/>
      <c r="FI236" s="221"/>
      <c r="FJ236" s="221"/>
      <c r="FK236" s="221"/>
      <c r="FL236" s="221"/>
      <c r="FM236" s="221"/>
      <c r="FN236" s="221"/>
      <c r="FO236" s="221"/>
      <c r="FP236" s="221"/>
      <c r="FQ236" s="221"/>
      <c r="FR236" s="221"/>
      <c r="FS236" s="221"/>
      <c r="FT236" s="221"/>
      <c r="FU236" s="221"/>
      <c r="FV236" s="221"/>
      <c r="FW236" s="221"/>
      <c r="FX236" s="221"/>
      <c r="FY236" s="221"/>
      <c r="FZ236" s="221"/>
      <c r="GA236" s="221"/>
      <c r="GB236" s="221"/>
      <c r="GC236" s="221"/>
      <c r="GD236" s="221"/>
      <c r="GE236" s="221"/>
      <c r="GF236" s="221"/>
      <c r="GG236" s="221"/>
      <c r="GH236" s="221"/>
      <c r="GI236" s="221"/>
      <c r="GJ236" s="221"/>
      <c r="GK236" s="221"/>
      <c r="GL236" s="221"/>
      <c r="GM236" s="221"/>
      <c r="GN236" s="221"/>
      <c r="GO236" s="221"/>
      <c r="GP236" s="221"/>
      <c r="GQ236" s="221"/>
      <c r="GR236" s="221"/>
      <c r="GS236" s="221"/>
      <c r="GT236" s="221"/>
      <c r="GU236" s="221"/>
      <c r="GV236" s="221"/>
      <c r="GW236" s="221"/>
      <c r="GX236" s="221"/>
      <c r="GY236" s="221"/>
      <c r="GZ236" s="221"/>
      <c r="HA236" s="221"/>
      <c r="HB236" s="221"/>
      <c r="HC236" s="221"/>
      <c r="HD236" s="221"/>
      <c r="HE236" s="221"/>
      <c r="HF236" s="221"/>
      <c r="HG236" s="221"/>
      <c r="HH236" s="221"/>
      <c r="HI236" s="221"/>
      <c r="HJ236" s="221"/>
      <c r="HK236" s="221"/>
      <c r="HL236" s="221"/>
      <c r="HM236" s="221"/>
      <c r="HN236" s="221"/>
      <c r="HO236" s="221"/>
      <c r="HP236" s="221"/>
      <c r="HQ236" s="221"/>
      <c r="HR236" s="221"/>
      <c r="HS236" s="221"/>
      <c r="HT236" s="221"/>
      <c r="HU236" s="221"/>
      <c r="HV236" s="221"/>
      <c r="HW236" s="221"/>
      <c r="HX236" s="221"/>
      <c r="HY236" s="221"/>
      <c r="HZ236" s="221"/>
      <c r="IA236" s="221"/>
      <c r="IB236" s="221"/>
      <c r="IC236" s="221"/>
      <c r="ID236" s="221"/>
      <c r="IE236" s="221"/>
      <c r="IF236" s="221"/>
      <c r="IG236" s="221"/>
      <c r="IH236" s="221"/>
      <c r="II236" s="221"/>
      <c r="IJ236" s="221"/>
      <c r="IK236" s="221"/>
      <c r="IL236" s="221"/>
      <c r="IM236" s="221"/>
      <c r="IN236" s="221"/>
      <c r="IO236" s="221"/>
      <c r="IP236" s="221"/>
      <c r="IQ236" s="221"/>
      <c r="IR236" s="221"/>
      <c r="IS236" s="221"/>
      <c r="IT236" s="221"/>
      <c r="IU236" s="221"/>
      <c r="IV236" s="221"/>
      <c r="IW236" s="221"/>
      <c r="IX236" s="221"/>
      <c r="IY236" s="221"/>
      <c r="IZ236" s="221"/>
      <c r="JA236" s="221"/>
      <c r="JB236" s="221"/>
      <c r="JC236" s="221"/>
      <c r="JD236" s="221"/>
      <c r="JE236" s="221"/>
      <c r="JF236" s="221"/>
      <c r="JG236" s="221"/>
      <c r="JH236" s="221"/>
      <c r="JI236" s="221"/>
      <c r="JJ236" s="221"/>
      <c r="JK236" s="221"/>
      <c r="JL236" s="221"/>
      <c r="JM236" s="221"/>
      <c r="JN236" s="221"/>
      <c r="JO236" s="221"/>
      <c r="JP236" s="221"/>
      <c r="JQ236" s="221"/>
    </row>
    <row r="237" spans="1:277" ht="20" customHeight="1" outlineLevel="1">
      <c r="A237" s="456">
        <v>1905027</v>
      </c>
      <c r="B237" s="439">
        <v>42140</v>
      </c>
      <c r="C237" s="448" t="s">
        <v>44</v>
      </c>
      <c r="D237" s="448" t="s">
        <v>1259</v>
      </c>
      <c r="E237" s="538" t="s">
        <v>69</v>
      </c>
      <c r="F237" s="530" t="s">
        <v>47</v>
      </c>
      <c r="G237" s="448" t="s">
        <v>1912</v>
      </c>
      <c r="H237" s="448"/>
      <c r="I237" s="443" t="s">
        <v>155</v>
      </c>
      <c r="J237" s="448" t="s">
        <v>62</v>
      </c>
      <c r="K237" s="448" t="s">
        <v>1913</v>
      </c>
      <c r="L237" s="448"/>
      <c r="M237" s="448"/>
      <c r="N237" s="448" t="s">
        <v>345</v>
      </c>
      <c r="O237" s="448" t="s">
        <v>1914</v>
      </c>
      <c r="P237" s="516"/>
      <c r="Q237" s="629"/>
      <c r="R237" s="589">
        <v>3</v>
      </c>
      <c r="S237" s="590">
        <v>0</v>
      </c>
      <c r="T237" s="604">
        <v>0</v>
      </c>
      <c r="U237" s="596">
        <v>0</v>
      </c>
      <c r="V237" s="590">
        <v>0</v>
      </c>
      <c r="W237" s="604">
        <v>0</v>
      </c>
      <c r="X237" s="596">
        <v>0</v>
      </c>
      <c r="Y237" s="590">
        <v>0</v>
      </c>
      <c r="Z237" s="604">
        <v>0</v>
      </c>
      <c r="AA237" s="596">
        <v>0</v>
      </c>
      <c r="AB237" s="590">
        <v>0</v>
      </c>
      <c r="AC237" s="604">
        <v>0</v>
      </c>
      <c r="AD237" s="596">
        <v>0</v>
      </c>
      <c r="AE237" s="594">
        <v>0</v>
      </c>
      <c r="AF237" s="594">
        <v>0</v>
      </c>
      <c r="AG237" s="590">
        <v>0</v>
      </c>
      <c r="AH237" s="604">
        <v>0</v>
      </c>
      <c r="AI237" s="610">
        <v>0</v>
      </c>
      <c r="AJ237" s="610">
        <v>0</v>
      </c>
      <c r="AK237" s="629"/>
      <c r="AL237" s="530" t="s">
        <v>1300</v>
      </c>
      <c r="AM237" s="448"/>
      <c r="AN237" s="612">
        <f>3*PRODUCTS!G8</f>
        <v>24</v>
      </c>
      <c r="AO237" s="444"/>
      <c r="AP237" s="37">
        <f>3*15.6</f>
        <v>46.8</v>
      </c>
      <c r="AQ237" s="795">
        <f t="shared" si="13"/>
        <v>22.799999999999997</v>
      </c>
      <c r="AR237" s="835">
        <f t="shared" si="21"/>
        <v>0.48717948717948717</v>
      </c>
      <c r="AS237" s="821"/>
      <c r="AT237" s="448"/>
      <c r="AU237" s="448"/>
      <c r="AV237" s="448"/>
      <c r="AW237" s="448"/>
      <c r="AX237" s="612"/>
      <c r="AY237" s="448"/>
      <c r="AZ237" s="612"/>
      <c r="BA237" s="31" t="s">
        <v>47</v>
      </c>
      <c r="BB237" s="41">
        <v>0</v>
      </c>
      <c r="BC237" s="448"/>
      <c r="BD237" s="448"/>
      <c r="BE237" s="448"/>
      <c r="BF237" s="448"/>
      <c r="BG237" s="448"/>
      <c r="BH237" s="221"/>
      <c r="BI237" s="221"/>
      <c r="BJ237" s="221"/>
      <c r="BK237" s="221"/>
      <c r="BL237" s="221"/>
      <c r="BM237" s="221"/>
      <c r="BN237" s="221"/>
      <c r="BO237" s="221"/>
      <c r="BP237" s="221"/>
      <c r="BQ237" s="221"/>
      <c r="BR237" s="221"/>
      <c r="BS237" s="221"/>
      <c r="BT237" s="221"/>
      <c r="BU237" s="221"/>
      <c r="BV237" s="221"/>
      <c r="BW237" s="221"/>
      <c r="BX237" s="221"/>
      <c r="BY237" s="221"/>
      <c r="BZ237" s="221"/>
      <c r="CA237" s="221"/>
      <c r="CB237" s="221"/>
      <c r="CC237" s="221"/>
      <c r="CD237" s="221"/>
      <c r="CE237" s="221"/>
      <c r="CF237" s="221"/>
      <c r="CG237" s="221"/>
      <c r="CH237" s="221"/>
      <c r="CI237" s="221"/>
      <c r="CJ237" s="221"/>
      <c r="CK237" s="221"/>
      <c r="CL237" s="221"/>
      <c r="CM237" s="221"/>
      <c r="CN237" s="221"/>
      <c r="CO237" s="221"/>
      <c r="CP237" s="221"/>
      <c r="CQ237" s="221"/>
      <c r="CR237" s="221"/>
      <c r="CS237" s="221"/>
      <c r="CT237" s="221"/>
      <c r="CU237" s="221"/>
      <c r="CV237" s="221"/>
      <c r="CW237" s="221"/>
      <c r="CX237" s="221"/>
      <c r="CY237" s="221"/>
      <c r="CZ237" s="221"/>
      <c r="DA237" s="221"/>
      <c r="DB237" s="221"/>
      <c r="DC237" s="221"/>
      <c r="DD237" s="221"/>
      <c r="DE237" s="221"/>
      <c r="DF237" s="221"/>
      <c r="DG237" s="221"/>
      <c r="DH237" s="221"/>
      <c r="DI237" s="221"/>
      <c r="DJ237" s="221"/>
      <c r="DK237" s="221"/>
      <c r="DL237" s="221"/>
      <c r="DM237" s="221"/>
      <c r="DN237" s="221"/>
      <c r="DO237" s="221"/>
      <c r="DP237" s="221"/>
      <c r="DQ237" s="221"/>
      <c r="DR237" s="221"/>
      <c r="DS237" s="221"/>
      <c r="DT237" s="221"/>
      <c r="DU237" s="221"/>
      <c r="DV237" s="221"/>
      <c r="DW237" s="221"/>
      <c r="DX237" s="221"/>
      <c r="DY237" s="221"/>
      <c r="DZ237" s="221"/>
      <c r="EA237" s="221"/>
      <c r="EB237" s="221"/>
      <c r="EC237" s="221"/>
      <c r="ED237" s="221"/>
      <c r="EE237" s="221"/>
      <c r="EF237" s="221"/>
      <c r="EG237" s="221"/>
      <c r="EH237" s="221"/>
      <c r="EI237" s="221"/>
      <c r="EJ237" s="221"/>
      <c r="EK237" s="221"/>
      <c r="EL237" s="221"/>
      <c r="EM237" s="221"/>
      <c r="EN237" s="221"/>
      <c r="EO237" s="221"/>
      <c r="EP237" s="221"/>
      <c r="EQ237" s="221"/>
      <c r="ER237" s="221"/>
      <c r="ES237" s="221"/>
      <c r="ET237" s="221"/>
      <c r="EU237" s="221"/>
      <c r="EV237" s="221"/>
      <c r="EW237" s="221"/>
      <c r="EX237" s="221"/>
      <c r="EY237" s="221"/>
      <c r="EZ237" s="221"/>
      <c r="FA237" s="221"/>
      <c r="FB237" s="221"/>
      <c r="FC237" s="221"/>
      <c r="FD237" s="221"/>
      <c r="FE237" s="221"/>
      <c r="FF237" s="221"/>
      <c r="FG237" s="221"/>
      <c r="FH237" s="221"/>
      <c r="FI237" s="221"/>
      <c r="FJ237" s="221"/>
      <c r="FK237" s="221"/>
      <c r="FL237" s="221"/>
      <c r="FM237" s="221"/>
      <c r="FN237" s="221"/>
      <c r="FO237" s="221"/>
      <c r="FP237" s="221"/>
      <c r="FQ237" s="221"/>
      <c r="FR237" s="221"/>
      <c r="FS237" s="221"/>
      <c r="FT237" s="221"/>
      <c r="FU237" s="221"/>
      <c r="FV237" s="221"/>
      <c r="FW237" s="221"/>
      <c r="FX237" s="221"/>
      <c r="FY237" s="221"/>
      <c r="FZ237" s="221"/>
      <c r="GA237" s="221"/>
      <c r="GB237" s="221"/>
      <c r="GC237" s="221"/>
      <c r="GD237" s="221"/>
      <c r="GE237" s="221"/>
      <c r="GF237" s="221"/>
      <c r="GG237" s="221"/>
      <c r="GH237" s="221"/>
      <c r="GI237" s="221"/>
      <c r="GJ237" s="221"/>
      <c r="GK237" s="221"/>
      <c r="GL237" s="221"/>
      <c r="GM237" s="221"/>
      <c r="GN237" s="221"/>
      <c r="GO237" s="221"/>
      <c r="GP237" s="221"/>
      <c r="GQ237" s="221"/>
      <c r="GR237" s="221"/>
      <c r="GS237" s="221"/>
      <c r="GT237" s="221"/>
      <c r="GU237" s="221"/>
      <c r="GV237" s="221"/>
      <c r="GW237" s="221"/>
      <c r="GX237" s="221"/>
      <c r="GY237" s="221"/>
      <c r="GZ237" s="221"/>
      <c r="HA237" s="221"/>
      <c r="HB237" s="221"/>
      <c r="HC237" s="221"/>
      <c r="HD237" s="221"/>
      <c r="HE237" s="221"/>
      <c r="HF237" s="221"/>
      <c r="HG237" s="221"/>
      <c r="HH237" s="221"/>
      <c r="HI237" s="221"/>
      <c r="HJ237" s="221"/>
      <c r="HK237" s="221"/>
      <c r="HL237" s="221"/>
      <c r="HM237" s="221"/>
      <c r="HN237" s="221"/>
      <c r="HO237" s="221"/>
      <c r="HP237" s="221"/>
      <c r="HQ237" s="221"/>
      <c r="HR237" s="221"/>
      <c r="HS237" s="221"/>
      <c r="HT237" s="221"/>
      <c r="HU237" s="221"/>
      <c r="HV237" s="221"/>
      <c r="HW237" s="221"/>
      <c r="HX237" s="221"/>
      <c r="HY237" s="221"/>
      <c r="HZ237" s="221"/>
      <c r="IA237" s="221"/>
      <c r="IB237" s="221"/>
      <c r="IC237" s="221"/>
      <c r="ID237" s="221"/>
      <c r="IE237" s="221"/>
      <c r="IF237" s="221"/>
      <c r="IG237" s="221"/>
      <c r="IH237" s="221"/>
      <c r="II237" s="221"/>
      <c r="IJ237" s="221"/>
      <c r="IK237" s="221"/>
      <c r="IL237" s="221"/>
      <c r="IM237" s="221"/>
      <c r="IN237" s="221"/>
      <c r="IO237" s="221"/>
      <c r="IP237" s="221"/>
      <c r="IQ237" s="221"/>
      <c r="IR237" s="221"/>
      <c r="IS237" s="221"/>
      <c r="IT237" s="221"/>
      <c r="IU237" s="221"/>
      <c r="IV237" s="221"/>
      <c r="IW237" s="221"/>
      <c r="IX237" s="221"/>
      <c r="IY237" s="221"/>
      <c r="IZ237" s="221"/>
      <c r="JA237" s="221"/>
      <c r="JB237" s="221"/>
      <c r="JC237" s="221"/>
      <c r="JD237" s="221"/>
      <c r="JE237" s="221"/>
      <c r="JF237" s="221"/>
      <c r="JG237" s="221"/>
      <c r="JH237" s="221"/>
      <c r="JI237" s="221"/>
      <c r="JJ237" s="221"/>
      <c r="JK237" s="221"/>
      <c r="JL237" s="221"/>
      <c r="JM237" s="221"/>
      <c r="JN237" s="221"/>
      <c r="JO237" s="221"/>
      <c r="JP237" s="221"/>
      <c r="JQ237" s="221"/>
    </row>
    <row r="238" spans="1:277" ht="20" customHeight="1" outlineLevel="1">
      <c r="A238" s="456">
        <v>1905028</v>
      </c>
      <c r="B238" s="439">
        <v>42140</v>
      </c>
      <c r="C238" s="448" t="s">
        <v>44</v>
      </c>
      <c r="D238" s="448" t="s">
        <v>1259</v>
      </c>
      <c r="E238" s="538" t="s">
        <v>500</v>
      </c>
      <c r="F238" s="530" t="s">
        <v>47</v>
      </c>
      <c r="G238" s="514" t="s">
        <v>1916</v>
      </c>
      <c r="H238" s="448"/>
      <c r="I238" s="443" t="s">
        <v>155</v>
      </c>
      <c r="J238" s="514" t="s">
        <v>1269</v>
      </c>
      <c r="K238" s="514" t="s">
        <v>50</v>
      </c>
      <c r="L238" s="448"/>
      <c r="M238" s="448"/>
      <c r="N238" s="448" t="s">
        <v>1398</v>
      </c>
      <c r="O238" s="448" t="s">
        <v>1915</v>
      </c>
      <c r="P238" s="516"/>
      <c r="Q238" s="629"/>
      <c r="R238" s="589">
        <v>0</v>
      </c>
      <c r="S238" s="590">
        <v>0</v>
      </c>
      <c r="T238" s="604">
        <v>0</v>
      </c>
      <c r="U238" s="596">
        <v>0</v>
      </c>
      <c r="V238" s="590">
        <v>0</v>
      </c>
      <c r="W238" s="604">
        <v>0</v>
      </c>
      <c r="X238" s="596">
        <v>0</v>
      </c>
      <c r="Y238" s="590">
        <v>0</v>
      </c>
      <c r="Z238" s="604">
        <v>0</v>
      </c>
      <c r="AA238" s="596">
        <v>0</v>
      </c>
      <c r="AB238" s="590">
        <v>0</v>
      </c>
      <c r="AC238" s="604">
        <v>0</v>
      </c>
      <c r="AD238" s="596">
        <v>0</v>
      </c>
      <c r="AE238" s="594">
        <v>5</v>
      </c>
      <c r="AF238" s="594">
        <v>1</v>
      </c>
      <c r="AG238" s="590">
        <v>0</v>
      </c>
      <c r="AH238" s="604">
        <v>0</v>
      </c>
      <c r="AI238" s="610">
        <v>0</v>
      </c>
      <c r="AJ238" s="610">
        <v>0</v>
      </c>
      <c r="AK238" s="629"/>
      <c r="AL238" s="531" t="s">
        <v>78</v>
      </c>
      <c r="AM238" s="448" t="s">
        <v>1940</v>
      </c>
      <c r="AN238" s="612">
        <f>64.5+25.17</f>
        <v>89.67</v>
      </c>
      <c r="AO238" s="444" t="s">
        <v>1945</v>
      </c>
      <c r="AP238" s="37">
        <v>140.91999999999999</v>
      </c>
      <c r="AQ238" s="795">
        <f t="shared" si="13"/>
        <v>51.249999999999986</v>
      </c>
      <c r="AR238" s="835">
        <f t="shared" si="21"/>
        <v>0.36368152143059884</v>
      </c>
      <c r="AS238" s="821"/>
      <c r="AT238" s="448" t="s">
        <v>1254</v>
      </c>
      <c r="AU238" s="448">
        <v>1</v>
      </c>
      <c r="AV238" s="448">
        <v>0</v>
      </c>
      <c r="AW238" s="448">
        <v>0</v>
      </c>
      <c r="AX238" s="612">
        <v>0</v>
      </c>
      <c r="AY238" s="448" t="s">
        <v>118</v>
      </c>
      <c r="AZ238" s="612">
        <v>0</v>
      </c>
      <c r="BA238" s="31" t="s">
        <v>47</v>
      </c>
      <c r="BB238" s="41">
        <v>0</v>
      </c>
      <c r="BC238" s="448"/>
      <c r="BD238" s="448"/>
      <c r="BE238" s="448"/>
      <c r="BF238" s="448"/>
      <c r="BG238" s="448"/>
      <c r="BH238" s="221"/>
      <c r="BI238" s="221"/>
      <c r="BJ238" s="221"/>
      <c r="BK238" s="221"/>
      <c r="BL238" s="221"/>
      <c r="BM238" s="221"/>
      <c r="BN238" s="221"/>
      <c r="BO238" s="221"/>
      <c r="BP238" s="221"/>
      <c r="BQ238" s="221"/>
      <c r="BR238" s="221"/>
      <c r="BS238" s="221"/>
      <c r="BT238" s="221"/>
      <c r="BU238" s="221"/>
      <c r="BV238" s="221"/>
      <c r="BW238" s="221"/>
      <c r="BX238" s="221"/>
      <c r="BY238" s="221"/>
      <c r="BZ238" s="221"/>
      <c r="CA238" s="221"/>
      <c r="CB238" s="221"/>
      <c r="CC238" s="221"/>
      <c r="CD238" s="221"/>
      <c r="CE238" s="221"/>
      <c r="CF238" s="221"/>
      <c r="CG238" s="221"/>
      <c r="CH238" s="221"/>
      <c r="CI238" s="221"/>
      <c r="CJ238" s="221"/>
      <c r="CK238" s="221"/>
      <c r="CL238" s="221"/>
      <c r="CM238" s="221"/>
      <c r="CN238" s="221"/>
      <c r="CO238" s="221"/>
      <c r="CP238" s="221"/>
      <c r="CQ238" s="221"/>
      <c r="CR238" s="221"/>
      <c r="CS238" s="221"/>
      <c r="CT238" s="221"/>
      <c r="CU238" s="221"/>
      <c r="CV238" s="221"/>
      <c r="CW238" s="221"/>
      <c r="CX238" s="221"/>
      <c r="CY238" s="221"/>
      <c r="CZ238" s="221"/>
      <c r="DA238" s="221"/>
      <c r="DB238" s="221"/>
      <c r="DC238" s="221"/>
      <c r="DD238" s="221"/>
      <c r="DE238" s="221"/>
      <c r="DF238" s="221"/>
      <c r="DG238" s="221"/>
      <c r="DH238" s="221"/>
      <c r="DI238" s="221"/>
      <c r="DJ238" s="221"/>
      <c r="DK238" s="221"/>
      <c r="DL238" s="221"/>
      <c r="DM238" s="221"/>
      <c r="DN238" s="221"/>
      <c r="DO238" s="221"/>
      <c r="DP238" s="221"/>
      <c r="DQ238" s="221"/>
      <c r="DR238" s="221"/>
      <c r="DS238" s="221"/>
      <c r="DT238" s="221"/>
      <c r="DU238" s="221"/>
      <c r="DV238" s="221"/>
      <c r="DW238" s="221"/>
      <c r="DX238" s="221"/>
      <c r="DY238" s="221"/>
      <c r="DZ238" s="221"/>
      <c r="EA238" s="221"/>
      <c r="EB238" s="221"/>
      <c r="EC238" s="221"/>
      <c r="ED238" s="221"/>
      <c r="EE238" s="221"/>
      <c r="EF238" s="221"/>
      <c r="EG238" s="221"/>
      <c r="EH238" s="221"/>
      <c r="EI238" s="221"/>
      <c r="EJ238" s="221"/>
      <c r="EK238" s="221"/>
      <c r="EL238" s="221"/>
      <c r="EM238" s="221"/>
      <c r="EN238" s="221"/>
      <c r="EO238" s="221"/>
      <c r="EP238" s="221"/>
      <c r="EQ238" s="221"/>
      <c r="ER238" s="221"/>
      <c r="ES238" s="221"/>
      <c r="ET238" s="221"/>
      <c r="EU238" s="221"/>
      <c r="EV238" s="221"/>
      <c r="EW238" s="221"/>
      <c r="EX238" s="221"/>
      <c r="EY238" s="221"/>
      <c r="EZ238" s="221"/>
      <c r="FA238" s="221"/>
      <c r="FB238" s="221"/>
      <c r="FC238" s="221"/>
      <c r="FD238" s="221"/>
      <c r="FE238" s="221"/>
      <c r="FF238" s="221"/>
      <c r="FG238" s="221"/>
      <c r="FH238" s="221"/>
      <c r="FI238" s="221"/>
      <c r="FJ238" s="221"/>
      <c r="FK238" s="221"/>
      <c r="FL238" s="221"/>
      <c r="FM238" s="221"/>
      <c r="FN238" s="221"/>
      <c r="FO238" s="221"/>
      <c r="FP238" s="221"/>
      <c r="FQ238" s="221"/>
      <c r="FR238" s="221"/>
      <c r="FS238" s="221"/>
      <c r="FT238" s="221"/>
      <c r="FU238" s="221"/>
      <c r="FV238" s="221"/>
      <c r="FW238" s="221"/>
      <c r="FX238" s="221"/>
      <c r="FY238" s="221"/>
      <c r="FZ238" s="221"/>
      <c r="GA238" s="221"/>
      <c r="GB238" s="221"/>
      <c r="GC238" s="221"/>
      <c r="GD238" s="221"/>
      <c r="GE238" s="221"/>
      <c r="GF238" s="221"/>
      <c r="GG238" s="221"/>
      <c r="GH238" s="221"/>
      <c r="GI238" s="221"/>
      <c r="GJ238" s="221"/>
      <c r="GK238" s="221"/>
      <c r="GL238" s="221"/>
      <c r="GM238" s="221"/>
      <c r="GN238" s="221"/>
      <c r="GO238" s="221"/>
      <c r="GP238" s="221"/>
      <c r="GQ238" s="221"/>
      <c r="GR238" s="221"/>
      <c r="GS238" s="221"/>
      <c r="GT238" s="221"/>
      <c r="GU238" s="221"/>
      <c r="GV238" s="221"/>
      <c r="GW238" s="221"/>
      <c r="GX238" s="221"/>
      <c r="GY238" s="221"/>
      <c r="GZ238" s="221"/>
      <c r="HA238" s="221"/>
      <c r="HB238" s="221"/>
      <c r="HC238" s="221"/>
      <c r="HD238" s="221"/>
      <c r="HE238" s="221"/>
      <c r="HF238" s="221"/>
      <c r="HG238" s="221"/>
      <c r="HH238" s="221"/>
      <c r="HI238" s="221"/>
      <c r="HJ238" s="221"/>
      <c r="HK238" s="221"/>
      <c r="HL238" s="221"/>
      <c r="HM238" s="221"/>
      <c r="HN238" s="221"/>
      <c r="HO238" s="221"/>
      <c r="HP238" s="221"/>
      <c r="HQ238" s="221"/>
      <c r="HR238" s="221"/>
      <c r="HS238" s="221"/>
      <c r="HT238" s="221"/>
      <c r="HU238" s="221"/>
      <c r="HV238" s="221"/>
      <c r="HW238" s="221"/>
      <c r="HX238" s="221"/>
      <c r="HY238" s="221"/>
      <c r="HZ238" s="221"/>
      <c r="IA238" s="221"/>
      <c r="IB238" s="221"/>
      <c r="IC238" s="221"/>
      <c r="ID238" s="221"/>
      <c r="IE238" s="221"/>
      <c r="IF238" s="221"/>
      <c r="IG238" s="221"/>
      <c r="IH238" s="221"/>
      <c r="II238" s="221"/>
      <c r="IJ238" s="221"/>
      <c r="IK238" s="221"/>
      <c r="IL238" s="221"/>
      <c r="IM238" s="221"/>
      <c r="IN238" s="221"/>
      <c r="IO238" s="221"/>
      <c r="IP238" s="221"/>
      <c r="IQ238" s="221"/>
      <c r="IR238" s="221"/>
      <c r="IS238" s="221"/>
      <c r="IT238" s="221"/>
      <c r="IU238" s="221"/>
      <c r="IV238" s="221"/>
      <c r="IW238" s="221"/>
      <c r="IX238" s="221"/>
      <c r="IY238" s="221"/>
      <c r="IZ238" s="221"/>
      <c r="JA238" s="221"/>
      <c r="JB238" s="221"/>
      <c r="JC238" s="221"/>
      <c r="JD238" s="221"/>
      <c r="JE238" s="221"/>
      <c r="JF238" s="221"/>
      <c r="JG238" s="221"/>
      <c r="JH238" s="221"/>
      <c r="JI238" s="221"/>
      <c r="JJ238" s="221"/>
      <c r="JK238" s="221"/>
      <c r="JL238" s="221"/>
      <c r="JM238" s="221"/>
      <c r="JN238" s="221"/>
      <c r="JO238" s="221"/>
      <c r="JP238" s="221"/>
      <c r="JQ238" s="221"/>
    </row>
    <row r="239" spans="1:277" ht="20" customHeight="1" outlineLevel="1">
      <c r="A239" s="456">
        <v>1905029</v>
      </c>
      <c r="B239" s="611">
        <v>42143</v>
      </c>
      <c r="C239" s="514" t="s">
        <v>67</v>
      </c>
      <c r="D239" s="514" t="s">
        <v>96</v>
      </c>
      <c r="E239" s="539" t="s">
        <v>85</v>
      </c>
      <c r="F239" s="531" t="s">
        <v>1923</v>
      </c>
      <c r="G239" s="448"/>
      <c r="H239" s="448"/>
      <c r="I239" s="443" t="s">
        <v>47</v>
      </c>
      <c r="J239" s="514" t="s">
        <v>62</v>
      </c>
      <c r="K239" s="514" t="s">
        <v>50</v>
      </c>
      <c r="L239" s="448"/>
      <c r="M239" s="448"/>
      <c r="N239" s="514" t="s">
        <v>1924</v>
      </c>
      <c r="O239" s="514" t="s">
        <v>1925</v>
      </c>
      <c r="P239" s="516"/>
      <c r="Q239" s="629"/>
      <c r="R239" s="589">
        <v>0</v>
      </c>
      <c r="S239" s="590">
        <v>0</v>
      </c>
      <c r="T239" s="604">
        <v>2</v>
      </c>
      <c r="U239" s="596">
        <v>0</v>
      </c>
      <c r="V239" s="590">
        <v>0</v>
      </c>
      <c r="W239" s="604">
        <v>0</v>
      </c>
      <c r="X239" s="596">
        <v>0</v>
      </c>
      <c r="Y239" s="590">
        <v>0</v>
      </c>
      <c r="Z239" s="604">
        <v>5</v>
      </c>
      <c r="AA239" s="596">
        <v>0</v>
      </c>
      <c r="AB239" s="590">
        <v>0</v>
      </c>
      <c r="AC239" s="604">
        <v>0</v>
      </c>
      <c r="AD239" s="596">
        <v>0</v>
      </c>
      <c r="AE239" s="594">
        <v>0</v>
      </c>
      <c r="AF239" s="594">
        <v>0</v>
      </c>
      <c r="AG239" s="590">
        <v>0</v>
      </c>
      <c r="AH239" s="604">
        <v>0</v>
      </c>
      <c r="AI239" s="610">
        <v>0</v>
      </c>
      <c r="AJ239" s="610">
        <v>0</v>
      </c>
      <c r="AK239" s="629"/>
      <c r="AL239" s="531" t="s">
        <v>1262</v>
      </c>
      <c r="AM239" s="448"/>
      <c r="AN239" s="612">
        <v>0</v>
      </c>
      <c r="AO239" s="440"/>
      <c r="AP239" s="37">
        <v>0</v>
      </c>
      <c r="AQ239" s="795">
        <f t="shared" si="13"/>
        <v>0</v>
      </c>
      <c r="AR239" s="835" t="e">
        <f t="shared" si="21"/>
        <v>#DIV/0!</v>
      </c>
      <c r="AS239" s="821"/>
      <c r="AT239" s="448"/>
      <c r="AU239" s="448"/>
      <c r="AV239" s="448"/>
      <c r="AW239" s="448"/>
      <c r="AX239" s="612"/>
      <c r="AY239" s="448"/>
      <c r="AZ239" s="612"/>
      <c r="BA239" s="31" t="s">
        <v>47</v>
      </c>
      <c r="BB239" s="41">
        <v>0</v>
      </c>
      <c r="BC239" s="448"/>
      <c r="BD239" s="448"/>
      <c r="BE239" s="448"/>
      <c r="BF239" s="448"/>
      <c r="BG239" s="448"/>
      <c r="BH239" s="221"/>
      <c r="BI239" s="221"/>
      <c r="BJ239" s="221"/>
      <c r="BK239" s="221"/>
      <c r="BL239" s="221"/>
      <c r="BM239" s="221"/>
      <c r="BN239" s="221"/>
      <c r="BO239" s="221"/>
      <c r="BP239" s="221"/>
      <c r="BQ239" s="221"/>
      <c r="BR239" s="221"/>
      <c r="BS239" s="221"/>
      <c r="BT239" s="221"/>
      <c r="BU239" s="221"/>
      <c r="BV239" s="221"/>
      <c r="BW239" s="221"/>
      <c r="BX239" s="221"/>
      <c r="BY239" s="221"/>
      <c r="BZ239" s="221"/>
      <c r="CA239" s="221"/>
      <c r="CB239" s="221"/>
      <c r="CC239" s="221"/>
      <c r="CD239" s="221"/>
      <c r="CE239" s="221"/>
      <c r="CF239" s="221"/>
      <c r="CG239" s="221"/>
      <c r="CH239" s="221"/>
      <c r="CI239" s="221"/>
      <c r="CJ239" s="221"/>
      <c r="CK239" s="221"/>
      <c r="CL239" s="221"/>
      <c r="CM239" s="221"/>
      <c r="CN239" s="221"/>
      <c r="CO239" s="221"/>
      <c r="CP239" s="221"/>
      <c r="CQ239" s="221"/>
      <c r="CR239" s="221"/>
      <c r="CS239" s="221"/>
      <c r="CT239" s="221"/>
      <c r="CU239" s="221"/>
      <c r="CV239" s="221"/>
      <c r="CW239" s="221"/>
      <c r="CX239" s="221"/>
      <c r="CY239" s="221"/>
      <c r="CZ239" s="221"/>
      <c r="DA239" s="221"/>
      <c r="DB239" s="221"/>
      <c r="DC239" s="221"/>
      <c r="DD239" s="221"/>
      <c r="DE239" s="221"/>
      <c r="DF239" s="221"/>
      <c r="DG239" s="221"/>
      <c r="DH239" s="221"/>
      <c r="DI239" s="221"/>
      <c r="DJ239" s="221"/>
      <c r="DK239" s="221"/>
      <c r="DL239" s="221"/>
      <c r="DM239" s="221"/>
      <c r="DN239" s="221"/>
      <c r="DO239" s="221"/>
      <c r="DP239" s="221"/>
      <c r="DQ239" s="221"/>
      <c r="DR239" s="221"/>
      <c r="DS239" s="221"/>
      <c r="DT239" s="221"/>
      <c r="DU239" s="221"/>
      <c r="DV239" s="221"/>
      <c r="DW239" s="221"/>
      <c r="DX239" s="221"/>
      <c r="DY239" s="221"/>
      <c r="DZ239" s="221"/>
      <c r="EA239" s="221"/>
      <c r="EB239" s="221"/>
      <c r="EC239" s="221"/>
      <c r="ED239" s="221"/>
      <c r="EE239" s="221"/>
      <c r="EF239" s="221"/>
      <c r="EG239" s="221"/>
      <c r="EH239" s="221"/>
      <c r="EI239" s="221"/>
      <c r="EJ239" s="221"/>
      <c r="EK239" s="221"/>
      <c r="EL239" s="221"/>
      <c r="EM239" s="221"/>
      <c r="EN239" s="221"/>
      <c r="EO239" s="221"/>
      <c r="EP239" s="221"/>
      <c r="EQ239" s="221"/>
      <c r="ER239" s="221"/>
      <c r="ES239" s="221"/>
      <c r="ET239" s="221"/>
      <c r="EU239" s="221"/>
      <c r="EV239" s="221"/>
      <c r="EW239" s="221"/>
      <c r="EX239" s="221"/>
      <c r="EY239" s="221"/>
      <c r="EZ239" s="221"/>
      <c r="FA239" s="221"/>
      <c r="FB239" s="221"/>
      <c r="FC239" s="221"/>
      <c r="FD239" s="221"/>
      <c r="FE239" s="221"/>
      <c r="FF239" s="221"/>
      <c r="FG239" s="221"/>
      <c r="FH239" s="221"/>
      <c r="FI239" s="221"/>
      <c r="FJ239" s="221"/>
      <c r="FK239" s="221"/>
      <c r="FL239" s="221"/>
      <c r="FM239" s="221"/>
      <c r="FN239" s="221"/>
      <c r="FO239" s="221"/>
      <c r="FP239" s="221"/>
      <c r="FQ239" s="221"/>
      <c r="FR239" s="221"/>
      <c r="FS239" s="221"/>
      <c r="FT239" s="221"/>
      <c r="FU239" s="221"/>
      <c r="FV239" s="221"/>
      <c r="FW239" s="221"/>
      <c r="FX239" s="221"/>
      <c r="FY239" s="221"/>
      <c r="FZ239" s="221"/>
      <c r="GA239" s="221"/>
      <c r="GB239" s="221"/>
      <c r="GC239" s="221"/>
      <c r="GD239" s="221"/>
      <c r="GE239" s="221"/>
      <c r="GF239" s="221"/>
      <c r="GG239" s="221"/>
      <c r="GH239" s="221"/>
      <c r="GI239" s="221"/>
      <c r="GJ239" s="221"/>
      <c r="GK239" s="221"/>
      <c r="GL239" s="221"/>
      <c r="GM239" s="221"/>
      <c r="GN239" s="221"/>
      <c r="GO239" s="221"/>
      <c r="GP239" s="221"/>
      <c r="GQ239" s="221"/>
      <c r="GR239" s="221"/>
      <c r="GS239" s="221"/>
      <c r="GT239" s="221"/>
      <c r="GU239" s="221"/>
      <c r="GV239" s="221"/>
      <c r="GW239" s="221"/>
      <c r="GX239" s="221"/>
      <c r="GY239" s="221"/>
      <c r="GZ239" s="221"/>
      <c r="HA239" s="221"/>
      <c r="HB239" s="221"/>
      <c r="HC239" s="221"/>
      <c r="HD239" s="221"/>
      <c r="HE239" s="221"/>
      <c r="HF239" s="221"/>
      <c r="HG239" s="221"/>
      <c r="HH239" s="221"/>
      <c r="HI239" s="221"/>
      <c r="HJ239" s="221"/>
      <c r="HK239" s="221"/>
      <c r="HL239" s="221"/>
      <c r="HM239" s="221"/>
      <c r="HN239" s="221"/>
      <c r="HO239" s="221"/>
      <c r="HP239" s="221"/>
      <c r="HQ239" s="221"/>
      <c r="HR239" s="221"/>
      <c r="HS239" s="221"/>
      <c r="HT239" s="221"/>
      <c r="HU239" s="221"/>
      <c r="HV239" s="221"/>
      <c r="HW239" s="221"/>
      <c r="HX239" s="221"/>
      <c r="HY239" s="221"/>
      <c r="HZ239" s="221"/>
      <c r="IA239" s="221"/>
      <c r="IB239" s="221"/>
      <c r="IC239" s="221"/>
      <c r="ID239" s="221"/>
      <c r="IE239" s="221"/>
      <c r="IF239" s="221"/>
      <c r="IG239" s="221"/>
      <c r="IH239" s="221"/>
      <c r="II239" s="221"/>
      <c r="IJ239" s="221"/>
      <c r="IK239" s="221"/>
      <c r="IL239" s="221"/>
      <c r="IM239" s="221"/>
      <c r="IN239" s="221"/>
      <c r="IO239" s="221"/>
      <c r="IP239" s="221"/>
      <c r="IQ239" s="221"/>
      <c r="IR239" s="221"/>
      <c r="IS239" s="221"/>
      <c r="IT239" s="221"/>
      <c r="IU239" s="221"/>
      <c r="IV239" s="221"/>
      <c r="IW239" s="221"/>
      <c r="IX239" s="221"/>
      <c r="IY239" s="221"/>
      <c r="IZ239" s="221"/>
      <c r="JA239" s="221"/>
      <c r="JB239" s="221"/>
      <c r="JC239" s="221"/>
      <c r="JD239" s="221"/>
      <c r="JE239" s="221"/>
      <c r="JF239" s="221"/>
      <c r="JG239" s="221"/>
      <c r="JH239" s="221"/>
      <c r="JI239" s="221"/>
      <c r="JJ239" s="221"/>
      <c r="JK239" s="221"/>
      <c r="JL239" s="221"/>
      <c r="JM239" s="221"/>
      <c r="JN239" s="221"/>
      <c r="JO239" s="221"/>
      <c r="JP239" s="221"/>
      <c r="JQ239" s="221"/>
    </row>
    <row r="240" spans="1:277" ht="20" customHeight="1" outlineLevel="1">
      <c r="A240" s="456">
        <v>1905030</v>
      </c>
      <c r="B240" s="439">
        <v>42143</v>
      </c>
      <c r="C240" s="514" t="s">
        <v>67</v>
      </c>
      <c r="D240" s="514" t="s">
        <v>1259</v>
      </c>
      <c r="E240" s="539" t="s">
        <v>60</v>
      </c>
      <c r="F240" s="531" t="s">
        <v>1926</v>
      </c>
      <c r="G240" s="448"/>
      <c r="H240" s="448"/>
      <c r="I240" s="443"/>
      <c r="J240" s="514" t="s">
        <v>62</v>
      </c>
      <c r="K240" s="514" t="s">
        <v>50</v>
      </c>
      <c r="L240" s="448"/>
      <c r="M240" s="448"/>
      <c r="N240" s="514" t="s">
        <v>1927</v>
      </c>
      <c r="O240" s="514" t="s">
        <v>488</v>
      </c>
      <c r="P240" s="516"/>
      <c r="Q240" s="629"/>
      <c r="R240" s="589">
        <v>0</v>
      </c>
      <c r="S240" s="590">
        <v>0</v>
      </c>
      <c r="T240" s="604">
        <v>0</v>
      </c>
      <c r="U240" s="596">
        <v>0</v>
      </c>
      <c r="V240" s="590">
        <v>0</v>
      </c>
      <c r="W240" s="604">
        <v>2</v>
      </c>
      <c r="X240" s="596">
        <v>0</v>
      </c>
      <c r="Y240" s="590">
        <v>0</v>
      </c>
      <c r="Z240" s="604">
        <v>0</v>
      </c>
      <c r="AA240" s="596">
        <v>0</v>
      </c>
      <c r="AB240" s="590">
        <v>0</v>
      </c>
      <c r="AC240" s="604">
        <v>3</v>
      </c>
      <c r="AD240" s="596">
        <v>0</v>
      </c>
      <c r="AE240" s="594">
        <v>0</v>
      </c>
      <c r="AF240" s="594">
        <v>0</v>
      </c>
      <c r="AG240" s="590">
        <v>0</v>
      </c>
      <c r="AH240" s="604">
        <v>1</v>
      </c>
      <c r="AI240" s="610">
        <v>0</v>
      </c>
      <c r="AJ240" s="610">
        <v>0</v>
      </c>
      <c r="AK240" s="629"/>
      <c r="AL240" s="531" t="s">
        <v>1687</v>
      </c>
      <c r="AM240" s="448"/>
      <c r="AN240" s="612">
        <v>0</v>
      </c>
      <c r="AO240" s="444"/>
      <c r="AP240" s="37">
        <v>0</v>
      </c>
      <c r="AQ240" s="795">
        <f t="shared" si="13"/>
        <v>0</v>
      </c>
      <c r="AR240" s="835" t="e">
        <f t="shared" si="21"/>
        <v>#DIV/0!</v>
      </c>
      <c r="AS240" s="821"/>
      <c r="AT240" s="448"/>
      <c r="AU240" s="448"/>
      <c r="AV240" s="448"/>
      <c r="AW240" s="448"/>
      <c r="AX240" s="612"/>
      <c r="AY240" s="448"/>
      <c r="AZ240" s="612"/>
      <c r="BA240" s="31" t="s">
        <v>47</v>
      </c>
      <c r="BB240" s="41">
        <v>0</v>
      </c>
      <c r="BC240" s="448"/>
      <c r="BD240" s="448"/>
      <c r="BE240" s="448"/>
      <c r="BF240" s="448"/>
      <c r="BG240" s="448"/>
      <c r="BH240" s="221"/>
      <c r="BI240" s="221"/>
      <c r="BJ240" s="221"/>
      <c r="BK240" s="221"/>
      <c r="BL240" s="221"/>
      <c r="BM240" s="221"/>
      <c r="BN240" s="221"/>
      <c r="BO240" s="221"/>
      <c r="BP240" s="221"/>
      <c r="BQ240" s="221"/>
      <c r="BR240" s="221"/>
      <c r="BS240" s="221"/>
      <c r="BT240" s="221"/>
      <c r="BU240" s="221"/>
      <c r="BV240" s="221"/>
      <c r="BW240" s="221"/>
      <c r="BX240" s="221"/>
      <c r="BY240" s="221"/>
      <c r="BZ240" s="221"/>
      <c r="CA240" s="221"/>
      <c r="CB240" s="221"/>
      <c r="CC240" s="221"/>
      <c r="CD240" s="221"/>
      <c r="CE240" s="221"/>
      <c r="CF240" s="221"/>
      <c r="CG240" s="221"/>
      <c r="CH240" s="221"/>
      <c r="CI240" s="221"/>
      <c r="CJ240" s="221"/>
      <c r="CK240" s="221"/>
      <c r="CL240" s="221"/>
      <c r="CM240" s="221"/>
      <c r="CN240" s="221"/>
      <c r="CO240" s="221"/>
      <c r="CP240" s="221"/>
      <c r="CQ240" s="221"/>
      <c r="CR240" s="221"/>
      <c r="CS240" s="221"/>
      <c r="CT240" s="221"/>
      <c r="CU240" s="221"/>
      <c r="CV240" s="221"/>
      <c r="CW240" s="221"/>
      <c r="CX240" s="221"/>
      <c r="CY240" s="221"/>
      <c r="CZ240" s="221"/>
      <c r="DA240" s="221"/>
      <c r="DB240" s="221"/>
      <c r="DC240" s="221"/>
      <c r="DD240" s="221"/>
      <c r="DE240" s="221"/>
      <c r="DF240" s="221"/>
      <c r="DG240" s="221"/>
      <c r="DH240" s="221"/>
      <c r="DI240" s="221"/>
      <c r="DJ240" s="221"/>
      <c r="DK240" s="221"/>
      <c r="DL240" s="221"/>
      <c r="DM240" s="221"/>
      <c r="DN240" s="221"/>
      <c r="DO240" s="221"/>
      <c r="DP240" s="221"/>
      <c r="DQ240" s="221"/>
      <c r="DR240" s="221"/>
      <c r="DS240" s="221"/>
      <c r="DT240" s="221"/>
      <c r="DU240" s="221"/>
      <c r="DV240" s="221"/>
      <c r="DW240" s="221"/>
      <c r="DX240" s="221"/>
      <c r="DY240" s="221"/>
      <c r="DZ240" s="221"/>
      <c r="EA240" s="221"/>
      <c r="EB240" s="221"/>
      <c r="EC240" s="221"/>
      <c r="ED240" s="221"/>
      <c r="EE240" s="221"/>
      <c r="EF240" s="221"/>
      <c r="EG240" s="221"/>
      <c r="EH240" s="221"/>
      <c r="EI240" s="221"/>
      <c r="EJ240" s="221"/>
      <c r="EK240" s="221"/>
      <c r="EL240" s="221"/>
      <c r="EM240" s="221"/>
      <c r="EN240" s="221"/>
      <c r="EO240" s="221"/>
      <c r="EP240" s="221"/>
      <c r="EQ240" s="221"/>
      <c r="ER240" s="221"/>
      <c r="ES240" s="221"/>
      <c r="ET240" s="221"/>
      <c r="EU240" s="221"/>
      <c r="EV240" s="221"/>
      <c r="EW240" s="221"/>
      <c r="EX240" s="221"/>
      <c r="EY240" s="221"/>
      <c r="EZ240" s="221"/>
      <c r="FA240" s="221"/>
      <c r="FB240" s="221"/>
      <c r="FC240" s="221"/>
      <c r="FD240" s="221"/>
      <c r="FE240" s="221"/>
      <c r="FF240" s="221"/>
      <c r="FG240" s="221"/>
      <c r="FH240" s="221"/>
      <c r="FI240" s="221"/>
      <c r="FJ240" s="221"/>
      <c r="FK240" s="221"/>
      <c r="FL240" s="221"/>
      <c r="FM240" s="221"/>
      <c r="FN240" s="221"/>
      <c r="FO240" s="221"/>
      <c r="FP240" s="221"/>
      <c r="FQ240" s="221"/>
      <c r="FR240" s="221"/>
      <c r="FS240" s="221"/>
      <c r="FT240" s="221"/>
      <c r="FU240" s="221"/>
      <c r="FV240" s="221"/>
      <c r="FW240" s="221"/>
      <c r="FX240" s="221"/>
      <c r="FY240" s="221"/>
      <c r="FZ240" s="221"/>
      <c r="GA240" s="221"/>
      <c r="GB240" s="221"/>
      <c r="GC240" s="221"/>
      <c r="GD240" s="221"/>
      <c r="GE240" s="221"/>
      <c r="GF240" s="221"/>
      <c r="GG240" s="221"/>
      <c r="GH240" s="221"/>
      <c r="GI240" s="221"/>
      <c r="GJ240" s="221"/>
      <c r="GK240" s="221"/>
      <c r="GL240" s="221"/>
      <c r="GM240" s="221"/>
      <c r="GN240" s="221"/>
      <c r="GO240" s="221"/>
      <c r="GP240" s="221"/>
      <c r="GQ240" s="221"/>
      <c r="GR240" s="221"/>
      <c r="GS240" s="221"/>
      <c r="GT240" s="221"/>
      <c r="GU240" s="221"/>
      <c r="GV240" s="221"/>
      <c r="GW240" s="221"/>
      <c r="GX240" s="221"/>
      <c r="GY240" s="221"/>
      <c r="GZ240" s="221"/>
      <c r="HA240" s="221"/>
      <c r="HB240" s="221"/>
      <c r="HC240" s="221"/>
      <c r="HD240" s="221"/>
      <c r="HE240" s="221"/>
      <c r="HF240" s="221"/>
      <c r="HG240" s="221"/>
      <c r="HH240" s="221"/>
      <c r="HI240" s="221"/>
      <c r="HJ240" s="221"/>
      <c r="HK240" s="221"/>
      <c r="HL240" s="221"/>
      <c r="HM240" s="221"/>
      <c r="HN240" s="221"/>
      <c r="HO240" s="221"/>
      <c r="HP240" s="221"/>
      <c r="HQ240" s="221"/>
      <c r="HR240" s="221"/>
      <c r="HS240" s="221"/>
      <c r="HT240" s="221"/>
      <c r="HU240" s="221"/>
      <c r="HV240" s="221"/>
      <c r="HW240" s="221"/>
      <c r="HX240" s="221"/>
      <c r="HY240" s="221"/>
      <c r="HZ240" s="221"/>
      <c r="IA240" s="221"/>
      <c r="IB240" s="221"/>
      <c r="IC240" s="221"/>
      <c r="ID240" s="221"/>
      <c r="IE240" s="221"/>
      <c r="IF240" s="221"/>
      <c r="IG240" s="221"/>
      <c r="IH240" s="221"/>
      <c r="II240" s="221"/>
      <c r="IJ240" s="221"/>
      <c r="IK240" s="221"/>
      <c r="IL240" s="221"/>
      <c r="IM240" s="221"/>
      <c r="IN240" s="221"/>
      <c r="IO240" s="221"/>
      <c r="IP240" s="221"/>
      <c r="IQ240" s="221"/>
      <c r="IR240" s="221"/>
      <c r="IS240" s="221"/>
      <c r="IT240" s="221"/>
      <c r="IU240" s="221"/>
      <c r="IV240" s="221"/>
      <c r="IW240" s="221"/>
      <c r="IX240" s="221"/>
      <c r="IY240" s="221"/>
      <c r="IZ240" s="221"/>
      <c r="JA240" s="221"/>
      <c r="JB240" s="221"/>
      <c r="JC240" s="221"/>
      <c r="JD240" s="221"/>
      <c r="JE240" s="221"/>
      <c r="JF240" s="221"/>
      <c r="JG240" s="221"/>
      <c r="JH240" s="221"/>
      <c r="JI240" s="221"/>
      <c r="JJ240" s="221"/>
      <c r="JK240" s="221"/>
      <c r="JL240" s="221"/>
      <c r="JM240" s="221"/>
      <c r="JN240" s="221"/>
      <c r="JO240" s="221"/>
      <c r="JP240" s="221"/>
      <c r="JQ240" s="221"/>
    </row>
    <row r="241" spans="1:277" ht="20" customHeight="1" outlineLevel="1">
      <c r="A241" s="456">
        <v>1905031</v>
      </c>
      <c r="B241" s="439">
        <v>42145</v>
      </c>
      <c r="C241" s="448" t="s">
        <v>72</v>
      </c>
      <c r="D241" s="448" t="s">
        <v>1259</v>
      </c>
      <c r="E241" s="538" t="s">
        <v>204</v>
      </c>
      <c r="F241" s="530" t="s">
        <v>1928</v>
      </c>
      <c r="G241" s="448" t="s">
        <v>1931</v>
      </c>
      <c r="H241" s="439">
        <v>42146</v>
      </c>
      <c r="I241" s="443">
        <v>192130</v>
      </c>
      <c r="J241" s="448" t="s">
        <v>62</v>
      </c>
      <c r="K241" s="448" t="s">
        <v>50</v>
      </c>
      <c r="L241" s="448">
        <v>107074306</v>
      </c>
      <c r="M241" s="439">
        <v>42146</v>
      </c>
      <c r="N241" s="448" t="s">
        <v>1783</v>
      </c>
      <c r="O241" s="448" t="s">
        <v>1275</v>
      </c>
      <c r="P241" s="516"/>
      <c r="Q241" s="629"/>
      <c r="R241" s="589">
        <v>0</v>
      </c>
      <c r="S241" s="590">
        <v>0</v>
      </c>
      <c r="T241" s="604">
        <v>0</v>
      </c>
      <c r="U241" s="596">
        <v>0</v>
      </c>
      <c r="V241" s="590">
        <v>0</v>
      </c>
      <c r="W241" s="604">
        <v>0</v>
      </c>
      <c r="X241" s="596">
        <v>0</v>
      </c>
      <c r="Y241" s="590">
        <v>0</v>
      </c>
      <c r="Z241" s="604">
        <v>0</v>
      </c>
      <c r="AA241" s="596">
        <v>4</v>
      </c>
      <c r="AB241" s="590">
        <v>0</v>
      </c>
      <c r="AC241" s="604">
        <v>0</v>
      </c>
      <c r="AD241" s="596">
        <v>0</v>
      </c>
      <c r="AE241" s="594">
        <v>0</v>
      </c>
      <c r="AF241" s="594">
        <v>0</v>
      </c>
      <c r="AG241" s="590">
        <v>0</v>
      </c>
      <c r="AH241" s="604">
        <v>0</v>
      </c>
      <c r="AI241" s="610">
        <v>0</v>
      </c>
      <c r="AJ241" s="610">
        <v>0</v>
      </c>
      <c r="AK241" s="629"/>
      <c r="AL241" s="530" t="s">
        <v>1268</v>
      </c>
      <c r="AM241" s="448">
        <v>191346</v>
      </c>
      <c r="AN241" s="612">
        <f>4*PRODUCTS!D8</f>
        <v>33.6</v>
      </c>
      <c r="AO241" s="444" t="s">
        <v>1929</v>
      </c>
      <c r="AP241" s="37">
        <v>88</v>
      </c>
      <c r="AQ241" s="795">
        <f t="shared" si="13"/>
        <v>54.4</v>
      </c>
      <c r="AR241" s="835">
        <f t="shared" si="21"/>
        <v>0.61818181818181817</v>
      </c>
      <c r="AS241" s="821">
        <v>42145</v>
      </c>
      <c r="AT241" s="448" t="s">
        <v>1254</v>
      </c>
      <c r="AU241" s="448">
        <v>1</v>
      </c>
      <c r="AV241" s="448"/>
      <c r="AW241" s="448"/>
      <c r="AX241" s="612">
        <v>130</v>
      </c>
      <c r="AY241" s="448"/>
      <c r="AZ241" s="612"/>
      <c r="BA241" s="31" t="s">
        <v>47</v>
      </c>
      <c r="BB241" s="41">
        <v>0</v>
      </c>
      <c r="BC241" s="448"/>
      <c r="BD241" s="448"/>
      <c r="BE241" s="448"/>
      <c r="BF241" s="448"/>
      <c r="BG241" s="448"/>
      <c r="BH241" s="221"/>
      <c r="BI241" s="221"/>
      <c r="BJ241" s="221"/>
      <c r="BK241" s="221"/>
      <c r="BL241" s="221"/>
      <c r="BM241" s="221"/>
      <c r="BN241" s="221"/>
      <c r="BO241" s="221"/>
      <c r="BP241" s="221"/>
      <c r="BQ241" s="221"/>
      <c r="BR241" s="221"/>
      <c r="BS241" s="221"/>
      <c r="BT241" s="221"/>
      <c r="BU241" s="221"/>
      <c r="BV241" s="221"/>
      <c r="BW241" s="221"/>
      <c r="BX241" s="221"/>
      <c r="BY241" s="221"/>
      <c r="BZ241" s="221"/>
      <c r="CA241" s="221"/>
      <c r="CB241" s="221"/>
      <c r="CC241" s="221"/>
      <c r="CD241" s="221"/>
      <c r="CE241" s="221"/>
      <c r="CF241" s="221"/>
      <c r="CG241" s="221"/>
      <c r="CH241" s="221"/>
      <c r="CI241" s="221"/>
      <c r="CJ241" s="221"/>
      <c r="CK241" s="221"/>
      <c r="CL241" s="221"/>
      <c r="CM241" s="221"/>
      <c r="CN241" s="221"/>
      <c r="CO241" s="221"/>
      <c r="CP241" s="221"/>
      <c r="CQ241" s="221"/>
      <c r="CR241" s="221"/>
      <c r="CS241" s="221"/>
      <c r="CT241" s="221"/>
      <c r="CU241" s="221"/>
      <c r="CV241" s="221"/>
      <c r="CW241" s="221"/>
      <c r="CX241" s="221"/>
      <c r="CY241" s="221"/>
      <c r="CZ241" s="221"/>
      <c r="DA241" s="221"/>
      <c r="DB241" s="221"/>
      <c r="DC241" s="221"/>
      <c r="DD241" s="221"/>
      <c r="DE241" s="221"/>
      <c r="DF241" s="221"/>
      <c r="DG241" s="221"/>
      <c r="DH241" s="221"/>
      <c r="DI241" s="221"/>
      <c r="DJ241" s="221"/>
      <c r="DK241" s="221"/>
      <c r="DL241" s="221"/>
      <c r="DM241" s="221"/>
      <c r="DN241" s="221"/>
      <c r="DO241" s="221"/>
      <c r="DP241" s="221"/>
      <c r="DQ241" s="221"/>
      <c r="DR241" s="221"/>
      <c r="DS241" s="221"/>
      <c r="DT241" s="221"/>
      <c r="DU241" s="221"/>
      <c r="DV241" s="221"/>
      <c r="DW241" s="221"/>
      <c r="DX241" s="221"/>
      <c r="DY241" s="221"/>
      <c r="DZ241" s="221"/>
      <c r="EA241" s="221"/>
      <c r="EB241" s="221"/>
      <c r="EC241" s="221"/>
      <c r="ED241" s="221"/>
      <c r="EE241" s="221"/>
      <c r="EF241" s="221"/>
      <c r="EG241" s="221"/>
      <c r="EH241" s="221"/>
      <c r="EI241" s="221"/>
      <c r="EJ241" s="221"/>
      <c r="EK241" s="221"/>
      <c r="EL241" s="221"/>
      <c r="EM241" s="221"/>
      <c r="EN241" s="221"/>
      <c r="EO241" s="221"/>
      <c r="EP241" s="221"/>
      <c r="EQ241" s="221"/>
      <c r="ER241" s="221"/>
      <c r="ES241" s="221"/>
      <c r="ET241" s="221"/>
      <c r="EU241" s="221"/>
      <c r="EV241" s="221"/>
      <c r="EW241" s="221"/>
      <c r="EX241" s="221"/>
      <c r="EY241" s="221"/>
      <c r="EZ241" s="221"/>
      <c r="FA241" s="221"/>
      <c r="FB241" s="221"/>
      <c r="FC241" s="221"/>
      <c r="FD241" s="221"/>
      <c r="FE241" s="221"/>
      <c r="FF241" s="221"/>
      <c r="FG241" s="221"/>
      <c r="FH241" s="221"/>
      <c r="FI241" s="221"/>
      <c r="FJ241" s="221"/>
      <c r="FK241" s="221"/>
      <c r="FL241" s="221"/>
      <c r="FM241" s="221"/>
      <c r="FN241" s="221"/>
      <c r="FO241" s="221"/>
      <c r="FP241" s="221"/>
      <c r="FQ241" s="221"/>
      <c r="FR241" s="221"/>
      <c r="FS241" s="221"/>
      <c r="FT241" s="221"/>
      <c r="FU241" s="221"/>
      <c r="FV241" s="221"/>
      <c r="FW241" s="221"/>
      <c r="FX241" s="221"/>
      <c r="FY241" s="221"/>
      <c r="FZ241" s="221"/>
      <c r="GA241" s="221"/>
      <c r="GB241" s="221"/>
      <c r="GC241" s="221"/>
      <c r="GD241" s="221"/>
      <c r="GE241" s="221"/>
      <c r="GF241" s="221"/>
      <c r="GG241" s="221"/>
      <c r="GH241" s="221"/>
      <c r="GI241" s="221"/>
      <c r="GJ241" s="221"/>
      <c r="GK241" s="221"/>
      <c r="GL241" s="221"/>
      <c r="GM241" s="221"/>
      <c r="GN241" s="221"/>
      <c r="GO241" s="221"/>
      <c r="GP241" s="221"/>
      <c r="GQ241" s="221"/>
      <c r="GR241" s="221"/>
      <c r="GS241" s="221"/>
      <c r="GT241" s="221"/>
      <c r="GU241" s="221"/>
      <c r="GV241" s="221"/>
      <c r="GW241" s="221"/>
      <c r="GX241" s="221"/>
      <c r="GY241" s="221"/>
      <c r="GZ241" s="221"/>
      <c r="HA241" s="221"/>
      <c r="HB241" s="221"/>
      <c r="HC241" s="221"/>
      <c r="HD241" s="221"/>
      <c r="HE241" s="221"/>
      <c r="HF241" s="221"/>
      <c r="HG241" s="221"/>
      <c r="HH241" s="221"/>
      <c r="HI241" s="221"/>
      <c r="HJ241" s="221"/>
      <c r="HK241" s="221"/>
      <c r="HL241" s="221"/>
      <c r="HM241" s="221"/>
      <c r="HN241" s="221"/>
      <c r="HO241" s="221"/>
      <c r="HP241" s="221"/>
      <c r="HQ241" s="221"/>
      <c r="HR241" s="221"/>
      <c r="HS241" s="221"/>
      <c r="HT241" s="221"/>
      <c r="HU241" s="221"/>
      <c r="HV241" s="221"/>
      <c r="HW241" s="221"/>
      <c r="HX241" s="221"/>
      <c r="HY241" s="221"/>
      <c r="HZ241" s="221"/>
      <c r="IA241" s="221"/>
      <c r="IB241" s="221"/>
      <c r="IC241" s="221"/>
      <c r="ID241" s="221"/>
      <c r="IE241" s="221"/>
      <c r="IF241" s="221"/>
      <c r="IG241" s="221"/>
      <c r="IH241" s="221"/>
      <c r="II241" s="221"/>
      <c r="IJ241" s="221"/>
      <c r="IK241" s="221"/>
      <c r="IL241" s="221"/>
      <c r="IM241" s="221"/>
      <c r="IN241" s="221"/>
      <c r="IO241" s="221"/>
      <c r="IP241" s="221"/>
      <c r="IQ241" s="221"/>
      <c r="IR241" s="221"/>
      <c r="IS241" s="221"/>
      <c r="IT241" s="221"/>
      <c r="IU241" s="221"/>
      <c r="IV241" s="221"/>
      <c r="IW241" s="221"/>
      <c r="IX241" s="221"/>
      <c r="IY241" s="221"/>
      <c r="IZ241" s="221"/>
      <c r="JA241" s="221"/>
      <c r="JB241" s="221"/>
      <c r="JC241" s="221"/>
      <c r="JD241" s="221"/>
      <c r="JE241" s="221"/>
      <c r="JF241" s="221"/>
      <c r="JG241" s="221"/>
      <c r="JH241" s="221"/>
      <c r="JI241" s="221"/>
      <c r="JJ241" s="221"/>
      <c r="JK241" s="221"/>
      <c r="JL241" s="221"/>
      <c r="JM241" s="221"/>
      <c r="JN241" s="221"/>
      <c r="JO241" s="221"/>
      <c r="JP241" s="221"/>
      <c r="JQ241" s="221"/>
    </row>
    <row r="242" spans="1:277" ht="20" customHeight="1" outlineLevel="1">
      <c r="A242" s="456">
        <v>1905032</v>
      </c>
      <c r="B242" s="439">
        <v>42146</v>
      </c>
      <c r="C242" s="448" t="s">
        <v>44</v>
      </c>
      <c r="D242" s="448" t="s">
        <v>73</v>
      </c>
      <c r="E242" s="538" t="s">
        <v>116</v>
      </c>
      <c r="F242" s="530" t="s">
        <v>47</v>
      </c>
      <c r="G242" s="448" t="s">
        <v>1930</v>
      </c>
      <c r="H242" s="439">
        <v>42146</v>
      </c>
      <c r="I242" s="443">
        <v>192141</v>
      </c>
      <c r="J242" s="448" t="s">
        <v>62</v>
      </c>
      <c r="K242" s="448" t="s">
        <v>50</v>
      </c>
      <c r="L242" s="448">
        <v>105890947</v>
      </c>
      <c r="M242" s="439">
        <v>42147</v>
      </c>
      <c r="N242" s="448" t="s">
        <v>201</v>
      </c>
      <c r="O242" s="448" t="s">
        <v>1932</v>
      </c>
      <c r="P242" s="516" t="s">
        <v>1933</v>
      </c>
      <c r="Q242" s="629"/>
      <c r="R242" s="589">
        <v>0</v>
      </c>
      <c r="S242" s="590">
        <v>0</v>
      </c>
      <c r="T242" s="604">
        <v>0</v>
      </c>
      <c r="U242" s="596">
        <v>0</v>
      </c>
      <c r="V242" s="590">
        <v>0</v>
      </c>
      <c r="W242" s="604">
        <v>0</v>
      </c>
      <c r="X242" s="596">
        <v>0</v>
      </c>
      <c r="Y242" s="590">
        <v>0</v>
      </c>
      <c r="Z242" s="604">
        <v>0</v>
      </c>
      <c r="AA242" s="596">
        <v>8</v>
      </c>
      <c r="AB242" s="590">
        <v>0</v>
      </c>
      <c r="AC242" s="604">
        <v>0</v>
      </c>
      <c r="AD242" s="596">
        <v>0</v>
      </c>
      <c r="AE242" s="594">
        <v>4</v>
      </c>
      <c r="AF242" s="594">
        <v>0</v>
      </c>
      <c r="AG242" s="590">
        <v>0</v>
      </c>
      <c r="AH242" s="604">
        <v>0</v>
      </c>
      <c r="AI242" s="610">
        <v>0</v>
      </c>
      <c r="AJ242" s="610">
        <v>0</v>
      </c>
      <c r="AK242" s="629"/>
      <c r="AL242" s="530" t="s">
        <v>1934</v>
      </c>
      <c r="AM242" s="448">
        <v>91300</v>
      </c>
      <c r="AN242" s="612">
        <f>(AA242*PRODUCTS!D8)+('2019 ORDERS - Q1'!AE242*PRODUCTS!C9)+PRODUCTS!C3</f>
        <v>194.19</v>
      </c>
      <c r="AO242" s="444" t="s">
        <v>1938</v>
      </c>
      <c r="AP242" s="37">
        <f>485-120</f>
        <v>365</v>
      </c>
      <c r="AQ242" s="795">
        <f t="shared" ref="AQ242:AQ245" si="26">AP242-AN242</f>
        <v>170.81</v>
      </c>
      <c r="AR242" s="835">
        <f t="shared" si="21"/>
        <v>0.46797260273972602</v>
      </c>
      <c r="AS242" s="821"/>
      <c r="AT242" s="448" t="s">
        <v>1254</v>
      </c>
      <c r="AU242" s="448"/>
      <c r="AV242" s="448"/>
      <c r="AW242" s="448"/>
      <c r="AX242" s="612">
        <v>120</v>
      </c>
      <c r="AY242" s="448"/>
      <c r="AZ242" s="612"/>
      <c r="BA242" s="31" t="s">
        <v>47</v>
      </c>
      <c r="BB242" s="41">
        <v>0</v>
      </c>
      <c r="BC242" s="448"/>
      <c r="BD242" s="448"/>
      <c r="BE242" s="448"/>
      <c r="BF242" s="448"/>
      <c r="BG242" s="448"/>
      <c r="BH242" s="221"/>
      <c r="BI242" s="221"/>
      <c r="BJ242" s="221"/>
      <c r="BK242" s="221"/>
      <c r="BL242" s="221"/>
      <c r="BM242" s="221"/>
      <c r="BN242" s="221"/>
      <c r="BO242" s="221"/>
      <c r="BP242" s="221"/>
      <c r="BQ242" s="221"/>
      <c r="BR242" s="221"/>
      <c r="BS242" s="221"/>
      <c r="BT242" s="221"/>
      <c r="BU242" s="221"/>
      <c r="BV242" s="221"/>
      <c r="BW242" s="221"/>
      <c r="BX242" s="221"/>
      <c r="BY242" s="221"/>
      <c r="BZ242" s="221"/>
      <c r="CA242" s="221"/>
      <c r="CB242" s="221"/>
      <c r="CC242" s="221"/>
      <c r="CD242" s="221"/>
      <c r="CE242" s="221"/>
      <c r="CF242" s="221"/>
      <c r="CG242" s="221"/>
      <c r="CH242" s="221"/>
      <c r="CI242" s="221"/>
      <c r="CJ242" s="221"/>
      <c r="CK242" s="221"/>
      <c r="CL242" s="221"/>
      <c r="CM242" s="221"/>
      <c r="CN242" s="221"/>
      <c r="CO242" s="221"/>
      <c r="CP242" s="221"/>
      <c r="CQ242" s="221"/>
      <c r="CR242" s="221"/>
      <c r="CS242" s="221"/>
      <c r="CT242" s="221"/>
      <c r="CU242" s="221"/>
      <c r="CV242" s="221"/>
      <c r="CW242" s="221"/>
      <c r="CX242" s="221"/>
      <c r="CY242" s="221"/>
      <c r="CZ242" s="221"/>
      <c r="DA242" s="221"/>
      <c r="DB242" s="221"/>
      <c r="DC242" s="221"/>
      <c r="DD242" s="221"/>
      <c r="DE242" s="221"/>
      <c r="DF242" s="221"/>
      <c r="DG242" s="221"/>
      <c r="DH242" s="221"/>
      <c r="DI242" s="221"/>
      <c r="DJ242" s="221"/>
      <c r="DK242" s="221"/>
      <c r="DL242" s="221"/>
      <c r="DM242" s="221"/>
      <c r="DN242" s="221"/>
      <c r="DO242" s="221"/>
      <c r="DP242" s="221"/>
      <c r="DQ242" s="221"/>
      <c r="DR242" s="221"/>
      <c r="DS242" s="221"/>
      <c r="DT242" s="221"/>
      <c r="DU242" s="221"/>
      <c r="DV242" s="221"/>
      <c r="DW242" s="221"/>
      <c r="DX242" s="221"/>
      <c r="DY242" s="221"/>
      <c r="DZ242" s="221"/>
      <c r="EA242" s="221"/>
      <c r="EB242" s="221"/>
      <c r="EC242" s="221"/>
      <c r="ED242" s="221"/>
      <c r="EE242" s="221"/>
      <c r="EF242" s="221"/>
      <c r="EG242" s="221"/>
      <c r="EH242" s="221"/>
      <c r="EI242" s="221"/>
      <c r="EJ242" s="221"/>
      <c r="EK242" s="221"/>
      <c r="EL242" s="221"/>
      <c r="EM242" s="221"/>
      <c r="EN242" s="221"/>
      <c r="EO242" s="221"/>
      <c r="EP242" s="221"/>
      <c r="EQ242" s="221"/>
      <c r="ER242" s="221"/>
      <c r="ES242" s="221"/>
      <c r="ET242" s="221"/>
      <c r="EU242" s="221"/>
      <c r="EV242" s="221"/>
      <c r="EW242" s="221"/>
      <c r="EX242" s="221"/>
      <c r="EY242" s="221"/>
      <c r="EZ242" s="221"/>
      <c r="FA242" s="221"/>
      <c r="FB242" s="221"/>
      <c r="FC242" s="221"/>
      <c r="FD242" s="221"/>
      <c r="FE242" s="221"/>
      <c r="FF242" s="221"/>
      <c r="FG242" s="221"/>
      <c r="FH242" s="221"/>
      <c r="FI242" s="221"/>
      <c r="FJ242" s="221"/>
      <c r="FK242" s="221"/>
      <c r="FL242" s="221"/>
      <c r="FM242" s="221"/>
      <c r="FN242" s="221"/>
      <c r="FO242" s="221"/>
      <c r="FP242" s="221"/>
      <c r="FQ242" s="221"/>
      <c r="FR242" s="221"/>
      <c r="FS242" s="221"/>
      <c r="FT242" s="221"/>
      <c r="FU242" s="221"/>
      <c r="FV242" s="221"/>
      <c r="FW242" s="221"/>
      <c r="FX242" s="221"/>
      <c r="FY242" s="221"/>
      <c r="FZ242" s="221"/>
      <c r="GA242" s="221"/>
      <c r="GB242" s="221"/>
      <c r="GC242" s="221"/>
      <c r="GD242" s="221"/>
      <c r="GE242" s="221"/>
      <c r="GF242" s="221"/>
      <c r="GG242" s="221"/>
      <c r="GH242" s="221"/>
      <c r="GI242" s="221"/>
      <c r="GJ242" s="221"/>
      <c r="GK242" s="221"/>
      <c r="GL242" s="221"/>
      <c r="GM242" s="221"/>
      <c r="GN242" s="221"/>
      <c r="GO242" s="221"/>
      <c r="GP242" s="221"/>
      <c r="GQ242" s="221"/>
      <c r="GR242" s="221"/>
      <c r="GS242" s="221"/>
      <c r="GT242" s="221"/>
      <c r="GU242" s="221"/>
      <c r="GV242" s="221"/>
      <c r="GW242" s="221"/>
      <c r="GX242" s="221"/>
      <c r="GY242" s="221"/>
      <c r="GZ242" s="221"/>
      <c r="HA242" s="221"/>
      <c r="HB242" s="221"/>
      <c r="HC242" s="221"/>
      <c r="HD242" s="221"/>
      <c r="HE242" s="221"/>
      <c r="HF242" s="221"/>
      <c r="HG242" s="221"/>
      <c r="HH242" s="221"/>
      <c r="HI242" s="221"/>
      <c r="HJ242" s="221"/>
      <c r="HK242" s="221"/>
      <c r="HL242" s="221"/>
      <c r="HM242" s="221"/>
      <c r="HN242" s="221"/>
      <c r="HO242" s="221"/>
      <c r="HP242" s="221"/>
      <c r="HQ242" s="221"/>
      <c r="HR242" s="221"/>
      <c r="HS242" s="221"/>
      <c r="HT242" s="221"/>
      <c r="HU242" s="221"/>
      <c r="HV242" s="221"/>
      <c r="HW242" s="221"/>
      <c r="HX242" s="221"/>
      <c r="HY242" s="221"/>
      <c r="HZ242" s="221"/>
      <c r="IA242" s="221"/>
      <c r="IB242" s="221"/>
      <c r="IC242" s="221"/>
      <c r="ID242" s="221"/>
      <c r="IE242" s="221"/>
      <c r="IF242" s="221"/>
      <c r="IG242" s="221"/>
      <c r="IH242" s="221"/>
      <c r="II242" s="221"/>
      <c r="IJ242" s="221"/>
      <c r="IK242" s="221"/>
      <c r="IL242" s="221"/>
      <c r="IM242" s="221"/>
      <c r="IN242" s="221"/>
      <c r="IO242" s="221"/>
      <c r="IP242" s="221"/>
      <c r="IQ242" s="221"/>
      <c r="IR242" s="221"/>
      <c r="IS242" s="221"/>
      <c r="IT242" s="221"/>
      <c r="IU242" s="221"/>
      <c r="IV242" s="221"/>
      <c r="IW242" s="221"/>
      <c r="IX242" s="221"/>
      <c r="IY242" s="221"/>
      <c r="IZ242" s="221"/>
      <c r="JA242" s="221"/>
      <c r="JB242" s="221"/>
      <c r="JC242" s="221"/>
      <c r="JD242" s="221"/>
      <c r="JE242" s="221"/>
      <c r="JF242" s="221"/>
      <c r="JG242" s="221"/>
      <c r="JH242" s="221"/>
      <c r="JI242" s="221"/>
      <c r="JJ242" s="221"/>
      <c r="JK242" s="221"/>
      <c r="JL242" s="221"/>
      <c r="JM242" s="221"/>
      <c r="JN242" s="221"/>
      <c r="JO242" s="221"/>
      <c r="JP242" s="221"/>
      <c r="JQ242" s="221"/>
    </row>
    <row r="243" spans="1:277" ht="20" customHeight="1" outlineLevel="1">
      <c r="A243" s="456">
        <v>1905033</v>
      </c>
      <c r="B243" s="439">
        <v>42146</v>
      </c>
      <c r="C243" s="448" t="s">
        <v>72</v>
      </c>
      <c r="D243" s="448" t="s">
        <v>73</v>
      </c>
      <c r="E243" s="538" t="s">
        <v>89</v>
      </c>
      <c r="F243" s="530" t="s">
        <v>47</v>
      </c>
      <c r="G243" s="448" t="s">
        <v>1939</v>
      </c>
      <c r="H243" s="448" t="s">
        <v>1314</v>
      </c>
      <c r="I243" s="443">
        <v>192140</v>
      </c>
      <c r="J243" s="448" t="s">
        <v>62</v>
      </c>
      <c r="K243" s="448" t="s">
        <v>87</v>
      </c>
      <c r="L243" s="448"/>
      <c r="M243" s="439">
        <v>42147</v>
      </c>
      <c r="N243" s="448" t="s">
        <v>443</v>
      </c>
      <c r="O243" s="448" t="s">
        <v>99</v>
      </c>
      <c r="P243" s="516">
        <v>1479</v>
      </c>
      <c r="Q243" s="629"/>
      <c r="R243" s="589">
        <v>0</v>
      </c>
      <c r="S243" s="590">
        <v>0</v>
      </c>
      <c r="T243" s="604">
        <v>0</v>
      </c>
      <c r="U243" s="596">
        <v>0</v>
      </c>
      <c r="V243" s="590">
        <v>0</v>
      </c>
      <c r="W243" s="604">
        <v>0</v>
      </c>
      <c r="X243" s="596">
        <v>0</v>
      </c>
      <c r="Y243" s="590">
        <v>0</v>
      </c>
      <c r="Z243" s="604">
        <v>0</v>
      </c>
      <c r="AA243" s="596">
        <v>0</v>
      </c>
      <c r="AB243" s="590">
        <v>0</v>
      </c>
      <c r="AC243" s="604">
        <v>0</v>
      </c>
      <c r="AD243" s="596">
        <v>0</v>
      </c>
      <c r="AE243" s="594">
        <v>2</v>
      </c>
      <c r="AF243" s="594">
        <v>0</v>
      </c>
      <c r="AG243" s="590">
        <v>0</v>
      </c>
      <c r="AH243" s="604">
        <v>0</v>
      </c>
      <c r="AI243" s="610">
        <v>0</v>
      </c>
      <c r="AJ243" s="610">
        <v>0</v>
      </c>
      <c r="AK243" s="629"/>
      <c r="AL243" s="530"/>
      <c r="AM243" s="448">
        <v>191347</v>
      </c>
      <c r="AN243" s="612">
        <f>AE243*PRODUCTS!C10</f>
        <v>32.5</v>
      </c>
      <c r="AO243" s="440" t="s">
        <v>2047</v>
      </c>
      <c r="AP243" s="37">
        <v>54.6</v>
      </c>
      <c r="AQ243" s="795">
        <f t="shared" si="26"/>
        <v>22.1</v>
      </c>
      <c r="AR243" s="835">
        <f t="shared" si="21"/>
        <v>0.40476190476190477</v>
      </c>
      <c r="AS243" s="821"/>
      <c r="AT243" s="448" t="s">
        <v>1254</v>
      </c>
      <c r="AU243" s="448">
        <v>1</v>
      </c>
      <c r="AV243" s="448" t="s">
        <v>499</v>
      </c>
      <c r="AW243" s="448">
        <v>2</v>
      </c>
      <c r="AX243" s="612">
        <v>0</v>
      </c>
      <c r="AY243" s="448" t="s">
        <v>118</v>
      </c>
      <c r="AZ243" s="612">
        <v>0</v>
      </c>
      <c r="BA243" s="31" t="s">
        <v>47</v>
      </c>
      <c r="BB243" s="41">
        <v>0</v>
      </c>
      <c r="BC243" s="448"/>
      <c r="BD243" s="448"/>
      <c r="BE243" s="448"/>
      <c r="BF243" s="448"/>
      <c r="BG243" s="448"/>
      <c r="BH243" s="221"/>
      <c r="BI243" s="221"/>
      <c r="BJ243" s="221"/>
      <c r="BK243" s="221"/>
      <c r="BL243" s="221"/>
      <c r="BM243" s="221"/>
      <c r="BN243" s="221"/>
      <c r="BO243" s="221"/>
      <c r="BP243" s="221"/>
      <c r="BQ243" s="221"/>
      <c r="BR243" s="221"/>
      <c r="BS243" s="221"/>
      <c r="BT243" s="221"/>
      <c r="BU243" s="221"/>
      <c r="BV243" s="221"/>
      <c r="BW243" s="221"/>
      <c r="BX243" s="221"/>
      <c r="BY243" s="221"/>
      <c r="BZ243" s="221"/>
      <c r="CA243" s="221"/>
      <c r="CB243" s="221"/>
      <c r="CC243" s="221"/>
      <c r="CD243" s="221"/>
      <c r="CE243" s="221"/>
      <c r="CF243" s="221"/>
      <c r="CG243" s="221"/>
      <c r="CH243" s="221"/>
      <c r="CI243" s="221"/>
      <c r="CJ243" s="221"/>
      <c r="CK243" s="221"/>
      <c r="CL243" s="221"/>
      <c r="CM243" s="221"/>
      <c r="CN243" s="221"/>
      <c r="CO243" s="221"/>
      <c r="CP243" s="221"/>
      <c r="CQ243" s="221"/>
      <c r="CR243" s="221"/>
      <c r="CS243" s="221"/>
      <c r="CT243" s="221"/>
      <c r="CU243" s="221"/>
      <c r="CV243" s="221"/>
      <c r="CW243" s="221"/>
      <c r="CX243" s="221"/>
      <c r="CY243" s="221"/>
      <c r="CZ243" s="221"/>
      <c r="DA243" s="221"/>
      <c r="DB243" s="221"/>
      <c r="DC243" s="221"/>
      <c r="DD243" s="221"/>
      <c r="DE243" s="221"/>
      <c r="DF243" s="221"/>
      <c r="DG243" s="221"/>
      <c r="DH243" s="221"/>
      <c r="DI243" s="221"/>
      <c r="DJ243" s="221"/>
      <c r="DK243" s="221"/>
      <c r="DL243" s="221"/>
      <c r="DM243" s="221"/>
      <c r="DN243" s="221"/>
      <c r="DO243" s="221"/>
      <c r="DP243" s="221"/>
      <c r="DQ243" s="221"/>
      <c r="DR243" s="221"/>
      <c r="DS243" s="221"/>
      <c r="DT243" s="221"/>
      <c r="DU243" s="221"/>
      <c r="DV243" s="221"/>
      <c r="DW243" s="221"/>
      <c r="DX243" s="221"/>
      <c r="DY243" s="221"/>
      <c r="DZ243" s="221"/>
      <c r="EA243" s="221"/>
      <c r="EB243" s="221"/>
      <c r="EC243" s="221"/>
      <c r="ED243" s="221"/>
      <c r="EE243" s="221"/>
      <c r="EF243" s="221"/>
      <c r="EG243" s="221"/>
      <c r="EH243" s="221"/>
      <c r="EI243" s="221"/>
      <c r="EJ243" s="221"/>
      <c r="EK243" s="221"/>
      <c r="EL243" s="221"/>
      <c r="EM243" s="221"/>
      <c r="EN243" s="221"/>
      <c r="EO243" s="221"/>
      <c r="EP243" s="221"/>
      <c r="EQ243" s="221"/>
      <c r="ER243" s="221"/>
      <c r="ES243" s="221"/>
      <c r="ET243" s="221"/>
      <c r="EU243" s="221"/>
      <c r="EV243" s="221"/>
      <c r="EW243" s="221"/>
      <c r="EX243" s="221"/>
      <c r="EY243" s="221"/>
      <c r="EZ243" s="221"/>
      <c r="FA243" s="221"/>
      <c r="FB243" s="221"/>
      <c r="FC243" s="221"/>
      <c r="FD243" s="221"/>
      <c r="FE243" s="221"/>
      <c r="FF243" s="221"/>
      <c r="FG243" s="221"/>
      <c r="FH243" s="221"/>
      <c r="FI243" s="221"/>
      <c r="FJ243" s="221"/>
      <c r="FK243" s="221"/>
      <c r="FL243" s="221"/>
      <c r="FM243" s="221"/>
      <c r="FN243" s="221"/>
      <c r="FO243" s="221"/>
      <c r="FP243" s="221"/>
      <c r="FQ243" s="221"/>
      <c r="FR243" s="221"/>
      <c r="FS243" s="221"/>
      <c r="FT243" s="221"/>
      <c r="FU243" s="221"/>
      <c r="FV243" s="221"/>
      <c r="FW243" s="221"/>
      <c r="FX243" s="221"/>
      <c r="FY243" s="221"/>
      <c r="FZ243" s="221"/>
      <c r="GA243" s="221"/>
      <c r="GB243" s="221"/>
      <c r="GC243" s="221"/>
      <c r="GD243" s="221"/>
      <c r="GE243" s="221"/>
      <c r="GF243" s="221"/>
      <c r="GG243" s="221"/>
      <c r="GH243" s="221"/>
      <c r="GI243" s="221"/>
      <c r="GJ243" s="221"/>
      <c r="GK243" s="221"/>
      <c r="GL243" s="221"/>
      <c r="GM243" s="221"/>
      <c r="GN243" s="221"/>
      <c r="GO243" s="221"/>
      <c r="GP243" s="221"/>
      <c r="GQ243" s="221"/>
      <c r="GR243" s="221"/>
      <c r="GS243" s="221"/>
      <c r="GT243" s="221"/>
      <c r="GU243" s="221"/>
      <c r="GV243" s="221"/>
      <c r="GW243" s="221"/>
      <c r="GX243" s="221"/>
      <c r="GY243" s="221"/>
      <c r="GZ243" s="221"/>
      <c r="HA243" s="221"/>
      <c r="HB243" s="221"/>
      <c r="HC243" s="221"/>
      <c r="HD243" s="221"/>
      <c r="HE243" s="221"/>
      <c r="HF243" s="221"/>
      <c r="HG243" s="221"/>
      <c r="HH243" s="221"/>
      <c r="HI243" s="221"/>
      <c r="HJ243" s="221"/>
      <c r="HK243" s="221"/>
      <c r="HL243" s="221"/>
      <c r="HM243" s="221"/>
      <c r="HN243" s="221"/>
      <c r="HO243" s="221"/>
      <c r="HP243" s="221"/>
      <c r="HQ243" s="221"/>
      <c r="HR243" s="221"/>
      <c r="HS243" s="221"/>
      <c r="HT243" s="221"/>
      <c r="HU243" s="221"/>
      <c r="HV243" s="221"/>
      <c r="HW243" s="221"/>
      <c r="HX243" s="221"/>
      <c r="HY243" s="221"/>
      <c r="HZ243" s="221"/>
      <c r="IA243" s="221"/>
      <c r="IB243" s="221"/>
      <c r="IC243" s="221"/>
      <c r="ID243" s="221"/>
      <c r="IE243" s="221"/>
      <c r="IF243" s="221"/>
      <c r="IG243" s="221"/>
      <c r="IH243" s="221"/>
      <c r="II243" s="221"/>
      <c r="IJ243" s="221"/>
      <c r="IK243" s="221"/>
      <c r="IL243" s="221"/>
      <c r="IM243" s="221"/>
      <c r="IN243" s="221"/>
      <c r="IO243" s="221"/>
      <c r="IP243" s="221"/>
      <c r="IQ243" s="221"/>
      <c r="IR243" s="221"/>
      <c r="IS243" s="221"/>
      <c r="IT243" s="221"/>
      <c r="IU243" s="221"/>
      <c r="IV243" s="221"/>
      <c r="IW243" s="221"/>
      <c r="IX243" s="221"/>
      <c r="IY243" s="221"/>
      <c r="IZ243" s="221"/>
      <c r="JA243" s="221"/>
      <c r="JB243" s="221"/>
      <c r="JC243" s="221"/>
      <c r="JD243" s="221"/>
      <c r="JE243" s="221"/>
      <c r="JF243" s="221"/>
      <c r="JG243" s="221"/>
      <c r="JH243" s="221"/>
      <c r="JI243" s="221"/>
      <c r="JJ243" s="221"/>
      <c r="JK243" s="221"/>
      <c r="JL243" s="221"/>
      <c r="JM243" s="221"/>
      <c r="JN243" s="221"/>
      <c r="JO243" s="221"/>
      <c r="JP243" s="221"/>
      <c r="JQ243" s="221"/>
    </row>
    <row r="244" spans="1:277" ht="20" customHeight="1" outlineLevel="1">
      <c r="A244" s="482">
        <v>1905034</v>
      </c>
      <c r="B244" s="439">
        <v>42150</v>
      </c>
      <c r="C244" s="448" t="s">
        <v>1523</v>
      </c>
      <c r="D244" s="448" t="s">
        <v>1819</v>
      </c>
      <c r="E244" s="538" t="s">
        <v>154</v>
      </c>
      <c r="F244" s="530" t="s">
        <v>47</v>
      </c>
      <c r="G244" s="448" t="s">
        <v>1951</v>
      </c>
      <c r="H244" s="448" t="s">
        <v>47</v>
      </c>
      <c r="I244" s="443" t="s">
        <v>47</v>
      </c>
      <c r="J244" s="448" t="s">
        <v>62</v>
      </c>
      <c r="K244" s="448" t="s">
        <v>1913</v>
      </c>
      <c r="L244" s="448" t="s">
        <v>47</v>
      </c>
      <c r="M244" s="448" t="s">
        <v>47</v>
      </c>
      <c r="N244" s="448" t="s">
        <v>1950</v>
      </c>
      <c r="O244" s="448" t="s">
        <v>1458</v>
      </c>
      <c r="P244" s="516"/>
      <c r="Q244" s="629"/>
      <c r="R244" s="589">
        <v>0</v>
      </c>
      <c r="S244" s="590">
        <v>0</v>
      </c>
      <c r="T244" s="604">
        <v>0</v>
      </c>
      <c r="U244" s="596">
        <v>1</v>
      </c>
      <c r="V244" s="590">
        <v>0</v>
      </c>
      <c r="W244" s="604">
        <v>0</v>
      </c>
      <c r="X244" s="596">
        <v>0</v>
      </c>
      <c r="Y244" s="590">
        <v>0</v>
      </c>
      <c r="Z244" s="604">
        <v>0</v>
      </c>
      <c r="AA244" s="596">
        <v>0</v>
      </c>
      <c r="AB244" s="590">
        <v>0</v>
      </c>
      <c r="AC244" s="604">
        <v>0</v>
      </c>
      <c r="AD244" s="596">
        <v>0</v>
      </c>
      <c r="AE244" s="594">
        <v>0</v>
      </c>
      <c r="AF244" s="594">
        <v>0</v>
      </c>
      <c r="AG244" s="590">
        <v>0</v>
      </c>
      <c r="AH244" s="604">
        <v>0</v>
      </c>
      <c r="AI244" s="610">
        <v>0</v>
      </c>
      <c r="AJ244" s="610">
        <v>0</v>
      </c>
      <c r="AK244" s="629"/>
      <c r="AL244" s="530"/>
      <c r="AM244" s="448" t="s">
        <v>47</v>
      </c>
      <c r="AN244" s="612">
        <v>0</v>
      </c>
      <c r="AO244" s="444" t="s">
        <v>47</v>
      </c>
      <c r="AP244" s="37">
        <v>0</v>
      </c>
      <c r="AQ244" s="795">
        <f t="shared" si="26"/>
        <v>0</v>
      </c>
      <c r="AR244" s="835" t="e">
        <f t="shared" si="21"/>
        <v>#DIV/0!</v>
      </c>
      <c r="AS244" s="821"/>
      <c r="AT244" s="448"/>
      <c r="AU244" s="448"/>
      <c r="AV244" s="448"/>
      <c r="AW244" s="448"/>
      <c r="AX244" s="612"/>
      <c r="AY244" s="448"/>
      <c r="AZ244" s="612"/>
      <c r="BA244" s="31" t="s">
        <v>47</v>
      </c>
      <c r="BB244" s="41">
        <v>0</v>
      </c>
      <c r="BC244" s="448"/>
      <c r="BD244" s="448"/>
      <c r="BE244" s="448"/>
      <c r="BF244" s="448"/>
      <c r="BG244" s="448"/>
      <c r="BH244" s="221"/>
      <c r="BI244" s="221"/>
      <c r="BJ244" s="221"/>
      <c r="BK244" s="221"/>
      <c r="BL244" s="221"/>
      <c r="BM244" s="221"/>
      <c r="BN244" s="221"/>
      <c r="BO244" s="221"/>
      <c r="BP244" s="221"/>
      <c r="BQ244" s="221"/>
      <c r="BR244" s="221"/>
      <c r="BS244" s="221"/>
      <c r="BT244" s="221"/>
      <c r="BU244" s="221"/>
      <c r="BV244" s="221"/>
      <c r="BW244" s="221"/>
      <c r="BX244" s="221"/>
      <c r="BY244" s="221"/>
      <c r="BZ244" s="221"/>
      <c r="CA244" s="221"/>
      <c r="CB244" s="221"/>
      <c r="CC244" s="221"/>
      <c r="CD244" s="221"/>
      <c r="CE244" s="221"/>
      <c r="CF244" s="221"/>
      <c r="CG244" s="221"/>
      <c r="CH244" s="221"/>
      <c r="CI244" s="221"/>
      <c r="CJ244" s="221"/>
      <c r="CK244" s="221"/>
      <c r="CL244" s="221"/>
      <c r="CM244" s="221"/>
      <c r="CN244" s="221"/>
      <c r="CO244" s="221"/>
      <c r="CP244" s="221"/>
      <c r="CQ244" s="221"/>
      <c r="CR244" s="221"/>
      <c r="CS244" s="221"/>
      <c r="CT244" s="221"/>
      <c r="CU244" s="221"/>
      <c r="CV244" s="221"/>
      <c r="CW244" s="221"/>
      <c r="CX244" s="221"/>
      <c r="CY244" s="221"/>
      <c r="CZ244" s="221"/>
      <c r="DA244" s="221"/>
      <c r="DB244" s="221"/>
      <c r="DC244" s="221"/>
      <c r="DD244" s="221"/>
      <c r="DE244" s="221"/>
      <c r="DF244" s="221"/>
      <c r="DG244" s="221"/>
      <c r="DH244" s="221"/>
      <c r="DI244" s="221"/>
      <c r="DJ244" s="221"/>
      <c r="DK244" s="221"/>
      <c r="DL244" s="221"/>
      <c r="DM244" s="221"/>
      <c r="DN244" s="221"/>
      <c r="DO244" s="221"/>
      <c r="DP244" s="221"/>
      <c r="DQ244" s="221"/>
      <c r="DR244" s="221"/>
      <c r="DS244" s="221"/>
      <c r="DT244" s="221"/>
      <c r="DU244" s="221"/>
      <c r="DV244" s="221"/>
      <c r="DW244" s="221"/>
      <c r="DX244" s="221"/>
      <c r="DY244" s="221"/>
      <c r="DZ244" s="221"/>
      <c r="EA244" s="221"/>
      <c r="EB244" s="221"/>
      <c r="EC244" s="221"/>
      <c r="ED244" s="221"/>
      <c r="EE244" s="221"/>
      <c r="EF244" s="221"/>
      <c r="EG244" s="221"/>
      <c r="EH244" s="221"/>
      <c r="EI244" s="221"/>
      <c r="EJ244" s="221"/>
      <c r="EK244" s="221"/>
      <c r="EL244" s="221"/>
      <c r="EM244" s="221"/>
      <c r="EN244" s="221"/>
      <c r="EO244" s="221"/>
      <c r="EP244" s="221"/>
      <c r="EQ244" s="221"/>
      <c r="ER244" s="221"/>
      <c r="ES244" s="221"/>
      <c r="ET244" s="221"/>
      <c r="EU244" s="221"/>
      <c r="EV244" s="221"/>
      <c r="EW244" s="221"/>
      <c r="EX244" s="221"/>
      <c r="EY244" s="221"/>
      <c r="EZ244" s="221"/>
      <c r="FA244" s="221"/>
      <c r="FB244" s="221"/>
      <c r="FC244" s="221"/>
      <c r="FD244" s="221"/>
      <c r="FE244" s="221"/>
      <c r="FF244" s="221"/>
      <c r="FG244" s="221"/>
      <c r="FH244" s="221"/>
      <c r="FI244" s="221"/>
      <c r="FJ244" s="221"/>
      <c r="FK244" s="221"/>
      <c r="FL244" s="221"/>
      <c r="FM244" s="221"/>
      <c r="FN244" s="221"/>
      <c r="FO244" s="221"/>
      <c r="FP244" s="221"/>
      <c r="FQ244" s="221"/>
      <c r="FR244" s="221"/>
      <c r="FS244" s="221"/>
      <c r="FT244" s="221"/>
      <c r="FU244" s="221"/>
      <c r="FV244" s="221"/>
      <c r="FW244" s="221"/>
      <c r="FX244" s="221"/>
      <c r="FY244" s="221"/>
      <c r="FZ244" s="221"/>
      <c r="GA244" s="221"/>
      <c r="GB244" s="221"/>
      <c r="GC244" s="221"/>
      <c r="GD244" s="221"/>
      <c r="GE244" s="221"/>
      <c r="GF244" s="221"/>
      <c r="GG244" s="221"/>
      <c r="GH244" s="221"/>
      <c r="GI244" s="221"/>
      <c r="GJ244" s="221"/>
      <c r="GK244" s="221"/>
      <c r="GL244" s="221"/>
      <c r="GM244" s="221"/>
      <c r="GN244" s="221"/>
      <c r="GO244" s="221"/>
      <c r="GP244" s="221"/>
      <c r="GQ244" s="221"/>
      <c r="GR244" s="221"/>
      <c r="GS244" s="221"/>
      <c r="GT244" s="221"/>
      <c r="GU244" s="221"/>
      <c r="GV244" s="221"/>
      <c r="GW244" s="221"/>
      <c r="GX244" s="221"/>
      <c r="GY244" s="221"/>
      <c r="GZ244" s="221"/>
      <c r="HA244" s="221"/>
      <c r="HB244" s="221"/>
      <c r="HC244" s="221"/>
      <c r="HD244" s="221"/>
      <c r="HE244" s="221"/>
      <c r="HF244" s="221"/>
      <c r="HG244" s="221"/>
      <c r="HH244" s="221"/>
      <c r="HI244" s="221"/>
      <c r="HJ244" s="221"/>
      <c r="HK244" s="221"/>
      <c r="HL244" s="221"/>
      <c r="HM244" s="221"/>
      <c r="HN244" s="221"/>
      <c r="HO244" s="221"/>
      <c r="HP244" s="221"/>
      <c r="HQ244" s="221"/>
      <c r="HR244" s="221"/>
      <c r="HS244" s="221"/>
      <c r="HT244" s="221"/>
      <c r="HU244" s="221"/>
      <c r="HV244" s="221"/>
      <c r="HW244" s="221"/>
      <c r="HX244" s="221"/>
      <c r="HY244" s="221"/>
      <c r="HZ244" s="221"/>
      <c r="IA244" s="221"/>
      <c r="IB244" s="221"/>
      <c r="IC244" s="221"/>
      <c r="ID244" s="221"/>
      <c r="IE244" s="221"/>
      <c r="IF244" s="221"/>
      <c r="IG244" s="221"/>
      <c r="IH244" s="221"/>
      <c r="II244" s="221"/>
      <c r="IJ244" s="221"/>
      <c r="IK244" s="221"/>
      <c r="IL244" s="221"/>
      <c r="IM244" s="221"/>
      <c r="IN244" s="221"/>
      <c r="IO244" s="221"/>
      <c r="IP244" s="221"/>
      <c r="IQ244" s="221"/>
      <c r="IR244" s="221"/>
      <c r="IS244" s="221"/>
      <c r="IT244" s="221"/>
      <c r="IU244" s="221"/>
      <c r="IV244" s="221"/>
      <c r="IW244" s="221"/>
      <c r="IX244" s="221"/>
      <c r="IY244" s="221"/>
      <c r="IZ244" s="221"/>
      <c r="JA244" s="221"/>
      <c r="JB244" s="221"/>
      <c r="JC244" s="221"/>
      <c r="JD244" s="221"/>
      <c r="JE244" s="221"/>
      <c r="JF244" s="221"/>
      <c r="JG244" s="221"/>
      <c r="JH244" s="221"/>
      <c r="JI244" s="221"/>
      <c r="JJ244" s="221"/>
      <c r="JK244" s="221"/>
      <c r="JL244" s="221"/>
      <c r="JM244" s="221"/>
      <c r="JN244" s="221"/>
      <c r="JO244" s="221"/>
      <c r="JP244" s="221"/>
      <c r="JQ244" s="221"/>
    </row>
    <row r="245" spans="1:277" ht="20" customHeight="1" outlineLevel="1">
      <c r="A245" s="456">
        <v>1905035</v>
      </c>
      <c r="B245" s="439">
        <v>42150</v>
      </c>
      <c r="C245" s="448" t="s">
        <v>1952</v>
      </c>
      <c r="D245" s="448" t="s">
        <v>96</v>
      </c>
      <c r="E245" s="538" t="s">
        <v>60</v>
      </c>
      <c r="F245" s="530" t="s">
        <v>47</v>
      </c>
      <c r="G245" s="448" t="s">
        <v>47</v>
      </c>
      <c r="H245" s="448" t="s">
        <v>47</v>
      </c>
      <c r="I245" s="443" t="s">
        <v>47</v>
      </c>
      <c r="J245" s="448" t="s">
        <v>62</v>
      </c>
      <c r="K245" s="448" t="s">
        <v>50</v>
      </c>
      <c r="L245" s="448"/>
      <c r="M245" s="448"/>
      <c r="N245" s="448" t="s">
        <v>1953</v>
      </c>
      <c r="O245" s="448" t="s">
        <v>1954</v>
      </c>
      <c r="P245" s="516"/>
      <c r="Q245" s="629"/>
      <c r="R245" s="589">
        <v>0</v>
      </c>
      <c r="S245" s="590">
        <v>0</v>
      </c>
      <c r="T245" s="604">
        <v>0</v>
      </c>
      <c r="U245" s="596">
        <v>0</v>
      </c>
      <c r="V245" s="590">
        <v>0</v>
      </c>
      <c r="W245" s="604">
        <v>0</v>
      </c>
      <c r="X245" s="596">
        <v>0</v>
      </c>
      <c r="Y245" s="590">
        <v>0</v>
      </c>
      <c r="Z245" s="604">
        <v>0</v>
      </c>
      <c r="AA245" s="596">
        <v>0</v>
      </c>
      <c r="AB245" s="590">
        <v>0</v>
      </c>
      <c r="AC245" s="604">
        <v>0</v>
      </c>
      <c r="AD245" s="596">
        <v>0</v>
      </c>
      <c r="AE245" s="594">
        <v>0</v>
      </c>
      <c r="AF245" s="594">
        <v>0</v>
      </c>
      <c r="AG245" s="590">
        <v>0</v>
      </c>
      <c r="AH245" s="604">
        <v>0</v>
      </c>
      <c r="AI245" s="610">
        <v>0</v>
      </c>
      <c r="AJ245" s="610">
        <v>0</v>
      </c>
      <c r="AK245" s="629"/>
      <c r="AL245" s="530"/>
      <c r="AM245" s="448" t="s">
        <v>47</v>
      </c>
      <c r="AN245" s="612">
        <v>0</v>
      </c>
      <c r="AO245" s="444" t="s">
        <v>1955</v>
      </c>
      <c r="AP245" s="37">
        <v>10</v>
      </c>
      <c r="AQ245" s="795">
        <f t="shared" si="26"/>
        <v>10</v>
      </c>
      <c r="AR245" s="835">
        <f t="shared" si="21"/>
        <v>1</v>
      </c>
      <c r="AS245" s="821"/>
      <c r="AT245" s="448"/>
      <c r="AU245" s="448"/>
      <c r="AV245" s="448"/>
      <c r="AW245" s="448"/>
      <c r="AX245" s="612"/>
      <c r="AY245" s="448"/>
      <c r="AZ245" s="612"/>
      <c r="BA245" s="31" t="s">
        <v>47</v>
      </c>
      <c r="BB245" s="41">
        <v>0</v>
      </c>
      <c r="BC245" s="448"/>
      <c r="BD245" s="448"/>
      <c r="BE245" s="448"/>
      <c r="BF245" s="448"/>
      <c r="BG245" s="448"/>
      <c r="BH245" s="221"/>
      <c r="BI245" s="221"/>
      <c r="BJ245" s="221"/>
      <c r="BK245" s="221"/>
      <c r="BL245" s="221"/>
      <c r="BM245" s="221"/>
      <c r="BN245" s="221"/>
      <c r="BO245" s="221"/>
      <c r="BP245" s="221"/>
      <c r="BQ245" s="221"/>
      <c r="BR245" s="221"/>
      <c r="BS245" s="221"/>
      <c r="BT245" s="221"/>
      <c r="BU245" s="221"/>
      <c r="BV245" s="221"/>
      <c r="BW245" s="221"/>
      <c r="BX245" s="221"/>
      <c r="BY245" s="221"/>
      <c r="BZ245" s="221"/>
      <c r="CA245" s="221"/>
      <c r="CB245" s="221"/>
      <c r="CC245" s="221"/>
      <c r="CD245" s="221"/>
      <c r="CE245" s="221"/>
      <c r="CF245" s="221"/>
      <c r="CG245" s="221"/>
      <c r="CH245" s="221"/>
      <c r="CI245" s="221"/>
      <c r="CJ245" s="221"/>
      <c r="CK245" s="221"/>
      <c r="CL245" s="221"/>
      <c r="CM245" s="221"/>
      <c r="CN245" s="221"/>
      <c r="CO245" s="221"/>
      <c r="CP245" s="221"/>
      <c r="CQ245" s="221"/>
      <c r="CR245" s="221"/>
      <c r="CS245" s="221"/>
      <c r="CT245" s="221"/>
      <c r="CU245" s="221"/>
      <c r="CV245" s="221"/>
      <c r="CW245" s="221"/>
      <c r="CX245" s="221"/>
      <c r="CY245" s="221"/>
      <c r="CZ245" s="221"/>
      <c r="DA245" s="221"/>
      <c r="DB245" s="221"/>
      <c r="DC245" s="221"/>
      <c r="DD245" s="221"/>
      <c r="DE245" s="221"/>
      <c r="DF245" s="221"/>
      <c r="DG245" s="221"/>
      <c r="DH245" s="221"/>
      <c r="DI245" s="221"/>
      <c r="DJ245" s="221"/>
      <c r="DK245" s="221"/>
      <c r="DL245" s="221"/>
      <c r="DM245" s="221"/>
      <c r="DN245" s="221"/>
      <c r="DO245" s="221"/>
      <c r="DP245" s="221"/>
      <c r="DQ245" s="221"/>
      <c r="DR245" s="221"/>
      <c r="DS245" s="221"/>
      <c r="DT245" s="221"/>
      <c r="DU245" s="221"/>
      <c r="DV245" s="221"/>
      <c r="DW245" s="221"/>
      <c r="DX245" s="221"/>
      <c r="DY245" s="221"/>
      <c r="DZ245" s="221"/>
      <c r="EA245" s="221"/>
      <c r="EB245" s="221"/>
      <c r="EC245" s="221"/>
      <c r="ED245" s="221"/>
      <c r="EE245" s="221"/>
      <c r="EF245" s="221"/>
      <c r="EG245" s="221"/>
      <c r="EH245" s="221"/>
      <c r="EI245" s="221"/>
      <c r="EJ245" s="221"/>
      <c r="EK245" s="221"/>
      <c r="EL245" s="221"/>
      <c r="EM245" s="221"/>
      <c r="EN245" s="221"/>
      <c r="EO245" s="221"/>
      <c r="EP245" s="221"/>
      <c r="EQ245" s="221"/>
      <c r="ER245" s="221"/>
      <c r="ES245" s="221"/>
      <c r="ET245" s="221"/>
      <c r="EU245" s="221"/>
      <c r="EV245" s="221"/>
      <c r="EW245" s="221"/>
      <c r="EX245" s="221"/>
      <c r="EY245" s="221"/>
      <c r="EZ245" s="221"/>
      <c r="FA245" s="221"/>
      <c r="FB245" s="221"/>
      <c r="FC245" s="221"/>
      <c r="FD245" s="221"/>
      <c r="FE245" s="221"/>
      <c r="FF245" s="221"/>
      <c r="FG245" s="221"/>
      <c r="FH245" s="221"/>
      <c r="FI245" s="221"/>
      <c r="FJ245" s="221"/>
      <c r="FK245" s="221"/>
      <c r="FL245" s="221"/>
      <c r="FM245" s="221"/>
      <c r="FN245" s="221"/>
      <c r="FO245" s="221"/>
      <c r="FP245" s="221"/>
      <c r="FQ245" s="221"/>
      <c r="FR245" s="221"/>
      <c r="FS245" s="221"/>
      <c r="FT245" s="221"/>
      <c r="FU245" s="221"/>
      <c r="FV245" s="221"/>
      <c r="FW245" s="221"/>
      <c r="FX245" s="221"/>
      <c r="FY245" s="221"/>
      <c r="FZ245" s="221"/>
      <c r="GA245" s="221"/>
      <c r="GB245" s="221"/>
      <c r="GC245" s="221"/>
      <c r="GD245" s="221"/>
      <c r="GE245" s="221"/>
      <c r="GF245" s="221"/>
      <c r="GG245" s="221"/>
      <c r="GH245" s="221"/>
      <c r="GI245" s="221"/>
      <c r="GJ245" s="221"/>
      <c r="GK245" s="221"/>
      <c r="GL245" s="221"/>
      <c r="GM245" s="221"/>
      <c r="GN245" s="221"/>
      <c r="GO245" s="221"/>
      <c r="GP245" s="221"/>
      <c r="GQ245" s="221"/>
      <c r="GR245" s="221"/>
      <c r="GS245" s="221"/>
      <c r="GT245" s="221"/>
      <c r="GU245" s="221"/>
      <c r="GV245" s="221"/>
      <c r="GW245" s="221"/>
      <c r="GX245" s="221"/>
      <c r="GY245" s="221"/>
      <c r="GZ245" s="221"/>
      <c r="HA245" s="221"/>
      <c r="HB245" s="221"/>
      <c r="HC245" s="221"/>
      <c r="HD245" s="221"/>
      <c r="HE245" s="221"/>
      <c r="HF245" s="221"/>
      <c r="HG245" s="221"/>
      <c r="HH245" s="221"/>
      <c r="HI245" s="221"/>
      <c r="HJ245" s="221"/>
      <c r="HK245" s="221"/>
      <c r="HL245" s="221"/>
      <c r="HM245" s="221"/>
      <c r="HN245" s="221"/>
      <c r="HO245" s="221"/>
      <c r="HP245" s="221"/>
      <c r="HQ245" s="221"/>
      <c r="HR245" s="221"/>
      <c r="HS245" s="221"/>
      <c r="HT245" s="221"/>
      <c r="HU245" s="221"/>
      <c r="HV245" s="221"/>
      <c r="HW245" s="221"/>
      <c r="HX245" s="221"/>
      <c r="HY245" s="221"/>
      <c r="HZ245" s="221"/>
      <c r="IA245" s="221"/>
      <c r="IB245" s="221"/>
      <c r="IC245" s="221"/>
      <c r="ID245" s="221"/>
      <c r="IE245" s="221"/>
      <c r="IF245" s="221"/>
      <c r="IG245" s="221"/>
      <c r="IH245" s="221"/>
      <c r="II245" s="221"/>
      <c r="IJ245" s="221"/>
      <c r="IK245" s="221"/>
      <c r="IL245" s="221"/>
      <c r="IM245" s="221"/>
      <c r="IN245" s="221"/>
      <c r="IO245" s="221"/>
      <c r="IP245" s="221"/>
      <c r="IQ245" s="221"/>
      <c r="IR245" s="221"/>
      <c r="IS245" s="221"/>
      <c r="IT245" s="221"/>
      <c r="IU245" s="221"/>
      <c r="IV245" s="221"/>
      <c r="IW245" s="221"/>
      <c r="IX245" s="221"/>
      <c r="IY245" s="221"/>
      <c r="IZ245" s="221"/>
      <c r="JA245" s="221"/>
      <c r="JB245" s="221"/>
      <c r="JC245" s="221"/>
      <c r="JD245" s="221"/>
      <c r="JE245" s="221"/>
      <c r="JF245" s="221"/>
      <c r="JG245" s="221"/>
      <c r="JH245" s="221"/>
      <c r="JI245" s="221"/>
      <c r="JJ245" s="221"/>
      <c r="JK245" s="221"/>
      <c r="JL245" s="221"/>
      <c r="JM245" s="221"/>
      <c r="JN245" s="221"/>
      <c r="JO245" s="221"/>
      <c r="JP245" s="221"/>
      <c r="JQ245" s="221"/>
    </row>
    <row r="246" spans="1:277" ht="20" customHeight="1" outlineLevel="1">
      <c r="A246" s="456">
        <v>1905036</v>
      </c>
      <c r="B246" s="439">
        <v>42151</v>
      </c>
      <c r="C246" s="448" t="s">
        <v>67</v>
      </c>
      <c r="D246" s="448" t="s">
        <v>1238</v>
      </c>
      <c r="E246" s="538" t="s">
        <v>69</v>
      </c>
      <c r="F246" s="530" t="s">
        <v>47</v>
      </c>
      <c r="G246" s="448" t="s">
        <v>47</v>
      </c>
      <c r="H246" s="448" t="s">
        <v>47</v>
      </c>
      <c r="I246" s="443" t="s">
        <v>47</v>
      </c>
      <c r="J246" s="448" t="s">
        <v>62</v>
      </c>
      <c r="K246" s="448" t="s">
        <v>50</v>
      </c>
      <c r="L246" s="448">
        <v>107082470</v>
      </c>
      <c r="M246" s="439">
        <v>42154</v>
      </c>
      <c r="N246" s="448" t="s">
        <v>1965</v>
      </c>
      <c r="O246" s="448" t="s">
        <v>1966</v>
      </c>
      <c r="P246" s="516"/>
      <c r="Q246" s="629"/>
      <c r="R246" s="589">
        <v>0</v>
      </c>
      <c r="S246" s="590">
        <v>0</v>
      </c>
      <c r="T246" s="604">
        <v>0</v>
      </c>
      <c r="U246" s="596">
        <v>0</v>
      </c>
      <c r="V246" s="590">
        <v>0</v>
      </c>
      <c r="W246" s="604">
        <v>0</v>
      </c>
      <c r="X246" s="596">
        <v>0</v>
      </c>
      <c r="Y246" s="590">
        <v>0</v>
      </c>
      <c r="Z246" s="604">
        <v>0</v>
      </c>
      <c r="AA246" s="596">
        <v>0</v>
      </c>
      <c r="AB246" s="590">
        <v>0</v>
      </c>
      <c r="AC246" s="604">
        <v>5</v>
      </c>
      <c r="AD246" s="596">
        <v>0</v>
      </c>
      <c r="AE246" s="594">
        <v>0</v>
      </c>
      <c r="AF246" s="594">
        <v>0</v>
      </c>
      <c r="AG246" s="590">
        <v>0</v>
      </c>
      <c r="AH246" s="604">
        <v>2</v>
      </c>
      <c r="AI246" s="610">
        <v>0</v>
      </c>
      <c r="AJ246" s="610">
        <v>0</v>
      </c>
      <c r="AK246" s="629"/>
      <c r="AL246" s="530"/>
      <c r="AM246" s="448" t="s">
        <v>47</v>
      </c>
      <c r="AN246" s="612">
        <v>0</v>
      </c>
      <c r="AO246" s="444" t="s">
        <v>47</v>
      </c>
      <c r="AP246" s="37">
        <v>0</v>
      </c>
      <c r="AQ246" s="795">
        <f t="shared" si="13"/>
        <v>0</v>
      </c>
      <c r="AR246" s="835">
        <v>0</v>
      </c>
      <c r="AS246" s="821" t="s">
        <v>47</v>
      </c>
      <c r="AT246" s="448" t="s">
        <v>1967</v>
      </c>
      <c r="AU246" s="448">
        <v>1</v>
      </c>
      <c r="AV246" s="448" t="s">
        <v>1968</v>
      </c>
      <c r="AW246" s="448">
        <v>0.6</v>
      </c>
      <c r="AX246" s="612">
        <v>0</v>
      </c>
      <c r="AY246" s="448"/>
      <c r="AZ246" s="612">
        <v>10.33</v>
      </c>
      <c r="BA246" s="31" t="s">
        <v>47</v>
      </c>
      <c r="BB246" s="41">
        <v>0</v>
      </c>
      <c r="BC246" s="448"/>
      <c r="BD246" s="448"/>
      <c r="BE246" s="448"/>
      <c r="BF246" s="448"/>
      <c r="BG246" s="448"/>
      <c r="BH246" s="221"/>
      <c r="BI246" s="221"/>
      <c r="BJ246" s="221"/>
      <c r="BK246" s="221"/>
      <c r="BL246" s="221"/>
      <c r="BM246" s="221"/>
      <c r="BN246" s="221"/>
      <c r="BO246" s="221"/>
      <c r="BP246" s="221"/>
      <c r="BQ246" s="221"/>
      <c r="BR246" s="221"/>
      <c r="BS246" s="221"/>
      <c r="BT246" s="221"/>
      <c r="BU246" s="221"/>
      <c r="BV246" s="221"/>
      <c r="BW246" s="221"/>
      <c r="BX246" s="221"/>
      <c r="BY246" s="221"/>
      <c r="BZ246" s="221"/>
      <c r="CA246" s="221"/>
      <c r="CB246" s="221"/>
      <c r="CC246" s="221"/>
      <c r="CD246" s="221"/>
      <c r="CE246" s="221"/>
      <c r="CF246" s="221"/>
      <c r="CG246" s="221"/>
      <c r="CH246" s="221"/>
      <c r="CI246" s="221"/>
      <c r="CJ246" s="221"/>
      <c r="CK246" s="221"/>
      <c r="CL246" s="221"/>
      <c r="CM246" s="221"/>
      <c r="CN246" s="221"/>
      <c r="CO246" s="221"/>
      <c r="CP246" s="221"/>
      <c r="CQ246" s="221"/>
      <c r="CR246" s="221"/>
      <c r="CS246" s="221"/>
      <c r="CT246" s="221"/>
      <c r="CU246" s="221"/>
      <c r="CV246" s="221"/>
      <c r="CW246" s="221"/>
      <c r="CX246" s="221"/>
      <c r="CY246" s="221"/>
      <c r="CZ246" s="221"/>
      <c r="DA246" s="221"/>
      <c r="DB246" s="221"/>
      <c r="DC246" s="221"/>
      <c r="DD246" s="221"/>
      <c r="DE246" s="221"/>
      <c r="DF246" s="221"/>
      <c r="DG246" s="221"/>
      <c r="DH246" s="221"/>
      <c r="DI246" s="221"/>
      <c r="DJ246" s="221"/>
      <c r="DK246" s="221"/>
      <c r="DL246" s="221"/>
      <c r="DM246" s="221"/>
      <c r="DN246" s="221"/>
      <c r="DO246" s="221"/>
      <c r="DP246" s="221"/>
      <c r="DQ246" s="221"/>
      <c r="DR246" s="221"/>
      <c r="DS246" s="221"/>
      <c r="DT246" s="221"/>
      <c r="DU246" s="221"/>
      <c r="DV246" s="221"/>
      <c r="DW246" s="221"/>
      <c r="DX246" s="221"/>
      <c r="DY246" s="221"/>
      <c r="DZ246" s="221"/>
      <c r="EA246" s="221"/>
      <c r="EB246" s="221"/>
      <c r="EC246" s="221"/>
      <c r="ED246" s="221"/>
      <c r="EE246" s="221"/>
      <c r="EF246" s="221"/>
      <c r="EG246" s="221"/>
      <c r="EH246" s="221"/>
      <c r="EI246" s="221"/>
      <c r="EJ246" s="221"/>
      <c r="EK246" s="221"/>
      <c r="EL246" s="221"/>
      <c r="EM246" s="221"/>
      <c r="EN246" s="221"/>
      <c r="EO246" s="221"/>
      <c r="EP246" s="221"/>
      <c r="EQ246" s="221"/>
      <c r="ER246" s="221"/>
      <c r="ES246" s="221"/>
      <c r="ET246" s="221"/>
      <c r="EU246" s="221"/>
      <c r="EV246" s="221"/>
      <c r="EW246" s="221"/>
      <c r="EX246" s="221"/>
      <c r="EY246" s="221"/>
      <c r="EZ246" s="221"/>
      <c r="FA246" s="221"/>
      <c r="FB246" s="221"/>
      <c r="FC246" s="221"/>
      <c r="FD246" s="221"/>
      <c r="FE246" s="221"/>
      <c r="FF246" s="221"/>
      <c r="FG246" s="221"/>
      <c r="FH246" s="221"/>
      <c r="FI246" s="221"/>
      <c r="FJ246" s="221"/>
      <c r="FK246" s="221"/>
      <c r="FL246" s="221"/>
      <c r="FM246" s="221"/>
      <c r="FN246" s="221"/>
      <c r="FO246" s="221"/>
      <c r="FP246" s="221"/>
      <c r="FQ246" s="221"/>
      <c r="FR246" s="221"/>
      <c r="FS246" s="221"/>
      <c r="FT246" s="221"/>
      <c r="FU246" s="221"/>
      <c r="FV246" s="221"/>
      <c r="FW246" s="221"/>
      <c r="FX246" s="221"/>
      <c r="FY246" s="221"/>
      <c r="FZ246" s="221"/>
      <c r="GA246" s="221"/>
      <c r="GB246" s="221"/>
      <c r="GC246" s="221"/>
      <c r="GD246" s="221"/>
      <c r="GE246" s="221"/>
      <c r="GF246" s="221"/>
      <c r="GG246" s="221"/>
      <c r="GH246" s="221"/>
      <c r="GI246" s="221"/>
      <c r="GJ246" s="221"/>
      <c r="GK246" s="221"/>
      <c r="GL246" s="221"/>
      <c r="GM246" s="221"/>
      <c r="GN246" s="221"/>
      <c r="GO246" s="221"/>
      <c r="GP246" s="221"/>
      <c r="GQ246" s="221"/>
      <c r="GR246" s="221"/>
      <c r="GS246" s="221"/>
      <c r="GT246" s="221"/>
      <c r="GU246" s="221"/>
      <c r="GV246" s="221"/>
      <c r="GW246" s="221"/>
      <c r="GX246" s="221"/>
      <c r="GY246" s="221"/>
      <c r="GZ246" s="221"/>
      <c r="HA246" s="221"/>
      <c r="HB246" s="221"/>
      <c r="HC246" s="221"/>
      <c r="HD246" s="221"/>
      <c r="HE246" s="221"/>
      <c r="HF246" s="221"/>
      <c r="HG246" s="221"/>
      <c r="HH246" s="221"/>
      <c r="HI246" s="221"/>
      <c r="HJ246" s="221"/>
      <c r="HK246" s="221"/>
      <c r="HL246" s="221"/>
      <c r="HM246" s="221"/>
      <c r="HN246" s="221"/>
      <c r="HO246" s="221"/>
      <c r="HP246" s="221"/>
      <c r="HQ246" s="221"/>
      <c r="HR246" s="221"/>
      <c r="HS246" s="221"/>
      <c r="HT246" s="221"/>
      <c r="HU246" s="221"/>
      <c r="HV246" s="221"/>
      <c r="HW246" s="221"/>
      <c r="HX246" s="221"/>
      <c r="HY246" s="221"/>
      <c r="HZ246" s="221"/>
      <c r="IA246" s="221"/>
      <c r="IB246" s="221"/>
      <c r="IC246" s="221"/>
      <c r="ID246" s="221"/>
      <c r="IE246" s="221"/>
      <c r="IF246" s="221"/>
      <c r="IG246" s="221"/>
      <c r="IH246" s="221"/>
      <c r="II246" s="221"/>
      <c r="IJ246" s="221"/>
      <c r="IK246" s="221"/>
      <c r="IL246" s="221"/>
      <c r="IM246" s="221"/>
      <c r="IN246" s="221"/>
      <c r="IO246" s="221"/>
      <c r="IP246" s="221"/>
      <c r="IQ246" s="221"/>
      <c r="IR246" s="221"/>
      <c r="IS246" s="221"/>
      <c r="IT246" s="221"/>
      <c r="IU246" s="221"/>
      <c r="IV246" s="221"/>
      <c r="IW246" s="221"/>
      <c r="IX246" s="221"/>
      <c r="IY246" s="221"/>
      <c r="IZ246" s="221"/>
      <c r="JA246" s="221"/>
      <c r="JB246" s="221"/>
      <c r="JC246" s="221"/>
      <c r="JD246" s="221"/>
      <c r="JE246" s="221"/>
      <c r="JF246" s="221"/>
      <c r="JG246" s="221"/>
      <c r="JH246" s="221"/>
      <c r="JI246" s="221"/>
      <c r="JJ246" s="221"/>
      <c r="JK246" s="221"/>
      <c r="JL246" s="221"/>
      <c r="JM246" s="221"/>
      <c r="JN246" s="221"/>
      <c r="JO246" s="221"/>
      <c r="JP246" s="221"/>
      <c r="JQ246" s="221"/>
    </row>
    <row r="247" spans="1:277" ht="20" customHeight="1" outlineLevel="1">
      <c r="A247" s="456">
        <v>1905037</v>
      </c>
      <c r="B247" s="439">
        <v>42152</v>
      </c>
      <c r="C247" s="448" t="s">
        <v>1523</v>
      </c>
      <c r="D247" s="448" t="s">
        <v>73</v>
      </c>
      <c r="E247" s="538" t="s">
        <v>60</v>
      </c>
      <c r="F247" s="530" t="s">
        <v>47</v>
      </c>
      <c r="G247" s="448" t="s">
        <v>1969</v>
      </c>
      <c r="H247" s="514" t="s">
        <v>191</v>
      </c>
      <c r="I247" s="443">
        <v>192338</v>
      </c>
      <c r="J247" s="448" t="s">
        <v>62</v>
      </c>
      <c r="K247" s="448" t="s">
        <v>50</v>
      </c>
      <c r="L247" s="448"/>
      <c r="M247" s="448"/>
      <c r="N247" s="448" t="s">
        <v>1383</v>
      </c>
      <c r="O247" s="448" t="s">
        <v>1970</v>
      </c>
      <c r="P247" s="516" t="s">
        <v>1971</v>
      </c>
      <c r="Q247" s="629"/>
      <c r="R247" s="589">
        <v>0</v>
      </c>
      <c r="S247" s="590">
        <v>0</v>
      </c>
      <c r="T247" s="604">
        <v>0</v>
      </c>
      <c r="U247" s="596">
        <v>0</v>
      </c>
      <c r="V247" s="590">
        <v>0</v>
      </c>
      <c r="W247" s="604">
        <v>0</v>
      </c>
      <c r="X247" s="596">
        <v>0</v>
      </c>
      <c r="Y247" s="590">
        <v>0</v>
      </c>
      <c r="Z247" s="604">
        <v>0</v>
      </c>
      <c r="AA247" s="596">
        <v>0</v>
      </c>
      <c r="AB247" s="590">
        <v>0</v>
      </c>
      <c r="AC247" s="604">
        <v>0</v>
      </c>
      <c r="AD247" s="596">
        <v>0</v>
      </c>
      <c r="AE247" s="594">
        <v>0</v>
      </c>
      <c r="AF247" s="594">
        <v>2</v>
      </c>
      <c r="AG247" s="590">
        <v>0</v>
      </c>
      <c r="AH247" s="604">
        <v>0</v>
      </c>
      <c r="AI247" s="610">
        <v>0</v>
      </c>
      <c r="AJ247" s="610">
        <v>0</v>
      </c>
      <c r="AK247" s="629"/>
      <c r="AL247" s="530"/>
      <c r="AM247" s="448">
        <v>191421</v>
      </c>
      <c r="AN247" s="612">
        <v>100.17</v>
      </c>
      <c r="AO247" s="440" t="s">
        <v>2029</v>
      </c>
      <c r="AP247" s="37">
        <v>194.78</v>
      </c>
      <c r="AQ247" s="795">
        <f t="shared" si="13"/>
        <v>94.61</v>
      </c>
      <c r="AR247" s="835">
        <f t="shared" si="21"/>
        <v>0.48572748742170652</v>
      </c>
      <c r="AS247" s="821"/>
      <c r="AT247" s="448"/>
      <c r="AU247" s="448"/>
      <c r="AV247" s="448"/>
      <c r="AW247" s="448"/>
      <c r="AX247" s="612"/>
      <c r="AY247" s="448"/>
      <c r="AZ247" s="612"/>
      <c r="BA247" s="31" t="s">
        <v>47</v>
      </c>
      <c r="BB247" s="41">
        <v>0</v>
      </c>
      <c r="BC247" s="448"/>
      <c r="BD247" s="448"/>
      <c r="BE247" s="448"/>
      <c r="BF247" s="448"/>
      <c r="BG247" s="448"/>
      <c r="BH247" s="221"/>
      <c r="BI247" s="221"/>
      <c r="BJ247" s="221"/>
      <c r="BK247" s="221"/>
      <c r="BL247" s="221"/>
      <c r="BM247" s="221"/>
      <c r="BN247" s="221"/>
      <c r="BO247" s="221"/>
      <c r="BP247" s="221"/>
      <c r="BQ247" s="221"/>
      <c r="BR247" s="221"/>
      <c r="BS247" s="221"/>
      <c r="BT247" s="221"/>
      <c r="BU247" s="221"/>
      <c r="BV247" s="221"/>
      <c r="BW247" s="221"/>
      <c r="BX247" s="221"/>
      <c r="BY247" s="221"/>
      <c r="BZ247" s="221"/>
      <c r="CA247" s="221"/>
      <c r="CB247" s="221"/>
      <c r="CC247" s="221"/>
      <c r="CD247" s="221"/>
      <c r="CE247" s="221"/>
      <c r="CF247" s="221"/>
      <c r="CG247" s="221"/>
      <c r="CH247" s="221"/>
      <c r="CI247" s="221"/>
      <c r="CJ247" s="221"/>
      <c r="CK247" s="221"/>
      <c r="CL247" s="221"/>
      <c r="CM247" s="221"/>
      <c r="CN247" s="221"/>
      <c r="CO247" s="221"/>
      <c r="CP247" s="221"/>
      <c r="CQ247" s="221"/>
      <c r="CR247" s="221"/>
      <c r="CS247" s="221"/>
      <c r="CT247" s="221"/>
      <c r="CU247" s="221"/>
      <c r="CV247" s="221"/>
      <c r="CW247" s="221"/>
      <c r="CX247" s="221"/>
      <c r="CY247" s="221"/>
      <c r="CZ247" s="221"/>
      <c r="DA247" s="221"/>
      <c r="DB247" s="221"/>
      <c r="DC247" s="221"/>
      <c r="DD247" s="221"/>
      <c r="DE247" s="221"/>
      <c r="DF247" s="221"/>
      <c r="DG247" s="221"/>
      <c r="DH247" s="221"/>
      <c r="DI247" s="221"/>
      <c r="DJ247" s="221"/>
      <c r="DK247" s="221"/>
      <c r="DL247" s="221"/>
      <c r="DM247" s="221"/>
      <c r="DN247" s="221"/>
      <c r="DO247" s="221"/>
      <c r="DP247" s="221"/>
      <c r="DQ247" s="221"/>
      <c r="DR247" s="221"/>
      <c r="DS247" s="221"/>
      <c r="DT247" s="221"/>
      <c r="DU247" s="221"/>
      <c r="DV247" s="221"/>
      <c r="DW247" s="221"/>
      <c r="DX247" s="221"/>
      <c r="DY247" s="221"/>
      <c r="DZ247" s="221"/>
      <c r="EA247" s="221"/>
      <c r="EB247" s="221"/>
      <c r="EC247" s="221"/>
      <c r="ED247" s="221"/>
      <c r="EE247" s="221"/>
      <c r="EF247" s="221"/>
      <c r="EG247" s="221"/>
      <c r="EH247" s="221"/>
      <c r="EI247" s="221"/>
      <c r="EJ247" s="221"/>
      <c r="EK247" s="221"/>
      <c r="EL247" s="221"/>
      <c r="EM247" s="221"/>
      <c r="EN247" s="221"/>
      <c r="EO247" s="221"/>
      <c r="EP247" s="221"/>
      <c r="EQ247" s="221"/>
      <c r="ER247" s="221"/>
      <c r="ES247" s="221"/>
      <c r="ET247" s="221"/>
      <c r="EU247" s="221"/>
      <c r="EV247" s="221"/>
      <c r="EW247" s="221"/>
      <c r="EX247" s="221"/>
      <c r="EY247" s="221"/>
      <c r="EZ247" s="221"/>
      <c r="FA247" s="221"/>
      <c r="FB247" s="221"/>
      <c r="FC247" s="221"/>
      <c r="FD247" s="221"/>
      <c r="FE247" s="221"/>
      <c r="FF247" s="221"/>
      <c r="FG247" s="221"/>
      <c r="FH247" s="221"/>
      <c r="FI247" s="221"/>
      <c r="FJ247" s="221"/>
      <c r="FK247" s="221"/>
      <c r="FL247" s="221"/>
      <c r="FM247" s="221"/>
      <c r="FN247" s="221"/>
      <c r="FO247" s="221"/>
      <c r="FP247" s="221"/>
      <c r="FQ247" s="221"/>
      <c r="FR247" s="221"/>
      <c r="FS247" s="221"/>
      <c r="FT247" s="221"/>
      <c r="FU247" s="221"/>
      <c r="FV247" s="221"/>
      <c r="FW247" s="221"/>
      <c r="FX247" s="221"/>
      <c r="FY247" s="221"/>
      <c r="FZ247" s="221"/>
      <c r="GA247" s="221"/>
      <c r="GB247" s="221"/>
      <c r="GC247" s="221"/>
      <c r="GD247" s="221"/>
      <c r="GE247" s="221"/>
      <c r="GF247" s="221"/>
      <c r="GG247" s="221"/>
      <c r="GH247" s="221"/>
      <c r="GI247" s="221"/>
      <c r="GJ247" s="221"/>
      <c r="GK247" s="221"/>
      <c r="GL247" s="221"/>
      <c r="GM247" s="221"/>
      <c r="GN247" s="221"/>
      <c r="GO247" s="221"/>
      <c r="GP247" s="221"/>
      <c r="GQ247" s="221"/>
      <c r="GR247" s="221"/>
      <c r="GS247" s="221"/>
      <c r="GT247" s="221"/>
      <c r="GU247" s="221"/>
      <c r="GV247" s="221"/>
      <c r="GW247" s="221"/>
      <c r="GX247" s="221"/>
      <c r="GY247" s="221"/>
      <c r="GZ247" s="221"/>
      <c r="HA247" s="221"/>
      <c r="HB247" s="221"/>
      <c r="HC247" s="221"/>
      <c r="HD247" s="221"/>
      <c r="HE247" s="221"/>
      <c r="HF247" s="221"/>
      <c r="HG247" s="221"/>
      <c r="HH247" s="221"/>
      <c r="HI247" s="221"/>
      <c r="HJ247" s="221"/>
      <c r="HK247" s="221"/>
      <c r="HL247" s="221"/>
      <c r="HM247" s="221"/>
      <c r="HN247" s="221"/>
      <c r="HO247" s="221"/>
      <c r="HP247" s="221"/>
      <c r="HQ247" s="221"/>
      <c r="HR247" s="221"/>
      <c r="HS247" s="221"/>
      <c r="HT247" s="221"/>
      <c r="HU247" s="221"/>
      <c r="HV247" s="221"/>
      <c r="HW247" s="221"/>
      <c r="HX247" s="221"/>
      <c r="HY247" s="221"/>
      <c r="HZ247" s="221"/>
      <c r="IA247" s="221"/>
      <c r="IB247" s="221"/>
      <c r="IC247" s="221"/>
      <c r="ID247" s="221"/>
      <c r="IE247" s="221"/>
      <c r="IF247" s="221"/>
      <c r="IG247" s="221"/>
      <c r="IH247" s="221"/>
      <c r="II247" s="221"/>
      <c r="IJ247" s="221"/>
      <c r="IK247" s="221"/>
      <c r="IL247" s="221"/>
      <c r="IM247" s="221"/>
      <c r="IN247" s="221"/>
      <c r="IO247" s="221"/>
      <c r="IP247" s="221"/>
      <c r="IQ247" s="221"/>
      <c r="IR247" s="221"/>
      <c r="IS247" s="221"/>
      <c r="IT247" s="221"/>
      <c r="IU247" s="221"/>
      <c r="IV247" s="221"/>
      <c r="IW247" s="221"/>
      <c r="IX247" s="221"/>
      <c r="IY247" s="221"/>
      <c r="IZ247" s="221"/>
      <c r="JA247" s="221"/>
      <c r="JB247" s="221"/>
      <c r="JC247" s="221"/>
      <c r="JD247" s="221"/>
      <c r="JE247" s="221"/>
      <c r="JF247" s="221"/>
      <c r="JG247" s="221"/>
      <c r="JH247" s="221"/>
      <c r="JI247" s="221"/>
      <c r="JJ247" s="221"/>
      <c r="JK247" s="221"/>
      <c r="JL247" s="221"/>
      <c r="JM247" s="221"/>
      <c r="JN247" s="221"/>
      <c r="JO247" s="221"/>
      <c r="JP247" s="221"/>
      <c r="JQ247" s="221"/>
    </row>
    <row r="248" spans="1:277" ht="20" customHeight="1" outlineLevel="1">
      <c r="A248" s="482">
        <v>1905038</v>
      </c>
      <c r="B248" s="439">
        <v>42152</v>
      </c>
      <c r="C248" s="448" t="s">
        <v>44</v>
      </c>
      <c r="D248" s="448" t="s">
        <v>1259</v>
      </c>
      <c r="E248" s="538" t="s">
        <v>204</v>
      </c>
      <c r="F248" s="530" t="s">
        <v>47</v>
      </c>
      <c r="G248" s="448" t="s">
        <v>1972</v>
      </c>
      <c r="H248" s="448"/>
      <c r="I248" s="443" t="s">
        <v>155</v>
      </c>
      <c r="J248" s="448" t="s">
        <v>62</v>
      </c>
      <c r="K248" s="448" t="s">
        <v>50</v>
      </c>
      <c r="L248" s="448">
        <v>111812285</v>
      </c>
      <c r="M248" s="439">
        <v>42172</v>
      </c>
      <c r="N248" s="448" t="s">
        <v>1783</v>
      </c>
      <c r="O248" s="448" t="s">
        <v>1327</v>
      </c>
      <c r="P248" s="516"/>
      <c r="Q248" s="629"/>
      <c r="R248" s="589">
        <v>0</v>
      </c>
      <c r="S248" s="590">
        <v>0</v>
      </c>
      <c r="T248" s="604">
        <v>0</v>
      </c>
      <c r="U248" s="596">
        <v>0</v>
      </c>
      <c r="V248" s="590">
        <v>0</v>
      </c>
      <c r="W248" s="604">
        <v>0</v>
      </c>
      <c r="X248" s="596">
        <v>0</v>
      </c>
      <c r="Y248" s="590">
        <v>0</v>
      </c>
      <c r="Z248" s="604">
        <v>0</v>
      </c>
      <c r="AA248" s="596">
        <v>0</v>
      </c>
      <c r="AB248" s="590">
        <v>5</v>
      </c>
      <c r="AC248" s="604">
        <v>0</v>
      </c>
      <c r="AD248" s="596">
        <v>0</v>
      </c>
      <c r="AE248" s="594">
        <v>0</v>
      </c>
      <c r="AF248" s="594">
        <v>0</v>
      </c>
      <c r="AG248" s="590">
        <v>0</v>
      </c>
      <c r="AH248" s="604">
        <v>0</v>
      </c>
      <c r="AI248" s="610">
        <v>0</v>
      </c>
      <c r="AJ248" s="610">
        <v>0</v>
      </c>
      <c r="AK248" s="629"/>
      <c r="AL248" s="530"/>
      <c r="AM248" s="448"/>
      <c r="AN248" s="612">
        <v>0</v>
      </c>
      <c r="AO248" s="444" t="s">
        <v>2050</v>
      </c>
      <c r="AP248" s="37">
        <v>110</v>
      </c>
      <c r="AQ248" s="795">
        <f t="shared" si="13"/>
        <v>110</v>
      </c>
      <c r="AR248" s="835">
        <f t="shared" si="21"/>
        <v>1</v>
      </c>
      <c r="AS248" s="821"/>
      <c r="AT248" s="448" t="s">
        <v>1254</v>
      </c>
      <c r="AU248" s="448">
        <v>1</v>
      </c>
      <c r="AV248" s="448" t="s">
        <v>2051</v>
      </c>
      <c r="AW248" s="448">
        <v>5</v>
      </c>
      <c r="AX248" s="612">
        <v>115</v>
      </c>
      <c r="AY248" s="448"/>
      <c r="AZ248" s="612">
        <v>109</v>
      </c>
      <c r="BA248" s="31" t="s">
        <v>47</v>
      </c>
      <c r="BB248" s="41">
        <v>0</v>
      </c>
      <c r="BC248" s="448"/>
      <c r="BD248" s="448"/>
      <c r="BE248" s="448"/>
      <c r="BF248" s="448"/>
      <c r="BG248" s="448"/>
      <c r="BH248" s="221"/>
      <c r="BI248" s="221"/>
      <c r="BJ248" s="221"/>
      <c r="BK248" s="221"/>
      <c r="BL248" s="221"/>
      <c r="BM248" s="221"/>
      <c r="BN248" s="221"/>
      <c r="BO248" s="221"/>
      <c r="BP248" s="221"/>
      <c r="BQ248" s="221"/>
      <c r="BR248" s="221"/>
      <c r="BS248" s="221"/>
      <c r="BT248" s="221"/>
      <c r="BU248" s="221"/>
      <c r="BV248" s="221"/>
      <c r="BW248" s="221"/>
      <c r="BX248" s="221"/>
      <c r="BY248" s="221"/>
      <c r="BZ248" s="221"/>
      <c r="CA248" s="221"/>
      <c r="CB248" s="221"/>
      <c r="CC248" s="221"/>
      <c r="CD248" s="221"/>
      <c r="CE248" s="221"/>
      <c r="CF248" s="221"/>
      <c r="CG248" s="221"/>
      <c r="CH248" s="221"/>
      <c r="CI248" s="221"/>
      <c r="CJ248" s="221"/>
      <c r="CK248" s="221"/>
      <c r="CL248" s="221"/>
      <c r="CM248" s="221"/>
      <c r="CN248" s="221"/>
      <c r="CO248" s="221"/>
      <c r="CP248" s="221"/>
      <c r="CQ248" s="221"/>
      <c r="CR248" s="221"/>
      <c r="CS248" s="221"/>
      <c r="CT248" s="221"/>
      <c r="CU248" s="221"/>
      <c r="CV248" s="221"/>
      <c r="CW248" s="221"/>
      <c r="CX248" s="221"/>
      <c r="CY248" s="221"/>
      <c r="CZ248" s="221"/>
      <c r="DA248" s="221"/>
      <c r="DB248" s="221"/>
      <c r="DC248" s="221"/>
      <c r="DD248" s="221"/>
      <c r="DE248" s="221"/>
      <c r="DF248" s="221"/>
      <c r="DG248" s="221"/>
      <c r="DH248" s="221"/>
      <c r="DI248" s="221"/>
      <c r="DJ248" s="221"/>
      <c r="DK248" s="221"/>
      <c r="DL248" s="221"/>
      <c r="DM248" s="221"/>
      <c r="DN248" s="221"/>
      <c r="DO248" s="221"/>
      <c r="DP248" s="221"/>
      <c r="DQ248" s="221"/>
      <c r="DR248" s="221"/>
      <c r="DS248" s="221"/>
      <c r="DT248" s="221"/>
      <c r="DU248" s="221"/>
      <c r="DV248" s="221"/>
      <c r="DW248" s="221"/>
      <c r="DX248" s="221"/>
      <c r="DY248" s="221"/>
      <c r="DZ248" s="221"/>
      <c r="EA248" s="221"/>
      <c r="EB248" s="221"/>
      <c r="EC248" s="221"/>
      <c r="ED248" s="221"/>
      <c r="EE248" s="221"/>
      <c r="EF248" s="221"/>
      <c r="EG248" s="221"/>
      <c r="EH248" s="221"/>
      <c r="EI248" s="221"/>
      <c r="EJ248" s="221"/>
      <c r="EK248" s="221"/>
      <c r="EL248" s="221"/>
      <c r="EM248" s="221"/>
      <c r="EN248" s="221"/>
      <c r="EO248" s="221"/>
      <c r="EP248" s="221"/>
      <c r="EQ248" s="221"/>
      <c r="ER248" s="221"/>
      <c r="ES248" s="221"/>
      <c r="ET248" s="221"/>
      <c r="EU248" s="221"/>
      <c r="EV248" s="221"/>
      <c r="EW248" s="221"/>
      <c r="EX248" s="221"/>
      <c r="EY248" s="221"/>
      <c r="EZ248" s="221"/>
      <c r="FA248" s="221"/>
      <c r="FB248" s="221"/>
      <c r="FC248" s="221"/>
      <c r="FD248" s="221"/>
      <c r="FE248" s="221"/>
      <c r="FF248" s="221"/>
      <c r="FG248" s="221"/>
      <c r="FH248" s="221"/>
      <c r="FI248" s="221"/>
      <c r="FJ248" s="221"/>
      <c r="FK248" s="221"/>
      <c r="FL248" s="221"/>
      <c r="FM248" s="221"/>
      <c r="FN248" s="221"/>
      <c r="FO248" s="221"/>
      <c r="FP248" s="221"/>
      <c r="FQ248" s="221"/>
      <c r="FR248" s="221"/>
      <c r="FS248" s="221"/>
      <c r="FT248" s="221"/>
      <c r="FU248" s="221"/>
      <c r="FV248" s="221"/>
      <c r="FW248" s="221"/>
      <c r="FX248" s="221"/>
      <c r="FY248" s="221"/>
      <c r="FZ248" s="221"/>
      <c r="GA248" s="221"/>
      <c r="GB248" s="221"/>
      <c r="GC248" s="221"/>
      <c r="GD248" s="221"/>
      <c r="GE248" s="221"/>
      <c r="GF248" s="221"/>
      <c r="GG248" s="221"/>
      <c r="GH248" s="221"/>
      <c r="GI248" s="221"/>
      <c r="GJ248" s="221"/>
      <c r="GK248" s="221"/>
      <c r="GL248" s="221"/>
      <c r="GM248" s="221"/>
      <c r="GN248" s="221"/>
      <c r="GO248" s="221"/>
      <c r="GP248" s="221"/>
      <c r="GQ248" s="221"/>
      <c r="GR248" s="221"/>
      <c r="GS248" s="221"/>
      <c r="GT248" s="221"/>
      <c r="GU248" s="221"/>
      <c r="GV248" s="221"/>
      <c r="GW248" s="221"/>
      <c r="GX248" s="221"/>
      <c r="GY248" s="221"/>
      <c r="GZ248" s="221"/>
      <c r="HA248" s="221"/>
      <c r="HB248" s="221"/>
      <c r="HC248" s="221"/>
      <c r="HD248" s="221"/>
      <c r="HE248" s="221"/>
      <c r="HF248" s="221"/>
      <c r="HG248" s="221"/>
      <c r="HH248" s="221"/>
      <c r="HI248" s="221"/>
      <c r="HJ248" s="221"/>
      <c r="HK248" s="221"/>
      <c r="HL248" s="221"/>
      <c r="HM248" s="221"/>
      <c r="HN248" s="221"/>
      <c r="HO248" s="221"/>
      <c r="HP248" s="221"/>
      <c r="HQ248" s="221"/>
      <c r="HR248" s="221"/>
      <c r="HS248" s="221"/>
      <c r="HT248" s="221"/>
      <c r="HU248" s="221"/>
      <c r="HV248" s="221"/>
      <c r="HW248" s="221"/>
      <c r="HX248" s="221"/>
      <c r="HY248" s="221"/>
      <c r="HZ248" s="221"/>
      <c r="IA248" s="221"/>
      <c r="IB248" s="221"/>
      <c r="IC248" s="221"/>
      <c r="ID248" s="221"/>
      <c r="IE248" s="221"/>
      <c r="IF248" s="221"/>
      <c r="IG248" s="221"/>
      <c r="IH248" s="221"/>
      <c r="II248" s="221"/>
      <c r="IJ248" s="221"/>
      <c r="IK248" s="221"/>
      <c r="IL248" s="221"/>
      <c r="IM248" s="221"/>
      <c r="IN248" s="221"/>
      <c r="IO248" s="221"/>
      <c r="IP248" s="221"/>
      <c r="IQ248" s="221"/>
      <c r="IR248" s="221"/>
      <c r="IS248" s="221"/>
      <c r="IT248" s="221"/>
      <c r="IU248" s="221"/>
      <c r="IV248" s="221"/>
      <c r="IW248" s="221"/>
      <c r="IX248" s="221"/>
      <c r="IY248" s="221"/>
      <c r="IZ248" s="221"/>
      <c r="JA248" s="221"/>
      <c r="JB248" s="221"/>
      <c r="JC248" s="221"/>
      <c r="JD248" s="221"/>
      <c r="JE248" s="221"/>
      <c r="JF248" s="221"/>
      <c r="JG248" s="221"/>
      <c r="JH248" s="221"/>
      <c r="JI248" s="221"/>
      <c r="JJ248" s="221"/>
      <c r="JK248" s="221"/>
      <c r="JL248" s="221"/>
      <c r="JM248" s="221"/>
      <c r="JN248" s="221"/>
      <c r="JO248" s="221"/>
      <c r="JP248" s="221"/>
      <c r="JQ248" s="221"/>
    </row>
    <row r="249" spans="1:277" ht="20" customHeight="1" outlineLevel="1">
      <c r="A249" s="482">
        <v>1905039</v>
      </c>
      <c r="B249" s="439">
        <v>42152</v>
      </c>
      <c r="C249" s="448" t="s">
        <v>44</v>
      </c>
      <c r="D249" s="448" t="s">
        <v>1259</v>
      </c>
      <c r="E249" s="538" t="s">
        <v>146</v>
      </c>
      <c r="F249" s="530" t="s">
        <v>47</v>
      </c>
      <c r="G249" s="448" t="s">
        <v>1974</v>
      </c>
      <c r="H249" s="448"/>
      <c r="I249" s="443" t="s">
        <v>155</v>
      </c>
      <c r="J249" s="448" t="s">
        <v>62</v>
      </c>
      <c r="K249" s="448" t="s">
        <v>50</v>
      </c>
      <c r="L249" s="448"/>
      <c r="M249" s="448"/>
      <c r="N249" s="448" t="s">
        <v>450</v>
      </c>
      <c r="O249" s="448" t="s">
        <v>1979</v>
      </c>
      <c r="P249" s="516" t="s">
        <v>1978</v>
      </c>
      <c r="Q249" s="629"/>
      <c r="R249" s="589">
        <v>0</v>
      </c>
      <c r="S249" s="590">
        <v>0</v>
      </c>
      <c r="T249" s="604">
        <v>0</v>
      </c>
      <c r="U249" s="596">
        <v>0</v>
      </c>
      <c r="V249" s="590">
        <v>0</v>
      </c>
      <c r="W249" s="604">
        <v>0</v>
      </c>
      <c r="X249" s="596">
        <v>0</v>
      </c>
      <c r="Y249" s="590">
        <v>0</v>
      </c>
      <c r="Z249" s="604">
        <v>0</v>
      </c>
      <c r="AA249" s="596">
        <v>1</v>
      </c>
      <c r="AB249" s="590">
        <v>0</v>
      </c>
      <c r="AC249" s="604">
        <v>0</v>
      </c>
      <c r="AD249" s="596">
        <v>0</v>
      </c>
      <c r="AE249" s="594">
        <v>0</v>
      </c>
      <c r="AF249" s="594">
        <v>0</v>
      </c>
      <c r="AG249" s="590">
        <v>0</v>
      </c>
      <c r="AH249" s="604">
        <v>0</v>
      </c>
      <c r="AI249" s="610">
        <v>0</v>
      </c>
      <c r="AJ249" s="610">
        <v>0</v>
      </c>
      <c r="AK249" s="629"/>
      <c r="AL249" s="530"/>
      <c r="AM249" s="448"/>
      <c r="AN249" s="612">
        <f>1*PRODUCTS!D8</f>
        <v>8.4</v>
      </c>
      <c r="AO249" s="444"/>
      <c r="AP249" s="37">
        <v>20</v>
      </c>
      <c r="AQ249" s="795">
        <f t="shared" si="13"/>
        <v>11.6</v>
      </c>
      <c r="AR249" s="835">
        <f t="shared" si="21"/>
        <v>0.57999999999999996</v>
      </c>
      <c r="AS249" s="821"/>
      <c r="AT249" s="448"/>
      <c r="AU249" s="448"/>
      <c r="AV249" s="448"/>
      <c r="AW249" s="448"/>
      <c r="AX249" s="612"/>
      <c r="AY249" s="448"/>
      <c r="AZ249" s="612"/>
      <c r="BA249" s="31" t="s">
        <v>47</v>
      </c>
      <c r="BB249" s="41">
        <v>0</v>
      </c>
      <c r="BC249" s="448"/>
      <c r="BD249" s="448"/>
      <c r="BE249" s="448"/>
      <c r="BF249" s="448"/>
      <c r="BG249" s="448"/>
      <c r="BH249" s="221"/>
      <c r="BI249" s="221"/>
      <c r="BJ249" s="221"/>
      <c r="BK249" s="221"/>
      <c r="BL249" s="221"/>
      <c r="BM249" s="221"/>
      <c r="BN249" s="221"/>
      <c r="BO249" s="221"/>
      <c r="BP249" s="221"/>
      <c r="BQ249" s="221"/>
      <c r="BR249" s="221"/>
      <c r="BS249" s="221"/>
      <c r="BT249" s="221"/>
      <c r="BU249" s="221"/>
      <c r="BV249" s="221"/>
      <c r="BW249" s="221"/>
      <c r="BX249" s="221"/>
      <c r="BY249" s="221"/>
      <c r="BZ249" s="221"/>
      <c r="CA249" s="221"/>
      <c r="CB249" s="221"/>
      <c r="CC249" s="221"/>
      <c r="CD249" s="221"/>
      <c r="CE249" s="221"/>
      <c r="CF249" s="221"/>
      <c r="CG249" s="221"/>
      <c r="CH249" s="221"/>
      <c r="CI249" s="221"/>
      <c r="CJ249" s="221"/>
      <c r="CK249" s="221"/>
      <c r="CL249" s="221"/>
      <c r="CM249" s="221"/>
      <c r="CN249" s="221"/>
      <c r="CO249" s="221"/>
      <c r="CP249" s="221"/>
      <c r="CQ249" s="221"/>
      <c r="CR249" s="221"/>
      <c r="CS249" s="221"/>
      <c r="CT249" s="221"/>
      <c r="CU249" s="221"/>
      <c r="CV249" s="221"/>
      <c r="CW249" s="221"/>
      <c r="CX249" s="221"/>
      <c r="CY249" s="221"/>
      <c r="CZ249" s="221"/>
      <c r="DA249" s="221"/>
      <c r="DB249" s="221"/>
      <c r="DC249" s="221"/>
      <c r="DD249" s="221"/>
      <c r="DE249" s="221"/>
      <c r="DF249" s="221"/>
      <c r="DG249" s="221"/>
      <c r="DH249" s="221"/>
      <c r="DI249" s="221"/>
      <c r="DJ249" s="221"/>
      <c r="DK249" s="221"/>
      <c r="DL249" s="221"/>
      <c r="DM249" s="221"/>
      <c r="DN249" s="221"/>
      <c r="DO249" s="221"/>
      <c r="DP249" s="221"/>
      <c r="DQ249" s="221"/>
      <c r="DR249" s="221"/>
      <c r="DS249" s="221"/>
      <c r="DT249" s="221"/>
      <c r="DU249" s="221"/>
      <c r="DV249" s="221"/>
      <c r="DW249" s="221"/>
      <c r="DX249" s="221"/>
      <c r="DY249" s="221"/>
      <c r="DZ249" s="221"/>
      <c r="EA249" s="221"/>
      <c r="EB249" s="221"/>
      <c r="EC249" s="221"/>
      <c r="ED249" s="221"/>
      <c r="EE249" s="221"/>
      <c r="EF249" s="221"/>
      <c r="EG249" s="221"/>
      <c r="EH249" s="221"/>
      <c r="EI249" s="221"/>
      <c r="EJ249" s="221"/>
      <c r="EK249" s="221"/>
      <c r="EL249" s="221"/>
      <c r="EM249" s="221"/>
      <c r="EN249" s="221"/>
      <c r="EO249" s="221"/>
      <c r="EP249" s="221"/>
      <c r="EQ249" s="221"/>
      <c r="ER249" s="221"/>
      <c r="ES249" s="221"/>
      <c r="ET249" s="221"/>
      <c r="EU249" s="221"/>
      <c r="EV249" s="221"/>
      <c r="EW249" s="221"/>
      <c r="EX249" s="221"/>
      <c r="EY249" s="221"/>
      <c r="EZ249" s="221"/>
      <c r="FA249" s="221"/>
      <c r="FB249" s="221"/>
      <c r="FC249" s="221"/>
      <c r="FD249" s="221"/>
      <c r="FE249" s="221"/>
      <c r="FF249" s="221"/>
      <c r="FG249" s="221"/>
      <c r="FH249" s="221"/>
      <c r="FI249" s="221"/>
      <c r="FJ249" s="221"/>
      <c r="FK249" s="221"/>
      <c r="FL249" s="221"/>
      <c r="FM249" s="221"/>
      <c r="FN249" s="221"/>
      <c r="FO249" s="221"/>
      <c r="FP249" s="221"/>
      <c r="FQ249" s="221"/>
      <c r="FR249" s="221"/>
      <c r="FS249" s="221"/>
      <c r="FT249" s="221"/>
      <c r="FU249" s="221"/>
      <c r="FV249" s="221"/>
      <c r="FW249" s="221"/>
      <c r="FX249" s="221"/>
      <c r="FY249" s="221"/>
      <c r="FZ249" s="221"/>
      <c r="GA249" s="221"/>
      <c r="GB249" s="221"/>
      <c r="GC249" s="221"/>
      <c r="GD249" s="221"/>
      <c r="GE249" s="221"/>
      <c r="GF249" s="221"/>
      <c r="GG249" s="221"/>
      <c r="GH249" s="221"/>
      <c r="GI249" s="221"/>
      <c r="GJ249" s="221"/>
      <c r="GK249" s="221"/>
      <c r="GL249" s="221"/>
      <c r="GM249" s="221"/>
      <c r="GN249" s="221"/>
      <c r="GO249" s="221"/>
      <c r="GP249" s="221"/>
      <c r="GQ249" s="221"/>
      <c r="GR249" s="221"/>
      <c r="GS249" s="221"/>
      <c r="GT249" s="221"/>
      <c r="GU249" s="221"/>
      <c r="GV249" s="221"/>
      <c r="GW249" s="221"/>
      <c r="GX249" s="221"/>
      <c r="GY249" s="221"/>
      <c r="GZ249" s="221"/>
      <c r="HA249" s="221"/>
      <c r="HB249" s="221"/>
      <c r="HC249" s="221"/>
      <c r="HD249" s="221"/>
      <c r="HE249" s="221"/>
      <c r="HF249" s="221"/>
      <c r="HG249" s="221"/>
      <c r="HH249" s="221"/>
      <c r="HI249" s="221"/>
      <c r="HJ249" s="221"/>
      <c r="HK249" s="221"/>
      <c r="HL249" s="221"/>
      <c r="HM249" s="221"/>
      <c r="HN249" s="221"/>
      <c r="HO249" s="221"/>
      <c r="HP249" s="221"/>
      <c r="HQ249" s="221"/>
      <c r="HR249" s="221"/>
      <c r="HS249" s="221"/>
      <c r="HT249" s="221"/>
      <c r="HU249" s="221"/>
      <c r="HV249" s="221"/>
      <c r="HW249" s="221"/>
      <c r="HX249" s="221"/>
      <c r="HY249" s="221"/>
      <c r="HZ249" s="221"/>
      <c r="IA249" s="221"/>
      <c r="IB249" s="221"/>
      <c r="IC249" s="221"/>
      <c r="ID249" s="221"/>
      <c r="IE249" s="221"/>
      <c r="IF249" s="221"/>
      <c r="IG249" s="221"/>
      <c r="IH249" s="221"/>
      <c r="II249" s="221"/>
      <c r="IJ249" s="221"/>
      <c r="IK249" s="221"/>
      <c r="IL249" s="221"/>
      <c r="IM249" s="221"/>
      <c r="IN249" s="221"/>
      <c r="IO249" s="221"/>
      <c r="IP249" s="221"/>
      <c r="IQ249" s="221"/>
      <c r="IR249" s="221"/>
      <c r="IS249" s="221"/>
      <c r="IT249" s="221"/>
      <c r="IU249" s="221"/>
      <c r="IV249" s="221"/>
      <c r="IW249" s="221"/>
      <c r="IX249" s="221"/>
      <c r="IY249" s="221"/>
      <c r="IZ249" s="221"/>
      <c r="JA249" s="221"/>
      <c r="JB249" s="221"/>
      <c r="JC249" s="221"/>
      <c r="JD249" s="221"/>
      <c r="JE249" s="221"/>
      <c r="JF249" s="221"/>
      <c r="JG249" s="221"/>
      <c r="JH249" s="221"/>
      <c r="JI249" s="221"/>
      <c r="JJ249" s="221"/>
      <c r="JK249" s="221"/>
      <c r="JL249" s="221"/>
      <c r="JM249" s="221"/>
      <c r="JN249" s="221"/>
      <c r="JO249" s="221"/>
      <c r="JP249" s="221"/>
      <c r="JQ249" s="221"/>
    </row>
    <row r="250" spans="1:277" ht="15" outlineLevel="1" thickBot="1">
      <c r="A250" s="482">
        <v>1905040</v>
      </c>
      <c r="B250" s="439">
        <v>42154</v>
      </c>
      <c r="C250" s="448" t="s">
        <v>67</v>
      </c>
      <c r="D250" s="448" t="s">
        <v>1259</v>
      </c>
      <c r="E250" s="538" t="s">
        <v>60</v>
      </c>
      <c r="F250" s="530" t="s">
        <v>47</v>
      </c>
      <c r="G250" s="448" t="s">
        <v>1973</v>
      </c>
      <c r="H250" s="514" t="s">
        <v>1314</v>
      </c>
      <c r="I250" s="443">
        <v>192614</v>
      </c>
      <c r="J250" s="448" t="s">
        <v>1975</v>
      </c>
      <c r="K250" s="448" t="s">
        <v>50</v>
      </c>
      <c r="L250" s="448">
        <v>116631152</v>
      </c>
      <c r="M250" s="439">
        <v>42181</v>
      </c>
      <c r="N250" s="448" t="s">
        <v>1976</v>
      </c>
      <c r="O250" s="448" t="s">
        <v>1977</v>
      </c>
      <c r="P250" s="516"/>
      <c r="Q250" s="629"/>
      <c r="R250" s="589">
        <v>0</v>
      </c>
      <c r="S250" s="590">
        <v>0</v>
      </c>
      <c r="T250" s="604">
        <v>0</v>
      </c>
      <c r="U250" s="596">
        <v>0</v>
      </c>
      <c r="V250" s="590">
        <v>0</v>
      </c>
      <c r="W250" s="604">
        <v>0</v>
      </c>
      <c r="X250" s="596">
        <v>1</v>
      </c>
      <c r="Y250" s="590">
        <v>0</v>
      </c>
      <c r="Z250" s="604">
        <v>0</v>
      </c>
      <c r="AA250" s="596">
        <v>0</v>
      </c>
      <c r="AB250" s="590">
        <v>0</v>
      </c>
      <c r="AC250" s="604">
        <v>0</v>
      </c>
      <c r="AD250" s="596">
        <v>0</v>
      </c>
      <c r="AE250" s="594">
        <v>0</v>
      </c>
      <c r="AF250" s="594">
        <v>3</v>
      </c>
      <c r="AG250" s="590">
        <v>0</v>
      </c>
      <c r="AH250" s="604">
        <v>0</v>
      </c>
      <c r="AI250" s="610">
        <v>0</v>
      </c>
      <c r="AJ250" s="610">
        <v>0</v>
      </c>
      <c r="AK250" s="629"/>
      <c r="AL250" s="531" t="s">
        <v>1680</v>
      </c>
      <c r="AM250" s="448">
        <v>191652</v>
      </c>
      <c r="AN250" s="612">
        <v>340.79</v>
      </c>
      <c r="AO250" s="440" t="s">
        <v>2169</v>
      </c>
      <c r="AP250" s="37">
        <v>0</v>
      </c>
      <c r="AQ250" s="795">
        <f t="shared" si="13"/>
        <v>-340.79</v>
      </c>
      <c r="AR250" s="835" t="e">
        <f t="shared" si="21"/>
        <v>#DIV/0!</v>
      </c>
      <c r="AS250" s="821" t="s">
        <v>47</v>
      </c>
      <c r="AT250" s="448"/>
      <c r="AU250" s="448"/>
      <c r="AV250" s="448"/>
      <c r="AW250" s="448"/>
      <c r="AX250" s="612"/>
      <c r="AY250" s="448"/>
      <c r="AZ250" s="612"/>
      <c r="BA250" s="31" t="s">
        <v>47</v>
      </c>
      <c r="BB250" s="41">
        <v>0</v>
      </c>
      <c r="BC250" s="448"/>
      <c r="BD250" s="448"/>
      <c r="BE250" s="448"/>
      <c r="BF250" s="448"/>
      <c r="BG250" s="448"/>
    </row>
    <row r="251" spans="1:277" s="658" customFormat="1" ht="20" customHeight="1" thickBot="1">
      <c r="A251" s="764" t="s">
        <v>1840</v>
      </c>
      <c r="B251" s="765" t="s">
        <v>1844</v>
      </c>
      <c r="C251" s="766">
        <f>AQ251+AV251-BB251</f>
        <v>1604.1287267536441</v>
      </c>
      <c r="D251" s="803" t="s">
        <v>2025</v>
      </c>
      <c r="E251" s="658">
        <f>R251+U251+X251+AA251+AD251+AE251+AF251+AJ251</f>
        <v>223</v>
      </c>
      <c r="F251" s="767"/>
      <c r="G251" s="767"/>
      <c r="H251" s="767"/>
      <c r="I251" s="767"/>
      <c r="J251" s="767"/>
      <c r="K251" s="767"/>
      <c r="L251" s="767"/>
      <c r="M251" s="767"/>
      <c r="N251" s="767"/>
      <c r="O251" s="767"/>
      <c r="P251" s="768"/>
      <c r="Q251" s="655"/>
      <c r="R251" s="684">
        <f t="shared" ref="R251:AJ251" si="27">SUM(R211:R250)</f>
        <v>24</v>
      </c>
      <c r="S251" s="668">
        <f t="shared" si="27"/>
        <v>1</v>
      </c>
      <c r="T251" s="668">
        <f t="shared" si="27"/>
        <v>5</v>
      </c>
      <c r="U251" s="673">
        <f t="shared" si="27"/>
        <v>2</v>
      </c>
      <c r="V251" s="669">
        <f t="shared" si="27"/>
        <v>3</v>
      </c>
      <c r="W251" s="669">
        <f t="shared" si="27"/>
        <v>6</v>
      </c>
      <c r="X251" s="674">
        <f t="shared" si="27"/>
        <v>71</v>
      </c>
      <c r="Y251" s="670">
        <f t="shared" si="27"/>
        <v>2</v>
      </c>
      <c r="Z251" s="670">
        <f t="shared" si="27"/>
        <v>8</v>
      </c>
      <c r="AA251" s="675">
        <f t="shared" si="27"/>
        <v>60</v>
      </c>
      <c r="AB251" s="671">
        <f t="shared" si="27"/>
        <v>8</v>
      </c>
      <c r="AC251" s="671">
        <f t="shared" si="27"/>
        <v>8</v>
      </c>
      <c r="AD251" s="676">
        <f t="shared" si="27"/>
        <v>24</v>
      </c>
      <c r="AE251" s="676">
        <f t="shared" si="27"/>
        <v>34</v>
      </c>
      <c r="AF251" s="676">
        <f t="shared" si="27"/>
        <v>8</v>
      </c>
      <c r="AG251" s="672">
        <f t="shared" si="27"/>
        <v>8</v>
      </c>
      <c r="AH251" s="672">
        <f t="shared" si="27"/>
        <v>5</v>
      </c>
      <c r="AI251" s="677">
        <f t="shared" ref="AI251" si="28">SUM(AI211:AI250)</f>
        <v>0</v>
      </c>
      <c r="AJ251" s="677">
        <f t="shared" si="27"/>
        <v>0</v>
      </c>
      <c r="AK251" s="737"/>
      <c r="AL251" s="655"/>
      <c r="AM251" s="655"/>
      <c r="AN251" s="659">
        <f>SUM(AN211:AN250)</f>
        <v>3778.1002732463558</v>
      </c>
      <c r="AO251" s="655"/>
      <c r="AP251" s="659">
        <f>SUM(AP211:AP250)</f>
        <v>5392.4800000000005</v>
      </c>
      <c r="AQ251" s="659">
        <f>SUM(AQ211:AQ250)</f>
        <v>1614.379726753644</v>
      </c>
      <c r="AR251" s="835"/>
      <c r="AS251" s="657"/>
      <c r="AT251" s="660" t="s">
        <v>1845</v>
      </c>
      <c r="AU251" s="655"/>
      <c r="AV251" s="659">
        <f>AX251-AZ251</f>
        <v>17.099999999999909</v>
      </c>
      <c r="AW251" s="655"/>
      <c r="AX251" s="661">
        <f>SUM(AX211:AX250)</f>
        <v>1649</v>
      </c>
      <c r="AY251" s="661"/>
      <c r="AZ251" s="661">
        <f>SUM(AZ211:AZ250)</f>
        <v>1631.9</v>
      </c>
      <c r="BA251" s="660" t="s">
        <v>1867</v>
      </c>
      <c r="BB251" s="661">
        <f>SUM(BB211:BB250)</f>
        <v>27.350999999999999</v>
      </c>
      <c r="BC251" s="655"/>
      <c r="BD251" s="655"/>
      <c r="BE251" s="655"/>
      <c r="BF251" s="655"/>
      <c r="BG251" s="656"/>
      <c r="BH251" s="657"/>
      <c r="BI251" s="657"/>
      <c r="BJ251" s="657"/>
      <c r="BK251" s="657"/>
      <c r="BL251" s="657"/>
      <c r="BM251" s="657"/>
      <c r="BN251" s="657"/>
      <c r="BO251" s="657"/>
      <c r="BP251" s="657"/>
      <c r="BQ251" s="657"/>
      <c r="BR251" s="657"/>
      <c r="BS251" s="657"/>
      <c r="BT251" s="657"/>
      <c r="BU251" s="657"/>
      <c r="BV251" s="657"/>
      <c r="BW251" s="657"/>
      <c r="BX251" s="657"/>
      <c r="BY251" s="657"/>
      <c r="BZ251" s="657"/>
      <c r="CA251" s="657"/>
      <c r="CB251" s="657"/>
      <c r="CC251" s="657"/>
      <c r="CD251" s="657"/>
      <c r="CE251" s="657"/>
      <c r="CF251" s="657"/>
      <c r="CG251" s="657"/>
      <c r="CH251" s="657"/>
      <c r="CI251" s="657"/>
      <c r="CJ251" s="657"/>
      <c r="CK251" s="657"/>
      <c r="CL251" s="657"/>
      <c r="CM251" s="657"/>
      <c r="CN251" s="657"/>
      <c r="CO251" s="657"/>
      <c r="CP251" s="657"/>
      <c r="CQ251" s="657"/>
      <c r="CR251" s="657"/>
      <c r="CS251" s="657"/>
      <c r="CT251" s="657"/>
      <c r="CU251" s="657"/>
      <c r="CV251" s="657"/>
      <c r="CW251" s="657"/>
      <c r="CX251" s="657"/>
      <c r="CY251" s="657"/>
      <c r="CZ251" s="657"/>
      <c r="DA251" s="657"/>
      <c r="DB251" s="657"/>
      <c r="DC251" s="657"/>
      <c r="DD251" s="657"/>
      <c r="DE251" s="657"/>
      <c r="DF251" s="657"/>
      <c r="DG251" s="657"/>
      <c r="DH251" s="657"/>
      <c r="DI251" s="657"/>
      <c r="DJ251" s="657"/>
      <c r="DK251" s="657"/>
      <c r="DL251" s="657"/>
      <c r="DM251" s="657"/>
      <c r="DN251" s="657"/>
      <c r="DO251" s="657"/>
      <c r="DP251" s="657"/>
      <c r="DQ251" s="657"/>
      <c r="DR251" s="657"/>
      <c r="DS251" s="657"/>
      <c r="DT251" s="657"/>
      <c r="DU251" s="657"/>
      <c r="DV251" s="657"/>
      <c r="DW251" s="657"/>
      <c r="DX251" s="657"/>
      <c r="DY251" s="657"/>
      <c r="DZ251" s="657"/>
      <c r="EA251" s="657"/>
      <c r="EB251" s="657"/>
      <c r="EC251" s="657"/>
      <c r="ED251" s="657"/>
      <c r="EE251" s="657"/>
      <c r="EF251" s="657"/>
      <c r="EG251" s="657"/>
      <c r="EH251" s="657"/>
      <c r="EI251" s="657"/>
      <c r="EJ251" s="657"/>
      <c r="EK251" s="657"/>
      <c r="EL251" s="657"/>
      <c r="EM251" s="657"/>
      <c r="EN251" s="657"/>
      <c r="EO251" s="657"/>
      <c r="EP251" s="657"/>
      <c r="EQ251" s="657"/>
      <c r="ER251" s="657"/>
      <c r="ES251" s="657"/>
      <c r="ET251" s="657"/>
      <c r="EU251" s="657"/>
      <c r="EV251" s="657"/>
      <c r="EW251" s="657"/>
      <c r="EX251" s="657"/>
      <c r="EY251" s="657"/>
      <c r="EZ251" s="657"/>
      <c r="FA251" s="657"/>
      <c r="FB251" s="657"/>
      <c r="FC251" s="657"/>
      <c r="FD251" s="657"/>
      <c r="FE251" s="657"/>
      <c r="FF251" s="657"/>
      <c r="FG251" s="657"/>
      <c r="FH251" s="657"/>
      <c r="FI251" s="657"/>
      <c r="FJ251" s="657"/>
      <c r="FK251" s="657"/>
      <c r="FL251" s="657"/>
      <c r="FM251" s="657"/>
      <c r="FN251" s="657"/>
      <c r="FO251" s="657"/>
      <c r="FP251" s="657"/>
      <c r="FQ251" s="657"/>
      <c r="FR251" s="657"/>
      <c r="FS251" s="657"/>
      <c r="FT251" s="657"/>
      <c r="FU251" s="657"/>
      <c r="FV251" s="657"/>
      <c r="FW251" s="657"/>
      <c r="FX251" s="657"/>
      <c r="FY251" s="657"/>
      <c r="FZ251" s="657"/>
      <c r="GA251" s="657"/>
      <c r="GB251" s="657"/>
      <c r="GC251" s="657"/>
      <c r="GD251" s="657"/>
      <c r="GE251" s="657"/>
      <c r="GF251" s="657"/>
      <c r="GG251" s="657"/>
      <c r="GH251" s="657"/>
      <c r="GI251" s="657"/>
      <c r="GJ251" s="657"/>
      <c r="GK251" s="657"/>
      <c r="GL251" s="657"/>
      <c r="GM251" s="657"/>
      <c r="GN251" s="657"/>
      <c r="GO251" s="657"/>
      <c r="GP251" s="657"/>
      <c r="GQ251" s="657"/>
      <c r="GR251" s="657"/>
      <c r="GS251" s="657"/>
      <c r="GT251" s="657"/>
      <c r="GU251" s="657"/>
      <c r="GV251" s="657"/>
      <c r="GW251" s="657"/>
      <c r="GX251" s="657"/>
      <c r="GY251" s="657"/>
      <c r="GZ251" s="657"/>
      <c r="HA251" s="657"/>
      <c r="HB251" s="657"/>
      <c r="HC251" s="657"/>
      <c r="HD251" s="657"/>
      <c r="HE251" s="657"/>
      <c r="HF251" s="657"/>
      <c r="HG251" s="657"/>
      <c r="HH251" s="657"/>
      <c r="HI251" s="657"/>
      <c r="HJ251" s="657"/>
      <c r="HK251" s="657"/>
      <c r="HL251" s="657"/>
      <c r="HM251" s="657"/>
      <c r="HN251" s="657"/>
      <c r="HO251" s="657"/>
      <c r="HP251" s="657"/>
      <c r="HQ251" s="657"/>
      <c r="HR251" s="657"/>
      <c r="HS251" s="657"/>
      <c r="HT251" s="657"/>
      <c r="HU251" s="657"/>
      <c r="HV251" s="657"/>
      <c r="HW251" s="657"/>
      <c r="HX251" s="657"/>
      <c r="HY251" s="657"/>
      <c r="HZ251" s="657"/>
      <c r="IA251" s="657"/>
      <c r="IB251" s="657"/>
      <c r="IC251" s="657"/>
      <c r="ID251" s="657"/>
      <c r="IE251" s="657"/>
      <c r="IF251" s="657"/>
      <c r="IG251" s="657"/>
      <c r="IH251" s="657"/>
      <c r="II251" s="657"/>
      <c r="IJ251" s="657"/>
      <c r="IK251" s="657"/>
      <c r="IL251" s="657"/>
      <c r="IM251" s="657"/>
      <c r="IN251" s="657"/>
      <c r="IO251" s="657"/>
      <c r="IP251" s="657"/>
      <c r="IQ251" s="657"/>
      <c r="IR251" s="657"/>
      <c r="IS251" s="657"/>
      <c r="IT251" s="657"/>
      <c r="IU251" s="657"/>
      <c r="IV251" s="657"/>
      <c r="IW251" s="657"/>
      <c r="IX251" s="657"/>
      <c r="IY251" s="657"/>
      <c r="IZ251" s="657"/>
      <c r="JA251" s="657"/>
      <c r="JB251" s="657"/>
      <c r="JC251" s="657"/>
      <c r="JD251" s="657"/>
      <c r="JE251" s="657"/>
      <c r="JF251" s="657"/>
      <c r="JG251" s="657"/>
      <c r="JH251" s="657"/>
      <c r="JI251" s="657"/>
      <c r="JJ251" s="657"/>
      <c r="JK251" s="657"/>
      <c r="JL251" s="657"/>
      <c r="JM251" s="657"/>
      <c r="JN251" s="657"/>
      <c r="JO251" s="657"/>
      <c r="JP251" s="657"/>
      <c r="JQ251" s="657"/>
    </row>
    <row r="252" spans="1:277" ht="20" customHeight="1" outlineLevel="1">
      <c r="A252" s="456">
        <v>1906001</v>
      </c>
      <c r="B252" s="439">
        <v>42157</v>
      </c>
      <c r="C252" s="448" t="s">
        <v>44</v>
      </c>
      <c r="D252" s="448" t="s">
        <v>1259</v>
      </c>
      <c r="E252" s="538" t="s">
        <v>146</v>
      </c>
      <c r="F252" s="530" t="s">
        <v>47</v>
      </c>
      <c r="G252" s="448" t="s">
        <v>1980</v>
      </c>
      <c r="H252" s="448" t="s">
        <v>191</v>
      </c>
      <c r="I252" s="443">
        <v>192257</v>
      </c>
      <c r="J252" s="448" t="s">
        <v>62</v>
      </c>
      <c r="K252" s="448" t="s">
        <v>50</v>
      </c>
      <c r="L252" s="448">
        <v>108800150</v>
      </c>
      <c r="M252" s="439">
        <v>42160</v>
      </c>
      <c r="N252" s="448" t="s">
        <v>450</v>
      </c>
      <c r="O252" s="448" t="s">
        <v>1981</v>
      </c>
      <c r="P252" s="516"/>
      <c r="Q252" s="629"/>
      <c r="R252" s="589">
        <v>0</v>
      </c>
      <c r="S252" s="590">
        <v>0</v>
      </c>
      <c r="T252" s="604">
        <v>0</v>
      </c>
      <c r="U252" s="596">
        <v>0</v>
      </c>
      <c r="V252" s="590">
        <v>0</v>
      </c>
      <c r="W252" s="604">
        <v>0</v>
      </c>
      <c r="X252" s="596">
        <v>0</v>
      </c>
      <c r="Y252" s="590">
        <v>0</v>
      </c>
      <c r="Z252" s="604">
        <v>0</v>
      </c>
      <c r="AA252" s="596">
        <v>0</v>
      </c>
      <c r="AB252" s="590">
        <v>0</v>
      </c>
      <c r="AC252" s="604">
        <v>0</v>
      </c>
      <c r="AD252" s="596">
        <v>0</v>
      </c>
      <c r="AE252" s="596">
        <v>0</v>
      </c>
      <c r="AF252" s="596">
        <v>0</v>
      </c>
      <c r="AG252" s="590">
        <v>1</v>
      </c>
      <c r="AH252" s="604">
        <v>0</v>
      </c>
      <c r="AI252" s="610">
        <v>0</v>
      </c>
      <c r="AJ252" s="610">
        <v>0</v>
      </c>
      <c r="AK252" s="629"/>
      <c r="AL252" s="531" t="s">
        <v>1313</v>
      </c>
      <c r="AM252" s="514" t="s">
        <v>2015</v>
      </c>
      <c r="AN252" s="612">
        <f>PRODUCTS!C3</f>
        <v>63.99</v>
      </c>
      <c r="AO252" s="440" t="s">
        <v>47</v>
      </c>
      <c r="AP252" s="37">
        <v>0</v>
      </c>
      <c r="AQ252" s="795">
        <f t="shared" si="13"/>
        <v>-63.99</v>
      </c>
      <c r="AR252" s="835" t="e">
        <f t="shared" si="21"/>
        <v>#DIV/0!</v>
      </c>
      <c r="AS252" s="821"/>
      <c r="AT252" s="514" t="s">
        <v>1254</v>
      </c>
      <c r="AU252" s="448"/>
      <c r="AV252" s="448"/>
      <c r="AW252" s="448"/>
      <c r="AX252" s="612"/>
      <c r="AY252" s="448"/>
      <c r="AZ252" s="612"/>
      <c r="BA252" s="256" t="s">
        <v>47</v>
      </c>
      <c r="BB252" s="41">
        <v>0</v>
      </c>
      <c r="BC252" s="448"/>
      <c r="BD252" s="448"/>
      <c r="BE252" s="448"/>
      <c r="BF252" s="448"/>
      <c r="BG252" s="448"/>
      <c r="BH252" s="221"/>
      <c r="BI252" s="221"/>
      <c r="BJ252" s="221"/>
      <c r="BK252" s="221"/>
      <c r="BL252" s="221"/>
      <c r="BM252" s="221"/>
      <c r="BN252" s="221"/>
      <c r="BO252" s="221"/>
      <c r="BP252" s="221"/>
      <c r="BQ252" s="221"/>
      <c r="BR252" s="221"/>
      <c r="BS252" s="221"/>
      <c r="BT252" s="221"/>
      <c r="BU252" s="221"/>
      <c r="BV252" s="221"/>
      <c r="BW252" s="221"/>
      <c r="BX252" s="221"/>
      <c r="BY252" s="221"/>
      <c r="BZ252" s="221"/>
      <c r="CA252" s="221"/>
      <c r="CB252" s="221"/>
      <c r="CC252" s="221"/>
      <c r="CD252" s="221"/>
      <c r="CE252" s="221"/>
      <c r="CF252" s="221"/>
      <c r="CG252" s="221"/>
      <c r="CH252" s="221"/>
      <c r="CI252" s="221"/>
      <c r="CJ252" s="221"/>
      <c r="CK252" s="221"/>
      <c r="CL252" s="221"/>
      <c r="CM252" s="221"/>
      <c r="CN252" s="221"/>
      <c r="CO252" s="221"/>
      <c r="CP252" s="221"/>
      <c r="CQ252" s="221"/>
      <c r="CR252" s="221"/>
      <c r="CS252" s="221"/>
      <c r="CT252" s="221"/>
      <c r="CU252" s="221"/>
      <c r="CV252" s="221"/>
      <c r="CW252" s="221"/>
      <c r="CX252" s="221"/>
      <c r="CY252" s="221"/>
      <c r="CZ252" s="221"/>
      <c r="DA252" s="221"/>
      <c r="DB252" s="221"/>
      <c r="DC252" s="221"/>
      <c r="DD252" s="221"/>
      <c r="DE252" s="221"/>
      <c r="DF252" s="221"/>
      <c r="DG252" s="221"/>
      <c r="DH252" s="221"/>
      <c r="DI252" s="221"/>
      <c r="DJ252" s="221"/>
      <c r="DK252" s="221"/>
      <c r="DL252" s="221"/>
      <c r="DM252" s="221"/>
      <c r="DN252" s="221"/>
      <c r="DO252" s="221"/>
      <c r="DP252" s="221"/>
      <c r="DQ252" s="221"/>
      <c r="DR252" s="221"/>
      <c r="DS252" s="221"/>
      <c r="DT252" s="221"/>
      <c r="DU252" s="221"/>
      <c r="DV252" s="221"/>
      <c r="DW252" s="221"/>
      <c r="DX252" s="221"/>
      <c r="DY252" s="221"/>
      <c r="DZ252" s="221"/>
      <c r="EA252" s="221"/>
      <c r="EB252" s="221"/>
      <c r="EC252" s="221"/>
      <c r="ED252" s="221"/>
      <c r="EE252" s="221"/>
      <c r="EF252" s="221"/>
      <c r="EG252" s="221"/>
      <c r="EH252" s="221"/>
      <c r="EI252" s="221"/>
      <c r="EJ252" s="221"/>
      <c r="EK252" s="221"/>
      <c r="EL252" s="221"/>
      <c r="EM252" s="221"/>
      <c r="EN252" s="221"/>
      <c r="EO252" s="221"/>
      <c r="EP252" s="221"/>
      <c r="EQ252" s="221"/>
      <c r="ER252" s="221"/>
      <c r="ES252" s="221"/>
      <c r="ET252" s="221"/>
      <c r="EU252" s="221"/>
      <c r="EV252" s="221"/>
      <c r="EW252" s="221"/>
      <c r="EX252" s="221"/>
      <c r="EY252" s="221"/>
      <c r="EZ252" s="221"/>
      <c r="FA252" s="221"/>
      <c r="FB252" s="221"/>
      <c r="FC252" s="221"/>
      <c r="FD252" s="221"/>
      <c r="FE252" s="221"/>
      <c r="FF252" s="221"/>
      <c r="FG252" s="221"/>
      <c r="FH252" s="221"/>
      <c r="FI252" s="221"/>
      <c r="FJ252" s="221"/>
      <c r="FK252" s="221"/>
      <c r="FL252" s="221"/>
      <c r="FM252" s="221"/>
      <c r="FN252" s="221"/>
      <c r="FO252" s="221"/>
      <c r="FP252" s="221"/>
      <c r="FQ252" s="221"/>
      <c r="FR252" s="221"/>
      <c r="FS252" s="221"/>
      <c r="FT252" s="221"/>
      <c r="FU252" s="221"/>
      <c r="FV252" s="221"/>
      <c r="FW252" s="221"/>
      <c r="FX252" s="221"/>
      <c r="FY252" s="221"/>
      <c r="FZ252" s="221"/>
      <c r="GA252" s="221"/>
      <c r="GB252" s="221"/>
      <c r="GC252" s="221"/>
      <c r="GD252" s="221"/>
      <c r="GE252" s="221"/>
      <c r="GF252" s="221"/>
      <c r="GG252" s="221"/>
      <c r="GH252" s="221"/>
      <c r="GI252" s="221"/>
      <c r="GJ252" s="221"/>
      <c r="GK252" s="221"/>
      <c r="GL252" s="221"/>
      <c r="GM252" s="221"/>
      <c r="GN252" s="221"/>
      <c r="GO252" s="221"/>
      <c r="GP252" s="221"/>
      <c r="GQ252" s="221"/>
      <c r="GR252" s="221"/>
      <c r="GS252" s="221"/>
      <c r="GT252" s="221"/>
      <c r="GU252" s="221"/>
      <c r="GV252" s="221"/>
      <c r="GW252" s="221"/>
      <c r="GX252" s="221"/>
      <c r="GY252" s="221"/>
      <c r="GZ252" s="221"/>
      <c r="HA252" s="221"/>
      <c r="HB252" s="221"/>
      <c r="HC252" s="221"/>
      <c r="HD252" s="221"/>
      <c r="HE252" s="221"/>
      <c r="HF252" s="221"/>
      <c r="HG252" s="221"/>
      <c r="HH252" s="221"/>
      <c r="HI252" s="221"/>
      <c r="HJ252" s="221"/>
      <c r="HK252" s="221"/>
      <c r="HL252" s="221"/>
      <c r="HM252" s="221"/>
      <c r="HN252" s="221"/>
      <c r="HO252" s="221"/>
      <c r="HP252" s="221"/>
      <c r="HQ252" s="221"/>
      <c r="HR252" s="221"/>
      <c r="HS252" s="221"/>
      <c r="HT252" s="221"/>
      <c r="HU252" s="221"/>
      <c r="HV252" s="221"/>
      <c r="HW252" s="221"/>
      <c r="HX252" s="221"/>
      <c r="HY252" s="221"/>
      <c r="HZ252" s="221"/>
      <c r="IA252" s="221"/>
      <c r="IB252" s="221"/>
      <c r="IC252" s="221"/>
      <c r="ID252" s="221"/>
      <c r="IE252" s="221"/>
      <c r="IF252" s="221"/>
      <c r="IG252" s="221"/>
      <c r="IH252" s="221"/>
      <c r="II252" s="221"/>
      <c r="IJ252" s="221"/>
      <c r="IK252" s="221"/>
      <c r="IL252" s="221"/>
      <c r="IM252" s="221"/>
      <c r="IN252" s="221"/>
      <c r="IO252" s="221"/>
      <c r="IP252" s="221"/>
      <c r="IQ252" s="221"/>
      <c r="IR252" s="221"/>
      <c r="IS252" s="221"/>
      <c r="IT252" s="221"/>
      <c r="IU252" s="221"/>
      <c r="IV252" s="221"/>
      <c r="IW252" s="221"/>
      <c r="IX252" s="221"/>
      <c r="IY252" s="221"/>
      <c r="IZ252" s="221"/>
      <c r="JA252" s="221"/>
      <c r="JB252" s="221"/>
      <c r="JC252" s="221"/>
      <c r="JD252" s="221"/>
      <c r="JE252" s="221"/>
      <c r="JF252" s="221"/>
      <c r="JG252" s="221"/>
      <c r="JH252" s="221"/>
      <c r="JI252" s="221"/>
      <c r="JJ252" s="221"/>
      <c r="JK252" s="221"/>
      <c r="JL252" s="221"/>
      <c r="JM252" s="221"/>
      <c r="JN252" s="221"/>
      <c r="JO252" s="221"/>
      <c r="JP252" s="221"/>
      <c r="JQ252" s="221"/>
    </row>
    <row r="253" spans="1:277" ht="20" customHeight="1" outlineLevel="1">
      <c r="A253" s="456">
        <v>1906002</v>
      </c>
      <c r="B253" s="439">
        <v>42157</v>
      </c>
      <c r="C253" s="448" t="s">
        <v>1523</v>
      </c>
      <c r="D253" s="448" t="s">
        <v>1259</v>
      </c>
      <c r="E253" s="538" t="s">
        <v>60</v>
      </c>
      <c r="F253" s="530" t="s">
        <v>47</v>
      </c>
      <c r="G253" s="448" t="s">
        <v>1984</v>
      </c>
      <c r="H253" s="448" t="s">
        <v>191</v>
      </c>
      <c r="I253" s="443">
        <v>192261</v>
      </c>
      <c r="J253" s="448" t="s">
        <v>62</v>
      </c>
      <c r="K253" s="448" t="s">
        <v>50</v>
      </c>
      <c r="L253" s="448">
        <v>108829860</v>
      </c>
      <c r="M253" s="439">
        <v>42160</v>
      </c>
      <c r="N253" s="448" t="s">
        <v>1982</v>
      </c>
      <c r="O253" s="448" t="s">
        <v>1876</v>
      </c>
      <c r="P253" s="516" t="s">
        <v>1983</v>
      </c>
      <c r="Q253" s="629"/>
      <c r="R253" s="589">
        <v>5</v>
      </c>
      <c r="S253" s="590">
        <v>0</v>
      </c>
      <c r="T253" s="604">
        <v>0</v>
      </c>
      <c r="U253" s="596">
        <v>0</v>
      </c>
      <c r="V253" s="590">
        <v>0</v>
      </c>
      <c r="W253" s="604">
        <v>0</v>
      </c>
      <c r="X253" s="596">
        <v>0</v>
      </c>
      <c r="Y253" s="590">
        <v>0</v>
      </c>
      <c r="Z253" s="604">
        <v>0</v>
      </c>
      <c r="AA253" s="596">
        <v>0</v>
      </c>
      <c r="AB253" s="590">
        <v>0</v>
      </c>
      <c r="AC253" s="604">
        <v>0</v>
      </c>
      <c r="AD253" s="596">
        <v>0</v>
      </c>
      <c r="AE253" s="596">
        <v>0</v>
      </c>
      <c r="AF253" s="596">
        <v>0</v>
      </c>
      <c r="AG253" s="590">
        <v>0</v>
      </c>
      <c r="AH253" s="604">
        <v>0</v>
      </c>
      <c r="AI253" s="610">
        <v>0</v>
      </c>
      <c r="AJ253" s="610">
        <v>0</v>
      </c>
      <c r="AK253" s="629"/>
      <c r="AL253" s="531" t="s">
        <v>1725</v>
      </c>
      <c r="AM253" s="448">
        <v>191417</v>
      </c>
      <c r="AN253" s="612">
        <f>R253*PRODUCTS!G8</f>
        <v>40</v>
      </c>
      <c r="AO253" s="440" t="s">
        <v>1948</v>
      </c>
      <c r="AP253" s="37">
        <v>207.52</v>
      </c>
      <c r="AQ253" s="795">
        <f t="shared" si="13"/>
        <v>167.52</v>
      </c>
      <c r="AR253" s="835">
        <f t="shared" si="21"/>
        <v>0.80724749421742481</v>
      </c>
      <c r="AS253" s="821"/>
      <c r="AT253" s="514" t="s">
        <v>1254</v>
      </c>
      <c r="AU253" s="448">
        <v>1</v>
      </c>
      <c r="AV253" s="514" t="s">
        <v>1721</v>
      </c>
      <c r="AW253" s="448">
        <v>6</v>
      </c>
      <c r="AX253" s="612">
        <v>0</v>
      </c>
      <c r="AY253" s="448"/>
      <c r="AZ253" s="612">
        <v>8</v>
      </c>
      <c r="BA253" s="256" t="s">
        <v>2014</v>
      </c>
      <c r="BB253" s="41">
        <f>AP253*5%</f>
        <v>10.376000000000001</v>
      </c>
      <c r="BC253" s="448"/>
      <c r="BD253" s="448"/>
      <c r="BE253" s="448"/>
      <c r="BF253" s="448"/>
      <c r="BG253" s="448"/>
      <c r="BH253" s="221"/>
      <c r="BI253" s="221"/>
      <c r="BJ253" s="221"/>
      <c r="BK253" s="221"/>
      <c r="BL253" s="221"/>
      <c r="BM253" s="221"/>
      <c r="BN253" s="221"/>
      <c r="BO253" s="221"/>
      <c r="BP253" s="221"/>
      <c r="BQ253" s="221"/>
      <c r="BR253" s="221"/>
      <c r="BS253" s="221"/>
      <c r="BT253" s="221"/>
      <c r="BU253" s="221"/>
      <c r="BV253" s="221"/>
      <c r="BW253" s="221"/>
      <c r="BX253" s="221"/>
      <c r="BY253" s="221"/>
      <c r="BZ253" s="221"/>
      <c r="CA253" s="221"/>
      <c r="CB253" s="221"/>
      <c r="CC253" s="221"/>
      <c r="CD253" s="221"/>
      <c r="CE253" s="221"/>
      <c r="CF253" s="221"/>
      <c r="CG253" s="221"/>
      <c r="CH253" s="221"/>
      <c r="CI253" s="221"/>
      <c r="CJ253" s="221"/>
      <c r="CK253" s="221"/>
      <c r="CL253" s="221"/>
      <c r="CM253" s="221"/>
      <c r="CN253" s="221"/>
      <c r="CO253" s="221"/>
      <c r="CP253" s="221"/>
      <c r="CQ253" s="221"/>
      <c r="CR253" s="221"/>
      <c r="CS253" s="221"/>
      <c r="CT253" s="221"/>
      <c r="CU253" s="221"/>
      <c r="CV253" s="221"/>
      <c r="CW253" s="221"/>
      <c r="CX253" s="221"/>
      <c r="CY253" s="221"/>
      <c r="CZ253" s="221"/>
      <c r="DA253" s="221"/>
      <c r="DB253" s="221"/>
      <c r="DC253" s="221"/>
      <c r="DD253" s="221"/>
      <c r="DE253" s="221"/>
      <c r="DF253" s="221"/>
      <c r="DG253" s="221"/>
      <c r="DH253" s="221"/>
      <c r="DI253" s="221"/>
      <c r="DJ253" s="221"/>
      <c r="DK253" s="221"/>
      <c r="DL253" s="221"/>
      <c r="DM253" s="221"/>
      <c r="DN253" s="221"/>
      <c r="DO253" s="221"/>
      <c r="DP253" s="221"/>
      <c r="DQ253" s="221"/>
      <c r="DR253" s="221"/>
      <c r="DS253" s="221"/>
      <c r="DT253" s="221"/>
      <c r="DU253" s="221"/>
      <c r="DV253" s="221"/>
      <c r="DW253" s="221"/>
      <c r="DX253" s="221"/>
      <c r="DY253" s="221"/>
      <c r="DZ253" s="221"/>
      <c r="EA253" s="221"/>
      <c r="EB253" s="221"/>
      <c r="EC253" s="221"/>
      <c r="ED253" s="221"/>
      <c r="EE253" s="221"/>
      <c r="EF253" s="221"/>
      <c r="EG253" s="221"/>
      <c r="EH253" s="221"/>
      <c r="EI253" s="221"/>
      <c r="EJ253" s="221"/>
      <c r="EK253" s="221"/>
      <c r="EL253" s="221"/>
      <c r="EM253" s="221"/>
      <c r="EN253" s="221"/>
      <c r="EO253" s="221"/>
      <c r="EP253" s="221"/>
      <c r="EQ253" s="221"/>
      <c r="ER253" s="221"/>
      <c r="ES253" s="221"/>
      <c r="ET253" s="221"/>
      <c r="EU253" s="221"/>
      <c r="EV253" s="221"/>
      <c r="EW253" s="221"/>
      <c r="EX253" s="221"/>
      <c r="EY253" s="221"/>
      <c r="EZ253" s="221"/>
      <c r="FA253" s="221"/>
      <c r="FB253" s="221"/>
      <c r="FC253" s="221"/>
      <c r="FD253" s="221"/>
      <c r="FE253" s="221"/>
      <c r="FF253" s="221"/>
      <c r="FG253" s="221"/>
      <c r="FH253" s="221"/>
      <c r="FI253" s="221"/>
      <c r="FJ253" s="221"/>
      <c r="FK253" s="221"/>
      <c r="FL253" s="221"/>
      <c r="FM253" s="221"/>
      <c r="FN253" s="221"/>
      <c r="FO253" s="221"/>
      <c r="FP253" s="221"/>
      <c r="FQ253" s="221"/>
      <c r="FR253" s="221"/>
      <c r="FS253" s="221"/>
      <c r="FT253" s="221"/>
      <c r="FU253" s="221"/>
      <c r="FV253" s="221"/>
      <c r="FW253" s="221"/>
      <c r="FX253" s="221"/>
      <c r="FY253" s="221"/>
      <c r="FZ253" s="221"/>
      <c r="GA253" s="221"/>
      <c r="GB253" s="221"/>
      <c r="GC253" s="221"/>
      <c r="GD253" s="221"/>
      <c r="GE253" s="221"/>
      <c r="GF253" s="221"/>
      <c r="GG253" s="221"/>
      <c r="GH253" s="221"/>
      <c r="GI253" s="221"/>
      <c r="GJ253" s="221"/>
      <c r="GK253" s="221"/>
      <c r="GL253" s="221"/>
      <c r="GM253" s="221"/>
      <c r="GN253" s="221"/>
      <c r="GO253" s="221"/>
      <c r="GP253" s="221"/>
      <c r="GQ253" s="221"/>
      <c r="GR253" s="221"/>
      <c r="GS253" s="221"/>
      <c r="GT253" s="221"/>
      <c r="GU253" s="221"/>
      <c r="GV253" s="221"/>
      <c r="GW253" s="221"/>
      <c r="GX253" s="221"/>
      <c r="GY253" s="221"/>
      <c r="GZ253" s="221"/>
      <c r="HA253" s="221"/>
      <c r="HB253" s="221"/>
      <c r="HC253" s="221"/>
      <c r="HD253" s="221"/>
      <c r="HE253" s="221"/>
      <c r="HF253" s="221"/>
      <c r="HG253" s="221"/>
      <c r="HH253" s="221"/>
      <c r="HI253" s="221"/>
      <c r="HJ253" s="221"/>
      <c r="HK253" s="221"/>
      <c r="HL253" s="221"/>
      <c r="HM253" s="221"/>
      <c r="HN253" s="221"/>
      <c r="HO253" s="221"/>
      <c r="HP253" s="221"/>
      <c r="HQ253" s="221"/>
      <c r="HR253" s="221"/>
      <c r="HS253" s="221"/>
      <c r="HT253" s="221"/>
      <c r="HU253" s="221"/>
      <c r="HV253" s="221"/>
      <c r="HW253" s="221"/>
      <c r="HX253" s="221"/>
      <c r="HY253" s="221"/>
      <c r="HZ253" s="221"/>
      <c r="IA253" s="221"/>
      <c r="IB253" s="221"/>
      <c r="IC253" s="221"/>
      <c r="ID253" s="221"/>
      <c r="IE253" s="221"/>
      <c r="IF253" s="221"/>
      <c r="IG253" s="221"/>
      <c r="IH253" s="221"/>
      <c r="II253" s="221"/>
      <c r="IJ253" s="221"/>
      <c r="IK253" s="221"/>
      <c r="IL253" s="221"/>
      <c r="IM253" s="221"/>
      <c r="IN253" s="221"/>
      <c r="IO253" s="221"/>
      <c r="IP253" s="221"/>
      <c r="IQ253" s="221"/>
      <c r="IR253" s="221"/>
      <c r="IS253" s="221"/>
      <c r="IT253" s="221"/>
      <c r="IU253" s="221"/>
      <c r="IV253" s="221"/>
      <c r="IW253" s="221"/>
      <c r="IX253" s="221"/>
      <c r="IY253" s="221"/>
      <c r="IZ253" s="221"/>
      <c r="JA253" s="221"/>
      <c r="JB253" s="221"/>
      <c r="JC253" s="221"/>
      <c r="JD253" s="221"/>
      <c r="JE253" s="221"/>
      <c r="JF253" s="221"/>
      <c r="JG253" s="221"/>
      <c r="JH253" s="221"/>
      <c r="JI253" s="221"/>
      <c r="JJ253" s="221"/>
      <c r="JK253" s="221"/>
      <c r="JL253" s="221"/>
      <c r="JM253" s="221"/>
      <c r="JN253" s="221"/>
      <c r="JO253" s="221"/>
      <c r="JP253" s="221"/>
      <c r="JQ253" s="221"/>
    </row>
    <row r="254" spans="1:277" ht="20" customHeight="1" outlineLevel="1">
      <c r="A254" s="456">
        <v>1906003</v>
      </c>
      <c r="B254" s="439">
        <v>42157</v>
      </c>
      <c r="C254" s="448" t="s">
        <v>1523</v>
      </c>
      <c r="D254" s="448" t="s">
        <v>1259</v>
      </c>
      <c r="E254" s="538" t="s">
        <v>60</v>
      </c>
      <c r="F254" s="530" t="s">
        <v>47</v>
      </c>
      <c r="G254" s="448" t="s">
        <v>1985</v>
      </c>
      <c r="H254" s="448" t="s">
        <v>191</v>
      </c>
      <c r="I254" s="443">
        <v>192259</v>
      </c>
      <c r="J254" s="448" t="s">
        <v>62</v>
      </c>
      <c r="K254" s="448" t="s">
        <v>50</v>
      </c>
      <c r="L254" s="448">
        <v>108836874</v>
      </c>
      <c r="M254" s="439">
        <v>53118</v>
      </c>
      <c r="N254" s="448" t="s">
        <v>1986</v>
      </c>
      <c r="O254" s="448" t="s">
        <v>1876</v>
      </c>
      <c r="P254" s="516" t="s">
        <v>1987</v>
      </c>
      <c r="Q254" s="629"/>
      <c r="R254" s="589">
        <v>0</v>
      </c>
      <c r="S254" s="590">
        <v>0</v>
      </c>
      <c r="T254" s="604">
        <v>0</v>
      </c>
      <c r="U254" s="596">
        <v>0</v>
      </c>
      <c r="V254" s="590">
        <v>0</v>
      </c>
      <c r="W254" s="604">
        <v>0</v>
      </c>
      <c r="X254" s="596">
        <v>0</v>
      </c>
      <c r="Y254" s="590">
        <v>0</v>
      </c>
      <c r="Z254" s="604">
        <v>0</v>
      </c>
      <c r="AA254" s="596">
        <v>0</v>
      </c>
      <c r="AB254" s="590">
        <v>0</v>
      </c>
      <c r="AC254" s="604">
        <v>0</v>
      </c>
      <c r="AD254" s="596">
        <v>0</v>
      </c>
      <c r="AE254" s="596">
        <v>1</v>
      </c>
      <c r="AF254" s="596">
        <v>0</v>
      </c>
      <c r="AG254" s="590">
        <v>1</v>
      </c>
      <c r="AH254" s="604">
        <v>0</v>
      </c>
      <c r="AI254" s="610">
        <v>0</v>
      </c>
      <c r="AJ254" s="610">
        <v>0</v>
      </c>
      <c r="AK254" s="629"/>
      <c r="AL254" s="531" t="s">
        <v>1725</v>
      </c>
      <c r="AM254" s="514" t="s">
        <v>2013</v>
      </c>
      <c r="AN254" s="612">
        <f>PRODUCTS!C3+PRODUCTS!C10</f>
        <v>80.240000000000009</v>
      </c>
      <c r="AO254" s="440" t="s">
        <v>2012</v>
      </c>
      <c r="AP254" s="37">
        <v>99.17</v>
      </c>
      <c r="AQ254" s="795">
        <f t="shared" si="13"/>
        <v>18.929999999999993</v>
      </c>
      <c r="AR254" s="835">
        <f t="shared" si="21"/>
        <v>0.19088434002218405</v>
      </c>
      <c r="AS254" s="821"/>
      <c r="AT254" s="514" t="s">
        <v>1254</v>
      </c>
      <c r="AU254" s="448">
        <v>2</v>
      </c>
      <c r="AV254" s="448"/>
      <c r="AW254" s="448"/>
      <c r="AX254" s="612">
        <v>0</v>
      </c>
      <c r="AY254" s="448"/>
      <c r="AZ254" s="612">
        <v>8</v>
      </c>
      <c r="BA254" s="256" t="s">
        <v>2014</v>
      </c>
      <c r="BB254" s="41">
        <f>AP254*5%</f>
        <v>4.9585000000000008</v>
      </c>
      <c r="BC254" s="448"/>
      <c r="BD254" s="448"/>
      <c r="BE254" s="448"/>
      <c r="BF254" s="448"/>
      <c r="BG254" s="448"/>
      <c r="BH254" s="221"/>
      <c r="BI254" s="221"/>
      <c r="BJ254" s="221"/>
      <c r="BK254" s="221"/>
      <c r="BL254" s="221"/>
      <c r="BM254" s="221"/>
      <c r="BN254" s="221"/>
      <c r="BO254" s="221"/>
      <c r="BP254" s="221"/>
      <c r="BQ254" s="221"/>
      <c r="BR254" s="221"/>
      <c r="BS254" s="221"/>
      <c r="BT254" s="221"/>
      <c r="BU254" s="221"/>
      <c r="BV254" s="221"/>
      <c r="BW254" s="221"/>
      <c r="BX254" s="221"/>
      <c r="BY254" s="221"/>
      <c r="BZ254" s="221"/>
      <c r="CA254" s="221"/>
      <c r="CB254" s="221"/>
      <c r="CC254" s="221"/>
      <c r="CD254" s="221"/>
      <c r="CE254" s="221"/>
      <c r="CF254" s="221"/>
      <c r="CG254" s="221"/>
      <c r="CH254" s="221"/>
      <c r="CI254" s="221"/>
      <c r="CJ254" s="221"/>
      <c r="CK254" s="221"/>
      <c r="CL254" s="221"/>
      <c r="CM254" s="221"/>
      <c r="CN254" s="221"/>
      <c r="CO254" s="221"/>
      <c r="CP254" s="221"/>
      <c r="CQ254" s="221"/>
      <c r="CR254" s="221"/>
      <c r="CS254" s="221"/>
      <c r="CT254" s="221"/>
      <c r="CU254" s="221"/>
      <c r="CV254" s="221"/>
      <c r="CW254" s="221"/>
      <c r="CX254" s="221"/>
      <c r="CY254" s="221"/>
      <c r="CZ254" s="221"/>
      <c r="DA254" s="221"/>
      <c r="DB254" s="221"/>
      <c r="DC254" s="221"/>
      <c r="DD254" s="221"/>
      <c r="DE254" s="221"/>
      <c r="DF254" s="221"/>
      <c r="DG254" s="221"/>
      <c r="DH254" s="221"/>
      <c r="DI254" s="221"/>
      <c r="DJ254" s="221"/>
      <c r="DK254" s="221"/>
      <c r="DL254" s="221"/>
      <c r="DM254" s="221"/>
      <c r="DN254" s="221"/>
      <c r="DO254" s="221"/>
      <c r="DP254" s="221"/>
      <c r="DQ254" s="221"/>
      <c r="DR254" s="221"/>
      <c r="DS254" s="221"/>
      <c r="DT254" s="221"/>
      <c r="DU254" s="221"/>
      <c r="DV254" s="221"/>
      <c r="DW254" s="221"/>
      <c r="DX254" s="221"/>
      <c r="DY254" s="221"/>
      <c r="DZ254" s="221"/>
      <c r="EA254" s="221"/>
      <c r="EB254" s="221"/>
      <c r="EC254" s="221"/>
      <c r="ED254" s="221"/>
      <c r="EE254" s="221"/>
      <c r="EF254" s="221"/>
      <c r="EG254" s="221"/>
      <c r="EH254" s="221"/>
      <c r="EI254" s="221"/>
      <c r="EJ254" s="221"/>
      <c r="EK254" s="221"/>
      <c r="EL254" s="221"/>
      <c r="EM254" s="221"/>
      <c r="EN254" s="221"/>
      <c r="EO254" s="221"/>
      <c r="EP254" s="221"/>
      <c r="EQ254" s="221"/>
      <c r="ER254" s="221"/>
      <c r="ES254" s="221"/>
      <c r="ET254" s="221"/>
      <c r="EU254" s="221"/>
      <c r="EV254" s="221"/>
      <c r="EW254" s="221"/>
      <c r="EX254" s="221"/>
      <c r="EY254" s="221"/>
      <c r="EZ254" s="221"/>
      <c r="FA254" s="221"/>
      <c r="FB254" s="221"/>
      <c r="FC254" s="221"/>
      <c r="FD254" s="221"/>
      <c r="FE254" s="221"/>
      <c r="FF254" s="221"/>
      <c r="FG254" s="221"/>
      <c r="FH254" s="221"/>
      <c r="FI254" s="221"/>
      <c r="FJ254" s="221"/>
      <c r="FK254" s="221"/>
      <c r="FL254" s="221"/>
      <c r="FM254" s="221"/>
      <c r="FN254" s="221"/>
      <c r="FO254" s="221"/>
      <c r="FP254" s="221"/>
      <c r="FQ254" s="221"/>
      <c r="FR254" s="221"/>
      <c r="FS254" s="221"/>
      <c r="FT254" s="221"/>
      <c r="FU254" s="221"/>
      <c r="FV254" s="221"/>
      <c r="FW254" s="221"/>
      <c r="FX254" s="221"/>
      <c r="FY254" s="221"/>
      <c r="FZ254" s="221"/>
      <c r="GA254" s="221"/>
      <c r="GB254" s="221"/>
      <c r="GC254" s="221"/>
      <c r="GD254" s="221"/>
      <c r="GE254" s="221"/>
      <c r="GF254" s="221"/>
      <c r="GG254" s="221"/>
      <c r="GH254" s="221"/>
      <c r="GI254" s="221"/>
      <c r="GJ254" s="221"/>
      <c r="GK254" s="221"/>
      <c r="GL254" s="221"/>
      <c r="GM254" s="221"/>
      <c r="GN254" s="221"/>
      <c r="GO254" s="221"/>
      <c r="GP254" s="221"/>
      <c r="GQ254" s="221"/>
      <c r="GR254" s="221"/>
      <c r="GS254" s="221"/>
      <c r="GT254" s="221"/>
      <c r="GU254" s="221"/>
      <c r="GV254" s="221"/>
      <c r="GW254" s="221"/>
      <c r="GX254" s="221"/>
      <c r="GY254" s="221"/>
      <c r="GZ254" s="221"/>
      <c r="HA254" s="221"/>
      <c r="HB254" s="221"/>
      <c r="HC254" s="221"/>
      <c r="HD254" s="221"/>
      <c r="HE254" s="221"/>
      <c r="HF254" s="221"/>
      <c r="HG254" s="221"/>
      <c r="HH254" s="221"/>
      <c r="HI254" s="221"/>
      <c r="HJ254" s="221"/>
      <c r="HK254" s="221"/>
      <c r="HL254" s="221"/>
      <c r="HM254" s="221"/>
      <c r="HN254" s="221"/>
      <c r="HO254" s="221"/>
      <c r="HP254" s="221"/>
      <c r="HQ254" s="221"/>
      <c r="HR254" s="221"/>
      <c r="HS254" s="221"/>
      <c r="HT254" s="221"/>
      <c r="HU254" s="221"/>
      <c r="HV254" s="221"/>
      <c r="HW254" s="221"/>
      <c r="HX254" s="221"/>
      <c r="HY254" s="221"/>
      <c r="HZ254" s="221"/>
      <c r="IA254" s="221"/>
      <c r="IB254" s="221"/>
      <c r="IC254" s="221"/>
      <c r="ID254" s="221"/>
      <c r="IE254" s="221"/>
      <c r="IF254" s="221"/>
      <c r="IG254" s="221"/>
      <c r="IH254" s="221"/>
      <c r="II254" s="221"/>
      <c r="IJ254" s="221"/>
      <c r="IK254" s="221"/>
      <c r="IL254" s="221"/>
      <c r="IM254" s="221"/>
      <c r="IN254" s="221"/>
      <c r="IO254" s="221"/>
      <c r="IP254" s="221"/>
      <c r="IQ254" s="221"/>
      <c r="IR254" s="221"/>
      <c r="IS254" s="221"/>
      <c r="IT254" s="221"/>
      <c r="IU254" s="221"/>
      <c r="IV254" s="221"/>
      <c r="IW254" s="221"/>
      <c r="IX254" s="221"/>
      <c r="IY254" s="221"/>
      <c r="IZ254" s="221"/>
      <c r="JA254" s="221"/>
      <c r="JB254" s="221"/>
      <c r="JC254" s="221"/>
      <c r="JD254" s="221"/>
      <c r="JE254" s="221"/>
      <c r="JF254" s="221"/>
      <c r="JG254" s="221"/>
      <c r="JH254" s="221"/>
      <c r="JI254" s="221"/>
      <c r="JJ254" s="221"/>
      <c r="JK254" s="221"/>
      <c r="JL254" s="221"/>
      <c r="JM254" s="221"/>
      <c r="JN254" s="221"/>
      <c r="JO254" s="221"/>
      <c r="JP254" s="221"/>
      <c r="JQ254" s="221"/>
    </row>
    <row r="255" spans="1:277" ht="20" customHeight="1" outlineLevel="1">
      <c r="A255" s="456">
        <v>1906004</v>
      </c>
      <c r="B255" s="439">
        <v>42157</v>
      </c>
      <c r="C255" s="448" t="s">
        <v>44</v>
      </c>
      <c r="D255" s="448" t="s">
        <v>1259</v>
      </c>
      <c r="E255" s="538" t="s">
        <v>89</v>
      </c>
      <c r="F255" s="530" t="s">
        <v>47</v>
      </c>
      <c r="G255" s="448" t="s">
        <v>1988</v>
      </c>
      <c r="H255" s="448" t="s">
        <v>191</v>
      </c>
      <c r="I255" s="443">
        <v>192260</v>
      </c>
      <c r="J255" s="448" t="s">
        <v>62</v>
      </c>
      <c r="K255" s="514" t="s">
        <v>2005</v>
      </c>
      <c r="L255" s="448">
        <v>775401973244</v>
      </c>
      <c r="M255" s="439">
        <v>42157</v>
      </c>
      <c r="N255" s="448" t="s">
        <v>1989</v>
      </c>
      <c r="O255" s="448" t="s">
        <v>1990</v>
      </c>
      <c r="P255" s="516" t="s">
        <v>1991</v>
      </c>
      <c r="Q255" s="629"/>
      <c r="R255" s="589">
        <v>11</v>
      </c>
      <c r="S255" s="590">
        <v>0</v>
      </c>
      <c r="T255" s="604">
        <v>0</v>
      </c>
      <c r="U255" s="596">
        <v>0</v>
      </c>
      <c r="V255" s="590">
        <v>0</v>
      </c>
      <c r="W255" s="604">
        <v>0</v>
      </c>
      <c r="X255" s="596">
        <v>0</v>
      </c>
      <c r="Y255" s="590">
        <v>0</v>
      </c>
      <c r="Z255" s="604">
        <v>0</v>
      </c>
      <c r="AA255" s="596">
        <v>0</v>
      </c>
      <c r="AB255" s="590">
        <v>0</v>
      </c>
      <c r="AC255" s="604">
        <v>0</v>
      </c>
      <c r="AD255" s="596">
        <v>0</v>
      </c>
      <c r="AE255" s="596">
        <v>0</v>
      </c>
      <c r="AF255" s="596">
        <v>0</v>
      </c>
      <c r="AG255" s="590">
        <v>0</v>
      </c>
      <c r="AH255" s="604">
        <v>0</v>
      </c>
      <c r="AI255" s="610">
        <v>0</v>
      </c>
      <c r="AJ255" s="610">
        <v>0</v>
      </c>
      <c r="AK255" s="629"/>
      <c r="AL255" s="531" t="s">
        <v>1300</v>
      </c>
      <c r="AM255" s="448">
        <v>191416</v>
      </c>
      <c r="AN255" s="612">
        <f>R255*PRODUCTS!G8</f>
        <v>88</v>
      </c>
      <c r="AO255" s="440" t="s">
        <v>2016</v>
      </c>
      <c r="AP255" s="37">
        <v>164.45</v>
      </c>
      <c r="AQ255" s="795">
        <f t="shared" si="13"/>
        <v>76.449999999999989</v>
      </c>
      <c r="AR255" s="835">
        <f t="shared" si="21"/>
        <v>0.46488294314381268</v>
      </c>
      <c r="AS255" s="821"/>
      <c r="AT255" s="514" t="s">
        <v>1254</v>
      </c>
      <c r="AU255" s="448">
        <v>1</v>
      </c>
      <c r="AV255" s="448"/>
      <c r="AW255" s="448"/>
      <c r="AX255" s="612">
        <v>0</v>
      </c>
      <c r="AY255" s="448"/>
      <c r="AZ255" s="612">
        <v>0</v>
      </c>
      <c r="BA255" s="256" t="s">
        <v>47</v>
      </c>
      <c r="BB255" s="41">
        <v>0</v>
      </c>
      <c r="BC255" s="448"/>
      <c r="BD255" s="448"/>
      <c r="BE255" s="448"/>
      <c r="BF255" s="448"/>
      <c r="BG255" s="448"/>
      <c r="BH255" s="221"/>
      <c r="BI255" s="221"/>
      <c r="BJ255" s="221"/>
      <c r="BK255" s="221"/>
      <c r="BL255" s="221"/>
      <c r="BM255" s="221"/>
      <c r="BN255" s="221"/>
      <c r="BO255" s="221"/>
      <c r="BP255" s="221"/>
      <c r="BQ255" s="221"/>
      <c r="BR255" s="221"/>
      <c r="BS255" s="221"/>
      <c r="BT255" s="221"/>
      <c r="BU255" s="221"/>
      <c r="BV255" s="221"/>
      <c r="BW255" s="221"/>
      <c r="BX255" s="221"/>
      <c r="BY255" s="221"/>
      <c r="BZ255" s="221"/>
      <c r="CA255" s="221"/>
      <c r="CB255" s="221"/>
      <c r="CC255" s="221"/>
      <c r="CD255" s="221"/>
      <c r="CE255" s="221"/>
      <c r="CF255" s="221"/>
      <c r="CG255" s="221"/>
      <c r="CH255" s="221"/>
      <c r="CI255" s="221"/>
      <c r="CJ255" s="221"/>
      <c r="CK255" s="221"/>
      <c r="CL255" s="221"/>
      <c r="CM255" s="221"/>
      <c r="CN255" s="221"/>
      <c r="CO255" s="221"/>
      <c r="CP255" s="221"/>
      <c r="CQ255" s="221"/>
      <c r="CR255" s="221"/>
      <c r="CS255" s="221"/>
      <c r="CT255" s="221"/>
      <c r="CU255" s="221"/>
      <c r="CV255" s="221"/>
      <c r="CW255" s="221"/>
      <c r="CX255" s="221"/>
      <c r="CY255" s="221"/>
      <c r="CZ255" s="221"/>
      <c r="DA255" s="221"/>
      <c r="DB255" s="221"/>
      <c r="DC255" s="221"/>
      <c r="DD255" s="221"/>
      <c r="DE255" s="221"/>
      <c r="DF255" s="221"/>
      <c r="DG255" s="221"/>
      <c r="DH255" s="221"/>
      <c r="DI255" s="221"/>
      <c r="DJ255" s="221"/>
      <c r="DK255" s="221"/>
      <c r="DL255" s="221"/>
      <c r="DM255" s="221"/>
      <c r="DN255" s="221"/>
      <c r="DO255" s="221"/>
      <c r="DP255" s="221"/>
      <c r="DQ255" s="221"/>
      <c r="DR255" s="221"/>
      <c r="DS255" s="221"/>
      <c r="DT255" s="221"/>
      <c r="DU255" s="221"/>
      <c r="DV255" s="221"/>
      <c r="DW255" s="221"/>
      <c r="DX255" s="221"/>
      <c r="DY255" s="221"/>
      <c r="DZ255" s="221"/>
      <c r="EA255" s="221"/>
      <c r="EB255" s="221"/>
      <c r="EC255" s="221"/>
      <c r="ED255" s="221"/>
      <c r="EE255" s="221"/>
      <c r="EF255" s="221"/>
      <c r="EG255" s="221"/>
      <c r="EH255" s="221"/>
      <c r="EI255" s="221"/>
      <c r="EJ255" s="221"/>
      <c r="EK255" s="221"/>
      <c r="EL255" s="221"/>
      <c r="EM255" s="221"/>
      <c r="EN255" s="221"/>
      <c r="EO255" s="221"/>
      <c r="EP255" s="221"/>
      <c r="EQ255" s="221"/>
      <c r="ER255" s="221"/>
      <c r="ES255" s="221"/>
      <c r="ET255" s="221"/>
      <c r="EU255" s="221"/>
      <c r="EV255" s="221"/>
      <c r="EW255" s="221"/>
      <c r="EX255" s="221"/>
      <c r="EY255" s="221"/>
      <c r="EZ255" s="221"/>
      <c r="FA255" s="221"/>
      <c r="FB255" s="221"/>
      <c r="FC255" s="221"/>
      <c r="FD255" s="221"/>
      <c r="FE255" s="221"/>
      <c r="FF255" s="221"/>
      <c r="FG255" s="221"/>
      <c r="FH255" s="221"/>
      <c r="FI255" s="221"/>
      <c r="FJ255" s="221"/>
      <c r="FK255" s="221"/>
      <c r="FL255" s="221"/>
      <c r="FM255" s="221"/>
      <c r="FN255" s="221"/>
      <c r="FO255" s="221"/>
      <c r="FP255" s="221"/>
      <c r="FQ255" s="221"/>
      <c r="FR255" s="221"/>
      <c r="FS255" s="221"/>
      <c r="FT255" s="221"/>
      <c r="FU255" s="221"/>
      <c r="FV255" s="221"/>
      <c r="FW255" s="221"/>
      <c r="FX255" s="221"/>
      <c r="FY255" s="221"/>
      <c r="FZ255" s="221"/>
      <c r="GA255" s="221"/>
      <c r="GB255" s="221"/>
      <c r="GC255" s="221"/>
      <c r="GD255" s="221"/>
      <c r="GE255" s="221"/>
      <c r="GF255" s="221"/>
      <c r="GG255" s="221"/>
      <c r="GH255" s="221"/>
      <c r="GI255" s="221"/>
      <c r="GJ255" s="221"/>
      <c r="GK255" s="221"/>
      <c r="GL255" s="221"/>
      <c r="GM255" s="221"/>
      <c r="GN255" s="221"/>
      <c r="GO255" s="221"/>
      <c r="GP255" s="221"/>
      <c r="GQ255" s="221"/>
      <c r="GR255" s="221"/>
      <c r="GS255" s="221"/>
      <c r="GT255" s="221"/>
      <c r="GU255" s="221"/>
      <c r="GV255" s="221"/>
      <c r="GW255" s="221"/>
      <c r="GX255" s="221"/>
      <c r="GY255" s="221"/>
      <c r="GZ255" s="221"/>
      <c r="HA255" s="221"/>
      <c r="HB255" s="221"/>
      <c r="HC255" s="221"/>
      <c r="HD255" s="221"/>
      <c r="HE255" s="221"/>
      <c r="HF255" s="221"/>
      <c r="HG255" s="221"/>
      <c r="HH255" s="221"/>
      <c r="HI255" s="221"/>
      <c r="HJ255" s="221"/>
      <c r="HK255" s="221"/>
      <c r="HL255" s="221"/>
      <c r="HM255" s="221"/>
      <c r="HN255" s="221"/>
      <c r="HO255" s="221"/>
      <c r="HP255" s="221"/>
      <c r="HQ255" s="221"/>
      <c r="HR255" s="221"/>
      <c r="HS255" s="221"/>
      <c r="HT255" s="221"/>
      <c r="HU255" s="221"/>
      <c r="HV255" s="221"/>
      <c r="HW255" s="221"/>
      <c r="HX255" s="221"/>
      <c r="HY255" s="221"/>
      <c r="HZ255" s="221"/>
      <c r="IA255" s="221"/>
      <c r="IB255" s="221"/>
      <c r="IC255" s="221"/>
      <c r="ID255" s="221"/>
      <c r="IE255" s="221"/>
      <c r="IF255" s="221"/>
      <c r="IG255" s="221"/>
      <c r="IH255" s="221"/>
      <c r="II255" s="221"/>
      <c r="IJ255" s="221"/>
      <c r="IK255" s="221"/>
      <c r="IL255" s="221"/>
      <c r="IM255" s="221"/>
      <c r="IN255" s="221"/>
      <c r="IO255" s="221"/>
      <c r="IP255" s="221"/>
      <c r="IQ255" s="221"/>
      <c r="IR255" s="221"/>
      <c r="IS255" s="221"/>
      <c r="IT255" s="221"/>
      <c r="IU255" s="221"/>
      <c r="IV255" s="221"/>
      <c r="IW255" s="221"/>
      <c r="IX255" s="221"/>
      <c r="IY255" s="221"/>
      <c r="IZ255" s="221"/>
      <c r="JA255" s="221"/>
      <c r="JB255" s="221"/>
      <c r="JC255" s="221"/>
      <c r="JD255" s="221"/>
      <c r="JE255" s="221"/>
      <c r="JF255" s="221"/>
      <c r="JG255" s="221"/>
      <c r="JH255" s="221"/>
      <c r="JI255" s="221"/>
      <c r="JJ255" s="221"/>
      <c r="JK255" s="221"/>
      <c r="JL255" s="221"/>
      <c r="JM255" s="221"/>
      <c r="JN255" s="221"/>
      <c r="JO255" s="221"/>
      <c r="JP255" s="221"/>
      <c r="JQ255" s="221"/>
    </row>
    <row r="256" spans="1:277" ht="20" customHeight="1" outlineLevel="1">
      <c r="A256" s="456">
        <v>1906005</v>
      </c>
      <c r="B256" s="439">
        <v>42158</v>
      </c>
      <c r="C256" s="448" t="s">
        <v>1748</v>
      </c>
      <c r="D256" s="448" t="s">
        <v>73</v>
      </c>
      <c r="E256" s="538" t="s">
        <v>60</v>
      </c>
      <c r="F256" s="530" t="s">
        <v>47</v>
      </c>
      <c r="G256" s="448" t="s">
        <v>1992</v>
      </c>
      <c r="H256" s="448" t="s">
        <v>191</v>
      </c>
      <c r="I256" s="443">
        <v>192274</v>
      </c>
      <c r="J256" s="448" t="s">
        <v>62</v>
      </c>
      <c r="K256" s="448" t="s">
        <v>50</v>
      </c>
      <c r="L256" s="448">
        <v>108841208</v>
      </c>
      <c r="M256" s="439">
        <v>42160</v>
      </c>
      <c r="N256" s="448" t="s">
        <v>1993</v>
      </c>
      <c r="O256" s="448" t="s">
        <v>1876</v>
      </c>
      <c r="P256" s="516" t="s">
        <v>1987</v>
      </c>
      <c r="Q256" s="629"/>
      <c r="R256" s="589">
        <v>0</v>
      </c>
      <c r="S256" s="590">
        <v>0</v>
      </c>
      <c r="T256" s="604">
        <v>0</v>
      </c>
      <c r="U256" s="596">
        <v>0</v>
      </c>
      <c r="V256" s="590">
        <v>0</v>
      </c>
      <c r="W256" s="604">
        <v>0</v>
      </c>
      <c r="X256" s="596">
        <v>0</v>
      </c>
      <c r="Y256" s="590">
        <v>0</v>
      </c>
      <c r="Z256" s="604">
        <v>0</v>
      </c>
      <c r="AA256" s="596">
        <v>0</v>
      </c>
      <c r="AB256" s="590">
        <v>0</v>
      </c>
      <c r="AC256" s="604">
        <v>0</v>
      </c>
      <c r="AD256" s="596">
        <v>0</v>
      </c>
      <c r="AE256" s="596">
        <v>2</v>
      </c>
      <c r="AF256" s="596">
        <v>0</v>
      </c>
      <c r="AG256" s="590">
        <v>2</v>
      </c>
      <c r="AH256" s="604">
        <v>0</v>
      </c>
      <c r="AI256" s="610">
        <v>0</v>
      </c>
      <c r="AJ256" s="610">
        <v>0</v>
      </c>
      <c r="AK256" s="629"/>
      <c r="AL256" s="531" t="s">
        <v>1725</v>
      </c>
      <c r="AM256" s="514">
        <v>191418</v>
      </c>
      <c r="AN256" s="612">
        <f>PRODUCTS!C3+(PRODUCTS!C3/2)+32.5</f>
        <v>128.48500000000001</v>
      </c>
      <c r="AO256" s="440" t="s">
        <v>2020</v>
      </c>
      <c r="AP256" s="37">
        <v>148.76</v>
      </c>
      <c r="AQ256" s="795">
        <f t="shared" si="13"/>
        <v>20.274999999999977</v>
      </c>
      <c r="AR256" s="835">
        <f t="shared" si="21"/>
        <v>0.13629335842968526</v>
      </c>
      <c r="AS256" s="821"/>
      <c r="AT256" s="448"/>
      <c r="AU256" s="448"/>
      <c r="AV256" s="448"/>
      <c r="AW256" s="448"/>
      <c r="AX256" s="612"/>
      <c r="AY256" s="448"/>
      <c r="AZ256" s="612"/>
      <c r="BA256" s="256" t="s">
        <v>47</v>
      </c>
      <c r="BB256" s="41">
        <f>AP256*5%</f>
        <v>7.4379999999999997</v>
      </c>
      <c r="BC256" s="448"/>
      <c r="BD256" s="448"/>
      <c r="BE256" s="448"/>
      <c r="BF256" s="448"/>
      <c r="BG256" s="448"/>
      <c r="BH256" s="221"/>
      <c r="BI256" s="221"/>
      <c r="BJ256" s="221"/>
      <c r="BK256" s="221"/>
      <c r="BL256" s="221"/>
      <c r="BM256" s="221"/>
      <c r="BN256" s="221"/>
      <c r="BO256" s="221"/>
      <c r="BP256" s="221"/>
      <c r="BQ256" s="221"/>
      <c r="BR256" s="221"/>
      <c r="BS256" s="221"/>
      <c r="BT256" s="221"/>
      <c r="BU256" s="221"/>
      <c r="BV256" s="221"/>
      <c r="BW256" s="221"/>
      <c r="BX256" s="221"/>
      <c r="BY256" s="221"/>
      <c r="BZ256" s="221"/>
      <c r="CA256" s="221"/>
      <c r="CB256" s="221"/>
      <c r="CC256" s="221"/>
      <c r="CD256" s="221"/>
      <c r="CE256" s="221"/>
      <c r="CF256" s="221"/>
      <c r="CG256" s="221"/>
      <c r="CH256" s="221"/>
      <c r="CI256" s="221"/>
      <c r="CJ256" s="221"/>
      <c r="CK256" s="221"/>
      <c r="CL256" s="221"/>
      <c r="CM256" s="221"/>
      <c r="CN256" s="221"/>
      <c r="CO256" s="221"/>
      <c r="CP256" s="221"/>
      <c r="CQ256" s="221"/>
      <c r="CR256" s="221"/>
      <c r="CS256" s="221"/>
      <c r="CT256" s="221"/>
      <c r="CU256" s="221"/>
      <c r="CV256" s="221"/>
      <c r="CW256" s="221"/>
      <c r="CX256" s="221"/>
      <c r="CY256" s="221"/>
      <c r="CZ256" s="221"/>
      <c r="DA256" s="221"/>
      <c r="DB256" s="221"/>
      <c r="DC256" s="221"/>
      <c r="DD256" s="221"/>
      <c r="DE256" s="221"/>
      <c r="DF256" s="221"/>
      <c r="DG256" s="221"/>
      <c r="DH256" s="221"/>
      <c r="DI256" s="221"/>
      <c r="DJ256" s="221"/>
      <c r="DK256" s="221"/>
      <c r="DL256" s="221"/>
      <c r="DM256" s="221"/>
      <c r="DN256" s="221"/>
      <c r="DO256" s="221"/>
      <c r="DP256" s="221"/>
      <c r="DQ256" s="221"/>
      <c r="DR256" s="221"/>
      <c r="DS256" s="221"/>
      <c r="DT256" s="221"/>
      <c r="DU256" s="221"/>
      <c r="DV256" s="221"/>
      <c r="DW256" s="221"/>
      <c r="DX256" s="221"/>
      <c r="DY256" s="221"/>
      <c r="DZ256" s="221"/>
      <c r="EA256" s="221"/>
      <c r="EB256" s="221"/>
      <c r="EC256" s="221"/>
      <c r="ED256" s="221"/>
      <c r="EE256" s="221"/>
      <c r="EF256" s="221"/>
      <c r="EG256" s="221"/>
      <c r="EH256" s="221"/>
      <c r="EI256" s="221"/>
      <c r="EJ256" s="221"/>
      <c r="EK256" s="221"/>
      <c r="EL256" s="221"/>
      <c r="EM256" s="221"/>
      <c r="EN256" s="221"/>
      <c r="EO256" s="221"/>
      <c r="EP256" s="221"/>
      <c r="EQ256" s="221"/>
      <c r="ER256" s="221"/>
      <c r="ES256" s="221"/>
      <c r="ET256" s="221"/>
      <c r="EU256" s="221"/>
      <c r="EV256" s="221"/>
      <c r="EW256" s="221"/>
      <c r="EX256" s="221"/>
      <c r="EY256" s="221"/>
      <c r="EZ256" s="221"/>
      <c r="FA256" s="221"/>
      <c r="FB256" s="221"/>
      <c r="FC256" s="221"/>
      <c r="FD256" s="221"/>
      <c r="FE256" s="221"/>
      <c r="FF256" s="221"/>
      <c r="FG256" s="221"/>
      <c r="FH256" s="221"/>
      <c r="FI256" s="221"/>
      <c r="FJ256" s="221"/>
      <c r="FK256" s="221"/>
      <c r="FL256" s="221"/>
      <c r="FM256" s="221"/>
      <c r="FN256" s="221"/>
      <c r="FO256" s="221"/>
      <c r="FP256" s="221"/>
      <c r="FQ256" s="221"/>
      <c r="FR256" s="221"/>
      <c r="FS256" s="221"/>
      <c r="FT256" s="221"/>
      <c r="FU256" s="221"/>
      <c r="FV256" s="221"/>
      <c r="FW256" s="221"/>
      <c r="FX256" s="221"/>
      <c r="FY256" s="221"/>
      <c r="FZ256" s="221"/>
      <c r="GA256" s="221"/>
      <c r="GB256" s="221"/>
      <c r="GC256" s="221"/>
      <c r="GD256" s="221"/>
      <c r="GE256" s="221"/>
      <c r="GF256" s="221"/>
      <c r="GG256" s="221"/>
      <c r="GH256" s="221"/>
      <c r="GI256" s="221"/>
      <c r="GJ256" s="221"/>
      <c r="GK256" s="221"/>
      <c r="GL256" s="221"/>
      <c r="GM256" s="221"/>
      <c r="GN256" s="221"/>
      <c r="GO256" s="221"/>
      <c r="GP256" s="221"/>
      <c r="GQ256" s="221"/>
      <c r="GR256" s="221"/>
      <c r="GS256" s="221"/>
      <c r="GT256" s="221"/>
      <c r="GU256" s="221"/>
      <c r="GV256" s="221"/>
      <c r="GW256" s="221"/>
      <c r="GX256" s="221"/>
      <c r="GY256" s="221"/>
      <c r="GZ256" s="221"/>
      <c r="HA256" s="221"/>
      <c r="HB256" s="221"/>
      <c r="HC256" s="221"/>
      <c r="HD256" s="221"/>
      <c r="HE256" s="221"/>
      <c r="HF256" s="221"/>
      <c r="HG256" s="221"/>
      <c r="HH256" s="221"/>
      <c r="HI256" s="221"/>
      <c r="HJ256" s="221"/>
      <c r="HK256" s="221"/>
      <c r="HL256" s="221"/>
      <c r="HM256" s="221"/>
      <c r="HN256" s="221"/>
      <c r="HO256" s="221"/>
      <c r="HP256" s="221"/>
      <c r="HQ256" s="221"/>
      <c r="HR256" s="221"/>
      <c r="HS256" s="221"/>
      <c r="HT256" s="221"/>
      <c r="HU256" s="221"/>
      <c r="HV256" s="221"/>
      <c r="HW256" s="221"/>
      <c r="HX256" s="221"/>
      <c r="HY256" s="221"/>
      <c r="HZ256" s="221"/>
      <c r="IA256" s="221"/>
      <c r="IB256" s="221"/>
      <c r="IC256" s="221"/>
      <c r="ID256" s="221"/>
      <c r="IE256" s="221"/>
      <c r="IF256" s="221"/>
      <c r="IG256" s="221"/>
      <c r="IH256" s="221"/>
      <c r="II256" s="221"/>
      <c r="IJ256" s="221"/>
      <c r="IK256" s="221"/>
      <c r="IL256" s="221"/>
      <c r="IM256" s="221"/>
      <c r="IN256" s="221"/>
      <c r="IO256" s="221"/>
      <c r="IP256" s="221"/>
      <c r="IQ256" s="221"/>
      <c r="IR256" s="221"/>
      <c r="IS256" s="221"/>
      <c r="IT256" s="221"/>
      <c r="IU256" s="221"/>
      <c r="IV256" s="221"/>
      <c r="IW256" s="221"/>
      <c r="IX256" s="221"/>
      <c r="IY256" s="221"/>
      <c r="IZ256" s="221"/>
      <c r="JA256" s="221"/>
      <c r="JB256" s="221"/>
      <c r="JC256" s="221"/>
      <c r="JD256" s="221"/>
      <c r="JE256" s="221"/>
      <c r="JF256" s="221"/>
      <c r="JG256" s="221"/>
      <c r="JH256" s="221"/>
      <c r="JI256" s="221"/>
      <c r="JJ256" s="221"/>
      <c r="JK256" s="221"/>
      <c r="JL256" s="221"/>
      <c r="JM256" s="221"/>
      <c r="JN256" s="221"/>
      <c r="JO256" s="221"/>
      <c r="JP256" s="221"/>
      <c r="JQ256" s="221"/>
    </row>
    <row r="257" spans="1:277" ht="20" customHeight="1" outlineLevel="1">
      <c r="A257" s="456">
        <v>1906006</v>
      </c>
      <c r="B257" s="439">
        <v>42159</v>
      </c>
      <c r="C257" s="448" t="s">
        <v>72</v>
      </c>
      <c r="D257" s="448" t="s">
        <v>1259</v>
      </c>
      <c r="E257" s="538" t="s">
        <v>46</v>
      </c>
      <c r="F257" s="530" t="s">
        <v>47</v>
      </c>
      <c r="G257" s="448" t="s">
        <v>1994</v>
      </c>
      <c r="H257" s="448" t="s">
        <v>1314</v>
      </c>
      <c r="I257" s="443">
        <v>192676</v>
      </c>
      <c r="J257" s="514" t="s">
        <v>62</v>
      </c>
      <c r="K257" s="514" t="s">
        <v>50</v>
      </c>
      <c r="L257" s="448">
        <v>116632952</v>
      </c>
      <c r="M257" s="439">
        <v>42187</v>
      </c>
      <c r="N257" s="448" t="s">
        <v>1995</v>
      </c>
      <c r="O257" s="448" t="s">
        <v>1996</v>
      </c>
      <c r="P257" s="516" t="s">
        <v>1997</v>
      </c>
      <c r="Q257" s="629"/>
      <c r="R257" s="589">
        <v>0</v>
      </c>
      <c r="S257" s="590">
        <v>0</v>
      </c>
      <c r="T257" s="604">
        <v>0</v>
      </c>
      <c r="U257" s="596">
        <v>0</v>
      </c>
      <c r="V257" s="590">
        <v>0</v>
      </c>
      <c r="W257" s="604">
        <v>0</v>
      </c>
      <c r="X257" s="596">
        <v>0</v>
      </c>
      <c r="Y257" s="590">
        <v>0</v>
      </c>
      <c r="Z257" s="604">
        <v>0</v>
      </c>
      <c r="AA257" s="596">
        <v>0</v>
      </c>
      <c r="AB257" s="590">
        <v>0</v>
      </c>
      <c r="AC257" s="604">
        <v>0</v>
      </c>
      <c r="AD257" s="596">
        <v>0</v>
      </c>
      <c r="AE257" s="596">
        <v>0</v>
      </c>
      <c r="AF257" s="596">
        <v>16</v>
      </c>
      <c r="AG257" s="590">
        <v>0</v>
      </c>
      <c r="AH257" s="604">
        <v>0</v>
      </c>
      <c r="AI257" s="610">
        <v>0</v>
      </c>
      <c r="AJ257" s="610">
        <v>0</v>
      </c>
      <c r="AK257" s="629"/>
      <c r="AL257" s="531" t="s">
        <v>1683</v>
      </c>
      <c r="AM257" s="448">
        <v>191650</v>
      </c>
      <c r="AN257" s="612">
        <v>915.84</v>
      </c>
      <c r="AO257" s="440" t="s">
        <v>2168</v>
      </c>
      <c r="AP257" s="37">
        <v>1602.72</v>
      </c>
      <c r="AQ257" s="795">
        <f t="shared" si="13"/>
        <v>686.88</v>
      </c>
      <c r="AR257" s="835">
        <f t="shared" si="21"/>
        <v>0.42857142857142855</v>
      </c>
      <c r="AS257" s="821"/>
      <c r="AT257" s="448"/>
      <c r="AU257" s="448"/>
      <c r="AV257" s="448"/>
      <c r="AW257" s="448"/>
      <c r="AX257" s="612"/>
      <c r="AY257" s="448"/>
      <c r="AZ257" s="612"/>
      <c r="BA257" s="256" t="s">
        <v>47</v>
      </c>
      <c r="BB257" s="41">
        <v>0</v>
      </c>
      <c r="BC257" s="448"/>
      <c r="BD257" s="448"/>
      <c r="BE257" s="448"/>
      <c r="BF257" s="448"/>
      <c r="BG257" s="448"/>
      <c r="BH257" s="221"/>
      <c r="BI257" s="221"/>
      <c r="BJ257" s="221"/>
      <c r="BK257" s="221"/>
      <c r="BL257" s="221"/>
      <c r="BM257" s="221"/>
      <c r="BN257" s="221"/>
      <c r="BO257" s="221"/>
      <c r="BP257" s="221"/>
      <c r="BQ257" s="221"/>
      <c r="BR257" s="221"/>
      <c r="BS257" s="221"/>
      <c r="BT257" s="221"/>
      <c r="BU257" s="221"/>
      <c r="BV257" s="221"/>
      <c r="BW257" s="221"/>
      <c r="BX257" s="221"/>
      <c r="BY257" s="221"/>
      <c r="BZ257" s="221"/>
      <c r="CA257" s="221"/>
      <c r="CB257" s="221"/>
      <c r="CC257" s="221"/>
      <c r="CD257" s="221"/>
      <c r="CE257" s="221"/>
      <c r="CF257" s="221"/>
      <c r="CG257" s="221"/>
      <c r="CH257" s="221"/>
      <c r="CI257" s="221"/>
      <c r="CJ257" s="221"/>
      <c r="CK257" s="221"/>
      <c r="CL257" s="221"/>
      <c r="CM257" s="221"/>
      <c r="CN257" s="221"/>
      <c r="CO257" s="221"/>
      <c r="CP257" s="221"/>
      <c r="CQ257" s="221"/>
      <c r="CR257" s="221"/>
      <c r="CS257" s="221"/>
      <c r="CT257" s="221"/>
      <c r="CU257" s="221"/>
      <c r="CV257" s="221"/>
      <c r="CW257" s="221"/>
      <c r="CX257" s="221"/>
      <c r="CY257" s="221"/>
      <c r="CZ257" s="221"/>
      <c r="DA257" s="221"/>
      <c r="DB257" s="221"/>
      <c r="DC257" s="221"/>
      <c r="DD257" s="221"/>
      <c r="DE257" s="221"/>
      <c r="DF257" s="221"/>
      <c r="DG257" s="221"/>
      <c r="DH257" s="221"/>
      <c r="DI257" s="221"/>
      <c r="DJ257" s="221"/>
      <c r="DK257" s="221"/>
      <c r="DL257" s="221"/>
      <c r="DM257" s="221"/>
      <c r="DN257" s="221"/>
      <c r="DO257" s="221"/>
      <c r="DP257" s="221"/>
      <c r="DQ257" s="221"/>
      <c r="DR257" s="221"/>
      <c r="DS257" s="221"/>
      <c r="DT257" s="221"/>
      <c r="DU257" s="221"/>
      <c r="DV257" s="221"/>
      <c r="DW257" s="221"/>
      <c r="DX257" s="221"/>
      <c r="DY257" s="221"/>
      <c r="DZ257" s="221"/>
      <c r="EA257" s="221"/>
      <c r="EB257" s="221"/>
      <c r="EC257" s="221"/>
      <c r="ED257" s="221"/>
      <c r="EE257" s="221"/>
      <c r="EF257" s="221"/>
      <c r="EG257" s="221"/>
      <c r="EH257" s="221"/>
      <c r="EI257" s="221"/>
      <c r="EJ257" s="221"/>
      <c r="EK257" s="221"/>
      <c r="EL257" s="221"/>
      <c r="EM257" s="221"/>
      <c r="EN257" s="221"/>
      <c r="EO257" s="221"/>
      <c r="EP257" s="221"/>
      <c r="EQ257" s="221"/>
      <c r="ER257" s="221"/>
      <c r="ES257" s="221"/>
      <c r="ET257" s="221"/>
      <c r="EU257" s="221"/>
      <c r="EV257" s="221"/>
      <c r="EW257" s="221"/>
      <c r="EX257" s="221"/>
      <c r="EY257" s="221"/>
      <c r="EZ257" s="221"/>
      <c r="FA257" s="221"/>
      <c r="FB257" s="221"/>
      <c r="FC257" s="221"/>
      <c r="FD257" s="221"/>
      <c r="FE257" s="221"/>
      <c r="FF257" s="221"/>
      <c r="FG257" s="221"/>
      <c r="FH257" s="221"/>
      <c r="FI257" s="221"/>
      <c r="FJ257" s="221"/>
      <c r="FK257" s="221"/>
      <c r="FL257" s="221"/>
      <c r="FM257" s="221"/>
      <c r="FN257" s="221"/>
      <c r="FO257" s="221"/>
      <c r="FP257" s="221"/>
      <c r="FQ257" s="221"/>
      <c r="FR257" s="221"/>
      <c r="FS257" s="221"/>
      <c r="FT257" s="221"/>
      <c r="FU257" s="221"/>
      <c r="FV257" s="221"/>
      <c r="FW257" s="221"/>
      <c r="FX257" s="221"/>
      <c r="FY257" s="221"/>
      <c r="FZ257" s="221"/>
      <c r="GA257" s="221"/>
      <c r="GB257" s="221"/>
      <c r="GC257" s="221"/>
      <c r="GD257" s="221"/>
      <c r="GE257" s="221"/>
      <c r="GF257" s="221"/>
      <c r="GG257" s="221"/>
      <c r="GH257" s="221"/>
      <c r="GI257" s="221"/>
      <c r="GJ257" s="221"/>
      <c r="GK257" s="221"/>
      <c r="GL257" s="221"/>
      <c r="GM257" s="221"/>
      <c r="GN257" s="221"/>
      <c r="GO257" s="221"/>
      <c r="GP257" s="221"/>
      <c r="GQ257" s="221"/>
      <c r="GR257" s="221"/>
      <c r="GS257" s="221"/>
      <c r="GT257" s="221"/>
      <c r="GU257" s="221"/>
      <c r="GV257" s="221"/>
      <c r="GW257" s="221"/>
      <c r="GX257" s="221"/>
      <c r="GY257" s="221"/>
      <c r="GZ257" s="221"/>
      <c r="HA257" s="221"/>
      <c r="HB257" s="221"/>
      <c r="HC257" s="221"/>
      <c r="HD257" s="221"/>
      <c r="HE257" s="221"/>
      <c r="HF257" s="221"/>
      <c r="HG257" s="221"/>
      <c r="HH257" s="221"/>
      <c r="HI257" s="221"/>
      <c r="HJ257" s="221"/>
      <c r="HK257" s="221"/>
      <c r="HL257" s="221"/>
      <c r="HM257" s="221"/>
      <c r="HN257" s="221"/>
      <c r="HO257" s="221"/>
      <c r="HP257" s="221"/>
      <c r="HQ257" s="221"/>
      <c r="HR257" s="221"/>
      <c r="HS257" s="221"/>
      <c r="HT257" s="221"/>
      <c r="HU257" s="221"/>
      <c r="HV257" s="221"/>
      <c r="HW257" s="221"/>
      <c r="HX257" s="221"/>
      <c r="HY257" s="221"/>
      <c r="HZ257" s="221"/>
      <c r="IA257" s="221"/>
      <c r="IB257" s="221"/>
      <c r="IC257" s="221"/>
      <c r="ID257" s="221"/>
      <c r="IE257" s="221"/>
      <c r="IF257" s="221"/>
      <c r="IG257" s="221"/>
      <c r="IH257" s="221"/>
      <c r="II257" s="221"/>
      <c r="IJ257" s="221"/>
      <c r="IK257" s="221"/>
      <c r="IL257" s="221"/>
      <c r="IM257" s="221"/>
      <c r="IN257" s="221"/>
      <c r="IO257" s="221"/>
      <c r="IP257" s="221"/>
      <c r="IQ257" s="221"/>
      <c r="IR257" s="221"/>
      <c r="IS257" s="221"/>
      <c r="IT257" s="221"/>
      <c r="IU257" s="221"/>
      <c r="IV257" s="221"/>
      <c r="IW257" s="221"/>
      <c r="IX257" s="221"/>
      <c r="IY257" s="221"/>
      <c r="IZ257" s="221"/>
      <c r="JA257" s="221"/>
      <c r="JB257" s="221"/>
      <c r="JC257" s="221"/>
      <c r="JD257" s="221"/>
      <c r="JE257" s="221"/>
      <c r="JF257" s="221"/>
      <c r="JG257" s="221"/>
      <c r="JH257" s="221"/>
      <c r="JI257" s="221"/>
      <c r="JJ257" s="221"/>
      <c r="JK257" s="221"/>
      <c r="JL257" s="221"/>
      <c r="JM257" s="221"/>
      <c r="JN257" s="221"/>
      <c r="JO257" s="221"/>
      <c r="JP257" s="221"/>
      <c r="JQ257" s="221"/>
    </row>
    <row r="258" spans="1:277" ht="20" customHeight="1" outlineLevel="1">
      <c r="A258" s="456">
        <v>1906007</v>
      </c>
      <c r="B258" s="439">
        <v>42159</v>
      </c>
      <c r="C258" s="448" t="s">
        <v>44</v>
      </c>
      <c r="D258" s="448" t="s">
        <v>1998</v>
      </c>
      <c r="E258" s="538" t="s">
        <v>500</v>
      </c>
      <c r="F258" s="530" t="s">
        <v>47</v>
      </c>
      <c r="G258" s="514" t="s">
        <v>1999</v>
      </c>
      <c r="H258" s="448" t="s">
        <v>191</v>
      </c>
      <c r="I258" s="443">
        <v>192287</v>
      </c>
      <c r="J258" s="448" t="s">
        <v>62</v>
      </c>
      <c r="K258" s="448" t="s">
        <v>1502</v>
      </c>
      <c r="L258" s="448" t="s">
        <v>123</v>
      </c>
      <c r="M258" s="448"/>
      <c r="N258" s="448" t="s">
        <v>2001</v>
      </c>
      <c r="O258" s="448" t="s">
        <v>2002</v>
      </c>
      <c r="P258" s="516" t="s">
        <v>2003</v>
      </c>
      <c r="Q258" s="629"/>
      <c r="R258" s="589">
        <v>0</v>
      </c>
      <c r="S258" s="590">
        <v>0</v>
      </c>
      <c r="T258" s="604">
        <v>0</v>
      </c>
      <c r="U258" s="596">
        <v>0</v>
      </c>
      <c r="V258" s="590">
        <v>0</v>
      </c>
      <c r="W258" s="604">
        <v>0</v>
      </c>
      <c r="X258" s="596">
        <v>1</v>
      </c>
      <c r="Y258" s="590">
        <v>0</v>
      </c>
      <c r="Z258" s="604">
        <v>0</v>
      </c>
      <c r="AA258" s="596">
        <v>0</v>
      </c>
      <c r="AB258" s="590">
        <v>0</v>
      </c>
      <c r="AC258" s="604">
        <v>0</v>
      </c>
      <c r="AD258" s="596">
        <v>0</v>
      </c>
      <c r="AE258" s="596">
        <v>0</v>
      </c>
      <c r="AF258" s="596">
        <v>0</v>
      </c>
      <c r="AG258" s="590">
        <v>0</v>
      </c>
      <c r="AH258" s="604">
        <v>0</v>
      </c>
      <c r="AI258" s="610">
        <v>0</v>
      </c>
      <c r="AJ258" s="610">
        <v>0</v>
      </c>
      <c r="AK258" s="629"/>
      <c r="AL258" s="531" t="s">
        <v>78</v>
      </c>
      <c r="AM258" s="448">
        <v>191388</v>
      </c>
      <c r="AN258" s="612">
        <v>8</v>
      </c>
      <c r="AO258" s="440" t="s">
        <v>2019</v>
      </c>
      <c r="AP258" s="37">
        <v>27.3</v>
      </c>
      <c r="AQ258" s="795">
        <f t="shared" si="13"/>
        <v>19.3</v>
      </c>
      <c r="AR258" s="835">
        <f t="shared" si="21"/>
        <v>0.706959706959707</v>
      </c>
      <c r="AS258" s="821"/>
      <c r="AT258" s="514" t="s">
        <v>1254</v>
      </c>
      <c r="AU258" s="448">
        <v>1</v>
      </c>
      <c r="AV258" s="448"/>
      <c r="AW258" s="448"/>
      <c r="AX258" s="612">
        <v>0</v>
      </c>
      <c r="AY258" s="514" t="s">
        <v>118</v>
      </c>
      <c r="AZ258" s="612">
        <v>0</v>
      </c>
      <c r="BA258" s="256" t="s">
        <v>47</v>
      </c>
      <c r="BB258" s="41">
        <v>0</v>
      </c>
      <c r="BC258" s="448"/>
      <c r="BD258" s="448"/>
      <c r="BE258" s="448"/>
      <c r="BF258" s="448"/>
      <c r="BG258" s="448"/>
      <c r="BH258" s="221"/>
      <c r="BI258" s="221"/>
      <c r="BJ258" s="221"/>
      <c r="BK258" s="221"/>
      <c r="BL258" s="221"/>
      <c r="BM258" s="221"/>
      <c r="BN258" s="221"/>
      <c r="BO258" s="221"/>
      <c r="BP258" s="221"/>
      <c r="BQ258" s="221"/>
      <c r="BR258" s="221"/>
      <c r="BS258" s="221"/>
      <c r="BT258" s="221"/>
      <c r="BU258" s="221"/>
      <c r="BV258" s="221"/>
      <c r="BW258" s="221"/>
      <c r="BX258" s="221"/>
      <c r="BY258" s="221"/>
      <c r="BZ258" s="221"/>
      <c r="CA258" s="221"/>
      <c r="CB258" s="221"/>
      <c r="CC258" s="221"/>
      <c r="CD258" s="221"/>
      <c r="CE258" s="221"/>
      <c r="CF258" s="221"/>
      <c r="CG258" s="221"/>
      <c r="CH258" s="221"/>
      <c r="CI258" s="221"/>
      <c r="CJ258" s="221"/>
      <c r="CK258" s="221"/>
      <c r="CL258" s="221"/>
      <c r="CM258" s="221"/>
      <c r="CN258" s="221"/>
      <c r="CO258" s="221"/>
      <c r="CP258" s="221"/>
      <c r="CQ258" s="221"/>
      <c r="CR258" s="221"/>
      <c r="CS258" s="221"/>
      <c r="CT258" s="221"/>
      <c r="CU258" s="221"/>
      <c r="CV258" s="221"/>
      <c r="CW258" s="221"/>
      <c r="CX258" s="221"/>
      <c r="CY258" s="221"/>
      <c r="CZ258" s="221"/>
      <c r="DA258" s="221"/>
      <c r="DB258" s="221"/>
      <c r="DC258" s="221"/>
      <c r="DD258" s="221"/>
      <c r="DE258" s="221"/>
      <c r="DF258" s="221"/>
      <c r="DG258" s="221"/>
      <c r="DH258" s="221"/>
      <c r="DI258" s="221"/>
      <c r="DJ258" s="221"/>
      <c r="DK258" s="221"/>
      <c r="DL258" s="221"/>
      <c r="DM258" s="221"/>
      <c r="DN258" s="221"/>
      <c r="DO258" s="221"/>
      <c r="DP258" s="221"/>
      <c r="DQ258" s="221"/>
      <c r="DR258" s="221"/>
      <c r="DS258" s="221"/>
      <c r="DT258" s="221"/>
      <c r="DU258" s="221"/>
      <c r="DV258" s="221"/>
      <c r="DW258" s="221"/>
      <c r="DX258" s="221"/>
      <c r="DY258" s="221"/>
      <c r="DZ258" s="221"/>
      <c r="EA258" s="221"/>
      <c r="EB258" s="221"/>
      <c r="EC258" s="221"/>
      <c r="ED258" s="221"/>
      <c r="EE258" s="221"/>
      <c r="EF258" s="221"/>
      <c r="EG258" s="221"/>
      <c r="EH258" s="221"/>
      <c r="EI258" s="221"/>
      <c r="EJ258" s="221"/>
      <c r="EK258" s="221"/>
      <c r="EL258" s="221"/>
      <c r="EM258" s="221"/>
      <c r="EN258" s="221"/>
      <c r="EO258" s="221"/>
      <c r="EP258" s="221"/>
      <c r="EQ258" s="221"/>
      <c r="ER258" s="221"/>
      <c r="ES258" s="221"/>
      <c r="ET258" s="221"/>
      <c r="EU258" s="221"/>
      <c r="EV258" s="221"/>
      <c r="EW258" s="221"/>
      <c r="EX258" s="221"/>
      <c r="EY258" s="221"/>
      <c r="EZ258" s="221"/>
      <c r="FA258" s="221"/>
      <c r="FB258" s="221"/>
      <c r="FC258" s="221"/>
      <c r="FD258" s="221"/>
      <c r="FE258" s="221"/>
      <c r="FF258" s="221"/>
      <c r="FG258" s="221"/>
      <c r="FH258" s="221"/>
      <c r="FI258" s="221"/>
      <c r="FJ258" s="221"/>
      <c r="FK258" s="221"/>
      <c r="FL258" s="221"/>
      <c r="FM258" s="221"/>
      <c r="FN258" s="221"/>
      <c r="FO258" s="221"/>
      <c r="FP258" s="221"/>
      <c r="FQ258" s="221"/>
      <c r="FR258" s="221"/>
      <c r="FS258" s="221"/>
      <c r="FT258" s="221"/>
      <c r="FU258" s="221"/>
      <c r="FV258" s="221"/>
      <c r="FW258" s="221"/>
      <c r="FX258" s="221"/>
      <c r="FY258" s="221"/>
      <c r="FZ258" s="221"/>
      <c r="GA258" s="221"/>
      <c r="GB258" s="221"/>
      <c r="GC258" s="221"/>
      <c r="GD258" s="221"/>
      <c r="GE258" s="221"/>
      <c r="GF258" s="221"/>
      <c r="GG258" s="221"/>
      <c r="GH258" s="221"/>
      <c r="GI258" s="221"/>
      <c r="GJ258" s="221"/>
      <c r="GK258" s="221"/>
      <c r="GL258" s="221"/>
      <c r="GM258" s="221"/>
      <c r="GN258" s="221"/>
      <c r="GO258" s="221"/>
      <c r="GP258" s="221"/>
      <c r="GQ258" s="221"/>
      <c r="GR258" s="221"/>
      <c r="GS258" s="221"/>
      <c r="GT258" s="221"/>
      <c r="GU258" s="221"/>
      <c r="GV258" s="221"/>
      <c r="GW258" s="221"/>
      <c r="GX258" s="221"/>
      <c r="GY258" s="221"/>
      <c r="GZ258" s="221"/>
      <c r="HA258" s="221"/>
      <c r="HB258" s="221"/>
      <c r="HC258" s="221"/>
      <c r="HD258" s="221"/>
      <c r="HE258" s="221"/>
      <c r="HF258" s="221"/>
      <c r="HG258" s="221"/>
      <c r="HH258" s="221"/>
      <c r="HI258" s="221"/>
      <c r="HJ258" s="221"/>
      <c r="HK258" s="221"/>
      <c r="HL258" s="221"/>
      <c r="HM258" s="221"/>
      <c r="HN258" s="221"/>
      <c r="HO258" s="221"/>
      <c r="HP258" s="221"/>
      <c r="HQ258" s="221"/>
      <c r="HR258" s="221"/>
      <c r="HS258" s="221"/>
      <c r="HT258" s="221"/>
      <c r="HU258" s="221"/>
      <c r="HV258" s="221"/>
      <c r="HW258" s="221"/>
      <c r="HX258" s="221"/>
      <c r="HY258" s="221"/>
      <c r="HZ258" s="221"/>
      <c r="IA258" s="221"/>
      <c r="IB258" s="221"/>
      <c r="IC258" s="221"/>
      <c r="ID258" s="221"/>
      <c r="IE258" s="221"/>
      <c r="IF258" s="221"/>
      <c r="IG258" s="221"/>
      <c r="IH258" s="221"/>
      <c r="II258" s="221"/>
      <c r="IJ258" s="221"/>
      <c r="IK258" s="221"/>
      <c r="IL258" s="221"/>
      <c r="IM258" s="221"/>
      <c r="IN258" s="221"/>
      <c r="IO258" s="221"/>
      <c r="IP258" s="221"/>
      <c r="IQ258" s="221"/>
      <c r="IR258" s="221"/>
      <c r="IS258" s="221"/>
      <c r="IT258" s="221"/>
      <c r="IU258" s="221"/>
      <c r="IV258" s="221"/>
      <c r="IW258" s="221"/>
      <c r="IX258" s="221"/>
      <c r="IY258" s="221"/>
      <c r="IZ258" s="221"/>
      <c r="JA258" s="221"/>
      <c r="JB258" s="221"/>
      <c r="JC258" s="221"/>
      <c r="JD258" s="221"/>
      <c r="JE258" s="221"/>
      <c r="JF258" s="221"/>
      <c r="JG258" s="221"/>
      <c r="JH258" s="221"/>
      <c r="JI258" s="221"/>
      <c r="JJ258" s="221"/>
      <c r="JK258" s="221"/>
      <c r="JL258" s="221"/>
      <c r="JM258" s="221"/>
      <c r="JN258" s="221"/>
      <c r="JO258" s="221"/>
      <c r="JP258" s="221"/>
      <c r="JQ258" s="221"/>
    </row>
    <row r="259" spans="1:277" ht="20" customHeight="1" outlineLevel="1">
      <c r="A259" s="456">
        <v>1906008</v>
      </c>
      <c r="B259" s="439">
        <v>42160</v>
      </c>
      <c r="C259" s="514" t="s">
        <v>44</v>
      </c>
      <c r="D259" s="514" t="s">
        <v>1259</v>
      </c>
      <c r="E259" s="539" t="s">
        <v>101</v>
      </c>
      <c r="F259" s="531" t="s">
        <v>47</v>
      </c>
      <c r="G259" s="514" t="s">
        <v>2004</v>
      </c>
      <c r="H259" s="514" t="s">
        <v>1314</v>
      </c>
      <c r="I259" s="443">
        <v>192339</v>
      </c>
      <c r="J259" s="514" t="s">
        <v>62</v>
      </c>
      <c r="K259" s="514" t="s">
        <v>50</v>
      </c>
      <c r="L259" s="448">
        <v>109348881</v>
      </c>
      <c r="M259" s="439">
        <v>42161</v>
      </c>
      <c r="N259" s="514" t="s">
        <v>283</v>
      </c>
      <c r="O259" s="514" t="s">
        <v>104</v>
      </c>
      <c r="P259" s="516"/>
      <c r="Q259" s="629"/>
      <c r="R259" s="589">
        <v>0</v>
      </c>
      <c r="S259" s="590">
        <v>0</v>
      </c>
      <c r="T259" s="604">
        <v>0</v>
      </c>
      <c r="U259" s="596">
        <v>0</v>
      </c>
      <c r="V259" s="590">
        <v>0</v>
      </c>
      <c r="W259" s="604">
        <v>0</v>
      </c>
      <c r="X259" s="596">
        <v>0</v>
      </c>
      <c r="Y259" s="590">
        <v>0</v>
      </c>
      <c r="Z259" s="604">
        <v>0</v>
      </c>
      <c r="AA259" s="596">
        <v>0</v>
      </c>
      <c r="AB259" s="590">
        <v>0</v>
      </c>
      <c r="AC259" s="604">
        <v>0</v>
      </c>
      <c r="AD259" s="596">
        <v>3</v>
      </c>
      <c r="AE259" s="596">
        <v>0</v>
      </c>
      <c r="AF259" s="596">
        <v>0</v>
      </c>
      <c r="AG259" s="590">
        <v>0</v>
      </c>
      <c r="AH259" s="604">
        <v>0</v>
      </c>
      <c r="AI259" s="610">
        <v>0</v>
      </c>
      <c r="AJ259" s="610">
        <v>0</v>
      </c>
      <c r="AK259" s="629"/>
      <c r="AL259" s="531" t="s">
        <v>78</v>
      </c>
      <c r="AM259" s="448">
        <v>191419</v>
      </c>
      <c r="AN259" s="612">
        <v>47.25</v>
      </c>
      <c r="AO259" s="440" t="s">
        <v>2033</v>
      </c>
      <c r="AP259" s="37">
        <v>90.3</v>
      </c>
      <c r="AQ259" s="795">
        <f t="shared" si="13"/>
        <v>43.05</v>
      </c>
      <c r="AR259" s="835">
        <f t="shared" si="21"/>
        <v>0.47674418604651159</v>
      </c>
      <c r="AS259" s="821"/>
      <c r="AT259" s="514" t="s">
        <v>1254</v>
      </c>
      <c r="AU259" s="448">
        <v>1</v>
      </c>
      <c r="AV259" s="448"/>
      <c r="AW259" s="448"/>
      <c r="AX259" s="612">
        <v>16</v>
      </c>
      <c r="AY259" s="448"/>
      <c r="AZ259" s="612">
        <v>13.11</v>
      </c>
      <c r="BA259" s="256" t="s">
        <v>47</v>
      </c>
      <c r="BB259" s="41">
        <v>0</v>
      </c>
      <c r="BC259" s="448"/>
      <c r="BD259" s="448"/>
      <c r="BE259" s="448"/>
      <c r="BF259" s="448"/>
      <c r="BG259" s="448"/>
      <c r="BH259" s="221"/>
      <c r="BI259" s="221"/>
      <c r="BJ259" s="221"/>
      <c r="BK259" s="221"/>
      <c r="BL259" s="221"/>
      <c r="BM259" s="221"/>
      <c r="BN259" s="221"/>
      <c r="BO259" s="221"/>
      <c r="BP259" s="221"/>
      <c r="BQ259" s="221"/>
      <c r="BR259" s="221"/>
      <c r="BS259" s="221"/>
      <c r="BT259" s="221"/>
      <c r="BU259" s="221"/>
      <c r="BV259" s="221"/>
      <c r="BW259" s="221"/>
      <c r="BX259" s="221"/>
      <c r="BY259" s="221"/>
      <c r="BZ259" s="221"/>
      <c r="CA259" s="221"/>
      <c r="CB259" s="221"/>
      <c r="CC259" s="221"/>
      <c r="CD259" s="221"/>
      <c r="CE259" s="221"/>
      <c r="CF259" s="221"/>
      <c r="CG259" s="221"/>
      <c r="CH259" s="221"/>
      <c r="CI259" s="221"/>
      <c r="CJ259" s="221"/>
      <c r="CK259" s="221"/>
      <c r="CL259" s="221"/>
      <c r="CM259" s="221"/>
      <c r="CN259" s="221"/>
      <c r="CO259" s="221"/>
      <c r="CP259" s="221"/>
      <c r="CQ259" s="221"/>
      <c r="CR259" s="221"/>
      <c r="CS259" s="221"/>
      <c r="CT259" s="221"/>
      <c r="CU259" s="221"/>
      <c r="CV259" s="221"/>
      <c r="CW259" s="221"/>
      <c r="CX259" s="221"/>
      <c r="CY259" s="221"/>
      <c r="CZ259" s="221"/>
      <c r="DA259" s="221"/>
      <c r="DB259" s="221"/>
      <c r="DC259" s="221"/>
      <c r="DD259" s="221"/>
      <c r="DE259" s="221"/>
      <c r="DF259" s="221"/>
      <c r="DG259" s="221"/>
      <c r="DH259" s="221"/>
      <c r="DI259" s="221"/>
      <c r="DJ259" s="221"/>
      <c r="DK259" s="221"/>
      <c r="DL259" s="221"/>
      <c r="DM259" s="221"/>
      <c r="DN259" s="221"/>
      <c r="DO259" s="221"/>
      <c r="DP259" s="221"/>
      <c r="DQ259" s="221"/>
      <c r="DR259" s="221"/>
      <c r="DS259" s="221"/>
      <c r="DT259" s="221"/>
      <c r="DU259" s="221"/>
      <c r="DV259" s="221"/>
      <c r="DW259" s="221"/>
      <c r="DX259" s="221"/>
      <c r="DY259" s="221"/>
      <c r="DZ259" s="221"/>
      <c r="EA259" s="221"/>
      <c r="EB259" s="221"/>
      <c r="EC259" s="221"/>
      <c r="ED259" s="221"/>
      <c r="EE259" s="221"/>
      <c r="EF259" s="221"/>
      <c r="EG259" s="221"/>
      <c r="EH259" s="221"/>
      <c r="EI259" s="221"/>
      <c r="EJ259" s="221"/>
      <c r="EK259" s="221"/>
      <c r="EL259" s="221"/>
      <c r="EM259" s="221"/>
      <c r="EN259" s="221"/>
      <c r="EO259" s="221"/>
      <c r="EP259" s="221"/>
      <c r="EQ259" s="221"/>
      <c r="ER259" s="221"/>
      <c r="ES259" s="221"/>
      <c r="ET259" s="221"/>
      <c r="EU259" s="221"/>
      <c r="EV259" s="221"/>
      <c r="EW259" s="221"/>
      <c r="EX259" s="221"/>
      <c r="EY259" s="221"/>
      <c r="EZ259" s="221"/>
      <c r="FA259" s="221"/>
      <c r="FB259" s="221"/>
      <c r="FC259" s="221"/>
      <c r="FD259" s="221"/>
      <c r="FE259" s="221"/>
      <c r="FF259" s="221"/>
      <c r="FG259" s="221"/>
      <c r="FH259" s="221"/>
      <c r="FI259" s="221"/>
      <c r="FJ259" s="221"/>
      <c r="FK259" s="221"/>
      <c r="FL259" s="221"/>
      <c r="FM259" s="221"/>
      <c r="FN259" s="221"/>
      <c r="FO259" s="221"/>
      <c r="FP259" s="221"/>
      <c r="FQ259" s="221"/>
      <c r="FR259" s="221"/>
      <c r="FS259" s="221"/>
      <c r="FT259" s="221"/>
      <c r="FU259" s="221"/>
      <c r="FV259" s="221"/>
      <c r="FW259" s="221"/>
      <c r="FX259" s="221"/>
      <c r="FY259" s="221"/>
      <c r="FZ259" s="221"/>
      <c r="GA259" s="221"/>
      <c r="GB259" s="221"/>
      <c r="GC259" s="221"/>
      <c r="GD259" s="221"/>
      <c r="GE259" s="221"/>
      <c r="GF259" s="221"/>
      <c r="GG259" s="221"/>
      <c r="GH259" s="221"/>
      <c r="GI259" s="221"/>
      <c r="GJ259" s="221"/>
      <c r="GK259" s="221"/>
      <c r="GL259" s="221"/>
      <c r="GM259" s="221"/>
      <c r="GN259" s="221"/>
      <c r="GO259" s="221"/>
      <c r="GP259" s="221"/>
      <c r="GQ259" s="221"/>
      <c r="GR259" s="221"/>
      <c r="GS259" s="221"/>
      <c r="GT259" s="221"/>
      <c r="GU259" s="221"/>
      <c r="GV259" s="221"/>
      <c r="GW259" s="221"/>
      <c r="GX259" s="221"/>
      <c r="GY259" s="221"/>
      <c r="GZ259" s="221"/>
      <c r="HA259" s="221"/>
      <c r="HB259" s="221"/>
      <c r="HC259" s="221"/>
      <c r="HD259" s="221"/>
      <c r="HE259" s="221"/>
      <c r="HF259" s="221"/>
      <c r="HG259" s="221"/>
      <c r="HH259" s="221"/>
      <c r="HI259" s="221"/>
      <c r="HJ259" s="221"/>
      <c r="HK259" s="221"/>
      <c r="HL259" s="221"/>
      <c r="HM259" s="221"/>
      <c r="HN259" s="221"/>
      <c r="HO259" s="221"/>
      <c r="HP259" s="221"/>
      <c r="HQ259" s="221"/>
      <c r="HR259" s="221"/>
      <c r="HS259" s="221"/>
      <c r="HT259" s="221"/>
      <c r="HU259" s="221"/>
      <c r="HV259" s="221"/>
      <c r="HW259" s="221"/>
      <c r="HX259" s="221"/>
      <c r="HY259" s="221"/>
      <c r="HZ259" s="221"/>
      <c r="IA259" s="221"/>
      <c r="IB259" s="221"/>
      <c r="IC259" s="221"/>
      <c r="ID259" s="221"/>
      <c r="IE259" s="221"/>
      <c r="IF259" s="221"/>
      <c r="IG259" s="221"/>
      <c r="IH259" s="221"/>
      <c r="II259" s="221"/>
      <c r="IJ259" s="221"/>
      <c r="IK259" s="221"/>
      <c r="IL259" s="221"/>
      <c r="IM259" s="221"/>
      <c r="IN259" s="221"/>
      <c r="IO259" s="221"/>
      <c r="IP259" s="221"/>
      <c r="IQ259" s="221"/>
      <c r="IR259" s="221"/>
      <c r="IS259" s="221"/>
      <c r="IT259" s="221"/>
      <c r="IU259" s="221"/>
      <c r="IV259" s="221"/>
      <c r="IW259" s="221"/>
      <c r="IX259" s="221"/>
      <c r="IY259" s="221"/>
      <c r="IZ259" s="221"/>
      <c r="JA259" s="221"/>
      <c r="JB259" s="221"/>
      <c r="JC259" s="221"/>
      <c r="JD259" s="221"/>
      <c r="JE259" s="221"/>
      <c r="JF259" s="221"/>
      <c r="JG259" s="221"/>
      <c r="JH259" s="221"/>
      <c r="JI259" s="221"/>
      <c r="JJ259" s="221"/>
      <c r="JK259" s="221"/>
      <c r="JL259" s="221"/>
      <c r="JM259" s="221"/>
      <c r="JN259" s="221"/>
      <c r="JO259" s="221"/>
      <c r="JP259" s="221"/>
      <c r="JQ259" s="221"/>
    </row>
    <row r="260" spans="1:277" ht="20" customHeight="1" outlineLevel="1">
      <c r="A260" s="456">
        <v>1906009</v>
      </c>
      <c r="B260" s="439">
        <v>42160</v>
      </c>
      <c r="C260" s="514" t="s">
        <v>72</v>
      </c>
      <c r="D260" s="514" t="s">
        <v>1259</v>
      </c>
      <c r="E260" s="539" t="s">
        <v>69</v>
      </c>
      <c r="F260" s="531" t="s">
        <v>47</v>
      </c>
      <c r="G260" s="514" t="s">
        <v>2000</v>
      </c>
      <c r="H260" s="448"/>
      <c r="I260" s="443">
        <v>192311</v>
      </c>
      <c r="J260" s="514" t="s">
        <v>62</v>
      </c>
      <c r="K260" s="514" t="s">
        <v>50</v>
      </c>
      <c r="L260" s="448" t="s">
        <v>118</v>
      </c>
      <c r="M260" s="439">
        <v>42160</v>
      </c>
      <c r="N260" s="514" t="s">
        <v>2009</v>
      </c>
      <c r="O260" s="514" t="s">
        <v>2010</v>
      </c>
      <c r="P260" s="801" t="s">
        <v>2011</v>
      </c>
      <c r="Q260" s="629"/>
      <c r="R260" s="589">
        <v>0</v>
      </c>
      <c r="S260" s="590">
        <v>0</v>
      </c>
      <c r="T260" s="604">
        <v>0</v>
      </c>
      <c r="U260" s="596">
        <v>0</v>
      </c>
      <c r="V260" s="590">
        <v>0</v>
      </c>
      <c r="W260" s="604">
        <v>0</v>
      </c>
      <c r="X260" s="596">
        <v>0</v>
      </c>
      <c r="Y260" s="590">
        <v>0</v>
      </c>
      <c r="Z260" s="604">
        <v>0</v>
      </c>
      <c r="AA260" s="596">
        <v>0</v>
      </c>
      <c r="AB260" s="590">
        <v>6</v>
      </c>
      <c r="AC260" s="604">
        <v>0</v>
      </c>
      <c r="AD260" s="596">
        <v>6</v>
      </c>
      <c r="AE260" s="596">
        <v>0</v>
      </c>
      <c r="AF260" s="596">
        <v>0</v>
      </c>
      <c r="AG260" s="590">
        <v>0</v>
      </c>
      <c r="AH260" s="604">
        <v>0</v>
      </c>
      <c r="AI260" s="610">
        <v>0</v>
      </c>
      <c r="AJ260" s="610">
        <v>0</v>
      </c>
      <c r="AK260" s="629"/>
      <c r="AL260" s="531" t="s">
        <v>1683</v>
      </c>
      <c r="AM260" s="448">
        <v>191559</v>
      </c>
      <c r="AN260" s="612">
        <v>97.8</v>
      </c>
      <c r="AO260" s="440" t="s">
        <v>2017</v>
      </c>
      <c r="AP260" s="37">
        <v>176.4</v>
      </c>
      <c r="AQ260" s="795">
        <f t="shared" si="13"/>
        <v>78.600000000000009</v>
      </c>
      <c r="AR260" s="835">
        <f t="shared" si="21"/>
        <v>0.44557823129251706</v>
      </c>
      <c r="AS260" s="821"/>
      <c r="AT260" s="448" t="s">
        <v>1254</v>
      </c>
      <c r="AU260" s="448">
        <v>2</v>
      </c>
      <c r="AV260" s="448"/>
      <c r="AW260" s="448"/>
      <c r="AX260" s="612">
        <v>0</v>
      </c>
      <c r="AY260" s="448" t="s">
        <v>118</v>
      </c>
      <c r="AZ260" s="612">
        <v>0</v>
      </c>
      <c r="BA260" s="256" t="s">
        <v>47</v>
      </c>
      <c r="BB260" s="41">
        <v>0</v>
      </c>
      <c r="BC260" s="448"/>
      <c r="BD260" s="448"/>
      <c r="BE260" s="448"/>
      <c r="BF260" s="448"/>
      <c r="BG260" s="448"/>
      <c r="BH260" s="221"/>
      <c r="BI260" s="221"/>
      <c r="BJ260" s="221"/>
      <c r="BK260" s="221"/>
      <c r="BL260" s="221"/>
      <c r="BM260" s="221"/>
      <c r="BN260" s="221"/>
      <c r="BO260" s="221"/>
      <c r="BP260" s="221"/>
      <c r="BQ260" s="221"/>
      <c r="BR260" s="221"/>
      <c r="BS260" s="221"/>
      <c r="BT260" s="221"/>
      <c r="BU260" s="221"/>
      <c r="BV260" s="221"/>
      <c r="BW260" s="221"/>
      <c r="BX260" s="221"/>
      <c r="BY260" s="221"/>
      <c r="BZ260" s="221"/>
      <c r="CA260" s="221"/>
      <c r="CB260" s="221"/>
      <c r="CC260" s="221"/>
      <c r="CD260" s="221"/>
      <c r="CE260" s="221"/>
      <c r="CF260" s="221"/>
      <c r="CG260" s="221"/>
      <c r="CH260" s="221"/>
      <c r="CI260" s="221"/>
      <c r="CJ260" s="221"/>
      <c r="CK260" s="221"/>
      <c r="CL260" s="221"/>
      <c r="CM260" s="221"/>
      <c r="CN260" s="221"/>
      <c r="CO260" s="221"/>
      <c r="CP260" s="221"/>
      <c r="CQ260" s="221"/>
      <c r="CR260" s="221"/>
      <c r="CS260" s="221"/>
      <c r="CT260" s="221"/>
      <c r="CU260" s="221"/>
      <c r="CV260" s="221"/>
      <c r="CW260" s="221"/>
      <c r="CX260" s="221"/>
      <c r="CY260" s="221"/>
      <c r="CZ260" s="221"/>
      <c r="DA260" s="221"/>
      <c r="DB260" s="221"/>
      <c r="DC260" s="221"/>
      <c r="DD260" s="221"/>
      <c r="DE260" s="221"/>
      <c r="DF260" s="221"/>
      <c r="DG260" s="221"/>
      <c r="DH260" s="221"/>
      <c r="DI260" s="221"/>
      <c r="DJ260" s="221"/>
      <c r="DK260" s="221"/>
      <c r="DL260" s="221"/>
      <c r="DM260" s="221"/>
      <c r="DN260" s="221"/>
      <c r="DO260" s="221"/>
      <c r="DP260" s="221"/>
      <c r="DQ260" s="221"/>
      <c r="DR260" s="221"/>
      <c r="DS260" s="221"/>
      <c r="DT260" s="221"/>
      <c r="DU260" s="221"/>
      <c r="DV260" s="221"/>
      <c r="DW260" s="221"/>
      <c r="DX260" s="221"/>
      <c r="DY260" s="221"/>
      <c r="DZ260" s="221"/>
      <c r="EA260" s="221"/>
      <c r="EB260" s="221"/>
      <c r="EC260" s="221"/>
      <c r="ED260" s="221"/>
      <c r="EE260" s="221"/>
      <c r="EF260" s="221"/>
      <c r="EG260" s="221"/>
      <c r="EH260" s="221"/>
      <c r="EI260" s="221"/>
      <c r="EJ260" s="221"/>
      <c r="EK260" s="221"/>
      <c r="EL260" s="221"/>
      <c r="EM260" s="221"/>
      <c r="EN260" s="221"/>
      <c r="EO260" s="221"/>
      <c r="EP260" s="221"/>
      <c r="EQ260" s="221"/>
      <c r="ER260" s="221"/>
      <c r="ES260" s="221"/>
      <c r="ET260" s="221"/>
      <c r="EU260" s="221"/>
      <c r="EV260" s="221"/>
      <c r="EW260" s="221"/>
      <c r="EX260" s="221"/>
      <c r="EY260" s="221"/>
      <c r="EZ260" s="221"/>
      <c r="FA260" s="221"/>
      <c r="FB260" s="221"/>
      <c r="FC260" s="221"/>
      <c r="FD260" s="221"/>
      <c r="FE260" s="221"/>
      <c r="FF260" s="221"/>
      <c r="FG260" s="221"/>
      <c r="FH260" s="221"/>
      <c r="FI260" s="221"/>
      <c r="FJ260" s="221"/>
      <c r="FK260" s="221"/>
      <c r="FL260" s="221"/>
      <c r="FM260" s="221"/>
      <c r="FN260" s="221"/>
      <c r="FO260" s="221"/>
      <c r="FP260" s="221"/>
      <c r="FQ260" s="221"/>
      <c r="FR260" s="221"/>
      <c r="FS260" s="221"/>
      <c r="FT260" s="221"/>
      <c r="FU260" s="221"/>
      <c r="FV260" s="221"/>
      <c r="FW260" s="221"/>
      <c r="FX260" s="221"/>
      <c r="FY260" s="221"/>
      <c r="FZ260" s="221"/>
      <c r="GA260" s="221"/>
      <c r="GB260" s="221"/>
      <c r="GC260" s="221"/>
      <c r="GD260" s="221"/>
      <c r="GE260" s="221"/>
      <c r="GF260" s="221"/>
      <c r="GG260" s="221"/>
      <c r="GH260" s="221"/>
      <c r="GI260" s="221"/>
      <c r="GJ260" s="221"/>
      <c r="GK260" s="221"/>
      <c r="GL260" s="221"/>
      <c r="GM260" s="221"/>
      <c r="GN260" s="221"/>
      <c r="GO260" s="221"/>
      <c r="GP260" s="221"/>
      <c r="GQ260" s="221"/>
      <c r="GR260" s="221"/>
      <c r="GS260" s="221"/>
      <c r="GT260" s="221"/>
      <c r="GU260" s="221"/>
      <c r="GV260" s="221"/>
      <c r="GW260" s="221"/>
      <c r="GX260" s="221"/>
      <c r="GY260" s="221"/>
      <c r="GZ260" s="221"/>
      <c r="HA260" s="221"/>
      <c r="HB260" s="221"/>
      <c r="HC260" s="221"/>
      <c r="HD260" s="221"/>
      <c r="HE260" s="221"/>
      <c r="HF260" s="221"/>
      <c r="HG260" s="221"/>
      <c r="HH260" s="221"/>
      <c r="HI260" s="221"/>
      <c r="HJ260" s="221"/>
      <c r="HK260" s="221"/>
      <c r="HL260" s="221"/>
      <c r="HM260" s="221"/>
      <c r="HN260" s="221"/>
      <c r="HO260" s="221"/>
      <c r="HP260" s="221"/>
      <c r="HQ260" s="221"/>
      <c r="HR260" s="221"/>
      <c r="HS260" s="221"/>
      <c r="HT260" s="221"/>
      <c r="HU260" s="221"/>
      <c r="HV260" s="221"/>
      <c r="HW260" s="221"/>
      <c r="HX260" s="221"/>
      <c r="HY260" s="221"/>
      <c r="HZ260" s="221"/>
      <c r="IA260" s="221"/>
      <c r="IB260" s="221"/>
      <c r="IC260" s="221"/>
      <c r="ID260" s="221"/>
      <c r="IE260" s="221"/>
      <c r="IF260" s="221"/>
      <c r="IG260" s="221"/>
      <c r="IH260" s="221"/>
      <c r="II260" s="221"/>
      <c r="IJ260" s="221"/>
      <c r="IK260" s="221"/>
      <c r="IL260" s="221"/>
      <c r="IM260" s="221"/>
      <c r="IN260" s="221"/>
      <c r="IO260" s="221"/>
      <c r="IP260" s="221"/>
      <c r="IQ260" s="221"/>
      <c r="IR260" s="221"/>
      <c r="IS260" s="221"/>
      <c r="IT260" s="221"/>
      <c r="IU260" s="221"/>
      <c r="IV260" s="221"/>
      <c r="IW260" s="221"/>
      <c r="IX260" s="221"/>
      <c r="IY260" s="221"/>
      <c r="IZ260" s="221"/>
      <c r="JA260" s="221"/>
      <c r="JB260" s="221"/>
      <c r="JC260" s="221"/>
      <c r="JD260" s="221"/>
      <c r="JE260" s="221"/>
      <c r="JF260" s="221"/>
      <c r="JG260" s="221"/>
      <c r="JH260" s="221"/>
      <c r="JI260" s="221"/>
      <c r="JJ260" s="221"/>
      <c r="JK260" s="221"/>
      <c r="JL260" s="221"/>
      <c r="JM260" s="221"/>
      <c r="JN260" s="221"/>
      <c r="JO260" s="221"/>
      <c r="JP260" s="221"/>
      <c r="JQ260" s="221"/>
    </row>
    <row r="261" spans="1:277" ht="20" customHeight="1" outlineLevel="1">
      <c r="A261" s="482">
        <v>1906010</v>
      </c>
      <c r="B261" s="439">
        <v>42160</v>
      </c>
      <c r="C261" s="514" t="s">
        <v>1675</v>
      </c>
      <c r="D261" s="514" t="s">
        <v>96</v>
      </c>
      <c r="E261" s="539" t="s">
        <v>116</v>
      </c>
      <c r="F261" s="531" t="s">
        <v>2006</v>
      </c>
      <c r="G261" s="514"/>
      <c r="H261" s="448"/>
      <c r="I261" s="443" t="s">
        <v>47</v>
      </c>
      <c r="J261" s="514"/>
      <c r="K261" s="514"/>
      <c r="L261" s="448"/>
      <c r="M261" s="448"/>
      <c r="N261" s="514" t="s">
        <v>2008</v>
      </c>
      <c r="O261" s="514" t="s">
        <v>2007</v>
      </c>
      <c r="P261" s="516"/>
      <c r="Q261" s="629"/>
      <c r="R261" s="589">
        <v>0</v>
      </c>
      <c r="S261" s="590">
        <v>0</v>
      </c>
      <c r="T261" s="604">
        <v>0</v>
      </c>
      <c r="U261" s="596">
        <v>0</v>
      </c>
      <c r="V261" s="590">
        <v>0</v>
      </c>
      <c r="W261" s="604">
        <v>0</v>
      </c>
      <c r="X261" s="596">
        <v>0</v>
      </c>
      <c r="Y261" s="590">
        <v>0</v>
      </c>
      <c r="Z261" s="604">
        <v>0</v>
      </c>
      <c r="AA261" s="596">
        <v>2</v>
      </c>
      <c r="AB261" s="590">
        <v>0</v>
      </c>
      <c r="AC261" s="604">
        <v>0</v>
      </c>
      <c r="AD261" s="596">
        <v>0</v>
      </c>
      <c r="AE261" s="596">
        <v>0</v>
      </c>
      <c r="AF261" s="596">
        <v>0</v>
      </c>
      <c r="AG261" s="590">
        <v>0</v>
      </c>
      <c r="AH261" s="604">
        <v>0</v>
      </c>
      <c r="AI261" s="610">
        <v>0</v>
      </c>
      <c r="AJ261" s="610">
        <v>0</v>
      </c>
      <c r="AK261" s="629"/>
      <c r="AL261" s="531" t="s">
        <v>1725</v>
      </c>
      <c r="AM261" s="448"/>
      <c r="AN261" s="612"/>
      <c r="AO261" s="444"/>
      <c r="AP261" s="37"/>
      <c r="AQ261" s="795">
        <f t="shared" si="13"/>
        <v>0</v>
      </c>
      <c r="AR261" s="835" t="e">
        <f t="shared" si="21"/>
        <v>#DIV/0!</v>
      </c>
      <c r="AS261" s="821"/>
      <c r="AT261" s="448"/>
      <c r="AU261" s="448"/>
      <c r="AV261" s="448"/>
      <c r="AW261" s="448"/>
      <c r="AX261" s="612"/>
      <c r="AY261" s="448"/>
      <c r="AZ261" s="612"/>
      <c r="BA261" s="256" t="s">
        <v>47</v>
      </c>
      <c r="BB261" s="41">
        <v>0</v>
      </c>
      <c r="BC261" s="448"/>
      <c r="BD261" s="448"/>
      <c r="BE261" s="448"/>
      <c r="BF261" s="448"/>
      <c r="BG261" s="448"/>
      <c r="BH261" s="221"/>
      <c r="BI261" s="221"/>
      <c r="BJ261" s="221"/>
      <c r="BK261" s="221"/>
      <c r="BL261" s="221"/>
      <c r="BM261" s="221"/>
      <c r="BN261" s="221"/>
      <c r="BO261" s="221"/>
      <c r="BP261" s="221"/>
      <c r="BQ261" s="221"/>
      <c r="BR261" s="221"/>
      <c r="BS261" s="221"/>
      <c r="BT261" s="221"/>
      <c r="BU261" s="221"/>
      <c r="BV261" s="221"/>
      <c r="BW261" s="221"/>
      <c r="BX261" s="221"/>
      <c r="BY261" s="221"/>
      <c r="BZ261" s="221"/>
      <c r="CA261" s="221"/>
      <c r="CB261" s="221"/>
      <c r="CC261" s="221"/>
      <c r="CD261" s="221"/>
      <c r="CE261" s="221"/>
      <c r="CF261" s="221"/>
      <c r="CG261" s="221"/>
      <c r="CH261" s="221"/>
      <c r="CI261" s="221"/>
      <c r="CJ261" s="221"/>
      <c r="CK261" s="221"/>
      <c r="CL261" s="221"/>
      <c r="CM261" s="221"/>
      <c r="CN261" s="221"/>
      <c r="CO261" s="221"/>
      <c r="CP261" s="221"/>
      <c r="CQ261" s="221"/>
      <c r="CR261" s="221"/>
      <c r="CS261" s="221"/>
      <c r="CT261" s="221"/>
      <c r="CU261" s="221"/>
      <c r="CV261" s="221"/>
      <c r="CW261" s="221"/>
      <c r="CX261" s="221"/>
      <c r="CY261" s="221"/>
      <c r="CZ261" s="221"/>
      <c r="DA261" s="221"/>
      <c r="DB261" s="221"/>
      <c r="DC261" s="221"/>
      <c r="DD261" s="221"/>
      <c r="DE261" s="221"/>
      <c r="DF261" s="221"/>
      <c r="DG261" s="221"/>
      <c r="DH261" s="221"/>
      <c r="DI261" s="221"/>
      <c r="DJ261" s="221"/>
      <c r="DK261" s="221"/>
      <c r="DL261" s="221"/>
      <c r="DM261" s="221"/>
      <c r="DN261" s="221"/>
      <c r="DO261" s="221"/>
      <c r="DP261" s="221"/>
      <c r="DQ261" s="221"/>
      <c r="DR261" s="221"/>
      <c r="DS261" s="221"/>
      <c r="DT261" s="221"/>
      <c r="DU261" s="221"/>
      <c r="DV261" s="221"/>
      <c r="DW261" s="221"/>
      <c r="DX261" s="221"/>
      <c r="DY261" s="221"/>
      <c r="DZ261" s="221"/>
      <c r="EA261" s="221"/>
      <c r="EB261" s="221"/>
      <c r="EC261" s="221"/>
      <c r="ED261" s="221"/>
      <c r="EE261" s="221"/>
      <c r="EF261" s="221"/>
      <c r="EG261" s="221"/>
      <c r="EH261" s="221"/>
      <c r="EI261" s="221"/>
      <c r="EJ261" s="221"/>
      <c r="EK261" s="221"/>
      <c r="EL261" s="221"/>
      <c r="EM261" s="221"/>
      <c r="EN261" s="221"/>
      <c r="EO261" s="221"/>
      <c r="EP261" s="221"/>
      <c r="EQ261" s="221"/>
      <c r="ER261" s="221"/>
      <c r="ES261" s="221"/>
      <c r="ET261" s="221"/>
      <c r="EU261" s="221"/>
      <c r="EV261" s="221"/>
      <c r="EW261" s="221"/>
      <c r="EX261" s="221"/>
      <c r="EY261" s="221"/>
      <c r="EZ261" s="221"/>
      <c r="FA261" s="221"/>
      <c r="FB261" s="221"/>
      <c r="FC261" s="221"/>
      <c r="FD261" s="221"/>
      <c r="FE261" s="221"/>
      <c r="FF261" s="221"/>
      <c r="FG261" s="221"/>
      <c r="FH261" s="221"/>
      <c r="FI261" s="221"/>
      <c r="FJ261" s="221"/>
      <c r="FK261" s="221"/>
      <c r="FL261" s="221"/>
      <c r="FM261" s="221"/>
      <c r="FN261" s="221"/>
      <c r="FO261" s="221"/>
      <c r="FP261" s="221"/>
      <c r="FQ261" s="221"/>
      <c r="FR261" s="221"/>
      <c r="FS261" s="221"/>
      <c r="FT261" s="221"/>
      <c r="FU261" s="221"/>
      <c r="FV261" s="221"/>
      <c r="FW261" s="221"/>
      <c r="FX261" s="221"/>
      <c r="FY261" s="221"/>
      <c r="FZ261" s="221"/>
      <c r="GA261" s="221"/>
      <c r="GB261" s="221"/>
      <c r="GC261" s="221"/>
      <c r="GD261" s="221"/>
      <c r="GE261" s="221"/>
      <c r="GF261" s="221"/>
      <c r="GG261" s="221"/>
      <c r="GH261" s="221"/>
      <c r="GI261" s="221"/>
      <c r="GJ261" s="221"/>
      <c r="GK261" s="221"/>
      <c r="GL261" s="221"/>
      <c r="GM261" s="221"/>
      <c r="GN261" s="221"/>
      <c r="GO261" s="221"/>
      <c r="GP261" s="221"/>
      <c r="GQ261" s="221"/>
      <c r="GR261" s="221"/>
      <c r="GS261" s="221"/>
      <c r="GT261" s="221"/>
      <c r="GU261" s="221"/>
      <c r="GV261" s="221"/>
      <c r="GW261" s="221"/>
      <c r="GX261" s="221"/>
      <c r="GY261" s="221"/>
      <c r="GZ261" s="221"/>
      <c r="HA261" s="221"/>
      <c r="HB261" s="221"/>
      <c r="HC261" s="221"/>
      <c r="HD261" s="221"/>
      <c r="HE261" s="221"/>
      <c r="HF261" s="221"/>
      <c r="HG261" s="221"/>
      <c r="HH261" s="221"/>
      <c r="HI261" s="221"/>
      <c r="HJ261" s="221"/>
      <c r="HK261" s="221"/>
      <c r="HL261" s="221"/>
      <c r="HM261" s="221"/>
      <c r="HN261" s="221"/>
      <c r="HO261" s="221"/>
      <c r="HP261" s="221"/>
      <c r="HQ261" s="221"/>
      <c r="HR261" s="221"/>
      <c r="HS261" s="221"/>
      <c r="HT261" s="221"/>
      <c r="HU261" s="221"/>
      <c r="HV261" s="221"/>
      <c r="HW261" s="221"/>
      <c r="HX261" s="221"/>
      <c r="HY261" s="221"/>
      <c r="HZ261" s="221"/>
      <c r="IA261" s="221"/>
      <c r="IB261" s="221"/>
      <c r="IC261" s="221"/>
      <c r="ID261" s="221"/>
      <c r="IE261" s="221"/>
      <c r="IF261" s="221"/>
      <c r="IG261" s="221"/>
      <c r="IH261" s="221"/>
      <c r="II261" s="221"/>
      <c r="IJ261" s="221"/>
      <c r="IK261" s="221"/>
      <c r="IL261" s="221"/>
      <c r="IM261" s="221"/>
      <c r="IN261" s="221"/>
      <c r="IO261" s="221"/>
      <c r="IP261" s="221"/>
      <c r="IQ261" s="221"/>
      <c r="IR261" s="221"/>
      <c r="IS261" s="221"/>
      <c r="IT261" s="221"/>
      <c r="IU261" s="221"/>
      <c r="IV261" s="221"/>
      <c r="IW261" s="221"/>
      <c r="IX261" s="221"/>
      <c r="IY261" s="221"/>
      <c r="IZ261" s="221"/>
      <c r="JA261" s="221"/>
      <c r="JB261" s="221"/>
      <c r="JC261" s="221"/>
      <c r="JD261" s="221"/>
      <c r="JE261" s="221"/>
      <c r="JF261" s="221"/>
      <c r="JG261" s="221"/>
      <c r="JH261" s="221"/>
      <c r="JI261" s="221"/>
      <c r="JJ261" s="221"/>
      <c r="JK261" s="221"/>
      <c r="JL261" s="221"/>
      <c r="JM261" s="221"/>
      <c r="JN261" s="221"/>
      <c r="JO261" s="221"/>
      <c r="JP261" s="221"/>
      <c r="JQ261" s="221"/>
    </row>
    <row r="262" spans="1:277" ht="20" customHeight="1" outlineLevel="1">
      <c r="A262" s="482">
        <v>1906011</v>
      </c>
      <c r="B262" s="439">
        <v>42160</v>
      </c>
      <c r="C262" s="514" t="s">
        <v>44</v>
      </c>
      <c r="D262" s="514" t="s">
        <v>1259</v>
      </c>
      <c r="E262" s="539" t="s">
        <v>116</v>
      </c>
      <c r="F262" s="531" t="s">
        <v>47</v>
      </c>
      <c r="G262" s="514" t="s">
        <v>2040</v>
      </c>
      <c r="H262" s="439">
        <v>42168</v>
      </c>
      <c r="I262" s="443" t="s">
        <v>155</v>
      </c>
      <c r="J262" s="514" t="s">
        <v>62</v>
      </c>
      <c r="K262" s="514" t="s">
        <v>50</v>
      </c>
      <c r="L262" s="448">
        <v>112393483</v>
      </c>
      <c r="M262" s="439">
        <v>42173</v>
      </c>
      <c r="N262" s="514" t="s">
        <v>201</v>
      </c>
      <c r="O262" s="514" t="s">
        <v>2114</v>
      </c>
      <c r="P262" s="516"/>
      <c r="Q262" s="629"/>
      <c r="R262" s="589">
        <v>3</v>
      </c>
      <c r="S262" s="590">
        <v>0</v>
      </c>
      <c r="T262" s="604">
        <v>0</v>
      </c>
      <c r="U262" s="596">
        <v>0</v>
      </c>
      <c r="V262" s="590">
        <v>0</v>
      </c>
      <c r="W262" s="604">
        <v>0</v>
      </c>
      <c r="X262" s="596">
        <v>0</v>
      </c>
      <c r="Y262" s="590">
        <v>0</v>
      </c>
      <c r="Z262" s="604">
        <v>0</v>
      </c>
      <c r="AA262" s="596">
        <v>3</v>
      </c>
      <c r="AB262" s="590">
        <v>0</v>
      </c>
      <c r="AC262" s="604">
        <v>0</v>
      </c>
      <c r="AD262" s="596">
        <v>0</v>
      </c>
      <c r="AE262" s="596">
        <v>3</v>
      </c>
      <c r="AF262" s="596">
        <v>0</v>
      </c>
      <c r="AG262" s="590">
        <v>0</v>
      </c>
      <c r="AH262" s="604">
        <v>0</v>
      </c>
      <c r="AI262" s="610">
        <v>0</v>
      </c>
      <c r="AJ262" s="610">
        <v>0</v>
      </c>
      <c r="AK262" s="629"/>
      <c r="AL262" s="531" t="s">
        <v>1268</v>
      </c>
      <c r="AM262" s="448"/>
      <c r="AN262" s="612"/>
      <c r="AO262" s="440" t="s">
        <v>2087</v>
      </c>
      <c r="AP262" s="37">
        <v>222.3</v>
      </c>
      <c r="AQ262" s="795">
        <f t="shared" ref="AQ262:AQ298" si="29">AP262-AN262</f>
        <v>222.3</v>
      </c>
      <c r="AR262" s="835">
        <f t="shared" si="21"/>
        <v>1</v>
      </c>
      <c r="AS262" s="821"/>
      <c r="AT262" s="514" t="s">
        <v>1254</v>
      </c>
      <c r="AU262" s="448">
        <v>1</v>
      </c>
      <c r="AV262" s="448"/>
      <c r="AW262" s="448"/>
      <c r="AX262" s="612">
        <v>65</v>
      </c>
      <c r="AY262" s="448"/>
      <c r="AZ262" s="612">
        <v>62.28</v>
      </c>
      <c r="BA262" s="256" t="s">
        <v>47</v>
      </c>
      <c r="BB262" s="41">
        <v>0</v>
      </c>
      <c r="BC262" s="448"/>
      <c r="BD262" s="448"/>
      <c r="BE262" s="448"/>
      <c r="BF262" s="448"/>
      <c r="BG262" s="448"/>
      <c r="BH262" s="221"/>
      <c r="BI262" s="221"/>
      <c r="BJ262" s="221"/>
      <c r="BK262" s="221"/>
      <c r="BL262" s="221"/>
      <c r="BM262" s="221"/>
      <c r="BN262" s="221"/>
      <c r="BO262" s="221"/>
      <c r="BP262" s="221"/>
      <c r="BQ262" s="221"/>
      <c r="BR262" s="221"/>
      <c r="BS262" s="221"/>
      <c r="BT262" s="221"/>
      <c r="BU262" s="221"/>
      <c r="BV262" s="221"/>
      <c r="BW262" s="221"/>
      <c r="BX262" s="221"/>
      <c r="BY262" s="221"/>
      <c r="BZ262" s="221"/>
      <c r="CA262" s="221"/>
      <c r="CB262" s="221"/>
      <c r="CC262" s="221"/>
      <c r="CD262" s="221"/>
      <c r="CE262" s="221"/>
      <c r="CF262" s="221"/>
      <c r="CG262" s="221"/>
      <c r="CH262" s="221"/>
      <c r="CI262" s="221"/>
      <c r="CJ262" s="221"/>
      <c r="CK262" s="221"/>
      <c r="CL262" s="221"/>
      <c r="CM262" s="221"/>
      <c r="CN262" s="221"/>
      <c r="CO262" s="221"/>
      <c r="CP262" s="221"/>
      <c r="CQ262" s="221"/>
      <c r="CR262" s="221"/>
      <c r="CS262" s="221"/>
      <c r="CT262" s="221"/>
      <c r="CU262" s="221"/>
      <c r="CV262" s="221"/>
      <c r="CW262" s="221"/>
      <c r="CX262" s="221"/>
      <c r="CY262" s="221"/>
      <c r="CZ262" s="221"/>
      <c r="DA262" s="221"/>
      <c r="DB262" s="221"/>
      <c r="DC262" s="221"/>
      <c r="DD262" s="221"/>
      <c r="DE262" s="221"/>
      <c r="DF262" s="221"/>
      <c r="DG262" s="221"/>
      <c r="DH262" s="221"/>
      <c r="DI262" s="221"/>
      <c r="DJ262" s="221"/>
      <c r="DK262" s="221"/>
      <c r="DL262" s="221"/>
      <c r="DM262" s="221"/>
      <c r="DN262" s="221"/>
      <c r="DO262" s="221"/>
      <c r="DP262" s="221"/>
      <c r="DQ262" s="221"/>
      <c r="DR262" s="221"/>
      <c r="DS262" s="221"/>
      <c r="DT262" s="221"/>
      <c r="DU262" s="221"/>
      <c r="DV262" s="221"/>
      <c r="DW262" s="221"/>
      <c r="DX262" s="221"/>
      <c r="DY262" s="221"/>
      <c r="DZ262" s="221"/>
      <c r="EA262" s="221"/>
      <c r="EB262" s="221"/>
      <c r="EC262" s="221"/>
      <c r="ED262" s="221"/>
      <c r="EE262" s="221"/>
      <c r="EF262" s="221"/>
      <c r="EG262" s="221"/>
      <c r="EH262" s="221"/>
      <c r="EI262" s="221"/>
      <c r="EJ262" s="221"/>
      <c r="EK262" s="221"/>
      <c r="EL262" s="221"/>
      <c r="EM262" s="221"/>
      <c r="EN262" s="221"/>
      <c r="EO262" s="221"/>
      <c r="EP262" s="221"/>
      <c r="EQ262" s="221"/>
      <c r="ER262" s="221"/>
      <c r="ES262" s="221"/>
      <c r="ET262" s="221"/>
      <c r="EU262" s="221"/>
      <c r="EV262" s="221"/>
      <c r="EW262" s="221"/>
      <c r="EX262" s="221"/>
      <c r="EY262" s="221"/>
      <c r="EZ262" s="221"/>
      <c r="FA262" s="221"/>
      <c r="FB262" s="221"/>
      <c r="FC262" s="221"/>
      <c r="FD262" s="221"/>
      <c r="FE262" s="221"/>
      <c r="FF262" s="221"/>
      <c r="FG262" s="221"/>
      <c r="FH262" s="221"/>
      <c r="FI262" s="221"/>
      <c r="FJ262" s="221"/>
      <c r="FK262" s="221"/>
      <c r="FL262" s="221"/>
      <c r="FM262" s="221"/>
      <c r="FN262" s="221"/>
      <c r="FO262" s="221"/>
      <c r="FP262" s="221"/>
      <c r="FQ262" s="221"/>
      <c r="FR262" s="221"/>
      <c r="FS262" s="221"/>
      <c r="FT262" s="221"/>
      <c r="FU262" s="221"/>
      <c r="FV262" s="221"/>
      <c r="FW262" s="221"/>
      <c r="FX262" s="221"/>
      <c r="FY262" s="221"/>
      <c r="FZ262" s="221"/>
      <c r="GA262" s="221"/>
      <c r="GB262" s="221"/>
      <c r="GC262" s="221"/>
      <c r="GD262" s="221"/>
      <c r="GE262" s="221"/>
      <c r="GF262" s="221"/>
      <c r="GG262" s="221"/>
      <c r="GH262" s="221"/>
      <c r="GI262" s="221"/>
      <c r="GJ262" s="221"/>
      <c r="GK262" s="221"/>
      <c r="GL262" s="221"/>
      <c r="GM262" s="221"/>
      <c r="GN262" s="221"/>
      <c r="GO262" s="221"/>
      <c r="GP262" s="221"/>
      <c r="GQ262" s="221"/>
      <c r="GR262" s="221"/>
      <c r="GS262" s="221"/>
      <c r="GT262" s="221"/>
      <c r="GU262" s="221"/>
      <c r="GV262" s="221"/>
      <c r="GW262" s="221"/>
      <c r="GX262" s="221"/>
      <c r="GY262" s="221"/>
      <c r="GZ262" s="221"/>
      <c r="HA262" s="221"/>
      <c r="HB262" s="221"/>
      <c r="HC262" s="221"/>
      <c r="HD262" s="221"/>
      <c r="HE262" s="221"/>
      <c r="HF262" s="221"/>
      <c r="HG262" s="221"/>
      <c r="HH262" s="221"/>
      <c r="HI262" s="221"/>
      <c r="HJ262" s="221"/>
      <c r="HK262" s="221"/>
      <c r="HL262" s="221"/>
      <c r="HM262" s="221"/>
      <c r="HN262" s="221"/>
      <c r="HO262" s="221"/>
      <c r="HP262" s="221"/>
      <c r="HQ262" s="221"/>
      <c r="HR262" s="221"/>
      <c r="HS262" s="221"/>
      <c r="HT262" s="221"/>
      <c r="HU262" s="221"/>
      <c r="HV262" s="221"/>
      <c r="HW262" s="221"/>
      <c r="HX262" s="221"/>
      <c r="HY262" s="221"/>
      <c r="HZ262" s="221"/>
      <c r="IA262" s="221"/>
      <c r="IB262" s="221"/>
      <c r="IC262" s="221"/>
      <c r="ID262" s="221"/>
      <c r="IE262" s="221"/>
      <c r="IF262" s="221"/>
      <c r="IG262" s="221"/>
      <c r="IH262" s="221"/>
      <c r="II262" s="221"/>
      <c r="IJ262" s="221"/>
      <c r="IK262" s="221"/>
      <c r="IL262" s="221"/>
      <c r="IM262" s="221"/>
      <c r="IN262" s="221"/>
      <c r="IO262" s="221"/>
      <c r="IP262" s="221"/>
      <c r="IQ262" s="221"/>
      <c r="IR262" s="221"/>
      <c r="IS262" s="221"/>
      <c r="IT262" s="221"/>
      <c r="IU262" s="221"/>
      <c r="IV262" s="221"/>
      <c r="IW262" s="221"/>
      <c r="IX262" s="221"/>
      <c r="IY262" s="221"/>
      <c r="IZ262" s="221"/>
      <c r="JA262" s="221"/>
      <c r="JB262" s="221"/>
      <c r="JC262" s="221"/>
      <c r="JD262" s="221"/>
      <c r="JE262" s="221"/>
      <c r="JF262" s="221"/>
      <c r="JG262" s="221"/>
      <c r="JH262" s="221"/>
      <c r="JI262" s="221"/>
      <c r="JJ262" s="221"/>
      <c r="JK262" s="221"/>
      <c r="JL262" s="221"/>
      <c r="JM262" s="221"/>
      <c r="JN262" s="221"/>
      <c r="JO262" s="221"/>
      <c r="JP262" s="221"/>
      <c r="JQ262" s="221"/>
    </row>
    <row r="263" spans="1:277" ht="20" customHeight="1" outlineLevel="1">
      <c r="A263" s="482">
        <v>1906012</v>
      </c>
      <c r="B263" s="439">
        <v>42160</v>
      </c>
      <c r="C263" s="514" t="s">
        <v>67</v>
      </c>
      <c r="D263" s="514" t="s">
        <v>1259</v>
      </c>
      <c r="E263" s="539" t="s">
        <v>60</v>
      </c>
      <c r="F263" s="531" t="s">
        <v>47</v>
      </c>
      <c r="G263" s="514" t="s">
        <v>2027</v>
      </c>
      <c r="H263" s="448"/>
      <c r="I263" s="443" t="s">
        <v>155</v>
      </c>
      <c r="J263" s="514" t="s">
        <v>62</v>
      </c>
      <c r="K263" s="514"/>
      <c r="L263" s="448"/>
      <c r="M263" s="448"/>
      <c r="N263" s="514" t="s">
        <v>350</v>
      </c>
      <c r="O263" s="514" t="s">
        <v>2026</v>
      </c>
      <c r="P263" s="516"/>
      <c r="Q263" s="629"/>
      <c r="R263" s="589">
        <v>0</v>
      </c>
      <c r="S263" s="590">
        <v>0</v>
      </c>
      <c r="T263" s="604">
        <v>0</v>
      </c>
      <c r="U263" s="596">
        <v>0</v>
      </c>
      <c r="V263" s="590">
        <v>0</v>
      </c>
      <c r="W263" s="604">
        <v>0</v>
      </c>
      <c r="X263" s="596">
        <v>0</v>
      </c>
      <c r="Y263" s="590">
        <v>0</v>
      </c>
      <c r="Z263" s="604">
        <v>0</v>
      </c>
      <c r="AA263" s="596">
        <v>0</v>
      </c>
      <c r="AB263" s="590">
        <v>0</v>
      </c>
      <c r="AC263" s="604">
        <v>0</v>
      </c>
      <c r="AD263" s="596">
        <v>1</v>
      </c>
      <c r="AE263" s="596">
        <v>0</v>
      </c>
      <c r="AF263" s="596">
        <v>0</v>
      </c>
      <c r="AG263" s="590">
        <v>0</v>
      </c>
      <c r="AH263" s="604">
        <v>0</v>
      </c>
      <c r="AI263" s="610">
        <v>0</v>
      </c>
      <c r="AJ263" s="610">
        <v>0</v>
      </c>
      <c r="AK263" s="629"/>
      <c r="AL263" s="531"/>
      <c r="AM263" s="448"/>
      <c r="AN263" s="612"/>
      <c r="AO263" s="444"/>
      <c r="AP263" s="37"/>
      <c r="AQ263" s="795">
        <f t="shared" si="29"/>
        <v>0</v>
      </c>
      <c r="AR263" s="835" t="e">
        <f t="shared" si="21"/>
        <v>#DIV/0!</v>
      </c>
      <c r="AS263" s="821"/>
      <c r="AT263" s="448"/>
      <c r="AU263" s="448"/>
      <c r="AV263" s="448"/>
      <c r="AW263" s="448"/>
      <c r="AX263" s="612"/>
      <c r="AY263" s="448"/>
      <c r="AZ263" s="612"/>
      <c r="BA263" s="256" t="s">
        <v>47</v>
      </c>
      <c r="BB263" s="41">
        <v>0</v>
      </c>
      <c r="BC263" s="448"/>
      <c r="BD263" s="448"/>
      <c r="BE263" s="448"/>
      <c r="BF263" s="448"/>
      <c r="BG263" s="448"/>
      <c r="BH263" s="221"/>
      <c r="BI263" s="221"/>
      <c r="BJ263" s="221"/>
      <c r="BK263" s="221"/>
      <c r="BL263" s="221"/>
      <c r="BM263" s="221"/>
      <c r="BN263" s="221"/>
      <c r="BO263" s="221"/>
      <c r="BP263" s="221"/>
      <c r="BQ263" s="221"/>
      <c r="BR263" s="221"/>
      <c r="BS263" s="221"/>
      <c r="BT263" s="221"/>
      <c r="BU263" s="221"/>
      <c r="BV263" s="221"/>
      <c r="BW263" s="221"/>
      <c r="BX263" s="221"/>
      <c r="BY263" s="221"/>
      <c r="BZ263" s="221"/>
      <c r="CA263" s="221"/>
      <c r="CB263" s="221"/>
      <c r="CC263" s="221"/>
      <c r="CD263" s="221"/>
      <c r="CE263" s="221"/>
      <c r="CF263" s="221"/>
      <c r="CG263" s="221"/>
      <c r="CH263" s="221"/>
      <c r="CI263" s="221"/>
      <c r="CJ263" s="221"/>
      <c r="CK263" s="221"/>
      <c r="CL263" s="221"/>
      <c r="CM263" s="221"/>
      <c r="CN263" s="221"/>
      <c r="CO263" s="221"/>
      <c r="CP263" s="221"/>
      <c r="CQ263" s="221"/>
      <c r="CR263" s="221"/>
      <c r="CS263" s="221"/>
      <c r="CT263" s="221"/>
      <c r="CU263" s="221"/>
      <c r="CV263" s="221"/>
      <c r="CW263" s="221"/>
      <c r="CX263" s="221"/>
      <c r="CY263" s="221"/>
      <c r="CZ263" s="221"/>
      <c r="DA263" s="221"/>
      <c r="DB263" s="221"/>
      <c r="DC263" s="221"/>
      <c r="DD263" s="221"/>
      <c r="DE263" s="221"/>
      <c r="DF263" s="221"/>
      <c r="DG263" s="221"/>
      <c r="DH263" s="221"/>
      <c r="DI263" s="221"/>
      <c r="DJ263" s="221"/>
      <c r="DK263" s="221"/>
      <c r="DL263" s="221"/>
      <c r="DM263" s="221"/>
      <c r="DN263" s="221"/>
      <c r="DO263" s="221"/>
      <c r="DP263" s="221"/>
      <c r="DQ263" s="221"/>
      <c r="DR263" s="221"/>
      <c r="DS263" s="221"/>
      <c r="DT263" s="221"/>
      <c r="DU263" s="221"/>
      <c r="DV263" s="221"/>
      <c r="DW263" s="221"/>
      <c r="DX263" s="221"/>
      <c r="DY263" s="221"/>
      <c r="DZ263" s="221"/>
      <c r="EA263" s="221"/>
      <c r="EB263" s="221"/>
      <c r="EC263" s="221"/>
      <c r="ED263" s="221"/>
      <c r="EE263" s="221"/>
      <c r="EF263" s="221"/>
      <c r="EG263" s="221"/>
      <c r="EH263" s="221"/>
      <c r="EI263" s="221"/>
      <c r="EJ263" s="221"/>
      <c r="EK263" s="221"/>
      <c r="EL263" s="221"/>
      <c r="EM263" s="221"/>
      <c r="EN263" s="221"/>
      <c r="EO263" s="221"/>
      <c r="EP263" s="221"/>
      <c r="EQ263" s="221"/>
      <c r="ER263" s="221"/>
      <c r="ES263" s="221"/>
      <c r="ET263" s="221"/>
      <c r="EU263" s="221"/>
      <c r="EV263" s="221"/>
      <c r="EW263" s="221"/>
      <c r="EX263" s="221"/>
      <c r="EY263" s="221"/>
      <c r="EZ263" s="221"/>
      <c r="FA263" s="221"/>
      <c r="FB263" s="221"/>
      <c r="FC263" s="221"/>
      <c r="FD263" s="221"/>
      <c r="FE263" s="221"/>
      <c r="FF263" s="221"/>
      <c r="FG263" s="221"/>
      <c r="FH263" s="221"/>
      <c r="FI263" s="221"/>
      <c r="FJ263" s="221"/>
      <c r="FK263" s="221"/>
      <c r="FL263" s="221"/>
      <c r="FM263" s="221"/>
      <c r="FN263" s="221"/>
      <c r="FO263" s="221"/>
      <c r="FP263" s="221"/>
      <c r="FQ263" s="221"/>
      <c r="FR263" s="221"/>
      <c r="FS263" s="221"/>
      <c r="FT263" s="221"/>
      <c r="FU263" s="221"/>
      <c r="FV263" s="221"/>
      <c r="FW263" s="221"/>
      <c r="FX263" s="221"/>
      <c r="FY263" s="221"/>
      <c r="FZ263" s="221"/>
      <c r="GA263" s="221"/>
      <c r="GB263" s="221"/>
      <c r="GC263" s="221"/>
      <c r="GD263" s="221"/>
      <c r="GE263" s="221"/>
      <c r="GF263" s="221"/>
      <c r="GG263" s="221"/>
      <c r="GH263" s="221"/>
      <c r="GI263" s="221"/>
      <c r="GJ263" s="221"/>
      <c r="GK263" s="221"/>
      <c r="GL263" s="221"/>
      <c r="GM263" s="221"/>
      <c r="GN263" s="221"/>
      <c r="GO263" s="221"/>
      <c r="GP263" s="221"/>
      <c r="GQ263" s="221"/>
      <c r="GR263" s="221"/>
      <c r="GS263" s="221"/>
      <c r="GT263" s="221"/>
      <c r="GU263" s="221"/>
      <c r="GV263" s="221"/>
      <c r="GW263" s="221"/>
      <c r="GX263" s="221"/>
      <c r="GY263" s="221"/>
      <c r="GZ263" s="221"/>
      <c r="HA263" s="221"/>
      <c r="HB263" s="221"/>
      <c r="HC263" s="221"/>
      <c r="HD263" s="221"/>
      <c r="HE263" s="221"/>
      <c r="HF263" s="221"/>
      <c r="HG263" s="221"/>
      <c r="HH263" s="221"/>
      <c r="HI263" s="221"/>
      <c r="HJ263" s="221"/>
      <c r="HK263" s="221"/>
      <c r="HL263" s="221"/>
      <c r="HM263" s="221"/>
      <c r="HN263" s="221"/>
      <c r="HO263" s="221"/>
      <c r="HP263" s="221"/>
      <c r="HQ263" s="221"/>
      <c r="HR263" s="221"/>
      <c r="HS263" s="221"/>
      <c r="HT263" s="221"/>
      <c r="HU263" s="221"/>
      <c r="HV263" s="221"/>
      <c r="HW263" s="221"/>
      <c r="HX263" s="221"/>
      <c r="HY263" s="221"/>
      <c r="HZ263" s="221"/>
      <c r="IA263" s="221"/>
      <c r="IB263" s="221"/>
      <c r="IC263" s="221"/>
      <c r="ID263" s="221"/>
      <c r="IE263" s="221"/>
      <c r="IF263" s="221"/>
      <c r="IG263" s="221"/>
      <c r="IH263" s="221"/>
      <c r="II263" s="221"/>
      <c r="IJ263" s="221"/>
      <c r="IK263" s="221"/>
      <c r="IL263" s="221"/>
      <c r="IM263" s="221"/>
      <c r="IN263" s="221"/>
      <c r="IO263" s="221"/>
      <c r="IP263" s="221"/>
      <c r="IQ263" s="221"/>
      <c r="IR263" s="221"/>
      <c r="IS263" s="221"/>
      <c r="IT263" s="221"/>
      <c r="IU263" s="221"/>
      <c r="IV263" s="221"/>
      <c r="IW263" s="221"/>
      <c r="IX263" s="221"/>
      <c r="IY263" s="221"/>
      <c r="IZ263" s="221"/>
      <c r="JA263" s="221"/>
      <c r="JB263" s="221"/>
      <c r="JC263" s="221"/>
      <c r="JD263" s="221"/>
      <c r="JE263" s="221"/>
      <c r="JF263" s="221"/>
      <c r="JG263" s="221"/>
      <c r="JH263" s="221"/>
      <c r="JI263" s="221"/>
      <c r="JJ263" s="221"/>
      <c r="JK263" s="221"/>
      <c r="JL263" s="221"/>
      <c r="JM263" s="221"/>
      <c r="JN263" s="221"/>
      <c r="JO263" s="221"/>
      <c r="JP263" s="221"/>
      <c r="JQ263" s="221"/>
    </row>
    <row r="264" spans="1:277" ht="20" customHeight="1" outlineLevel="1">
      <c r="A264" s="482">
        <v>1906013</v>
      </c>
      <c r="B264" s="439">
        <v>42161</v>
      </c>
      <c r="C264" s="514" t="s">
        <v>72</v>
      </c>
      <c r="D264" s="514" t="s">
        <v>1259</v>
      </c>
      <c r="E264" s="539" t="s">
        <v>79</v>
      </c>
      <c r="F264" s="531" t="s">
        <v>47</v>
      </c>
      <c r="G264" s="514" t="s">
        <v>2021</v>
      </c>
      <c r="H264" s="611">
        <v>42167</v>
      </c>
      <c r="I264" s="443" t="s">
        <v>155</v>
      </c>
      <c r="J264" s="514" t="s">
        <v>62</v>
      </c>
      <c r="K264" s="514" t="s">
        <v>118</v>
      </c>
      <c r="L264" s="448"/>
      <c r="M264" s="448"/>
      <c r="N264" s="448" t="s">
        <v>1134</v>
      </c>
      <c r="O264" s="448" t="s">
        <v>81</v>
      </c>
      <c r="P264" s="516"/>
      <c r="Q264" s="629"/>
      <c r="R264" s="589">
        <v>0</v>
      </c>
      <c r="S264" s="590">
        <v>0</v>
      </c>
      <c r="T264" s="604">
        <v>0</v>
      </c>
      <c r="U264" s="596">
        <v>0</v>
      </c>
      <c r="V264" s="590">
        <v>0</v>
      </c>
      <c r="W264" s="604">
        <v>0</v>
      </c>
      <c r="X264" s="596">
        <v>0</v>
      </c>
      <c r="Y264" s="590">
        <v>0</v>
      </c>
      <c r="Z264" s="604">
        <v>0</v>
      </c>
      <c r="AA264" s="596">
        <v>0</v>
      </c>
      <c r="AB264" s="590">
        <v>0</v>
      </c>
      <c r="AC264" s="604">
        <v>0</v>
      </c>
      <c r="AD264" s="596">
        <v>0</v>
      </c>
      <c r="AE264" s="596">
        <v>0</v>
      </c>
      <c r="AF264" s="596">
        <v>0</v>
      </c>
      <c r="AG264" s="590">
        <v>2</v>
      </c>
      <c r="AH264" s="604">
        <v>0</v>
      </c>
      <c r="AI264" s="610">
        <v>0</v>
      </c>
      <c r="AJ264" s="610">
        <v>0</v>
      </c>
      <c r="AK264" s="629"/>
      <c r="AL264" s="531"/>
      <c r="AM264" s="448"/>
      <c r="AN264" s="612"/>
      <c r="AO264" s="444"/>
      <c r="AP264" s="37"/>
      <c r="AQ264" s="795">
        <f t="shared" si="29"/>
        <v>0</v>
      </c>
      <c r="AR264" s="835" t="e">
        <f t="shared" si="21"/>
        <v>#DIV/0!</v>
      </c>
      <c r="AS264" s="821"/>
      <c r="AT264" s="448"/>
      <c r="AU264" s="448"/>
      <c r="AV264" s="448"/>
      <c r="AW264" s="448"/>
      <c r="AX264" s="612"/>
      <c r="AY264" s="448"/>
      <c r="AZ264" s="612"/>
      <c r="BA264" s="256" t="s">
        <v>47</v>
      </c>
      <c r="BB264" s="41">
        <v>0</v>
      </c>
      <c r="BC264" s="448"/>
      <c r="BD264" s="448"/>
      <c r="BE264" s="448"/>
      <c r="BF264" s="448"/>
      <c r="BG264" s="448"/>
      <c r="BH264" s="221"/>
      <c r="BI264" s="221"/>
      <c r="BJ264" s="221"/>
      <c r="BK264" s="221"/>
      <c r="BL264" s="221"/>
      <c r="BM264" s="221"/>
      <c r="BN264" s="221"/>
      <c r="BO264" s="221"/>
      <c r="BP264" s="221"/>
      <c r="BQ264" s="221"/>
      <c r="BR264" s="221"/>
      <c r="BS264" s="221"/>
      <c r="BT264" s="221"/>
      <c r="BU264" s="221"/>
      <c r="BV264" s="221"/>
      <c r="BW264" s="221"/>
      <c r="BX264" s="221"/>
      <c r="BY264" s="221"/>
      <c r="BZ264" s="221"/>
      <c r="CA264" s="221"/>
      <c r="CB264" s="221"/>
      <c r="CC264" s="221"/>
      <c r="CD264" s="221"/>
      <c r="CE264" s="221"/>
      <c r="CF264" s="221"/>
      <c r="CG264" s="221"/>
      <c r="CH264" s="221"/>
      <c r="CI264" s="221"/>
      <c r="CJ264" s="221"/>
      <c r="CK264" s="221"/>
      <c r="CL264" s="221"/>
      <c r="CM264" s="221"/>
      <c r="CN264" s="221"/>
      <c r="CO264" s="221"/>
      <c r="CP264" s="221"/>
      <c r="CQ264" s="221"/>
      <c r="CR264" s="221"/>
      <c r="CS264" s="221"/>
      <c r="CT264" s="221"/>
      <c r="CU264" s="221"/>
      <c r="CV264" s="221"/>
      <c r="CW264" s="221"/>
      <c r="CX264" s="221"/>
      <c r="CY264" s="221"/>
      <c r="CZ264" s="221"/>
      <c r="DA264" s="221"/>
      <c r="DB264" s="221"/>
      <c r="DC264" s="221"/>
      <c r="DD264" s="221"/>
      <c r="DE264" s="221"/>
      <c r="DF264" s="221"/>
      <c r="DG264" s="221"/>
      <c r="DH264" s="221"/>
      <c r="DI264" s="221"/>
      <c r="DJ264" s="221"/>
      <c r="DK264" s="221"/>
      <c r="DL264" s="221"/>
      <c r="DM264" s="221"/>
      <c r="DN264" s="221"/>
      <c r="DO264" s="221"/>
      <c r="DP264" s="221"/>
      <c r="DQ264" s="221"/>
      <c r="DR264" s="221"/>
      <c r="DS264" s="221"/>
      <c r="DT264" s="221"/>
      <c r="DU264" s="221"/>
      <c r="DV264" s="221"/>
      <c r="DW264" s="221"/>
      <c r="DX264" s="221"/>
      <c r="DY264" s="221"/>
      <c r="DZ264" s="221"/>
      <c r="EA264" s="221"/>
      <c r="EB264" s="221"/>
      <c r="EC264" s="221"/>
      <c r="ED264" s="221"/>
      <c r="EE264" s="221"/>
      <c r="EF264" s="221"/>
      <c r="EG264" s="221"/>
      <c r="EH264" s="221"/>
      <c r="EI264" s="221"/>
      <c r="EJ264" s="221"/>
      <c r="EK264" s="221"/>
      <c r="EL264" s="221"/>
      <c r="EM264" s="221"/>
      <c r="EN264" s="221"/>
      <c r="EO264" s="221"/>
      <c r="EP264" s="221"/>
      <c r="EQ264" s="221"/>
      <c r="ER264" s="221"/>
      <c r="ES264" s="221"/>
      <c r="ET264" s="221"/>
      <c r="EU264" s="221"/>
      <c r="EV264" s="221"/>
      <c r="EW264" s="221"/>
      <c r="EX264" s="221"/>
      <c r="EY264" s="221"/>
      <c r="EZ264" s="221"/>
      <c r="FA264" s="221"/>
      <c r="FB264" s="221"/>
      <c r="FC264" s="221"/>
      <c r="FD264" s="221"/>
      <c r="FE264" s="221"/>
      <c r="FF264" s="221"/>
      <c r="FG264" s="221"/>
      <c r="FH264" s="221"/>
      <c r="FI264" s="221"/>
      <c r="FJ264" s="221"/>
      <c r="FK264" s="221"/>
      <c r="FL264" s="221"/>
      <c r="FM264" s="221"/>
      <c r="FN264" s="221"/>
      <c r="FO264" s="221"/>
      <c r="FP264" s="221"/>
      <c r="FQ264" s="221"/>
      <c r="FR264" s="221"/>
      <c r="FS264" s="221"/>
      <c r="FT264" s="221"/>
      <c r="FU264" s="221"/>
      <c r="FV264" s="221"/>
      <c r="FW264" s="221"/>
      <c r="FX264" s="221"/>
      <c r="FY264" s="221"/>
      <c r="FZ264" s="221"/>
      <c r="GA264" s="221"/>
      <c r="GB264" s="221"/>
      <c r="GC264" s="221"/>
      <c r="GD264" s="221"/>
      <c r="GE264" s="221"/>
      <c r="GF264" s="221"/>
      <c r="GG264" s="221"/>
      <c r="GH264" s="221"/>
      <c r="GI264" s="221"/>
      <c r="GJ264" s="221"/>
      <c r="GK264" s="221"/>
      <c r="GL264" s="221"/>
      <c r="GM264" s="221"/>
      <c r="GN264" s="221"/>
      <c r="GO264" s="221"/>
      <c r="GP264" s="221"/>
      <c r="GQ264" s="221"/>
      <c r="GR264" s="221"/>
      <c r="GS264" s="221"/>
      <c r="GT264" s="221"/>
      <c r="GU264" s="221"/>
      <c r="GV264" s="221"/>
      <c r="GW264" s="221"/>
      <c r="GX264" s="221"/>
      <c r="GY264" s="221"/>
      <c r="GZ264" s="221"/>
      <c r="HA264" s="221"/>
      <c r="HB264" s="221"/>
      <c r="HC264" s="221"/>
      <c r="HD264" s="221"/>
      <c r="HE264" s="221"/>
      <c r="HF264" s="221"/>
      <c r="HG264" s="221"/>
      <c r="HH264" s="221"/>
      <c r="HI264" s="221"/>
      <c r="HJ264" s="221"/>
      <c r="HK264" s="221"/>
      <c r="HL264" s="221"/>
      <c r="HM264" s="221"/>
      <c r="HN264" s="221"/>
      <c r="HO264" s="221"/>
      <c r="HP264" s="221"/>
      <c r="HQ264" s="221"/>
      <c r="HR264" s="221"/>
      <c r="HS264" s="221"/>
      <c r="HT264" s="221"/>
      <c r="HU264" s="221"/>
      <c r="HV264" s="221"/>
      <c r="HW264" s="221"/>
      <c r="HX264" s="221"/>
      <c r="HY264" s="221"/>
      <c r="HZ264" s="221"/>
      <c r="IA264" s="221"/>
      <c r="IB264" s="221"/>
      <c r="IC264" s="221"/>
      <c r="ID264" s="221"/>
      <c r="IE264" s="221"/>
      <c r="IF264" s="221"/>
      <c r="IG264" s="221"/>
      <c r="IH264" s="221"/>
      <c r="II264" s="221"/>
      <c r="IJ264" s="221"/>
      <c r="IK264" s="221"/>
      <c r="IL264" s="221"/>
      <c r="IM264" s="221"/>
      <c r="IN264" s="221"/>
      <c r="IO264" s="221"/>
      <c r="IP264" s="221"/>
      <c r="IQ264" s="221"/>
      <c r="IR264" s="221"/>
      <c r="IS264" s="221"/>
      <c r="IT264" s="221"/>
      <c r="IU264" s="221"/>
      <c r="IV264" s="221"/>
      <c r="IW264" s="221"/>
      <c r="IX264" s="221"/>
      <c r="IY264" s="221"/>
      <c r="IZ264" s="221"/>
      <c r="JA264" s="221"/>
      <c r="JB264" s="221"/>
      <c r="JC264" s="221"/>
      <c r="JD264" s="221"/>
      <c r="JE264" s="221"/>
      <c r="JF264" s="221"/>
      <c r="JG264" s="221"/>
      <c r="JH264" s="221"/>
      <c r="JI264" s="221"/>
      <c r="JJ264" s="221"/>
      <c r="JK264" s="221"/>
      <c r="JL264" s="221"/>
      <c r="JM264" s="221"/>
      <c r="JN264" s="221"/>
      <c r="JO264" s="221"/>
      <c r="JP264" s="221"/>
      <c r="JQ264" s="221"/>
    </row>
    <row r="265" spans="1:277" ht="20" customHeight="1" outlineLevel="1">
      <c r="A265" s="482">
        <v>1906014</v>
      </c>
      <c r="B265" s="439">
        <v>42161</v>
      </c>
      <c r="C265" s="448"/>
      <c r="D265" s="448" t="s">
        <v>2022</v>
      </c>
      <c r="E265" s="538" t="s">
        <v>154</v>
      </c>
      <c r="F265" s="530" t="s">
        <v>47</v>
      </c>
      <c r="G265" s="448" t="s">
        <v>2024</v>
      </c>
      <c r="H265" s="448"/>
      <c r="I265" s="443" t="s">
        <v>155</v>
      </c>
      <c r="J265" s="514" t="s">
        <v>62</v>
      </c>
      <c r="K265" s="448" t="s">
        <v>118</v>
      </c>
      <c r="L265" s="448"/>
      <c r="M265" s="448"/>
      <c r="N265" s="514" t="s">
        <v>2032</v>
      </c>
      <c r="O265" s="514" t="s">
        <v>1870</v>
      </c>
      <c r="P265" s="516"/>
      <c r="Q265" s="629"/>
      <c r="R265" s="589">
        <v>0</v>
      </c>
      <c r="S265" s="590">
        <v>0</v>
      </c>
      <c r="T265" s="604">
        <v>0</v>
      </c>
      <c r="U265" s="596">
        <v>1</v>
      </c>
      <c r="V265" s="590">
        <v>0</v>
      </c>
      <c r="W265" s="604">
        <v>0</v>
      </c>
      <c r="X265" s="596">
        <v>0</v>
      </c>
      <c r="Y265" s="590">
        <v>0</v>
      </c>
      <c r="Z265" s="604">
        <v>0</v>
      </c>
      <c r="AA265" s="596">
        <v>1</v>
      </c>
      <c r="AB265" s="590">
        <v>0</v>
      </c>
      <c r="AC265" s="604">
        <v>0</v>
      </c>
      <c r="AD265" s="596">
        <v>0</v>
      </c>
      <c r="AE265" s="596">
        <v>0</v>
      </c>
      <c r="AF265" s="596">
        <v>0</v>
      </c>
      <c r="AG265" s="590">
        <v>0</v>
      </c>
      <c r="AH265" s="604">
        <v>0</v>
      </c>
      <c r="AI265" s="610">
        <v>0</v>
      </c>
      <c r="AJ265" s="610">
        <v>0</v>
      </c>
      <c r="AK265" s="629"/>
      <c r="AL265" s="530"/>
      <c r="AM265" s="448"/>
      <c r="AN265" s="612"/>
      <c r="AO265" s="444"/>
      <c r="AP265" s="37"/>
      <c r="AQ265" s="795">
        <f t="shared" si="29"/>
        <v>0</v>
      </c>
      <c r="AR265" s="835" t="e">
        <f t="shared" si="21"/>
        <v>#DIV/0!</v>
      </c>
      <c r="AS265" s="821"/>
      <c r="AT265" s="448"/>
      <c r="AU265" s="448"/>
      <c r="AV265" s="448"/>
      <c r="AW265" s="448"/>
      <c r="AX265" s="612"/>
      <c r="AY265" s="448"/>
      <c r="AZ265" s="612"/>
      <c r="BA265" s="256" t="s">
        <v>47</v>
      </c>
      <c r="BB265" s="41">
        <v>0</v>
      </c>
      <c r="BC265" s="448"/>
      <c r="BD265" s="448"/>
      <c r="BE265" s="448"/>
      <c r="BF265" s="448"/>
      <c r="BG265" s="448"/>
      <c r="BH265" s="221"/>
      <c r="BI265" s="221"/>
      <c r="BJ265" s="221"/>
      <c r="BK265" s="221"/>
      <c r="BL265" s="221"/>
      <c r="BM265" s="221"/>
      <c r="BN265" s="221"/>
      <c r="BO265" s="221"/>
      <c r="BP265" s="221"/>
      <c r="BQ265" s="221"/>
      <c r="BR265" s="221"/>
      <c r="BS265" s="221"/>
      <c r="BT265" s="221"/>
      <c r="BU265" s="221"/>
      <c r="BV265" s="221"/>
      <c r="BW265" s="221"/>
      <c r="BX265" s="221"/>
      <c r="BY265" s="221"/>
      <c r="BZ265" s="221"/>
      <c r="CA265" s="221"/>
      <c r="CB265" s="221"/>
      <c r="CC265" s="221"/>
      <c r="CD265" s="221"/>
      <c r="CE265" s="221"/>
      <c r="CF265" s="221"/>
      <c r="CG265" s="221"/>
      <c r="CH265" s="221"/>
      <c r="CI265" s="221"/>
      <c r="CJ265" s="221"/>
      <c r="CK265" s="221"/>
      <c r="CL265" s="221"/>
      <c r="CM265" s="221"/>
      <c r="CN265" s="221"/>
      <c r="CO265" s="221"/>
      <c r="CP265" s="221"/>
      <c r="CQ265" s="221"/>
      <c r="CR265" s="221"/>
      <c r="CS265" s="221"/>
      <c r="CT265" s="221"/>
      <c r="CU265" s="221"/>
      <c r="CV265" s="221"/>
      <c r="CW265" s="221"/>
      <c r="CX265" s="221"/>
      <c r="CY265" s="221"/>
      <c r="CZ265" s="221"/>
      <c r="DA265" s="221"/>
      <c r="DB265" s="221"/>
      <c r="DC265" s="221"/>
      <c r="DD265" s="221"/>
      <c r="DE265" s="221"/>
      <c r="DF265" s="221"/>
      <c r="DG265" s="221"/>
      <c r="DH265" s="221"/>
      <c r="DI265" s="221"/>
      <c r="DJ265" s="221"/>
      <c r="DK265" s="221"/>
      <c r="DL265" s="221"/>
      <c r="DM265" s="221"/>
      <c r="DN265" s="221"/>
      <c r="DO265" s="221"/>
      <c r="DP265" s="221"/>
      <c r="DQ265" s="221"/>
      <c r="DR265" s="221"/>
      <c r="DS265" s="221"/>
      <c r="DT265" s="221"/>
      <c r="DU265" s="221"/>
      <c r="DV265" s="221"/>
      <c r="DW265" s="221"/>
      <c r="DX265" s="221"/>
      <c r="DY265" s="221"/>
      <c r="DZ265" s="221"/>
      <c r="EA265" s="221"/>
      <c r="EB265" s="221"/>
      <c r="EC265" s="221"/>
      <c r="ED265" s="221"/>
      <c r="EE265" s="221"/>
      <c r="EF265" s="221"/>
      <c r="EG265" s="221"/>
      <c r="EH265" s="221"/>
      <c r="EI265" s="221"/>
      <c r="EJ265" s="221"/>
      <c r="EK265" s="221"/>
      <c r="EL265" s="221"/>
      <c r="EM265" s="221"/>
      <c r="EN265" s="221"/>
      <c r="EO265" s="221"/>
      <c r="EP265" s="221"/>
      <c r="EQ265" s="221"/>
      <c r="ER265" s="221"/>
      <c r="ES265" s="221"/>
      <c r="ET265" s="221"/>
      <c r="EU265" s="221"/>
      <c r="EV265" s="221"/>
      <c r="EW265" s="221"/>
      <c r="EX265" s="221"/>
      <c r="EY265" s="221"/>
      <c r="EZ265" s="221"/>
      <c r="FA265" s="221"/>
      <c r="FB265" s="221"/>
      <c r="FC265" s="221"/>
      <c r="FD265" s="221"/>
      <c r="FE265" s="221"/>
      <c r="FF265" s="221"/>
      <c r="FG265" s="221"/>
      <c r="FH265" s="221"/>
      <c r="FI265" s="221"/>
      <c r="FJ265" s="221"/>
      <c r="FK265" s="221"/>
      <c r="FL265" s="221"/>
      <c r="FM265" s="221"/>
      <c r="FN265" s="221"/>
      <c r="FO265" s="221"/>
      <c r="FP265" s="221"/>
      <c r="FQ265" s="221"/>
      <c r="FR265" s="221"/>
      <c r="FS265" s="221"/>
      <c r="FT265" s="221"/>
      <c r="FU265" s="221"/>
      <c r="FV265" s="221"/>
      <c r="FW265" s="221"/>
      <c r="FX265" s="221"/>
      <c r="FY265" s="221"/>
      <c r="FZ265" s="221"/>
      <c r="GA265" s="221"/>
      <c r="GB265" s="221"/>
      <c r="GC265" s="221"/>
      <c r="GD265" s="221"/>
      <c r="GE265" s="221"/>
      <c r="GF265" s="221"/>
      <c r="GG265" s="221"/>
      <c r="GH265" s="221"/>
      <c r="GI265" s="221"/>
      <c r="GJ265" s="221"/>
      <c r="GK265" s="221"/>
      <c r="GL265" s="221"/>
      <c r="GM265" s="221"/>
      <c r="GN265" s="221"/>
      <c r="GO265" s="221"/>
      <c r="GP265" s="221"/>
      <c r="GQ265" s="221"/>
      <c r="GR265" s="221"/>
      <c r="GS265" s="221"/>
      <c r="GT265" s="221"/>
      <c r="GU265" s="221"/>
      <c r="GV265" s="221"/>
      <c r="GW265" s="221"/>
      <c r="GX265" s="221"/>
      <c r="GY265" s="221"/>
      <c r="GZ265" s="221"/>
      <c r="HA265" s="221"/>
      <c r="HB265" s="221"/>
      <c r="HC265" s="221"/>
      <c r="HD265" s="221"/>
      <c r="HE265" s="221"/>
      <c r="HF265" s="221"/>
      <c r="HG265" s="221"/>
      <c r="HH265" s="221"/>
      <c r="HI265" s="221"/>
      <c r="HJ265" s="221"/>
      <c r="HK265" s="221"/>
      <c r="HL265" s="221"/>
      <c r="HM265" s="221"/>
      <c r="HN265" s="221"/>
      <c r="HO265" s="221"/>
      <c r="HP265" s="221"/>
      <c r="HQ265" s="221"/>
      <c r="HR265" s="221"/>
      <c r="HS265" s="221"/>
      <c r="HT265" s="221"/>
      <c r="HU265" s="221"/>
      <c r="HV265" s="221"/>
      <c r="HW265" s="221"/>
      <c r="HX265" s="221"/>
      <c r="HY265" s="221"/>
      <c r="HZ265" s="221"/>
      <c r="IA265" s="221"/>
      <c r="IB265" s="221"/>
      <c r="IC265" s="221"/>
      <c r="ID265" s="221"/>
      <c r="IE265" s="221"/>
      <c r="IF265" s="221"/>
      <c r="IG265" s="221"/>
      <c r="IH265" s="221"/>
      <c r="II265" s="221"/>
      <c r="IJ265" s="221"/>
      <c r="IK265" s="221"/>
      <c r="IL265" s="221"/>
      <c r="IM265" s="221"/>
      <c r="IN265" s="221"/>
      <c r="IO265" s="221"/>
      <c r="IP265" s="221"/>
      <c r="IQ265" s="221"/>
      <c r="IR265" s="221"/>
      <c r="IS265" s="221"/>
      <c r="IT265" s="221"/>
      <c r="IU265" s="221"/>
      <c r="IV265" s="221"/>
      <c r="IW265" s="221"/>
      <c r="IX265" s="221"/>
      <c r="IY265" s="221"/>
      <c r="IZ265" s="221"/>
      <c r="JA265" s="221"/>
      <c r="JB265" s="221"/>
      <c r="JC265" s="221"/>
      <c r="JD265" s="221"/>
      <c r="JE265" s="221"/>
      <c r="JF265" s="221"/>
      <c r="JG265" s="221"/>
      <c r="JH265" s="221"/>
      <c r="JI265" s="221"/>
      <c r="JJ265" s="221"/>
      <c r="JK265" s="221"/>
      <c r="JL265" s="221"/>
      <c r="JM265" s="221"/>
      <c r="JN265" s="221"/>
      <c r="JO265" s="221"/>
      <c r="JP265" s="221"/>
      <c r="JQ265" s="221"/>
    </row>
    <row r="266" spans="1:277" ht="20" customHeight="1" outlineLevel="1">
      <c r="A266" s="482">
        <v>190615</v>
      </c>
      <c r="B266" s="439">
        <v>42161</v>
      </c>
      <c r="C266" s="448" t="s">
        <v>44</v>
      </c>
      <c r="D266" s="448" t="s">
        <v>2022</v>
      </c>
      <c r="E266" s="538" t="s">
        <v>500</v>
      </c>
      <c r="F266" s="530"/>
      <c r="G266" s="448" t="s">
        <v>2023</v>
      </c>
      <c r="H266" s="448"/>
      <c r="I266" s="443" t="s">
        <v>155</v>
      </c>
      <c r="J266" s="838" t="s">
        <v>62</v>
      </c>
      <c r="K266" s="448" t="s">
        <v>118</v>
      </c>
      <c r="L266" s="448">
        <v>192336</v>
      </c>
      <c r="M266" s="439">
        <v>42161</v>
      </c>
      <c r="N266" s="448" t="s">
        <v>2001</v>
      </c>
      <c r="O266" s="514" t="s">
        <v>2002</v>
      </c>
      <c r="P266" s="516"/>
      <c r="Q266" s="629"/>
      <c r="R266" s="589">
        <v>0</v>
      </c>
      <c r="S266" s="590">
        <v>0</v>
      </c>
      <c r="T266" s="604">
        <v>0</v>
      </c>
      <c r="U266" s="596">
        <v>0</v>
      </c>
      <c r="V266" s="590">
        <v>0</v>
      </c>
      <c r="W266" s="604">
        <v>0</v>
      </c>
      <c r="X266" s="596">
        <v>0</v>
      </c>
      <c r="Y266" s="590">
        <v>0</v>
      </c>
      <c r="Z266" s="604">
        <v>0</v>
      </c>
      <c r="AA266" s="596">
        <v>0</v>
      </c>
      <c r="AB266" s="590">
        <v>0</v>
      </c>
      <c r="AC266" s="604">
        <v>0</v>
      </c>
      <c r="AD266" s="596">
        <v>0</v>
      </c>
      <c r="AE266" s="596">
        <v>6</v>
      </c>
      <c r="AF266" s="596">
        <v>0</v>
      </c>
      <c r="AG266" s="590">
        <v>0</v>
      </c>
      <c r="AH266" s="604">
        <v>0</v>
      </c>
      <c r="AI266" s="610">
        <v>0</v>
      </c>
      <c r="AJ266" s="610">
        <v>0</v>
      </c>
      <c r="AK266" s="629"/>
      <c r="AL266" s="531" t="s">
        <v>2031</v>
      </c>
      <c r="AM266" s="448">
        <v>191424</v>
      </c>
      <c r="AN266" s="612">
        <v>78</v>
      </c>
      <c r="AO266" s="440" t="s">
        <v>2030</v>
      </c>
      <c r="AP266" s="37">
        <v>144</v>
      </c>
      <c r="AQ266" s="795">
        <f t="shared" si="29"/>
        <v>66</v>
      </c>
      <c r="AR266" s="835">
        <f t="shared" si="21"/>
        <v>0.45833333333333331</v>
      </c>
      <c r="AS266" s="821"/>
      <c r="AT266" s="448"/>
      <c r="AU266" s="448"/>
      <c r="AV266" s="448"/>
      <c r="AW266" s="448"/>
      <c r="AX266" s="612"/>
      <c r="AY266" s="448"/>
      <c r="AZ266" s="612"/>
      <c r="BA266" s="256" t="s">
        <v>47</v>
      </c>
      <c r="BB266" s="41">
        <v>0</v>
      </c>
      <c r="BC266" s="448"/>
      <c r="BD266" s="448"/>
      <c r="BE266" s="448"/>
      <c r="BF266" s="448"/>
      <c r="BG266" s="448"/>
      <c r="BH266" s="221"/>
      <c r="BI266" s="221"/>
      <c r="BJ266" s="221"/>
      <c r="BK266" s="221"/>
      <c r="BL266" s="221"/>
      <c r="BM266" s="221"/>
      <c r="BN266" s="221"/>
      <c r="BO266" s="221"/>
      <c r="BP266" s="221"/>
      <c r="BQ266" s="221"/>
      <c r="BR266" s="221"/>
      <c r="BS266" s="221"/>
      <c r="BT266" s="221"/>
      <c r="BU266" s="221"/>
      <c r="BV266" s="221"/>
      <c r="BW266" s="221"/>
      <c r="BX266" s="221"/>
      <c r="BY266" s="221"/>
      <c r="BZ266" s="221"/>
      <c r="CA266" s="221"/>
      <c r="CB266" s="221"/>
      <c r="CC266" s="221"/>
      <c r="CD266" s="221"/>
      <c r="CE266" s="221"/>
      <c r="CF266" s="221"/>
      <c r="CG266" s="221"/>
      <c r="CH266" s="221"/>
      <c r="CI266" s="221"/>
      <c r="CJ266" s="221"/>
      <c r="CK266" s="221"/>
      <c r="CL266" s="221"/>
      <c r="CM266" s="221"/>
      <c r="CN266" s="221"/>
      <c r="CO266" s="221"/>
      <c r="CP266" s="221"/>
      <c r="CQ266" s="221"/>
      <c r="CR266" s="221"/>
      <c r="CS266" s="221"/>
      <c r="CT266" s="221"/>
      <c r="CU266" s="221"/>
      <c r="CV266" s="221"/>
      <c r="CW266" s="221"/>
      <c r="CX266" s="221"/>
      <c r="CY266" s="221"/>
      <c r="CZ266" s="221"/>
      <c r="DA266" s="221"/>
      <c r="DB266" s="221"/>
      <c r="DC266" s="221"/>
      <c r="DD266" s="221"/>
      <c r="DE266" s="221"/>
      <c r="DF266" s="221"/>
      <c r="DG266" s="221"/>
      <c r="DH266" s="221"/>
      <c r="DI266" s="221"/>
      <c r="DJ266" s="221"/>
      <c r="DK266" s="221"/>
      <c r="DL266" s="221"/>
      <c r="DM266" s="221"/>
      <c r="DN266" s="221"/>
      <c r="DO266" s="221"/>
      <c r="DP266" s="221"/>
      <c r="DQ266" s="221"/>
      <c r="DR266" s="221"/>
      <c r="DS266" s="221"/>
      <c r="DT266" s="221"/>
      <c r="DU266" s="221"/>
      <c r="DV266" s="221"/>
      <c r="DW266" s="221"/>
      <c r="DX266" s="221"/>
      <c r="DY266" s="221"/>
      <c r="DZ266" s="221"/>
      <c r="EA266" s="221"/>
      <c r="EB266" s="221"/>
      <c r="EC266" s="221"/>
      <c r="ED266" s="221"/>
      <c r="EE266" s="221"/>
      <c r="EF266" s="221"/>
      <c r="EG266" s="221"/>
      <c r="EH266" s="221"/>
      <c r="EI266" s="221"/>
      <c r="EJ266" s="221"/>
      <c r="EK266" s="221"/>
      <c r="EL266" s="221"/>
      <c r="EM266" s="221"/>
      <c r="EN266" s="221"/>
      <c r="EO266" s="221"/>
      <c r="EP266" s="221"/>
      <c r="EQ266" s="221"/>
      <c r="ER266" s="221"/>
      <c r="ES266" s="221"/>
      <c r="ET266" s="221"/>
      <c r="EU266" s="221"/>
      <c r="EV266" s="221"/>
      <c r="EW266" s="221"/>
      <c r="EX266" s="221"/>
      <c r="EY266" s="221"/>
      <c r="EZ266" s="221"/>
      <c r="FA266" s="221"/>
      <c r="FB266" s="221"/>
      <c r="FC266" s="221"/>
      <c r="FD266" s="221"/>
      <c r="FE266" s="221"/>
      <c r="FF266" s="221"/>
      <c r="FG266" s="221"/>
      <c r="FH266" s="221"/>
      <c r="FI266" s="221"/>
      <c r="FJ266" s="221"/>
      <c r="FK266" s="221"/>
      <c r="FL266" s="221"/>
      <c r="FM266" s="221"/>
      <c r="FN266" s="221"/>
      <c r="FO266" s="221"/>
      <c r="FP266" s="221"/>
      <c r="FQ266" s="221"/>
      <c r="FR266" s="221"/>
      <c r="FS266" s="221"/>
      <c r="FT266" s="221"/>
      <c r="FU266" s="221"/>
      <c r="FV266" s="221"/>
      <c r="FW266" s="221"/>
      <c r="FX266" s="221"/>
      <c r="FY266" s="221"/>
      <c r="FZ266" s="221"/>
      <c r="GA266" s="221"/>
      <c r="GB266" s="221"/>
      <c r="GC266" s="221"/>
      <c r="GD266" s="221"/>
      <c r="GE266" s="221"/>
      <c r="GF266" s="221"/>
      <c r="GG266" s="221"/>
      <c r="GH266" s="221"/>
      <c r="GI266" s="221"/>
      <c r="GJ266" s="221"/>
      <c r="GK266" s="221"/>
      <c r="GL266" s="221"/>
      <c r="GM266" s="221"/>
      <c r="GN266" s="221"/>
      <c r="GO266" s="221"/>
      <c r="GP266" s="221"/>
      <c r="GQ266" s="221"/>
      <c r="GR266" s="221"/>
      <c r="GS266" s="221"/>
      <c r="GT266" s="221"/>
      <c r="GU266" s="221"/>
      <c r="GV266" s="221"/>
      <c r="GW266" s="221"/>
      <c r="GX266" s="221"/>
      <c r="GY266" s="221"/>
      <c r="GZ266" s="221"/>
      <c r="HA266" s="221"/>
      <c r="HB266" s="221"/>
      <c r="HC266" s="221"/>
      <c r="HD266" s="221"/>
      <c r="HE266" s="221"/>
      <c r="HF266" s="221"/>
      <c r="HG266" s="221"/>
      <c r="HH266" s="221"/>
      <c r="HI266" s="221"/>
      <c r="HJ266" s="221"/>
      <c r="HK266" s="221"/>
      <c r="HL266" s="221"/>
      <c r="HM266" s="221"/>
      <c r="HN266" s="221"/>
      <c r="HO266" s="221"/>
      <c r="HP266" s="221"/>
      <c r="HQ266" s="221"/>
      <c r="HR266" s="221"/>
      <c r="HS266" s="221"/>
      <c r="HT266" s="221"/>
      <c r="HU266" s="221"/>
      <c r="HV266" s="221"/>
      <c r="HW266" s="221"/>
      <c r="HX266" s="221"/>
      <c r="HY266" s="221"/>
      <c r="HZ266" s="221"/>
      <c r="IA266" s="221"/>
      <c r="IB266" s="221"/>
      <c r="IC266" s="221"/>
      <c r="ID266" s="221"/>
      <c r="IE266" s="221"/>
      <c r="IF266" s="221"/>
      <c r="IG266" s="221"/>
      <c r="IH266" s="221"/>
      <c r="II266" s="221"/>
      <c r="IJ266" s="221"/>
      <c r="IK266" s="221"/>
      <c r="IL266" s="221"/>
      <c r="IM266" s="221"/>
      <c r="IN266" s="221"/>
      <c r="IO266" s="221"/>
      <c r="IP266" s="221"/>
      <c r="IQ266" s="221"/>
      <c r="IR266" s="221"/>
      <c r="IS266" s="221"/>
      <c r="IT266" s="221"/>
      <c r="IU266" s="221"/>
      <c r="IV266" s="221"/>
      <c r="IW266" s="221"/>
      <c r="IX266" s="221"/>
      <c r="IY266" s="221"/>
      <c r="IZ266" s="221"/>
      <c r="JA266" s="221"/>
      <c r="JB266" s="221"/>
      <c r="JC266" s="221"/>
      <c r="JD266" s="221"/>
      <c r="JE266" s="221"/>
      <c r="JF266" s="221"/>
      <c r="JG266" s="221"/>
      <c r="JH266" s="221"/>
      <c r="JI266" s="221"/>
      <c r="JJ266" s="221"/>
      <c r="JK266" s="221"/>
      <c r="JL266" s="221"/>
      <c r="JM266" s="221"/>
      <c r="JN266" s="221"/>
      <c r="JO266" s="221"/>
      <c r="JP266" s="221"/>
      <c r="JQ266" s="221"/>
    </row>
    <row r="267" spans="1:277" ht="20" customHeight="1" outlineLevel="1">
      <c r="A267" s="456">
        <v>190616</v>
      </c>
      <c r="B267" s="439">
        <v>42165</v>
      </c>
      <c r="C267" s="448" t="s">
        <v>67</v>
      </c>
      <c r="D267" s="448" t="s">
        <v>1238</v>
      </c>
      <c r="E267" s="538" t="s">
        <v>69</v>
      </c>
      <c r="F267" s="530" t="s">
        <v>47</v>
      </c>
      <c r="G267" s="448" t="s">
        <v>47</v>
      </c>
      <c r="H267" s="448" t="s">
        <v>47</v>
      </c>
      <c r="I267" s="443" t="s">
        <v>47</v>
      </c>
      <c r="J267" s="837" t="s">
        <v>62</v>
      </c>
      <c r="K267" s="448" t="s">
        <v>1861</v>
      </c>
      <c r="L267" s="448" t="s">
        <v>123</v>
      </c>
      <c r="M267" s="439">
        <v>42165</v>
      </c>
      <c r="N267" s="448" t="s">
        <v>2034</v>
      </c>
      <c r="O267" s="448" t="s">
        <v>2035</v>
      </c>
      <c r="P267" s="516" t="s">
        <v>92</v>
      </c>
      <c r="Q267" s="629"/>
      <c r="R267" s="589">
        <v>0</v>
      </c>
      <c r="S267" s="590">
        <v>0</v>
      </c>
      <c r="T267" s="604">
        <v>0</v>
      </c>
      <c r="U267" s="596">
        <v>0</v>
      </c>
      <c r="V267" s="590">
        <v>0</v>
      </c>
      <c r="W267" s="604">
        <v>0</v>
      </c>
      <c r="X267" s="596">
        <v>0</v>
      </c>
      <c r="Y267" s="590">
        <v>0</v>
      </c>
      <c r="Z267" s="604">
        <v>0</v>
      </c>
      <c r="AA267" s="596">
        <v>0</v>
      </c>
      <c r="AB267" s="590">
        <v>0</v>
      </c>
      <c r="AC267" s="604">
        <v>0</v>
      </c>
      <c r="AD267" s="596">
        <v>0</v>
      </c>
      <c r="AE267" s="596">
        <v>0</v>
      </c>
      <c r="AF267" s="596">
        <v>0</v>
      </c>
      <c r="AG267" s="590">
        <v>0</v>
      </c>
      <c r="AH267" s="604">
        <v>0</v>
      </c>
      <c r="AI267" s="610">
        <v>0</v>
      </c>
      <c r="AJ267" s="610">
        <v>1</v>
      </c>
      <c r="AK267" s="629"/>
      <c r="AL267" s="530"/>
      <c r="AM267" s="448" t="s">
        <v>92</v>
      </c>
      <c r="AN267" s="612">
        <v>0.11</v>
      </c>
      <c r="AO267" s="444" t="s">
        <v>47</v>
      </c>
      <c r="AP267" s="37">
        <v>0</v>
      </c>
      <c r="AQ267" s="795">
        <f t="shared" si="29"/>
        <v>-0.11</v>
      </c>
      <c r="AR267" s="835" t="e">
        <f t="shared" si="21"/>
        <v>#DIV/0!</v>
      </c>
      <c r="AS267" s="821" t="s">
        <v>47</v>
      </c>
      <c r="AT267" s="448" t="s">
        <v>2037</v>
      </c>
      <c r="AU267" s="448">
        <v>1</v>
      </c>
      <c r="AV267" s="448" t="s">
        <v>2038</v>
      </c>
      <c r="AW267" s="448">
        <v>0.06</v>
      </c>
      <c r="AX267" s="612">
        <v>0</v>
      </c>
      <c r="AY267" s="448"/>
      <c r="AZ267" s="612">
        <f>3*1.4</f>
        <v>4.1999999999999993</v>
      </c>
      <c r="BA267" s="256" t="s">
        <v>47</v>
      </c>
      <c r="BB267" s="41">
        <v>0</v>
      </c>
      <c r="BC267" s="448"/>
      <c r="BD267" s="448"/>
      <c r="BE267" s="448"/>
      <c r="BF267" s="448"/>
      <c r="BG267" s="448"/>
      <c r="BH267" s="221"/>
      <c r="BI267" s="221"/>
      <c r="BJ267" s="221"/>
      <c r="BK267" s="221"/>
      <c r="BL267" s="221"/>
      <c r="BM267" s="221"/>
      <c r="BN267" s="221"/>
      <c r="BO267" s="221"/>
      <c r="BP267" s="221"/>
      <c r="BQ267" s="221"/>
      <c r="BR267" s="221"/>
      <c r="BS267" s="221"/>
      <c r="BT267" s="221"/>
      <c r="BU267" s="221"/>
      <c r="BV267" s="221"/>
      <c r="BW267" s="221"/>
      <c r="BX267" s="221"/>
      <c r="BY267" s="221"/>
      <c r="BZ267" s="221"/>
      <c r="CA267" s="221"/>
      <c r="CB267" s="221"/>
      <c r="CC267" s="221"/>
      <c r="CD267" s="221"/>
      <c r="CE267" s="221"/>
      <c r="CF267" s="221"/>
      <c r="CG267" s="221"/>
      <c r="CH267" s="221"/>
      <c r="CI267" s="221"/>
      <c r="CJ267" s="221"/>
      <c r="CK267" s="221"/>
      <c r="CL267" s="221"/>
      <c r="CM267" s="221"/>
      <c r="CN267" s="221"/>
      <c r="CO267" s="221"/>
      <c r="CP267" s="221"/>
      <c r="CQ267" s="221"/>
      <c r="CR267" s="221"/>
      <c r="CS267" s="221"/>
      <c r="CT267" s="221"/>
      <c r="CU267" s="221"/>
      <c r="CV267" s="221"/>
      <c r="CW267" s="221"/>
      <c r="CX267" s="221"/>
      <c r="CY267" s="221"/>
      <c r="CZ267" s="221"/>
      <c r="DA267" s="221"/>
      <c r="DB267" s="221"/>
      <c r="DC267" s="221"/>
      <c r="DD267" s="221"/>
      <c r="DE267" s="221"/>
      <c r="DF267" s="221"/>
      <c r="DG267" s="221"/>
      <c r="DH267" s="221"/>
      <c r="DI267" s="221"/>
      <c r="DJ267" s="221"/>
      <c r="DK267" s="221"/>
      <c r="DL267" s="221"/>
      <c r="DM267" s="221"/>
      <c r="DN267" s="221"/>
      <c r="DO267" s="221"/>
      <c r="DP267" s="221"/>
      <c r="DQ267" s="221"/>
      <c r="DR267" s="221"/>
      <c r="DS267" s="221"/>
      <c r="DT267" s="221"/>
      <c r="DU267" s="221"/>
      <c r="DV267" s="221"/>
      <c r="DW267" s="221"/>
      <c r="DX267" s="221"/>
      <c r="DY267" s="221"/>
      <c r="DZ267" s="221"/>
      <c r="EA267" s="221"/>
      <c r="EB267" s="221"/>
      <c r="EC267" s="221"/>
      <c r="ED267" s="221"/>
      <c r="EE267" s="221"/>
      <c r="EF267" s="221"/>
      <c r="EG267" s="221"/>
      <c r="EH267" s="221"/>
      <c r="EI267" s="221"/>
      <c r="EJ267" s="221"/>
      <c r="EK267" s="221"/>
      <c r="EL267" s="221"/>
      <c r="EM267" s="221"/>
      <c r="EN267" s="221"/>
      <c r="EO267" s="221"/>
      <c r="EP267" s="221"/>
      <c r="EQ267" s="221"/>
      <c r="ER267" s="221"/>
      <c r="ES267" s="221"/>
      <c r="ET267" s="221"/>
      <c r="EU267" s="221"/>
      <c r="EV267" s="221"/>
      <c r="EW267" s="221"/>
      <c r="EX267" s="221"/>
      <c r="EY267" s="221"/>
      <c r="EZ267" s="221"/>
      <c r="FA267" s="221"/>
      <c r="FB267" s="221"/>
      <c r="FC267" s="221"/>
      <c r="FD267" s="221"/>
      <c r="FE267" s="221"/>
      <c r="FF267" s="221"/>
      <c r="FG267" s="221"/>
      <c r="FH267" s="221"/>
      <c r="FI267" s="221"/>
      <c r="FJ267" s="221"/>
      <c r="FK267" s="221"/>
      <c r="FL267" s="221"/>
      <c r="FM267" s="221"/>
      <c r="FN267" s="221"/>
      <c r="FO267" s="221"/>
      <c r="FP267" s="221"/>
      <c r="FQ267" s="221"/>
      <c r="FR267" s="221"/>
      <c r="FS267" s="221"/>
      <c r="FT267" s="221"/>
      <c r="FU267" s="221"/>
      <c r="FV267" s="221"/>
      <c r="FW267" s="221"/>
      <c r="FX267" s="221"/>
      <c r="FY267" s="221"/>
      <c r="FZ267" s="221"/>
      <c r="GA267" s="221"/>
      <c r="GB267" s="221"/>
      <c r="GC267" s="221"/>
      <c r="GD267" s="221"/>
      <c r="GE267" s="221"/>
      <c r="GF267" s="221"/>
      <c r="GG267" s="221"/>
      <c r="GH267" s="221"/>
      <c r="GI267" s="221"/>
      <c r="GJ267" s="221"/>
      <c r="GK267" s="221"/>
      <c r="GL267" s="221"/>
      <c r="GM267" s="221"/>
      <c r="GN267" s="221"/>
      <c r="GO267" s="221"/>
      <c r="GP267" s="221"/>
      <c r="GQ267" s="221"/>
      <c r="GR267" s="221"/>
      <c r="GS267" s="221"/>
      <c r="GT267" s="221"/>
      <c r="GU267" s="221"/>
      <c r="GV267" s="221"/>
      <c r="GW267" s="221"/>
      <c r="GX267" s="221"/>
      <c r="GY267" s="221"/>
      <c r="GZ267" s="221"/>
      <c r="HA267" s="221"/>
      <c r="HB267" s="221"/>
      <c r="HC267" s="221"/>
      <c r="HD267" s="221"/>
      <c r="HE267" s="221"/>
      <c r="HF267" s="221"/>
      <c r="HG267" s="221"/>
      <c r="HH267" s="221"/>
      <c r="HI267" s="221"/>
      <c r="HJ267" s="221"/>
      <c r="HK267" s="221"/>
      <c r="HL267" s="221"/>
      <c r="HM267" s="221"/>
      <c r="HN267" s="221"/>
      <c r="HO267" s="221"/>
      <c r="HP267" s="221"/>
      <c r="HQ267" s="221"/>
      <c r="HR267" s="221"/>
      <c r="HS267" s="221"/>
      <c r="HT267" s="221"/>
      <c r="HU267" s="221"/>
      <c r="HV267" s="221"/>
      <c r="HW267" s="221"/>
      <c r="HX267" s="221"/>
      <c r="HY267" s="221"/>
      <c r="HZ267" s="221"/>
      <c r="IA267" s="221"/>
      <c r="IB267" s="221"/>
      <c r="IC267" s="221"/>
      <c r="ID267" s="221"/>
      <c r="IE267" s="221"/>
      <c r="IF267" s="221"/>
      <c r="IG267" s="221"/>
      <c r="IH267" s="221"/>
      <c r="II267" s="221"/>
      <c r="IJ267" s="221"/>
      <c r="IK267" s="221"/>
      <c r="IL267" s="221"/>
      <c r="IM267" s="221"/>
      <c r="IN267" s="221"/>
      <c r="IO267" s="221"/>
      <c r="IP267" s="221"/>
      <c r="IQ267" s="221"/>
      <c r="IR267" s="221"/>
      <c r="IS267" s="221"/>
      <c r="IT267" s="221"/>
      <c r="IU267" s="221"/>
      <c r="IV267" s="221"/>
      <c r="IW267" s="221"/>
      <c r="IX267" s="221"/>
      <c r="IY267" s="221"/>
      <c r="IZ267" s="221"/>
      <c r="JA267" s="221"/>
      <c r="JB267" s="221"/>
      <c r="JC267" s="221"/>
      <c r="JD267" s="221"/>
      <c r="JE267" s="221"/>
      <c r="JF267" s="221"/>
      <c r="JG267" s="221"/>
      <c r="JH267" s="221"/>
      <c r="JI267" s="221"/>
      <c r="JJ267" s="221"/>
      <c r="JK267" s="221"/>
      <c r="JL267" s="221"/>
      <c r="JM267" s="221"/>
      <c r="JN267" s="221"/>
      <c r="JO267" s="221"/>
      <c r="JP267" s="221"/>
      <c r="JQ267" s="221"/>
    </row>
    <row r="268" spans="1:277" ht="20" customHeight="1" outlineLevel="1">
      <c r="A268" s="456">
        <v>190617</v>
      </c>
      <c r="B268" s="439">
        <v>42165</v>
      </c>
      <c r="C268" s="448" t="s">
        <v>67</v>
      </c>
      <c r="D268" s="448" t="s">
        <v>1259</v>
      </c>
      <c r="E268" s="538" t="s">
        <v>69</v>
      </c>
      <c r="F268" s="530" t="s">
        <v>2043</v>
      </c>
      <c r="G268" s="448" t="s">
        <v>2107</v>
      </c>
      <c r="H268" s="439">
        <v>42175</v>
      </c>
      <c r="I268" s="443">
        <v>192679</v>
      </c>
      <c r="J268" s="837" t="s">
        <v>1269</v>
      </c>
      <c r="K268" s="448" t="s">
        <v>50</v>
      </c>
      <c r="L268" s="448">
        <v>116648895</v>
      </c>
      <c r="M268" s="250">
        <v>42187</v>
      </c>
      <c r="N268" s="448" t="s">
        <v>2009</v>
      </c>
      <c r="O268" s="448" t="s">
        <v>2044</v>
      </c>
      <c r="P268" s="516"/>
      <c r="Q268" s="629"/>
      <c r="R268" s="589">
        <v>0</v>
      </c>
      <c r="S268" s="590">
        <v>0</v>
      </c>
      <c r="T268" s="604">
        <v>0</v>
      </c>
      <c r="U268" s="596">
        <v>1</v>
      </c>
      <c r="V268" s="590">
        <v>0</v>
      </c>
      <c r="W268" s="604">
        <v>0</v>
      </c>
      <c r="X268" s="596">
        <v>0</v>
      </c>
      <c r="Y268" s="590">
        <v>0</v>
      </c>
      <c r="Z268" s="604">
        <v>0</v>
      </c>
      <c r="AA268" s="596">
        <v>0</v>
      </c>
      <c r="AB268" s="590">
        <v>0</v>
      </c>
      <c r="AC268" s="604">
        <v>0</v>
      </c>
      <c r="AD268" s="596">
        <v>0</v>
      </c>
      <c r="AE268" s="596">
        <v>0</v>
      </c>
      <c r="AF268" s="596">
        <v>0</v>
      </c>
      <c r="AG268" s="590">
        <v>0</v>
      </c>
      <c r="AH268" s="604">
        <v>0</v>
      </c>
      <c r="AI268" s="610">
        <v>0</v>
      </c>
      <c r="AJ268" s="610">
        <v>0</v>
      </c>
      <c r="AK268" s="629"/>
      <c r="AL268" s="531" t="s">
        <v>1799</v>
      </c>
      <c r="AM268" s="448">
        <v>191647</v>
      </c>
      <c r="AN268" s="612">
        <v>118.56</v>
      </c>
      <c r="AO268" s="444" t="s">
        <v>47</v>
      </c>
      <c r="AP268" s="37">
        <v>0</v>
      </c>
      <c r="AQ268" s="795">
        <f t="shared" si="29"/>
        <v>-118.56</v>
      </c>
      <c r="AR268" s="835" t="e">
        <f t="shared" si="21"/>
        <v>#DIV/0!</v>
      </c>
      <c r="AS268" s="821"/>
      <c r="AT268" s="448"/>
      <c r="AU268" s="448"/>
      <c r="AV268" s="448"/>
      <c r="AW268" s="448"/>
      <c r="AX268" s="612"/>
      <c r="AY268" s="448"/>
      <c r="AZ268" s="612"/>
      <c r="BA268" s="256" t="s">
        <v>47</v>
      </c>
      <c r="BB268" s="41">
        <v>0</v>
      </c>
      <c r="BC268" s="448"/>
      <c r="BD268" s="448"/>
      <c r="BE268" s="448"/>
      <c r="BF268" s="448"/>
      <c r="BG268" s="448"/>
      <c r="BH268" s="221"/>
      <c r="BI268" s="221"/>
      <c r="BJ268" s="221"/>
      <c r="BK268" s="221"/>
      <c r="BL268" s="221"/>
      <c r="BM268" s="221"/>
      <c r="BN268" s="221"/>
      <c r="BO268" s="221"/>
      <c r="BP268" s="221"/>
      <c r="BQ268" s="221"/>
      <c r="BR268" s="221"/>
      <c r="BS268" s="221"/>
      <c r="BT268" s="221"/>
      <c r="BU268" s="221"/>
      <c r="BV268" s="221"/>
      <c r="BW268" s="221"/>
      <c r="BX268" s="221"/>
      <c r="BY268" s="221"/>
      <c r="BZ268" s="221"/>
      <c r="CA268" s="221"/>
      <c r="CB268" s="221"/>
      <c r="CC268" s="221"/>
      <c r="CD268" s="221"/>
      <c r="CE268" s="221"/>
      <c r="CF268" s="221"/>
      <c r="CG268" s="221"/>
      <c r="CH268" s="221"/>
      <c r="CI268" s="221"/>
      <c r="CJ268" s="221"/>
      <c r="CK268" s="221"/>
      <c r="CL268" s="221"/>
      <c r="CM268" s="221"/>
      <c r="CN268" s="221"/>
      <c r="CO268" s="221"/>
      <c r="CP268" s="221"/>
      <c r="CQ268" s="221"/>
      <c r="CR268" s="221"/>
      <c r="CS268" s="221"/>
      <c r="CT268" s="221"/>
      <c r="CU268" s="221"/>
      <c r="CV268" s="221"/>
      <c r="CW268" s="221"/>
      <c r="CX268" s="221"/>
      <c r="CY268" s="221"/>
      <c r="CZ268" s="221"/>
      <c r="DA268" s="221"/>
      <c r="DB268" s="221"/>
      <c r="DC268" s="221"/>
      <c r="DD268" s="221"/>
      <c r="DE268" s="221"/>
      <c r="DF268" s="221"/>
      <c r="DG268" s="221"/>
      <c r="DH268" s="221"/>
      <c r="DI268" s="221"/>
      <c r="DJ268" s="221"/>
      <c r="DK268" s="221"/>
      <c r="DL268" s="221"/>
      <c r="DM268" s="221"/>
      <c r="DN268" s="221"/>
      <c r="DO268" s="221"/>
      <c r="DP268" s="221"/>
      <c r="DQ268" s="221"/>
      <c r="DR268" s="221"/>
      <c r="DS268" s="221"/>
      <c r="DT268" s="221"/>
      <c r="DU268" s="221"/>
      <c r="DV268" s="221"/>
      <c r="DW268" s="221"/>
      <c r="DX268" s="221"/>
      <c r="DY268" s="221"/>
      <c r="DZ268" s="221"/>
      <c r="EA268" s="221"/>
      <c r="EB268" s="221"/>
      <c r="EC268" s="221"/>
      <c r="ED268" s="221"/>
      <c r="EE268" s="221"/>
      <c r="EF268" s="221"/>
      <c r="EG268" s="221"/>
      <c r="EH268" s="221"/>
      <c r="EI268" s="221"/>
      <c r="EJ268" s="221"/>
      <c r="EK268" s="221"/>
      <c r="EL268" s="221"/>
      <c r="EM268" s="221"/>
      <c r="EN268" s="221"/>
      <c r="EO268" s="221"/>
      <c r="EP268" s="221"/>
      <c r="EQ268" s="221"/>
      <c r="ER268" s="221"/>
      <c r="ES268" s="221"/>
      <c r="ET268" s="221"/>
      <c r="EU268" s="221"/>
      <c r="EV268" s="221"/>
      <c r="EW268" s="221"/>
      <c r="EX268" s="221"/>
      <c r="EY268" s="221"/>
      <c r="EZ268" s="221"/>
      <c r="FA268" s="221"/>
      <c r="FB268" s="221"/>
      <c r="FC268" s="221"/>
      <c r="FD268" s="221"/>
      <c r="FE268" s="221"/>
      <c r="FF268" s="221"/>
      <c r="FG268" s="221"/>
      <c r="FH268" s="221"/>
      <c r="FI268" s="221"/>
      <c r="FJ268" s="221"/>
      <c r="FK268" s="221"/>
      <c r="FL268" s="221"/>
      <c r="FM268" s="221"/>
      <c r="FN268" s="221"/>
      <c r="FO268" s="221"/>
      <c r="FP268" s="221"/>
      <c r="FQ268" s="221"/>
      <c r="FR268" s="221"/>
      <c r="FS268" s="221"/>
      <c r="FT268" s="221"/>
      <c r="FU268" s="221"/>
      <c r="FV268" s="221"/>
      <c r="FW268" s="221"/>
      <c r="FX268" s="221"/>
      <c r="FY268" s="221"/>
      <c r="FZ268" s="221"/>
      <c r="GA268" s="221"/>
      <c r="GB268" s="221"/>
      <c r="GC268" s="221"/>
      <c r="GD268" s="221"/>
      <c r="GE268" s="221"/>
      <c r="GF268" s="221"/>
      <c r="GG268" s="221"/>
      <c r="GH268" s="221"/>
      <c r="GI268" s="221"/>
      <c r="GJ268" s="221"/>
      <c r="GK268" s="221"/>
      <c r="GL268" s="221"/>
      <c r="GM268" s="221"/>
      <c r="GN268" s="221"/>
      <c r="GO268" s="221"/>
      <c r="GP268" s="221"/>
      <c r="GQ268" s="221"/>
      <c r="GR268" s="221"/>
      <c r="GS268" s="221"/>
      <c r="GT268" s="221"/>
      <c r="GU268" s="221"/>
      <c r="GV268" s="221"/>
      <c r="GW268" s="221"/>
      <c r="GX268" s="221"/>
      <c r="GY268" s="221"/>
      <c r="GZ268" s="221"/>
      <c r="HA268" s="221"/>
      <c r="HB268" s="221"/>
      <c r="HC268" s="221"/>
      <c r="HD268" s="221"/>
      <c r="HE268" s="221"/>
      <c r="HF268" s="221"/>
      <c r="HG268" s="221"/>
      <c r="HH268" s="221"/>
      <c r="HI268" s="221"/>
      <c r="HJ268" s="221"/>
      <c r="HK268" s="221"/>
      <c r="HL268" s="221"/>
      <c r="HM268" s="221"/>
      <c r="HN268" s="221"/>
      <c r="HO268" s="221"/>
      <c r="HP268" s="221"/>
      <c r="HQ268" s="221"/>
      <c r="HR268" s="221"/>
      <c r="HS268" s="221"/>
      <c r="HT268" s="221"/>
      <c r="HU268" s="221"/>
      <c r="HV268" s="221"/>
      <c r="HW268" s="221"/>
      <c r="HX268" s="221"/>
      <c r="HY268" s="221"/>
      <c r="HZ268" s="221"/>
      <c r="IA268" s="221"/>
      <c r="IB268" s="221"/>
      <c r="IC268" s="221"/>
      <c r="ID268" s="221"/>
      <c r="IE268" s="221"/>
      <c r="IF268" s="221"/>
      <c r="IG268" s="221"/>
      <c r="IH268" s="221"/>
      <c r="II268" s="221"/>
      <c r="IJ268" s="221"/>
      <c r="IK268" s="221"/>
      <c r="IL268" s="221"/>
      <c r="IM268" s="221"/>
      <c r="IN268" s="221"/>
      <c r="IO268" s="221"/>
      <c r="IP268" s="221"/>
      <c r="IQ268" s="221"/>
      <c r="IR268" s="221"/>
      <c r="IS268" s="221"/>
      <c r="IT268" s="221"/>
      <c r="IU268" s="221"/>
      <c r="IV268" s="221"/>
      <c r="IW268" s="221"/>
      <c r="IX268" s="221"/>
      <c r="IY268" s="221"/>
      <c r="IZ268" s="221"/>
      <c r="JA268" s="221"/>
      <c r="JB268" s="221"/>
      <c r="JC268" s="221"/>
      <c r="JD268" s="221"/>
      <c r="JE268" s="221"/>
      <c r="JF268" s="221"/>
      <c r="JG268" s="221"/>
      <c r="JH268" s="221"/>
      <c r="JI268" s="221"/>
      <c r="JJ268" s="221"/>
      <c r="JK268" s="221"/>
      <c r="JL268" s="221"/>
      <c r="JM268" s="221"/>
      <c r="JN268" s="221"/>
      <c r="JO268" s="221"/>
      <c r="JP268" s="221"/>
      <c r="JQ268" s="221"/>
    </row>
    <row r="269" spans="1:277" ht="20" customHeight="1" outlineLevel="1">
      <c r="A269" s="482">
        <v>190618</v>
      </c>
      <c r="B269" s="439">
        <v>42165</v>
      </c>
      <c r="C269" s="448" t="s">
        <v>44</v>
      </c>
      <c r="D269" s="448" t="s">
        <v>1259</v>
      </c>
      <c r="E269" s="538" t="s">
        <v>60</v>
      </c>
      <c r="F269" s="530" t="s">
        <v>47</v>
      </c>
      <c r="G269" s="448" t="s">
        <v>2028</v>
      </c>
      <c r="H269" s="439">
        <v>42168</v>
      </c>
      <c r="I269" s="443" t="s">
        <v>155</v>
      </c>
      <c r="J269" s="837" t="s">
        <v>62</v>
      </c>
      <c r="K269" s="448" t="s">
        <v>50</v>
      </c>
      <c r="L269" s="448">
        <v>112779365</v>
      </c>
      <c r="M269" s="439">
        <v>42175</v>
      </c>
      <c r="N269" s="448" t="s">
        <v>497</v>
      </c>
      <c r="O269" s="448" t="s">
        <v>2039</v>
      </c>
      <c r="P269" s="516"/>
      <c r="Q269" s="629"/>
      <c r="R269" s="589">
        <v>0</v>
      </c>
      <c r="S269" s="590">
        <v>0</v>
      </c>
      <c r="T269" s="604">
        <v>0</v>
      </c>
      <c r="U269" s="596">
        <v>0</v>
      </c>
      <c r="V269" s="590">
        <v>0</v>
      </c>
      <c r="W269" s="604">
        <v>0</v>
      </c>
      <c r="X269" s="596">
        <v>0</v>
      </c>
      <c r="Y269" s="590">
        <v>0</v>
      </c>
      <c r="Z269" s="604">
        <v>0</v>
      </c>
      <c r="AA269" s="596">
        <v>0</v>
      </c>
      <c r="AB269" s="590">
        <v>0</v>
      </c>
      <c r="AC269" s="604">
        <v>0</v>
      </c>
      <c r="AD269" s="596">
        <v>3</v>
      </c>
      <c r="AE269" s="596">
        <v>1</v>
      </c>
      <c r="AF269" s="596">
        <v>1</v>
      </c>
      <c r="AG269" s="590">
        <v>0</v>
      </c>
      <c r="AH269" s="604">
        <v>0</v>
      </c>
      <c r="AI269" s="610">
        <v>0</v>
      </c>
      <c r="AJ269" s="610">
        <v>0</v>
      </c>
      <c r="AK269" s="629"/>
      <c r="AL269" s="530"/>
      <c r="AM269" s="448"/>
      <c r="AN269" s="612"/>
      <c r="AO269" s="444" t="s">
        <v>2106</v>
      </c>
      <c r="AP269" s="37">
        <v>248.7</v>
      </c>
      <c r="AQ269" s="795">
        <f t="shared" si="29"/>
        <v>248.7</v>
      </c>
      <c r="AR269" s="835">
        <f t="shared" si="21"/>
        <v>1</v>
      </c>
      <c r="AS269" s="821"/>
      <c r="AT269" s="448" t="s">
        <v>1254</v>
      </c>
      <c r="AU269" s="448">
        <v>2</v>
      </c>
      <c r="AV269" s="448"/>
      <c r="AW269" s="448"/>
      <c r="AX269" s="612"/>
      <c r="AY269" s="448"/>
      <c r="AZ269" s="612">
        <v>9.23</v>
      </c>
      <c r="BA269" s="256" t="s">
        <v>47</v>
      </c>
      <c r="BB269" s="41">
        <v>0</v>
      </c>
      <c r="BC269" s="448"/>
      <c r="BD269" s="448"/>
      <c r="BE269" s="448"/>
      <c r="BF269" s="448"/>
      <c r="BG269" s="448"/>
      <c r="BH269" s="221"/>
      <c r="BI269" s="221"/>
      <c r="BJ269" s="221"/>
      <c r="BK269" s="221"/>
      <c r="BL269" s="221"/>
      <c r="BM269" s="221"/>
      <c r="BN269" s="221"/>
      <c r="BO269" s="221"/>
      <c r="BP269" s="221"/>
      <c r="BQ269" s="221"/>
      <c r="BR269" s="221"/>
      <c r="BS269" s="221"/>
      <c r="BT269" s="221"/>
      <c r="BU269" s="221"/>
      <c r="BV269" s="221"/>
      <c r="BW269" s="221"/>
      <c r="BX269" s="221"/>
      <c r="BY269" s="221"/>
      <c r="BZ269" s="221"/>
      <c r="CA269" s="221"/>
      <c r="CB269" s="221"/>
      <c r="CC269" s="221"/>
      <c r="CD269" s="221"/>
      <c r="CE269" s="221"/>
      <c r="CF269" s="221"/>
      <c r="CG269" s="221"/>
      <c r="CH269" s="221"/>
      <c r="CI269" s="221"/>
      <c r="CJ269" s="221"/>
      <c r="CK269" s="221"/>
      <c r="CL269" s="221"/>
      <c r="CM269" s="221"/>
      <c r="CN269" s="221"/>
      <c r="CO269" s="221"/>
      <c r="CP269" s="221"/>
      <c r="CQ269" s="221"/>
      <c r="CR269" s="221"/>
      <c r="CS269" s="221"/>
      <c r="CT269" s="221"/>
      <c r="CU269" s="221"/>
      <c r="CV269" s="221"/>
      <c r="CW269" s="221"/>
      <c r="CX269" s="221"/>
      <c r="CY269" s="221"/>
      <c r="CZ269" s="221"/>
      <c r="DA269" s="221"/>
      <c r="DB269" s="221"/>
      <c r="DC269" s="221"/>
      <c r="DD269" s="221"/>
      <c r="DE269" s="221"/>
      <c r="DF269" s="221"/>
      <c r="DG269" s="221"/>
      <c r="DH269" s="221"/>
      <c r="DI269" s="221"/>
      <c r="DJ269" s="221"/>
      <c r="DK269" s="221"/>
      <c r="DL269" s="221"/>
      <c r="DM269" s="221"/>
      <c r="DN269" s="221"/>
      <c r="DO269" s="221"/>
      <c r="DP269" s="221"/>
      <c r="DQ269" s="221"/>
      <c r="DR269" s="221"/>
      <c r="DS269" s="221"/>
      <c r="DT269" s="221"/>
      <c r="DU269" s="221"/>
      <c r="DV269" s="221"/>
      <c r="DW269" s="221"/>
      <c r="DX269" s="221"/>
      <c r="DY269" s="221"/>
      <c r="DZ269" s="221"/>
      <c r="EA269" s="221"/>
      <c r="EB269" s="221"/>
      <c r="EC269" s="221"/>
      <c r="ED269" s="221"/>
      <c r="EE269" s="221"/>
      <c r="EF269" s="221"/>
      <c r="EG269" s="221"/>
      <c r="EH269" s="221"/>
      <c r="EI269" s="221"/>
      <c r="EJ269" s="221"/>
      <c r="EK269" s="221"/>
      <c r="EL269" s="221"/>
      <c r="EM269" s="221"/>
      <c r="EN269" s="221"/>
      <c r="EO269" s="221"/>
      <c r="EP269" s="221"/>
      <c r="EQ269" s="221"/>
      <c r="ER269" s="221"/>
      <c r="ES269" s="221"/>
      <c r="ET269" s="221"/>
      <c r="EU269" s="221"/>
      <c r="EV269" s="221"/>
      <c r="EW269" s="221"/>
      <c r="EX269" s="221"/>
      <c r="EY269" s="221"/>
      <c r="EZ269" s="221"/>
      <c r="FA269" s="221"/>
      <c r="FB269" s="221"/>
      <c r="FC269" s="221"/>
      <c r="FD269" s="221"/>
      <c r="FE269" s="221"/>
      <c r="FF269" s="221"/>
      <c r="FG269" s="221"/>
      <c r="FH269" s="221"/>
      <c r="FI269" s="221"/>
      <c r="FJ269" s="221"/>
      <c r="FK269" s="221"/>
      <c r="FL269" s="221"/>
      <c r="FM269" s="221"/>
      <c r="FN269" s="221"/>
      <c r="FO269" s="221"/>
      <c r="FP269" s="221"/>
      <c r="FQ269" s="221"/>
      <c r="FR269" s="221"/>
      <c r="FS269" s="221"/>
      <c r="FT269" s="221"/>
      <c r="FU269" s="221"/>
      <c r="FV269" s="221"/>
      <c r="FW269" s="221"/>
      <c r="FX269" s="221"/>
      <c r="FY269" s="221"/>
      <c r="FZ269" s="221"/>
      <c r="GA269" s="221"/>
      <c r="GB269" s="221"/>
      <c r="GC269" s="221"/>
      <c r="GD269" s="221"/>
      <c r="GE269" s="221"/>
      <c r="GF269" s="221"/>
      <c r="GG269" s="221"/>
      <c r="GH269" s="221"/>
      <c r="GI269" s="221"/>
      <c r="GJ269" s="221"/>
      <c r="GK269" s="221"/>
      <c r="GL269" s="221"/>
      <c r="GM269" s="221"/>
      <c r="GN269" s="221"/>
      <c r="GO269" s="221"/>
      <c r="GP269" s="221"/>
      <c r="GQ269" s="221"/>
      <c r="GR269" s="221"/>
      <c r="GS269" s="221"/>
      <c r="GT269" s="221"/>
      <c r="GU269" s="221"/>
      <c r="GV269" s="221"/>
      <c r="GW269" s="221"/>
      <c r="GX269" s="221"/>
      <c r="GY269" s="221"/>
      <c r="GZ269" s="221"/>
      <c r="HA269" s="221"/>
      <c r="HB269" s="221"/>
      <c r="HC269" s="221"/>
      <c r="HD269" s="221"/>
      <c r="HE269" s="221"/>
      <c r="HF269" s="221"/>
      <c r="HG269" s="221"/>
      <c r="HH269" s="221"/>
      <c r="HI269" s="221"/>
      <c r="HJ269" s="221"/>
      <c r="HK269" s="221"/>
      <c r="HL269" s="221"/>
      <c r="HM269" s="221"/>
      <c r="HN269" s="221"/>
      <c r="HO269" s="221"/>
      <c r="HP269" s="221"/>
      <c r="HQ269" s="221"/>
      <c r="HR269" s="221"/>
      <c r="HS269" s="221"/>
      <c r="HT269" s="221"/>
      <c r="HU269" s="221"/>
      <c r="HV269" s="221"/>
      <c r="HW269" s="221"/>
      <c r="HX269" s="221"/>
      <c r="HY269" s="221"/>
      <c r="HZ269" s="221"/>
      <c r="IA269" s="221"/>
      <c r="IB269" s="221"/>
      <c r="IC269" s="221"/>
      <c r="ID269" s="221"/>
      <c r="IE269" s="221"/>
      <c r="IF269" s="221"/>
      <c r="IG269" s="221"/>
      <c r="IH269" s="221"/>
      <c r="II269" s="221"/>
      <c r="IJ269" s="221"/>
      <c r="IK269" s="221"/>
      <c r="IL269" s="221"/>
      <c r="IM269" s="221"/>
      <c r="IN269" s="221"/>
      <c r="IO269" s="221"/>
      <c r="IP269" s="221"/>
      <c r="IQ269" s="221"/>
      <c r="IR269" s="221"/>
      <c r="IS269" s="221"/>
      <c r="IT269" s="221"/>
      <c r="IU269" s="221"/>
      <c r="IV269" s="221"/>
      <c r="IW269" s="221"/>
      <c r="IX269" s="221"/>
      <c r="IY269" s="221"/>
      <c r="IZ269" s="221"/>
      <c r="JA269" s="221"/>
      <c r="JB269" s="221"/>
      <c r="JC269" s="221"/>
      <c r="JD269" s="221"/>
      <c r="JE269" s="221"/>
      <c r="JF269" s="221"/>
      <c r="JG269" s="221"/>
      <c r="JH269" s="221"/>
      <c r="JI269" s="221"/>
      <c r="JJ269" s="221"/>
      <c r="JK269" s="221"/>
      <c r="JL269" s="221"/>
      <c r="JM269" s="221"/>
      <c r="JN269" s="221"/>
      <c r="JO269" s="221"/>
      <c r="JP269" s="221"/>
      <c r="JQ269" s="221"/>
    </row>
    <row r="270" spans="1:277" ht="20" customHeight="1" outlineLevel="1">
      <c r="A270" s="456">
        <v>190619</v>
      </c>
      <c r="B270" s="439">
        <v>42165</v>
      </c>
      <c r="C270" s="448" t="s">
        <v>67</v>
      </c>
      <c r="D270" s="448" t="s">
        <v>1238</v>
      </c>
      <c r="E270" s="538" t="s">
        <v>60</v>
      </c>
      <c r="F270" s="530" t="s">
        <v>47</v>
      </c>
      <c r="G270" s="448" t="s">
        <v>47</v>
      </c>
      <c r="H270" s="448" t="s">
        <v>47</v>
      </c>
      <c r="I270" s="443" t="s">
        <v>47</v>
      </c>
      <c r="J270" s="837" t="s">
        <v>47</v>
      </c>
      <c r="K270" s="448" t="s">
        <v>1861</v>
      </c>
      <c r="L270" s="448" t="s">
        <v>47</v>
      </c>
      <c r="M270" s="439">
        <v>42165</v>
      </c>
      <c r="N270" s="448" t="s">
        <v>2041</v>
      </c>
      <c r="O270" s="448" t="s">
        <v>2042</v>
      </c>
      <c r="P270" s="516" t="s">
        <v>92</v>
      </c>
      <c r="Q270" s="629"/>
      <c r="R270" s="589">
        <v>0</v>
      </c>
      <c r="S270" s="590">
        <v>0</v>
      </c>
      <c r="T270" s="604">
        <v>0</v>
      </c>
      <c r="U270" s="596">
        <v>0</v>
      </c>
      <c r="V270" s="590">
        <v>0</v>
      </c>
      <c r="W270" s="604">
        <v>1</v>
      </c>
      <c r="X270" s="596">
        <v>0</v>
      </c>
      <c r="Y270" s="590">
        <v>0</v>
      </c>
      <c r="Z270" s="604">
        <v>0</v>
      </c>
      <c r="AA270" s="596">
        <v>0</v>
      </c>
      <c r="AB270" s="590">
        <v>0</v>
      </c>
      <c r="AC270" s="604">
        <v>0</v>
      </c>
      <c r="AD270" s="596">
        <v>0</v>
      </c>
      <c r="AE270" s="596">
        <v>0</v>
      </c>
      <c r="AF270" s="596">
        <v>0</v>
      </c>
      <c r="AG270" s="590">
        <v>0</v>
      </c>
      <c r="AH270" s="604">
        <v>0</v>
      </c>
      <c r="AI270" s="610">
        <v>0</v>
      </c>
      <c r="AJ270" s="610">
        <v>0</v>
      </c>
      <c r="AK270" s="629"/>
      <c r="AL270" s="530"/>
      <c r="AM270" s="448" t="s">
        <v>92</v>
      </c>
      <c r="AN270" s="612">
        <f>1*PRODUCTS!G12</f>
        <v>0.10503415579453744</v>
      </c>
      <c r="AO270" s="444" t="s">
        <v>124</v>
      </c>
      <c r="AP270" s="37">
        <v>0</v>
      </c>
      <c r="AQ270" s="795">
        <f t="shared" si="29"/>
        <v>-0.10503415579453744</v>
      </c>
      <c r="AR270" s="835" t="e">
        <f t="shared" si="21"/>
        <v>#DIV/0!</v>
      </c>
      <c r="AS270" s="821" t="s">
        <v>47</v>
      </c>
      <c r="AT270" s="448"/>
      <c r="AU270" s="448"/>
      <c r="AV270" s="448"/>
      <c r="AW270" s="448"/>
      <c r="AX270" s="612"/>
      <c r="AY270" s="448"/>
      <c r="AZ270" s="612"/>
      <c r="BA270" s="256" t="s">
        <v>47</v>
      </c>
      <c r="BB270" s="41">
        <v>0</v>
      </c>
      <c r="BC270" s="448"/>
      <c r="BD270" s="448"/>
      <c r="BE270" s="448"/>
      <c r="BF270" s="448"/>
      <c r="BG270" s="448"/>
      <c r="BH270" s="221"/>
      <c r="BI270" s="221"/>
      <c r="BJ270" s="221"/>
      <c r="BK270" s="221"/>
      <c r="BL270" s="221"/>
      <c r="BM270" s="221"/>
      <c r="BN270" s="221"/>
      <c r="BO270" s="221"/>
      <c r="BP270" s="221"/>
      <c r="BQ270" s="221"/>
      <c r="BR270" s="221"/>
      <c r="BS270" s="221"/>
      <c r="BT270" s="221"/>
      <c r="BU270" s="221"/>
      <c r="BV270" s="221"/>
      <c r="BW270" s="221"/>
      <c r="BX270" s="221"/>
      <c r="BY270" s="221"/>
      <c r="BZ270" s="221"/>
      <c r="CA270" s="221"/>
      <c r="CB270" s="221"/>
      <c r="CC270" s="221"/>
      <c r="CD270" s="221"/>
      <c r="CE270" s="221"/>
      <c r="CF270" s="221"/>
      <c r="CG270" s="221"/>
      <c r="CH270" s="221"/>
      <c r="CI270" s="221"/>
      <c r="CJ270" s="221"/>
      <c r="CK270" s="221"/>
      <c r="CL270" s="221"/>
      <c r="CM270" s="221"/>
      <c r="CN270" s="221"/>
      <c r="CO270" s="221"/>
      <c r="CP270" s="221"/>
      <c r="CQ270" s="221"/>
      <c r="CR270" s="221"/>
      <c r="CS270" s="221"/>
      <c r="CT270" s="221"/>
      <c r="CU270" s="221"/>
      <c r="CV270" s="221"/>
      <c r="CW270" s="221"/>
      <c r="CX270" s="221"/>
      <c r="CY270" s="221"/>
      <c r="CZ270" s="221"/>
      <c r="DA270" s="221"/>
      <c r="DB270" s="221"/>
      <c r="DC270" s="221"/>
      <c r="DD270" s="221"/>
      <c r="DE270" s="221"/>
      <c r="DF270" s="221"/>
      <c r="DG270" s="221"/>
      <c r="DH270" s="221"/>
      <c r="DI270" s="221"/>
      <c r="DJ270" s="221"/>
      <c r="DK270" s="221"/>
      <c r="DL270" s="221"/>
      <c r="DM270" s="221"/>
      <c r="DN270" s="221"/>
      <c r="DO270" s="221"/>
      <c r="DP270" s="221"/>
      <c r="DQ270" s="221"/>
      <c r="DR270" s="221"/>
      <c r="DS270" s="221"/>
      <c r="DT270" s="221"/>
      <c r="DU270" s="221"/>
      <c r="DV270" s="221"/>
      <c r="DW270" s="221"/>
      <c r="DX270" s="221"/>
      <c r="DY270" s="221"/>
      <c r="DZ270" s="221"/>
      <c r="EA270" s="221"/>
      <c r="EB270" s="221"/>
      <c r="EC270" s="221"/>
      <c r="ED270" s="221"/>
      <c r="EE270" s="221"/>
      <c r="EF270" s="221"/>
      <c r="EG270" s="221"/>
      <c r="EH270" s="221"/>
      <c r="EI270" s="221"/>
      <c r="EJ270" s="221"/>
      <c r="EK270" s="221"/>
      <c r="EL270" s="221"/>
      <c r="EM270" s="221"/>
      <c r="EN270" s="221"/>
      <c r="EO270" s="221"/>
      <c r="EP270" s="221"/>
      <c r="EQ270" s="221"/>
      <c r="ER270" s="221"/>
      <c r="ES270" s="221"/>
      <c r="ET270" s="221"/>
      <c r="EU270" s="221"/>
      <c r="EV270" s="221"/>
      <c r="EW270" s="221"/>
      <c r="EX270" s="221"/>
      <c r="EY270" s="221"/>
      <c r="EZ270" s="221"/>
      <c r="FA270" s="221"/>
      <c r="FB270" s="221"/>
      <c r="FC270" s="221"/>
      <c r="FD270" s="221"/>
      <c r="FE270" s="221"/>
      <c r="FF270" s="221"/>
      <c r="FG270" s="221"/>
      <c r="FH270" s="221"/>
      <c r="FI270" s="221"/>
      <c r="FJ270" s="221"/>
      <c r="FK270" s="221"/>
      <c r="FL270" s="221"/>
      <c r="FM270" s="221"/>
      <c r="FN270" s="221"/>
      <c r="FO270" s="221"/>
      <c r="FP270" s="221"/>
      <c r="FQ270" s="221"/>
      <c r="FR270" s="221"/>
      <c r="FS270" s="221"/>
      <c r="FT270" s="221"/>
      <c r="FU270" s="221"/>
      <c r="FV270" s="221"/>
      <c r="FW270" s="221"/>
      <c r="FX270" s="221"/>
      <c r="FY270" s="221"/>
      <c r="FZ270" s="221"/>
      <c r="GA270" s="221"/>
      <c r="GB270" s="221"/>
      <c r="GC270" s="221"/>
      <c r="GD270" s="221"/>
      <c r="GE270" s="221"/>
      <c r="GF270" s="221"/>
      <c r="GG270" s="221"/>
      <c r="GH270" s="221"/>
      <c r="GI270" s="221"/>
      <c r="GJ270" s="221"/>
      <c r="GK270" s="221"/>
      <c r="GL270" s="221"/>
      <c r="GM270" s="221"/>
      <c r="GN270" s="221"/>
      <c r="GO270" s="221"/>
      <c r="GP270" s="221"/>
      <c r="GQ270" s="221"/>
      <c r="GR270" s="221"/>
      <c r="GS270" s="221"/>
      <c r="GT270" s="221"/>
      <c r="GU270" s="221"/>
      <c r="GV270" s="221"/>
      <c r="GW270" s="221"/>
      <c r="GX270" s="221"/>
      <c r="GY270" s="221"/>
      <c r="GZ270" s="221"/>
      <c r="HA270" s="221"/>
      <c r="HB270" s="221"/>
      <c r="HC270" s="221"/>
      <c r="HD270" s="221"/>
      <c r="HE270" s="221"/>
      <c r="HF270" s="221"/>
      <c r="HG270" s="221"/>
      <c r="HH270" s="221"/>
      <c r="HI270" s="221"/>
      <c r="HJ270" s="221"/>
      <c r="HK270" s="221"/>
      <c r="HL270" s="221"/>
      <c r="HM270" s="221"/>
      <c r="HN270" s="221"/>
      <c r="HO270" s="221"/>
      <c r="HP270" s="221"/>
      <c r="HQ270" s="221"/>
      <c r="HR270" s="221"/>
      <c r="HS270" s="221"/>
      <c r="HT270" s="221"/>
      <c r="HU270" s="221"/>
      <c r="HV270" s="221"/>
      <c r="HW270" s="221"/>
      <c r="HX270" s="221"/>
      <c r="HY270" s="221"/>
      <c r="HZ270" s="221"/>
      <c r="IA270" s="221"/>
      <c r="IB270" s="221"/>
      <c r="IC270" s="221"/>
      <c r="ID270" s="221"/>
      <c r="IE270" s="221"/>
      <c r="IF270" s="221"/>
      <c r="IG270" s="221"/>
      <c r="IH270" s="221"/>
      <c r="II270" s="221"/>
      <c r="IJ270" s="221"/>
      <c r="IK270" s="221"/>
      <c r="IL270" s="221"/>
      <c r="IM270" s="221"/>
      <c r="IN270" s="221"/>
      <c r="IO270" s="221"/>
      <c r="IP270" s="221"/>
      <c r="IQ270" s="221"/>
      <c r="IR270" s="221"/>
      <c r="IS270" s="221"/>
      <c r="IT270" s="221"/>
      <c r="IU270" s="221"/>
      <c r="IV270" s="221"/>
      <c r="IW270" s="221"/>
      <c r="IX270" s="221"/>
      <c r="IY270" s="221"/>
      <c r="IZ270" s="221"/>
      <c r="JA270" s="221"/>
      <c r="JB270" s="221"/>
      <c r="JC270" s="221"/>
      <c r="JD270" s="221"/>
      <c r="JE270" s="221"/>
      <c r="JF270" s="221"/>
      <c r="JG270" s="221"/>
      <c r="JH270" s="221"/>
      <c r="JI270" s="221"/>
      <c r="JJ270" s="221"/>
      <c r="JK270" s="221"/>
      <c r="JL270" s="221"/>
      <c r="JM270" s="221"/>
      <c r="JN270" s="221"/>
      <c r="JO270" s="221"/>
      <c r="JP270" s="221"/>
      <c r="JQ270" s="221"/>
    </row>
    <row r="271" spans="1:277" ht="20" customHeight="1" outlineLevel="1">
      <c r="A271" s="456">
        <v>190620</v>
      </c>
      <c r="B271" s="439">
        <v>42165</v>
      </c>
      <c r="C271" s="448" t="s">
        <v>67</v>
      </c>
      <c r="D271" s="448" t="s">
        <v>1259</v>
      </c>
      <c r="E271" s="538" t="s">
        <v>60</v>
      </c>
      <c r="F271" s="530" t="s">
        <v>47</v>
      </c>
      <c r="G271" s="448" t="s">
        <v>2045</v>
      </c>
      <c r="H271" s="439">
        <v>42168</v>
      </c>
      <c r="I271" s="443">
        <v>192632</v>
      </c>
      <c r="J271" s="837" t="s">
        <v>62</v>
      </c>
      <c r="K271" s="514" t="s">
        <v>1269</v>
      </c>
      <c r="L271" s="448">
        <v>116625545</v>
      </c>
      <c r="M271" s="439">
        <v>42185</v>
      </c>
      <c r="N271" s="448" t="s">
        <v>302</v>
      </c>
      <c r="O271" s="448" t="s">
        <v>563</v>
      </c>
      <c r="P271" s="516" t="s">
        <v>2046</v>
      </c>
      <c r="Q271" s="629"/>
      <c r="R271" s="589">
        <v>0</v>
      </c>
      <c r="S271" s="590">
        <v>0</v>
      </c>
      <c r="T271" s="604">
        <v>0</v>
      </c>
      <c r="U271" s="596">
        <v>0</v>
      </c>
      <c r="V271" s="590">
        <v>0</v>
      </c>
      <c r="W271" s="604">
        <v>0</v>
      </c>
      <c r="X271" s="596">
        <v>0</v>
      </c>
      <c r="Y271" s="590">
        <v>0</v>
      </c>
      <c r="Z271" s="604">
        <v>0</v>
      </c>
      <c r="AA271" s="596">
        <v>0</v>
      </c>
      <c r="AB271" s="590">
        <v>0</v>
      </c>
      <c r="AC271" s="604">
        <v>0</v>
      </c>
      <c r="AD271" s="596">
        <v>0</v>
      </c>
      <c r="AE271" s="596">
        <v>1</v>
      </c>
      <c r="AF271" s="596">
        <v>1</v>
      </c>
      <c r="AG271" s="590">
        <v>0</v>
      </c>
      <c r="AH271" s="604">
        <v>0</v>
      </c>
      <c r="AI271" s="610">
        <v>0</v>
      </c>
      <c r="AJ271" s="610">
        <v>0</v>
      </c>
      <c r="AK271" s="629"/>
      <c r="AL271" s="531" t="s">
        <v>1725</v>
      </c>
      <c r="AM271" s="514" t="s">
        <v>2171</v>
      </c>
      <c r="AN271" s="612">
        <f>61.57+PRODUCTS!C10</f>
        <v>77.819999999999993</v>
      </c>
      <c r="AO271" s="440" t="s">
        <v>2170</v>
      </c>
      <c r="AP271" s="37">
        <v>143.1</v>
      </c>
      <c r="AQ271" s="795">
        <f>AP271-AN271</f>
        <v>65.28</v>
      </c>
      <c r="AR271" s="835">
        <f t="shared" si="21"/>
        <v>0.45618448637316567</v>
      </c>
      <c r="AS271" s="821"/>
      <c r="AT271" s="514" t="s">
        <v>1254</v>
      </c>
      <c r="AU271" s="448">
        <v>1</v>
      </c>
      <c r="AV271" s="448"/>
      <c r="AW271" s="448"/>
      <c r="AX271" s="612">
        <v>0</v>
      </c>
      <c r="AY271" s="448"/>
      <c r="AZ271" s="612">
        <v>7.28</v>
      </c>
      <c r="BA271" s="256" t="s">
        <v>47</v>
      </c>
      <c r="BB271" s="41">
        <v>0</v>
      </c>
      <c r="BC271" s="448"/>
      <c r="BD271" s="448"/>
      <c r="BE271" s="448"/>
      <c r="BF271" s="448"/>
      <c r="BG271" s="448"/>
      <c r="BH271" s="221"/>
      <c r="BI271" s="221"/>
      <c r="BJ271" s="221"/>
      <c r="BK271" s="221"/>
      <c r="BL271" s="221"/>
      <c r="BM271" s="221"/>
      <c r="BN271" s="221"/>
      <c r="BO271" s="221"/>
      <c r="BP271" s="221"/>
      <c r="BQ271" s="221"/>
      <c r="BR271" s="221"/>
      <c r="BS271" s="221"/>
      <c r="BT271" s="221"/>
      <c r="BU271" s="221"/>
      <c r="BV271" s="221"/>
      <c r="BW271" s="221"/>
      <c r="BX271" s="221"/>
      <c r="BY271" s="221"/>
      <c r="BZ271" s="221"/>
      <c r="CA271" s="221"/>
      <c r="CB271" s="221"/>
      <c r="CC271" s="221"/>
      <c r="CD271" s="221"/>
      <c r="CE271" s="221"/>
      <c r="CF271" s="221"/>
      <c r="CG271" s="221"/>
      <c r="CH271" s="221"/>
      <c r="CI271" s="221"/>
      <c r="CJ271" s="221"/>
      <c r="CK271" s="221"/>
      <c r="CL271" s="221"/>
      <c r="CM271" s="221"/>
      <c r="CN271" s="221"/>
      <c r="CO271" s="221"/>
      <c r="CP271" s="221"/>
      <c r="CQ271" s="221"/>
      <c r="CR271" s="221"/>
      <c r="CS271" s="221"/>
      <c r="CT271" s="221"/>
      <c r="CU271" s="221"/>
      <c r="CV271" s="221"/>
      <c r="CW271" s="221"/>
      <c r="CX271" s="221"/>
      <c r="CY271" s="221"/>
      <c r="CZ271" s="221"/>
      <c r="DA271" s="221"/>
      <c r="DB271" s="221"/>
      <c r="DC271" s="221"/>
      <c r="DD271" s="221"/>
      <c r="DE271" s="221"/>
      <c r="DF271" s="221"/>
      <c r="DG271" s="221"/>
      <c r="DH271" s="221"/>
      <c r="DI271" s="221"/>
      <c r="DJ271" s="221"/>
      <c r="DK271" s="221"/>
      <c r="DL271" s="221"/>
      <c r="DM271" s="221"/>
      <c r="DN271" s="221"/>
      <c r="DO271" s="221"/>
      <c r="DP271" s="221"/>
      <c r="DQ271" s="221"/>
      <c r="DR271" s="221"/>
      <c r="DS271" s="221"/>
      <c r="DT271" s="221"/>
      <c r="DU271" s="221"/>
      <c r="DV271" s="221"/>
      <c r="DW271" s="221"/>
      <c r="DX271" s="221"/>
      <c r="DY271" s="221"/>
      <c r="DZ271" s="221"/>
      <c r="EA271" s="221"/>
      <c r="EB271" s="221"/>
      <c r="EC271" s="221"/>
      <c r="ED271" s="221"/>
      <c r="EE271" s="221"/>
      <c r="EF271" s="221"/>
      <c r="EG271" s="221"/>
      <c r="EH271" s="221"/>
      <c r="EI271" s="221"/>
      <c r="EJ271" s="221"/>
      <c r="EK271" s="221"/>
      <c r="EL271" s="221"/>
      <c r="EM271" s="221"/>
      <c r="EN271" s="221"/>
      <c r="EO271" s="221"/>
      <c r="EP271" s="221"/>
      <c r="EQ271" s="221"/>
      <c r="ER271" s="221"/>
      <c r="ES271" s="221"/>
      <c r="ET271" s="221"/>
      <c r="EU271" s="221"/>
      <c r="EV271" s="221"/>
      <c r="EW271" s="221"/>
      <c r="EX271" s="221"/>
      <c r="EY271" s="221"/>
      <c r="EZ271" s="221"/>
      <c r="FA271" s="221"/>
      <c r="FB271" s="221"/>
      <c r="FC271" s="221"/>
      <c r="FD271" s="221"/>
      <c r="FE271" s="221"/>
      <c r="FF271" s="221"/>
      <c r="FG271" s="221"/>
      <c r="FH271" s="221"/>
      <c r="FI271" s="221"/>
      <c r="FJ271" s="221"/>
      <c r="FK271" s="221"/>
      <c r="FL271" s="221"/>
      <c r="FM271" s="221"/>
      <c r="FN271" s="221"/>
      <c r="FO271" s="221"/>
      <c r="FP271" s="221"/>
      <c r="FQ271" s="221"/>
      <c r="FR271" s="221"/>
      <c r="FS271" s="221"/>
      <c r="FT271" s="221"/>
      <c r="FU271" s="221"/>
      <c r="FV271" s="221"/>
      <c r="FW271" s="221"/>
      <c r="FX271" s="221"/>
      <c r="FY271" s="221"/>
      <c r="FZ271" s="221"/>
      <c r="GA271" s="221"/>
      <c r="GB271" s="221"/>
      <c r="GC271" s="221"/>
      <c r="GD271" s="221"/>
      <c r="GE271" s="221"/>
      <c r="GF271" s="221"/>
      <c r="GG271" s="221"/>
      <c r="GH271" s="221"/>
      <c r="GI271" s="221"/>
      <c r="GJ271" s="221"/>
      <c r="GK271" s="221"/>
      <c r="GL271" s="221"/>
      <c r="GM271" s="221"/>
      <c r="GN271" s="221"/>
      <c r="GO271" s="221"/>
      <c r="GP271" s="221"/>
      <c r="GQ271" s="221"/>
      <c r="GR271" s="221"/>
      <c r="GS271" s="221"/>
      <c r="GT271" s="221"/>
      <c r="GU271" s="221"/>
      <c r="GV271" s="221"/>
      <c r="GW271" s="221"/>
      <c r="GX271" s="221"/>
      <c r="GY271" s="221"/>
      <c r="GZ271" s="221"/>
      <c r="HA271" s="221"/>
      <c r="HB271" s="221"/>
      <c r="HC271" s="221"/>
      <c r="HD271" s="221"/>
      <c r="HE271" s="221"/>
      <c r="HF271" s="221"/>
      <c r="HG271" s="221"/>
      <c r="HH271" s="221"/>
      <c r="HI271" s="221"/>
      <c r="HJ271" s="221"/>
      <c r="HK271" s="221"/>
      <c r="HL271" s="221"/>
      <c r="HM271" s="221"/>
      <c r="HN271" s="221"/>
      <c r="HO271" s="221"/>
      <c r="HP271" s="221"/>
      <c r="HQ271" s="221"/>
      <c r="HR271" s="221"/>
      <c r="HS271" s="221"/>
      <c r="HT271" s="221"/>
      <c r="HU271" s="221"/>
      <c r="HV271" s="221"/>
      <c r="HW271" s="221"/>
      <c r="HX271" s="221"/>
      <c r="HY271" s="221"/>
      <c r="HZ271" s="221"/>
      <c r="IA271" s="221"/>
      <c r="IB271" s="221"/>
      <c r="IC271" s="221"/>
      <c r="ID271" s="221"/>
      <c r="IE271" s="221"/>
      <c r="IF271" s="221"/>
      <c r="IG271" s="221"/>
      <c r="IH271" s="221"/>
      <c r="II271" s="221"/>
      <c r="IJ271" s="221"/>
      <c r="IK271" s="221"/>
      <c r="IL271" s="221"/>
      <c r="IM271" s="221"/>
      <c r="IN271" s="221"/>
      <c r="IO271" s="221"/>
      <c r="IP271" s="221"/>
      <c r="IQ271" s="221"/>
      <c r="IR271" s="221"/>
      <c r="IS271" s="221"/>
      <c r="IT271" s="221"/>
      <c r="IU271" s="221"/>
      <c r="IV271" s="221"/>
      <c r="IW271" s="221"/>
      <c r="IX271" s="221"/>
      <c r="IY271" s="221"/>
      <c r="IZ271" s="221"/>
      <c r="JA271" s="221"/>
      <c r="JB271" s="221"/>
      <c r="JC271" s="221"/>
      <c r="JD271" s="221"/>
      <c r="JE271" s="221"/>
      <c r="JF271" s="221"/>
      <c r="JG271" s="221"/>
      <c r="JH271" s="221"/>
      <c r="JI271" s="221"/>
      <c r="JJ271" s="221"/>
      <c r="JK271" s="221"/>
      <c r="JL271" s="221"/>
      <c r="JM271" s="221"/>
      <c r="JN271" s="221"/>
      <c r="JO271" s="221"/>
      <c r="JP271" s="221"/>
      <c r="JQ271" s="221"/>
    </row>
    <row r="272" spans="1:277" ht="20" customHeight="1" outlineLevel="1">
      <c r="A272" s="456">
        <v>190621</v>
      </c>
      <c r="B272" s="439">
        <v>42165</v>
      </c>
      <c r="C272" s="514" t="s">
        <v>1675</v>
      </c>
      <c r="D272" s="514" t="s">
        <v>96</v>
      </c>
      <c r="E272" s="539" t="s">
        <v>60</v>
      </c>
      <c r="F272" s="531" t="s">
        <v>47</v>
      </c>
      <c r="G272" s="514" t="s">
        <v>2113</v>
      </c>
      <c r="H272" s="439">
        <v>42168</v>
      </c>
      <c r="I272" s="443">
        <v>192677</v>
      </c>
      <c r="J272" s="838" t="s">
        <v>1269</v>
      </c>
      <c r="K272" s="514" t="s">
        <v>50</v>
      </c>
      <c r="L272" s="448">
        <v>116641852</v>
      </c>
      <c r="M272" s="439">
        <v>42187</v>
      </c>
      <c r="N272" s="514" t="s">
        <v>2048</v>
      </c>
      <c r="O272" s="514" t="s">
        <v>2049</v>
      </c>
      <c r="P272" s="516"/>
      <c r="Q272" s="629"/>
      <c r="R272" s="589">
        <v>3</v>
      </c>
      <c r="S272" s="590">
        <v>0</v>
      </c>
      <c r="T272" s="604">
        <v>0</v>
      </c>
      <c r="U272" s="596">
        <v>0</v>
      </c>
      <c r="V272" s="590">
        <v>0</v>
      </c>
      <c r="W272" s="604">
        <v>0</v>
      </c>
      <c r="X272" s="596">
        <v>0</v>
      </c>
      <c r="Y272" s="590">
        <v>0</v>
      </c>
      <c r="Z272" s="604">
        <v>0</v>
      </c>
      <c r="AA272" s="596">
        <v>0</v>
      </c>
      <c r="AB272" s="590">
        <v>0</v>
      </c>
      <c r="AC272" s="604">
        <v>0</v>
      </c>
      <c r="AD272" s="596">
        <v>0</v>
      </c>
      <c r="AE272" s="596">
        <v>0</v>
      </c>
      <c r="AF272" s="596">
        <v>0</v>
      </c>
      <c r="AG272" s="590">
        <v>0</v>
      </c>
      <c r="AH272" s="604">
        <v>0</v>
      </c>
      <c r="AI272" s="610">
        <v>0</v>
      </c>
      <c r="AJ272" s="610">
        <v>0</v>
      </c>
      <c r="AK272" s="629"/>
      <c r="AL272" s="531" t="s">
        <v>1680</v>
      </c>
      <c r="AM272" s="448">
        <v>191649</v>
      </c>
      <c r="AN272" s="612">
        <v>167.67</v>
      </c>
      <c r="AO272" s="847" t="s">
        <v>2172</v>
      </c>
      <c r="AP272" s="37">
        <v>441.25</v>
      </c>
      <c r="AQ272" s="795">
        <f t="shared" si="29"/>
        <v>273.58000000000004</v>
      </c>
      <c r="AR272" s="835">
        <f t="shared" si="21"/>
        <v>0.62001133144475928</v>
      </c>
      <c r="AS272" s="821"/>
      <c r="AT272" s="514" t="s">
        <v>1254</v>
      </c>
      <c r="AU272" s="448">
        <v>2</v>
      </c>
      <c r="AV272" s="448"/>
      <c r="AW272" s="448"/>
      <c r="AX272" s="612">
        <v>0</v>
      </c>
      <c r="AY272" s="448"/>
      <c r="AZ272" s="612">
        <v>8.6</v>
      </c>
      <c r="BA272" s="256" t="s">
        <v>47</v>
      </c>
      <c r="BB272" s="41">
        <v>0</v>
      </c>
      <c r="BC272" s="448"/>
      <c r="BD272" s="448"/>
      <c r="BE272" s="448"/>
      <c r="BF272" s="448"/>
      <c r="BG272" s="448"/>
      <c r="BH272" s="221"/>
      <c r="BI272" s="221"/>
      <c r="BJ272" s="221"/>
      <c r="BK272" s="221"/>
      <c r="BL272" s="221"/>
      <c r="BM272" s="221"/>
      <c r="BN272" s="221"/>
      <c r="BO272" s="221"/>
      <c r="BP272" s="221"/>
      <c r="BQ272" s="221"/>
      <c r="BR272" s="221"/>
      <c r="BS272" s="221"/>
      <c r="BT272" s="221"/>
      <c r="BU272" s="221"/>
      <c r="BV272" s="221"/>
      <c r="BW272" s="221"/>
      <c r="BX272" s="221"/>
      <c r="BY272" s="221"/>
      <c r="BZ272" s="221"/>
      <c r="CA272" s="221"/>
      <c r="CB272" s="221"/>
      <c r="CC272" s="221"/>
      <c r="CD272" s="221"/>
      <c r="CE272" s="221"/>
      <c r="CF272" s="221"/>
      <c r="CG272" s="221"/>
      <c r="CH272" s="221"/>
      <c r="CI272" s="221"/>
      <c r="CJ272" s="221"/>
      <c r="CK272" s="221"/>
      <c r="CL272" s="221"/>
      <c r="CM272" s="221"/>
      <c r="CN272" s="221"/>
      <c r="CO272" s="221"/>
      <c r="CP272" s="221"/>
      <c r="CQ272" s="221"/>
      <c r="CR272" s="221"/>
      <c r="CS272" s="221"/>
      <c r="CT272" s="221"/>
      <c r="CU272" s="221"/>
      <c r="CV272" s="221"/>
      <c r="CW272" s="221"/>
      <c r="CX272" s="221"/>
      <c r="CY272" s="221"/>
      <c r="CZ272" s="221"/>
      <c r="DA272" s="221"/>
      <c r="DB272" s="221"/>
      <c r="DC272" s="221"/>
      <c r="DD272" s="221"/>
      <c r="DE272" s="221"/>
      <c r="DF272" s="221"/>
      <c r="DG272" s="221"/>
      <c r="DH272" s="221"/>
      <c r="DI272" s="221"/>
      <c r="DJ272" s="221"/>
      <c r="DK272" s="221"/>
      <c r="DL272" s="221"/>
      <c r="DM272" s="221"/>
      <c r="DN272" s="221"/>
      <c r="DO272" s="221"/>
      <c r="DP272" s="221"/>
      <c r="DQ272" s="221"/>
      <c r="DR272" s="221"/>
      <c r="DS272" s="221"/>
      <c r="DT272" s="221"/>
      <c r="DU272" s="221"/>
      <c r="DV272" s="221"/>
      <c r="DW272" s="221"/>
      <c r="DX272" s="221"/>
      <c r="DY272" s="221"/>
      <c r="DZ272" s="221"/>
      <c r="EA272" s="221"/>
      <c r="EB272" s="221"/>
      <c r="EC272" s="221"/>
      <c r="ED272" s="221"/>
      <c r="EE272" s="221"/>
      <c r="EF272" s="221"/>
      <c r="EG272" s="221"/>
      <c r="EH272" s="221"/>
      <c r="EI272" s="221"/>
      <c r="EJ272" s="221"/>
      <c r="EK272" s="221"/>
      <c r="EL272" s="221"/>
      <c r="EM272" s="221"/>
      <c r="EN272" s="221"/>
      <c r="EO272" s="221"/>
      <c r="EP272" s="221"/>
      <c r="EQ272" s="221"/>
      <c r="ER272" s="221"/>
      <c r="ES272" s="221"/>
      <c r="ET272" s="221"/>
      <c r="EU272" s="221"/>
      <c r="EV272" s="221"/>
      <c r="EW272" s="221"/>
      <c r="EX272" s="221"/>
      <c r="EY272" s="221"/>
      <c r="EZ272" s="221"/>
      <c r="FA272" s="221"/>
      <c r="FB272" s="221"/>
      <c r="FC272" s="221"/>
      <c r="FD272" s="221"/>
      <c r="FE272" s="221"/>
      <c r="FF272" s="221"/>
      <c r="FG272" s="221"/>
      <c r="FH272" s="221"/>
      <c r="FI272" s="221"/>
      <c r="FJ272" s="221"/>
      <c r="FK272" s="221"/>
      <c r="FL272" s="221"/>
      <c r="FM272" s="221"/>
      <c r="FN272" s="221"/>
      <c r="FO272" s="221"/>
      <c r="FP272" s="221"/>
      <c r="FQ272" s="221"/>
      <c r="FR272" s="221"/>
      <c r="FS272" s="221"/>
      <c r="FT272" s="221"/>
      <c r="FU272" s="221"/>
      <c r="FV272" s="221"/>
      <c r="FW272" s="221"/>
      <c r="FX272" s="221"/>
      <c r="FY272" s="221"/>
      <c r="FZ272" s="221"/>
      <c r="GA272" s="221"/>
      <c r="GB272" s="221"/>
      <c r="GC272" s="221"/>
      <c r="GD272" s="221"/>
      <c r="GE272" s="221"/>
      <c r="GF272" s="221"/>
      <c r="GG272" s="221"/>
      <c r="GH272" s="221"/>
      <c r="GI272" s="221"/>
      <c r="GJ272" s="221"/>
      <c r="GK272" s="221"/>
      <c r="GL272" s="221"/>
      <c r="GM272" s="221"/>
      <c r="GN272" s="221"/>
      <c r="GO272" s="221"/>
      <c r="GP272" s="221"/>
      <c r="GQ272" s="221"/>
      <c r="GR272" s="221"/>
      <c r="GS272" s="221"/>
      <c r="GT272" s="221"/>
      <c r="GU272" s="221"/>
      <c r="GV272" s="221"/>
      <c r="GW272" s="221"/>
      <c r="GX272" s="221"/>
      <c r="GY272" s="221"/>
      <c r="GZ272" s="221"/>
      <c r="HA272" s="221"/>
      <c r="HB272" s="221"/>
      <c r="HC272" s="221"/>
      <c r="HD272" s="221"/>
      <c r="HE272" s="221"/>
      <c r="HF272" s="221"/>
      <c r="HG272" s="221"/>
      <c r="HH272" s="221"/>
      <c r="HI272" s="221"/>
      <c r="HJ272" s="221"/>
      <c r="HK272" s="221"/>
      <c r="HL272" s="221"/>
      <c r="HM272" s="221"/>
      <c r="HN272" s="221"/>
      <c r="HO272" s="221"/>
      <c r="HP272" s="221"/>
      <c r="HQ272" s="221"/>
      <c r="HR272" s="221"/>
      <c r="HS272" s="221"/>
      <c r="HT272" s="221"/>
      <c r="HU272" s="221"/>
      <c r="HV272" s="221"/>
      <c r="HW272" s="221"/>
      <c r="HX272" s="221"/>
      <c r="HY272" s="221"/>
      <c r="HZ272" s="221"/>
      <c r="IA272" s="221"/>
      <c r="IB272" s="221"/>
      <c r="IC272" s="221"/>
      <c r="ID272" s="221"/>
      <c r="IE272" s="221"/>
      <c r="IF272" s="221"/>
      <c r="IG272" s="221"/>
      <c r="IH272" s="221"/>
      <c r="II272" s="221"/>
      <c r="IJ272" s="221"/>
      <c r="IK272" s="221"/>
      <c r="IL272" s="221"/>
      <c r="IM272" s="221"/>
      <c r="IN272" s="221"/>
      <c r="IO272" s="221"/>
      <c r="IP272" s="221"/>
      <c r="IQ272" s="221"/>
      <c r="IR272" s="221"/>
      <c r="IS272" s="221"/>
      <c r="IT272" s="221"/>
      <c r="IU272" s="221"/>
      <c r="IV272" s="221"/>
      <c r="IW272" s="221"/>
      <c r="IX272" s="221"/>
      <c r="IY272" s="221"/>
      <c r="IZ272" s="221"/>
      <c r="JA272" s="221"/>
      <c r="JB272" s="221"/>
      <c r="JC272" s="221"/>
      <c r="JD272" s="221"/>
      <c r="JE272" s="221"/>
      <c r="JF272" s="221"/>
      <c r="JG272" s="221"/>
      <c r="JH272" s="221"/>
      <c r="JI272" s="221"/>
      <c r="JJ272" s="221"/>
      <c r="JK272" s="221"/>
      <c r="JL272" s="221"/>
      <c r="JM272" s="221"/>
      <c r="JN272" s="221"/>
      <c r="JO272" s="221"/>
      <c r="JP272" s="221"/>
      <c r="JQ272" s="221"/>
    </row>
    <row r="273" spans="1:277" ht="20" customHeight="1" outlineLevel="1">
      <c r="A273" s="456">
        <v>190622</v>
      </c>
      <c r="B273" s="439">
        <v>42166</v>
      </c>
      <c r="C273" s="448" t="s">
        <v>67</v>
      </c>
      <c r="D273" s="448" t="s">
        <v>1259</v>
      </c>
      <c r="E273" s="538" t="s">
        <v>60</v>
      </c>
      <c r="F273" s="530" t="s">
        <v>47</v>
      </c>
      <c r="G273" s="448" t="s">
        <v>2055</v>
      </c>
      <c r="H273" s="448" t="s">
        <v>1314</v>
      </c>
      <c r="I273" s="443">
        <v>192443</v>
      </c>
      <c r="J273" s="837" t="s">
        <v>62</v>
      </c>
      <c r="K273" s="448" t="s">
        <v>50</v>
      </c>
      <c r="L273" s="448"/>
      <c r="M273" s="448"/>
      <c r="N273" s="448" t="s">
        <v>350</v>
      </c>
      <c r="O273" s="448" t="s">
        <v>2052</v>
      </c>
      <c r="P273" s="516"/>
      <c r="Q273" s="629"/>
      <c r="R273" s="589">
        <v>0</v>
      </c>
      <c r="S273" s="590">
        <v>0</v>
      </c>
      <c r="T273" s="604">
        <v>0</v>
      </c>
      <c r="U273" s="596">
        <v>0</v>
      </c>
      <c r="V273" s="590">
        <v>0</v>
      </c>
      <c r="W273" s="604">
        <v>0</v>
      </c>
      <c r="X273" s="596">
        <v>0</v>
      </c>
      <c r="Y273" s="590">
        <v>0</v>
      </c>
      <c r="Z273" s="604">
        <v>0</v>
      </c>
      <c r="AA273" s="596">
        <v>0</v>
      </c>
      <c r="AB273" s="590">
        <v>0</v>
      </c>
      <c r="AC273" s="604">
        <v>0</v>
      </c>
      <c r="AD273" s="596">
        <v>0</v>
      </c>
      <c r="AE273" s="596">
        <v>5</v>
      </c>
      <c r="AF273" s="596">
        <v>0</v>
      </c>
      <c r="AG273" s="590">
        <v>0</v>
      </c>
      <c r="AH273" s="604">
        <v>0</v>
      </c>
      <c r="AI273" s="610">
        <v>0</v>
      </c>
      <c r="AJ273" s="610">
        <v>0</v>
      </c>
      <c r="AK273" s="629"/>
      <c r="AL273" s="530" t="s">
        <v>1725</v>
      </c>
      <c r="AM273" s="448">
        <v>191484</v>
      </c>
      <c r="AN273" s="612">
        <v>78.75</v>
      </c>
      <c r="AO273" s="825" t="s">
        <v>2053</v>
      </c>
      <c r="AP273" s="37">
        <v>223.5</v>
      </c>
      <c r="AQ273" s="795">
        <f t="shared" si="29"/>
        <v>144.75</v>
      </c>
      <c r="AR273" s="835">
        <f t="shared" si="21"/>
        <v>0.6476510067114094</v>
      </c>
      <c r="AS273" s="821"/>
      <c r="AT273" s="448" t="s">
        <v>1254</v>
      </c>
      <c r="AU273" s="448">
        <v>1</v>
      </c>
      <c r="AV273" s="448" t="s">
        <v>2054</v>
      </c>
      <c r="AW273" s="448">
        <v>5</v>
      </c>
      <c r="AX273" s="612">
        <v>0</v>
      </c>
      <c r="AY273" s="448">
        <v>0</v>
      </c>
      <c r="AZ273" s="612">
        <v>9.2899999999999991</v>
      </c>
      <c r="BA273" s="256" t="s">
        <v>47</v>
      </c>
      <c r="BB273" s="41">
        <v>0</v>
      </c>
      <c r="BC273" s="448"/>
      <c r="BD273" s="448"/>
      <c r="BE273" s="448"/>
      <c r="BF273" s="448"/>
      <c r="BG273" s="448"/>
      <c r="BH273" s="221"/>
      <c r="BI273" s="221"/>
      <c r="BJ273" s="221"/>
      <c r="BK273" s="221"/>
      <c r="BL273" s="221"/>
      <c r="BM273" s="221"/>
      <c r="BN273" s="221"/>
      <c r="BO273" s="221"/>
      <c r="BP273" s="221"/>
      <c r="BQ273" s="221"/>
      <c r="BR273" s="221"/>
      <c r="BS273" s="221"/>
      <c r="BT273" s="221"/>
      <c r="BU273" s="221"/>
      <c r="BV273" s="221"/>
      <c r="BW273" s="221"/>
      <c r="BX273" s="221"/>
      <c r="BY273" s="221"/>
      <c r="BZ273" s="221"/>
      <c r="CA273" s="221"/>
      <c r="CB273" s="221"/>
      <c r="CC273" s="221"/>
      <c r="CD273" s="221"/>
      <c r="CE273" s="221"/>
      <c r="CF273" s="221"/>
      <c r="CG273" s="221"/>
      <c r="CH273" s="221"/>
      <c r="CI273" s="221"/>
      <c r="CJ273" s="221"/>
      <c r="CK273" s="221"/>
      <c r="CL273" s="221"/>
      <c r="CM273" s="221"/>
      <c r="CN273" s="221"/>
      <c r="CO273" s="221"/>
      <c r="CP273" s="221"/>
      <c r="CQ273" s="221"/>
      <c r="CR273" s="221"/>
      <c r="CS273" s="221"/>
      <c r="CT273" s="221"/>
      <c r="CU273" s="221"/>
      <c r="CV273" s="221"/>
      <c r="CW273" s="221"/>
      <c r="CX273" s="221"/>
      <c r="CY273" s="221"/>
      <c r="CZ273" s="221"/>
      <c r="DA273" s="221"/>
      <c r="DB273" s="221"/>
      <c r="DC273" s="221"/>
      <c r="DD273" s="221"/>
      <c r="DE273" s="221"/>
      <c r="DF273" s="221"/>
      <c r="DG273" s="221"/>
      <c r="DH273" s="221"/>
      <c r="DI273" s="221"/>
      <c r="DJ273" s="221"/>
      <c r="DK273" s="221"/>
      <c r="DL273" s="221"/>
      <c r="DM273" s="221"/>
      <c r="DN273" s="221"/>
      <c r="DO273" s="221"/>
      <c r="DP273" s="221"/>
      <c r="DQ273" s="221"/>
      <c r="DR273" s="221"/>
      <c r="DS273" s="221"/>
      <c r="DT273" s="221"/>
      <c r="DU273" s="221"/>
      <c r="DV273" s="221"/>
      <c r="DW273" s="221"/>
      <c r="DX273" s="221"/>
      <c r="DY273" s="221"/>
      <c r="DZ273" s="221"/>
      <c r="EA273" s="221"/>
      <c r="EB273" s="221"/>
      <c r="EC273" s="221"/>
      <c r="ED273" s="221"/>
      <c r="EE273" s="221"/>
      <c r="EF273" s="221"/>
      <c r="EG273" s="221"/>
      <c r="EH273" s="221"/>
      <c r="EI273" s="221"/>
      <c r="EJ273" s="221"/>
      <c r="EK273" s="221"/>
      <c r="EL273" s="221"/>
      <c r="EM273" s="221"/>
      <c r="EN273" s="221"/>
      <c r="EO273" s="221"/>
      <c r="EP273" s="221"/>
      <c r="EQ273" s="221"/>
      <c r="ER273" s="221"/>
      <c r="ES273" s="221"/>
      <c r="ET273" s="221"/>
      <c r="EU273" s="221"/>
      <c r="EV273" s="221"/>
      <c r="EW273" s="221"/>
      <c r="EX273" s="221"/>
      <c r="EY273" s="221"/>
      <c r="EZ273" s="221"/>
      <c r="FA273" s="221"/>
      <c r="FB273" s="221"/>
      <c r="FC273" s="221"/>
      <c r="FD273" s="221"/>
      <c r="FE273" s="221"/>
      <c r="FF273" s="221"/>
      <c r="FG273" s="221"/>
      <c r="FH273" s="221"/>
      <c r="FI273" s="221"/>
      <c r="FJ273" s="221"/>
      <c r="FK273" s="221"/>
      <c r="FL273" s="221"/>
      <c r="FM273" s="221"/>
      <c r="FN273" s="221"/>
      <c r="FO273" s="221"/>
      <c r="FP273" s="221"/>
      <c r="FQ273" s="221"/>
      <c r="FR273" s="221"/>
      <c r="FS273" s="221"/>
      <c r="FT273" s="221"/>
      <c r="FU273" s="221"/>
      <c r="FV273" s="221"/>
      <c r="FW273" s="221"/>
      <c r="FX273" s="221"/>
      <c r="FY273" s="221"/>
      <c r="FZ273" s="221"/>
      <c r="GA273" s="221"/>
      <c r="GB273" s="221"/>
      <c r="GC273" s="221"/>
      <c r="GD273" s="221"/>
      <c r="GE273" s="221"/>
      <c r="GF273" s="221"/>
      <c r="GG273" s="221"/>
      <c r="GH273" s="221"/>
      <c r="GI273" s="221"/>
      <c r="GJ273" s="221"/>
      <c r="GK273" s="221"/>
      <c r="GL273" s="221"/>
      <c r="GM273" s="221"/>
      <c r="GN273" s="221"/>
      <c r="GO273" s="221"/>
      <c r="GP273" s="221"/>
      <c r="GQ273" s="221"/>
      <c r="GR273" s="221"/>
      <c r="GS273" s="221"/>
      <c r="GT273" s="221"/>
      <c r="GU273" s="221"/>
      <c r="GV273" s="221"/>
      <c r="GW273" s="221"/>
      <c r="GX273" s="221"/>
      <c r="GY273" s="221"/>
      <c r="GZ273" s="221"/>
      <c r="HA273" s="221"/>
      <c r="HB273" s="221"/>
      <c r="HC273" s="221"/>
      <c r="HD273" s="221"/>
      <c r="HE273" s="221"/>
      <c r="HF273" s="221"/>
      <c r="HG273" s="221"/>
      <c r="HH273" s="221"/>
      <c r="HI273" s="221"/>
      <c r="HJ273" s="221"/>
      <c r="HK273" s="221"/>
      <c r="HL273" s="221"/>
      <c r="HM273" s="221"/>
      <c r="HN273" s="221"/>
      <c r="HO273" s="221"/>
      <c r="HP273" s="221"/>
      <c r="HQ273" s="221"/>
      <c r="HR273" s="221"/>
      <c r="HS273" s="221"/>
      <c r="HT273" s="221"/>
      <c r="HU273" s="221"/>
      <c r="HV273" s="221"/>
      <c r="HW273" s="221"/>
      <c r="HX273" s="221"/>
      <c r="HY273" s="221"/>
      <c r="HZ273" s="221"/>
      <c r="IA273" s="221"/>
      <c r="IB273" s="221"/>
      <c r="IC273" s="221"/>
      <c r="ID273" s="221"/>
      <c r="IE273" s="221"/>
      <c r="IF273" s="221"/>
      <c r="IG273" s="221"/>
      <c r="IH273" s="221"/>
      <c r="II273" s="221"/>
      <c r="IJ273" s="221"/>
      <c r="IK273" s="221"/>
      <c r="IL273" s="221"/>
      <c r="IM273" s="221"/>
      <c r="IN273" s="221"/>
      <c r="IO273" s="221"/>
      <c r="IP273" s="221"/>
      <c r="IQ273" s="221"/>
      <c r="IR273" s="221"/>
      <c r="IS273" s="221"/>
      <c r="IT273" s="221"/>
      <c r="IU273" s="221"/>
      <c r="IV273" s="221"/>
      <c r="IW273" s="221"/>
      <c r="IX273" s="221"/>
      <c r="IY273" s="221"/>
      <c r="IZ273" s="221"/>
      <c r="JA273" s="221"/>
      <c r="JB273" s="221"/>
      <c r="JC273" s="221"/>
      <c r="JD273" s="221"/>
      <c r="JE273" s="221"/>
      <c r="JF273" s="221"/>
      <c r="JG273" s="221"/>
      <c r="JH273" s="221"/>
      <c r="JI273" s="221"/>
      <c r="JJ273" s="221"/>
      <c r="JK273" s="221"/>
      <c r="JL273" s="221"/>
      <c r="JM273" s="221"/>
      <c r="JN273" s="221"/>
      <c r="JO273" s="221"/>
      <c r="JP273" s="221"/>
      <c r="JQ273" s="221"/>
    </row>
    <row r="274" spans="1:277" ht="20" customHeight="1" outlineLevel="1">
      <c r="A274" s="482">
        <v>190622</v>
      </c>
      <c r="B274" s="439">
        <v>42168</v>
      </c>
      <c r="C274" s="448" t="s">
        <v>59</v>
      </c>
      <c r="D274" s="448" t="s">
        <v>1259</v>
      </c>
      <c r="E274" s="538" t="s">
        <v>60</v>
      </c>
      <c r="F274" s="530" t="s">
        <v>47</v>
      </c>
      <c r="G274" s="448" t="s">
        <v>2147</v>
      </c>
      <c r="H274" s="448"/>
      <c r="I274" s="443" t="s">
        <v>155</v>
      </c>
      <c r="J274" s="837" t="s">
        <v>1269</v>
      </c>
      <c r="K274" s="448" t="s">
        <v>50</v>
      </c>
      <c r="L274" s="448"/>
      <c r="M274" s="448"/>
      <c r="N274" s="448" t="s">
        <v>59</v>
      </c>
      <c r="O274" s="448" t="s">
        <v>2148</v>
      </c>
      <c r="P274" s="516"/>
      <c r="Q274" s="629"/>
      <c r="R274" s="589">
        <v>0</v>
      </c>
      <c r="S274" s="590">
        <v>0</v>
      </c>
      <c r="T274" s="604">
        <v>30</v>
      </c>
      <c r="U274" s="596">
        <v>0</v>
      </c>
      <c r="V274" s="590">
        <v>0</v>
      </c>
      <c r="W274" s="604">
        <v>0</v>
      </c>
      <c r="X274" s="596">
        <v>2</v>
      </c>
      <c r="Y274" s="590">
        <v>0</v>
      </c>
      <c r="Z274" s="604">
        <v>0</v>
      </c>
      <c r="AA274" s="596">
        <v>0</v>
      </c>
      <c r="AB274" s="590">
        <v>0</v>
      </c>
      <c r="AC274" s="604">
        <v>0</v>
      </c>
      <c r="AD274" s="596">
        <v>3</v>
      </c>
      <c r="AE274" s="596">
        <v>0</v>
      </c>
      <c r="AF274" s="596">
        <v>0</v>
      </c>
      <c r="AG274" s="590">
        <v>0</v>
      </c>
      <c r="AH274" s="604">
        <v>110</v>
      </c>
      <c r="AI274" s="610">
        <v>0</v>
      </c>
      <c r="AJ274" s="610">
        <v>0</v>
      </c>
      <c r="AK274" s="629"/>
      <c r="AL274" s="530"/>
      <c r="AM274" s="448"/>
      <c r="AN274" s="612"/>
      <c r="AO274" s="846"/>
      <c r="AP274" s="37"/>
      <c r="AQ274" s="795"/>
      <c r="AR274" s="835"/>
      <c r="AS274" s="821"/>
      <c r="AT274" s="448"/>
      <c r="AU274" s="448"/>
      <c r="AV274" s="448"/>
      <c r="AW274" s="448"/>
      <c r="AX274" s="612"/>
      <c r="AY274" s="448"/>
      <c r="AZ274" s="612"/>
      <c r="BA274" s="256"/>
      <c r="BB274" s="41"/>
      <c r="BC274" s="448"/>
      <c r="BD274" s="448"/>
      <c r="BE274" s="448"/>
      <c r="BF274" s="448"/>
      <c r="BG274" s="448"/>
      <c r="BH274" s="221"/>
      <c r="BI274" s="221"/>
      <c r="BJ274" s="221"/>
      <c r="BK274" s="221"/>
      <c r="BL274" s="221"/>
      <c r="BM274" s="221"/>
      <c r="BN274" s="221"/>
      <c r="BO274" s="221"/>
      <c r="BP274" s="221"/>
      <c r="BQ274" s="221"/>
      <c r="BR274" s="221"/>
      <c r="BS274" s="221"/>
      <c r="BT274" s="221"/>
      <c r="BU274" s="221"/>
      <c r="BV274" s="221"/>
      <c r="BW274" s="221"/>
      <c r="BX274" s="221"/>
      <c r="BY274" s="221"/>
      <c r="BZ274" s="221"/>
      <c r="CA274" s="221"/>
      <c r="CB274" s="221"/>
      <c r="CC274" s="221"/>
      <c r="CD274" s="221"/>
      <c r="CE274" s="221"/>
      <c r="CF274" s="221"/>
      <c r="CG274" s="221"/>
      <c r="CH274" s="221"/>
      <c r="CI274" s="221"/>
      <c r="CJ274" s="221"/>
      <c r="CK274" s="221"/>
      <c r="CL274" s="221"/>
      <c r="CM274" s="221"/>
      <c r="CN274" s="221"/>
      <c r="CO274" s="221"/>
      <c r="CP274" s="221"/>
      <c r="CQ274" s="221"/>
      <c r="CR274" s="221"/>
      <c r="CS274" s="221"/>
      <c r="CT274" s="221"/>
      <c r="CU274" s="221"/>
      <c r="CV274" s="221"/>
      <c r="CW274" s="221"/>
      <c r="CX274" s="221"/>
      <c r="CY274" s="221"/>
      <c r="CZ274" s="221"/>
      <c r="DA274" s="221"/>
      <c r="DB274" s="221"/>
      <c r="DC274" s="221"/>
      <c r="DD274" s="221"/>
      <c r="DE274" s="221"/>
      <c r="DF274" s="221"/>
      <c r="DG274" s="221"/>
      <c r="DH274" s="221"/>
      <c r="DI274" s="221"/>
      <c r="DJ274" s="221"/>
      <c r="DK274" s="221"/>
      <c r="DL274" s="221"/>
      <c r="DM274" s="221"/>
      <c r="DN274" s="221"/>
      <c r="DO274" s="221"/>
      <c r="DP274" s="221"/>
      <c r="DQ274" s="221"/>
      <c r="DR274" s="221"/>
      <c r="DS274" s="221"/>
      <c r="DT274" s="221"/>
      <c r="DU274" s="221"/>
      <c r="DV274" s="221"/>
      <c r="DW274" s="221"/>
      <c r="DX274" s="221"/>
      <c r="DY274" s="221"/>
      <c r="DZ274" s="221"/>
      <c r="EA274" s="221"/>
      <c r="EB274" s="221"/>
      <c r="EC274" s="221"/>
      <c r="ED274" s="221"/>
      <c r="EE274" s="221"/>
      <c r="EF274" s="221"/>
      <c r="EG274" s="221"/>
      <c r="EH274" s="221"/>
      <c r="EI274" s="221"/>
      <c r="EJ274" s="221"/>
      <c r="EK274" s="221"/>
      <c r="EL274" s="221"/>
      <c r="EM274" s="221"/>
      <c r="EN274" s="221"/>
      <c r="EO274" s="221"/>
      <c r="EP274" s="221"/>
      <c r="EQ274" s="221"/>
      <c r="ER274" s="221"/>
      <c r="ES274" s="221"/>
      <c r="ET274" s="221"/>
      <c r="EU274" s="221"/>
      <c r="EV274" s="221"/>
      <c r="EW274" s="221"/>
      <c r="EX274" s="221"/>
      <c r="EY274" s="221"/>
      <c r="EZ274" s="221"/>
      <c r="FA274" s="221"/>
      <c r="FB274" s="221"/>
      <c r="FC274" s="221"/>
      <c r="FD274" s="221"/>
      <c r="FE274" s="221"/>
      <c r="FF274" s="221"/>
      <c r="FG274" s="221"/>
      <c r="FH274" s="221"/>
      <c r="FI274" s="221"/>
      <c r="FJ274" s="221"/>
      <c r="FK274" s="221"/>
      <c r="FL274" s="221"/>
      <c r="FM274" s="221"/>
      <c r="FN274" s="221"/>
      <c r="FO274" s="221"/>
      <c r="FP274" s="221"/>
      <c r="FQ274" s="221"/>
      <c r="FR274" s="221"/>
      <c r="FS274" s="221"/>
      <c r="FT274" s="221"/>
      <c r="FU274" s="221"/>
      <c r="FV274" s="221"/>
      <c r="FW274" s="221"/>
      <c r="FX274" s="221"/>
      <c r="FY274" s="221"/>
      <c r="FZ274" s="221"/>
      <c r="GA274" s="221"/>
      <c r="GB274" s="221"/>
      <c r="GC274" s="221"/>
      <c r="GD274" s="221"/>
      <c r="GE274" s="221"/>
      <c r="GF274" s="221"/>
      <c r="GG274" s="221"/>
      <c r="GH274" s="221"/>
      <c r="GI274" s="221"/>
      <c r="GJ274" s="221"/>
      <c r="GK274" s="221"/>
      <c r="GL274" s="221"/>
      <c r="GM274" s="221"/>
      <c r="GN274" s="221"/>
      <c r="GO274" s="221"/>
      <c r="GP274" s="221"/>
      <c r="GQ274" s="221"/>
      <c r="GR274" s="221"/>
      <c r="GS274" s="221"/>
      <c r="GT274" s="221"/>
      <c r="GU274" s="221"/>
      <c r="GV274" s="221"/>
      <c r="GW274" s="221"/>
      <c r="GX274" s="221"/>
      <c r="GY274" s="221"/>
      <c r="GZ274" s="221"/>
      <c r="HA274" s="221"/>
      <c r="HB274" s="221"/>
      <c r="HC274" s="221"/>
      <c r="HD274" s="221"/>
      <c r="HE274" s="221"/>
      <c r="HF274" s="221"/>
      <c r="HG274" s="221"/>
      <c r="HH274" s="221"/>
      <c r="HI274" s="221"/>
      <c r="HJ274" s="221"/>
      <c r="HK274" s="221"/>
      <c r="HL274" s="221"/>
      <c r="HM274" s="221"/>
      <c r="HN274" s="221"/>
      <c r="HO274" s="221"/>
      <c r="HP274" s="221"/>
      <c r="HQ274" s="221"/>
      <c r="HR274" s="221"/>
      <c r="HS274" s="221"/>
      <c r="HT274" s="221"/>
      <c r="HU274" s="221"/>
      <c r="HV274" s="221"/>
      <c r="HW274" s="221"/>
      <c r="HX274" s="221"/>
      <c r="HY274" s="221"/>
      <c r="HZ274" s="221"/>
      <c r="IA274" s="221"/>
      <c r="IB274" s="221"/>
      <c r="IC274" s="221"/>
      <c r="ID274" s="221"/>
      <c r="IE274" s="221"/>
      <c r="IF274" s="221"/>
      <c r="IG274" s="221"/>
      <c r="IH274" s="221"/>
      <c r="II274" s="221"/>
      <c r="IJ274" s="221"/>
      <c r="IK274" s="221"/>
      <c r="IL274" s="221"/>
      <c r="IM274" s="221"/>
      <c r="IN274" s="221"/>
      <c r="IO274" s="221"/>
      <c r="IP274" s="221"/>
      <c r="IQ274" s="221"/>
      <c r="IR274" s="221"/>
      <c r="IS274" s="221"/>
      <c r="IT274" s="221"/>
      <c r="IU274" s="221"/>
      <c r="IV274" s="221"/>
      <c r="IW274" s="221"/>
      <c r="IX274" s="221"/>
      <c r="IY274" s="221"/>
      <c r="IZ274" s="221"/>
      <c r="JA274" s="221"/>
      <c r="JB274" s="221"/>
      <c r="JC274" s="221"/>
      <c r="JD274" s="221"/>
      <c r="JE274" s="221"/>
      <c r="JF274" s="221"/>
      <c r="JG274" s="221"/>
      <c r="JH274" s="221"/>
      <c r="JI274" s="221"/>
      <c r="JJ274" s="221"/>
      <c r="JK274" s="221"/>
      <c r="JL274" s="221"/>
      <c r="JM274" s="221"/>
      <c r="JN274" s="221"/>
      <c r="JO274" s="221"/>
      <c r="JP274" s="221"/>
      <c r="JQ274" s="221"/>
    </row>
    <row r="275" spans="1:277" ht="20" customHeight="1" outlineLevel="1">
      <c r="A275" s="482">
        <v>190623</v>
      </c>
      <c r="B275" s="439">
        <v>42172</v>
      </c>
      <c r="C275" s="448" t="s">
        <v>44</v>
      </c>
      <c r="D275" s="448" t="s">
        <v>1259</v>
      </c>
      <c r="E275" s="538" t="s">
        <v>2056</v>
      </c>
      <c r="F275" s="530" t="s">
        <v>2057</v>
      </c>
      <c r="G275" s="448" t="s">
        <v>2081</v>
      </c>
      <c r="H275" s="439">
        <v>42174</v>
      </c>
      <c r="I275" s="443" t="s">
        <v>155</v>
      </c>
      <c r="J275" s="837" t="s">
        <v>1269</v>
      </c>
      <c r="K275" s="448" t="s">
        <v>50</v>
      </c>
      <c r="L275" s="448"/>
      <c r="M275" s="448"/>
      <c r="N275" s="448" t="s">
        <v>502</v>
      </c>
      <c r="O275" s="448" t="s">
        <v>2058</v>
      </c>
      <c r="P275" s="516"/>
      <c r="Q275" s="629"/>
      <c r="R275" s="589">
        <v>0</v>
      </c>
      <c r="S275" s="590">
        <v>0</v>
      </c>
      <c r="T275" s="604">
        <v>0</v>
      </c>
      <c r="U275" s="596">
        <v>3</v>
      </c>
      <c r="V275" s="590">
        <v>0</v>
      </c>
      <c r="W275" s="604">
        <v>0</v>
      </c>
      <c r="X275" s="596">
        <v>0</v>
      </c>
      <c r="Y275" s="590">
        <v>0</v>
      </c>
      <c r="Z275" s="604">
        <v>0</v>
      </c>
      <c r="AA275" s="596">
        <v>0</v>
      </c>
      <c r="AB275" s="590">
        <v>0</v>
      </c>
      <c r="AC275" s="604">
        <v>0</v>
      </c>
      <c r="AD275" s="596">
        <v>0</v>
      </c>
      <c r="AE275" s="596">
        <v>0</v>
      </c>
      <c r="AF275" s="596">
        <v>0</v>
      </c>
      <c r="AG275" s="590">
        <v>0</v>
      </c>
      <c r="AH275" s="604">
        <v>0</v>
      </c>
      <c r="AI275" s="610">
        <v>0</v>
      </c>
      <c r="AJ275" s="610">
        <v>0</v>
      </c>
      <c r="AK275" s="629"/>
      <c r="AL275" s="531" t="s">
        <v>2031</v>
      </c>
      <c r="AM275" s="448"/>
      <c r="AN275" s="612"/>
      <c r="AO275" s="462"/>
      <c r="AP275" s="37"/>
      <c r="AQ275" s="795">
        <f t="shared" si="29"/>
        <v>0</v>
      </c>
      <c r="AR275" s="835" t="e">
        <f t="shared" si="21"/>
        <v>#DIV/0!</v>
      </c>
      <c r="AS275" s="821"/>
      <c r="AT275" s="448"/>
      <c r="AU275" s="448"/>
      <c r="AV275" s="448"/>
      <c r="AW275" s="448"/>
      <c r="AX275" s="612"/>
      <c r="AY275" s="448"/>
      <c r="AZ275" s="612"/>
      <c r="BA275" s="256" t="s">
        <v>47</v>
      </c>
      <c r="BB275" s="41">
        <v>0</v>
      </c>
      <c r="BC275" s="448"/>
      <c r="BD275" s="448"/>
      <c r="BE275" s="448"/>
      <c r="BF275" s="448"/>
      <c r="BG275" s="448"/>
      <c r="BH275" s="221"/>
      <c r="BI275" s="221"/>
      <c r="BJ275" s="221"/>
      <c r="BK275" s="221"/>
      <c r="BL275" s="221"/>
      <c r="BM275" s="221"/>
      <c r="BN275" s="221"/>
      <c r="BO275" s="221"/>
      <c r="BP275" s="221"/>
      <c r="BQ275" s="221"/>
      <c r="BR275" s="221"/>
      <c r="BS275" s="221"/>
      <c r="BT275" s="221"/>
      <c r="BU275" s="221"/>
      <c r="BV275" s="221"/>
      <c r="BW275" s="221"/>
      <c r="BX275" s="221"/>
      <c r="BY275" s="221"/>
      <c r="BZ275" s="221"/>
      <c r="CA275" s="221"/>
      <c r="CB275" s="221"/>
      <c r="CC275" s="221"/>
      <c r="CD275" s="221"/>
      <c r="CE275" s="221"/>
      <c r="CF275" s="221"/>
      <c r="CG275" s="221"/>
      <c r="CH275" s="221"/>
      <c r="CI275" s="221"/>
      <c r="CJ275" s="221"/>
      <c r="CK275" s="221"/>
      <c r="CL275" s="221"/>
      <c r="CM275" s="221"/>
      <c r="CN275" s="221"/>
      <c r="CO275" s="221"/>
      <c r="CP275" s="221"/>
      <c r="CQ275" s="221"/>
      <c r="CR275" s="221"/>
      <c r="CS275" s="221"/>
      <c r="CT275" s="221"/>
      <c r="CU275" s="221"/>
      <c r="CV275" s="221"/>
      <c r="CW275" s="221"/>
      <c r="CX275" s="221"/>
      <c r="CY275" s="221"/>
      <c r="CZ275" s="221"/>
      <c r="DA275" s="221"/>
      <c r="DB275" s="221"/>
      <c r="DC275" s="221"/>
      <c r="DD275" s="221"/>
      <c r="DE275" s="221"/>
      <c r="DF275" s="221"/>
      <c r="DG275" s="221"/>
      <c r="DH275" s="221"/>
      <c r="DI275" s="221"/>
      <c r="DJ275" s="221"/>
      <c r="DK275" s="221"/>
      <c r="DL275" s="221"/>
      <c r="DM275" s="221"/>
      <c r="DN275" s="221"/>
      <c r="DO275" s="221"/>
      <c r="DP275" s="221"/>
      <c r="DQ275" s="221"/>
      <c r="DR275" s="221"/>
      <c r="DS275" s="221"/>
      <c r="DT275" s="221"/>
      <c r="DU275" s="221"/>
      <c r="DV275" s="221"/>
      <c r="DW275" s="221"/>
      <c r="DX275" s="221"/>
      <c r="DY275" s="221"/>
      <c r="DZ275" s="221"/>
      <c r="EA275" s="221"/>
      <c r="EB275" s="221"/>
      <c r="EC275" s="221"/>
      <c r="ED275" s="221"/>
      <c r="EE275" s="221"/>
      <c r="EF275" s="221"/>
      <c r="EG275" s="221"/>
      <c r="EH275" s="221"/>
      <c r="EI275" s="221"/>
      <c r="EJ275" s="221"/>
      <c r="EK275" s="221"/>
      <c r="EL275" s="221"/>
      <c r="EM275" s="221"/>
      <c r="EN275" s="221"/>
      <c r="EO275" s="221"/>
      <c r="EP275" s="221"/>
      <c r="EQ275" s="221"/>
      <c r="ER275" s="221"/>
      <c r="ES275" s="221"/>
      <c r="ET275" s="221"/>
      <c r="EU275" s="221"/>
      <c r="EV275" s="221"/>
      <c r="EW275" s="221"/>
      <c r="EX275" s="221"/>
      <c r="EY275" s="221"/>
      <c r="EZ275" s="221"/>
      <c r="FA275" s="221"/>
      <c r="FB275" s="221"/>
      <c r="FC275" s="221"/>
      <c r="FD275" s="221"/>
      <c r="FE275" s="221"/>
      <c r="FF275" s="221"/>
      <c r="FG275" s="221"/>
      <c r="FH275" s="221"/>
      <c r="FI275" s="221"/>
      <c r="FJ275" s="221"/>
      <c r="FK275" s="221"/>
      <c r="FL275" s="221"/>
      <c r="FM275" s="221"/>
      <c r="FN275" s="221"/>
      <c r="FO275" s="221"/>
      <c r="FP275" s="221"/>
      <c r="FQ275" s="221"/>
      <c r="FR275" s="221"/>
      <c r="FS275" s="221"/>
      <c r="FT275" s="221"/>
      <c r="FU275" s="221"/>
      <c r="FV275" s="221"/>
      <c r="FW275" s="221"/>
      <c r="FX275" s="221"/>
      <c r="FY275" s="221"/>
      <c r="FZ275" s="221"/>
      <c r="GA275" s="221"/>
      <c r="GB275" s="221"/>
      <c r="GC275" s="221"/>
      <c r="GD275" s="221"/>
      <c r="GE275" s="221"/>
      <c r="GF275" s="221"/>
      <c r="GG275" s="221"/>
      <c r="GH275" s="221"/>
      <c r="GI275" s="221"/>
      <c r="GJ275" s="221"/>
      <c r="GK275" s="221"/>
      <c r="GL275" s="221"/>
      <c r="GM275" s="221"/>
      <c r="GN275" s="221"/>
      <c r="GO275" s="221"/>
      <c r="GP275" s="221"/>
      <c r="GQ275" s="221"/>
      <c r="GR275" s="221"/>
      <c r="GS275" s="221"/>
      <c r="GT275" s="221"/>
      <c r="GU275" s="221"/>
      <c r="GV275" s="221"/>
      <c r="GW275" s="221"/>
      <c r="GX275" s="221"/>
      <c r="GY275" s="221"/>
      <c r="GZ275" s="221"/>
      <c r="HA275" s="221"/>
      <c r="HB275" s="221"/>
      <c r="HC275" s="221"/>
      <c r="HD275" s="221"/>
      <c r="HE275" s="221"/>
      <c r="HF275" s="221"/>
      <c r="HG275" s="221"/>
      <c r="HH275" s="221"/>
      <c r="HI275" s="221"/>
      <c r="HJ275" s="221"/>
      <c r="HK275" s="221"/>
      <c r="HL275" s="221"/>
      <c r="HM275" s="221"/>
      <c r="HN275" s="221"/>
      <c r="HO275" s="221"/>
      <c r="HP275" s="221"/>
      <c r="HQ275" s="221"/>
      <c r="HR275" s="221"/>
      <c r="HS275" s="221"/>
      <c r="HT275" s="221"/>
      <c r="HU275" s="221"/>
      <c r="HV275" s="221"/>
      <c r="HW275" s="221"/>
      <c r="HX275" s="221"/>
      <c r="HY275" s="221"/>
      <c r="HZ275" s="221"/>
      <c r="IA275" s="221"/>
      <c r="IB275" s="221"/>
      <c r="IC275" s="221"/>
      <c r="ID275" s="221"/>
      <c r="IE275" s="221"/>
      <c r="IF275" s="221"/>
      <c r="IG275" s="221"/>
      <c r="IH275" s="221"/>
      <c r="II275" s="221"/>
      <c r="IJ275" s="221"/>
      <c r="IK275" s="221"/>
      <c r="IL275" s="221"/>
      <c r="IM275" s="221"/>
      <c r="IN275" s="221"/>
      <c r="IO275" s="221"/>
      <c r="IP275" s="221"/>
      <c r="IQ275" s="221"/>
      <c r="IR275" s="221"/>
      <c r="IS275" s="221"/>
      <c r="IT275" s="221"/>
      <c r="IU275" s="221"/>
      <c r="IV275" s="221"/>
      <c r="IW275" s="221"/>
      <c r="IX275" s="221"/>
      <c r="IY275" s="221"/>
      <c r="IZ275" s="221"/>
      <c r="JA275" s="221"/>
      <c r="JB275" s="221"/>
      <c r="JC275" s="221"/>
      <c r="JD275" s="221"/>
      <c r="JE275" s="221"/>
      <c r="JF275" s="221"/>
      <c r="JG275" s="221"/>
      <c r="JH275" s="221"/>
      <c r="JI275" s="221"/>
      <c r="JJ275" s="221"/>
      <c r="JK275" s="221"/>
      <c r="JL275" s="221"/>
      <c r="JM275" s="221"/>
      <c r="JN275" s="221"/>
      <c r="JO275" s="221"/>
      <c r="JP275" s="221"/>
      <c r="JQ275" s="221"/>
    </row>
    <row r="276" spans="1:277" ht="20" customHeight="1" outlineLevel="1">
      <c r="A276" s="482">
        <v>190624</v>
      </c>
      <c r="B276" s="439">
        <v>42172</v>
      </c>
      <c r="C276" s="514" t="s">
        <v>67</v>
      </c>
      <c r="D276" s="514" t="s">
        <v>1259</v>
      </c>
      <c r="E276" s="539" t="s">
        <v>146</v>
      </c>
      <c r="F276" s="531" t="s">
        <v>47</v>
      </c>
      <c r="G276" s="514" t="s">
        <v>1974</v>
      </c>
      <c r="H276" s="448"/>
      <c r="I276" s="443" t="s">
        <v>155</v>
      </c>
      <c r="J276" s="838" t="s">
        <v>62</v>
      </c>
      <c r="K276" s="514" t="s">
        <v>50</v>
      </c>
      <c r="L276" s="448"/>
      <c r="M276" s="448"/>
      <c r="N276" s="514" t="s">
        <v>2063</v>
      </c>
      <c r="O276" s="514" t="s">
        <v>147</v>
      </c>
      <c r="P276" s="801" t="s">
        <v>2062</v>
      </c>
      <c r="Q276" s="629"/>
      <c r="R276" s="589">
        <v>0</v>
      </c>
      <c r="S276" s="590">
        <v>0</v>
      </c>
      <c r="T276" s="604">
        <v>0</v>
      </c>
      <c r="U276" s="596">
        <v>0</v>
      </c>
      <c r="V276" s="590">
        <v>0</v>
      </c>
      <c r="W276" s="604">
        <v>0</v>
      </c>
      <c r="X276" s="596">
        <v>0</v>
      </c>
      <c r="Y276" s="590">
        <v>0</v>
      </c>
      <c r="Z276" s="604">
        <v>0</v>
      </c>
      <c r="AA276" s="596">
        <v>1</v>
      </c>
      <c r="AB276" s="590">
        <v>0</v>
      </c>
      <c r="AC276" s="604">
        <v>0</v>
      </c>
      <c r="AD276" s="596">
        <v>0</v>
      </c>
      <c r="AE276" s="596">
        <v>0</v>
      </c>
      <c r="AF276" s="596">
        <v>0</v>
      </c>
      <c r="AG276" s="590">
        <v>0</v>
      </c>
      <c r="AH276" s="604">
        <v>0</v>
      </c>
      <c r="AI276" s="610">
        <v>0</v>
      </c>
      <c r="AJ276" s="610">
        <v>0</v>
      </c>
      <c r="AK276" s="629"/>
      <c r="AL276" s="531" t="s">
        <v>1313</v>
      </c>
      <c r="AM276" s="448"/>
      <c r="AN276" s="612">
        <v>8</v>
      </c>
      <c r="AO276" s="444" t="s">
        <v>2091</v>
      </c>
      <c r="AP276" s="37">
        <v>20</v>
      </c>
      <c r="AQ276" s="795">
        <f t="shared" si="29"/>
        <v>12</v>
      </c>
      <c r="AR276" s="835">
        <f t="shared" si="21"/>
        <v>0.6</v>
      </c>
      <c r="AS276" s="821"/>
      <c r="AT276" s="448" t="s">
        <v>1254</v>
      </c>
      <c r="AU276" s="448">
        <v>1</v>
      </c>
      <c r="AV276" s="448"/>
      <c r="AW276" s="448"/>
      <c r="AX276" s="612">
        <v>0</v>
      </c>
      <c r="AY276" s="448" t="s">
        <v>118</v>
      </c>
      <c r="AZ276" s="612">
        <v>0</v>
      </c>
      <c r="BA276" s="256" t="s">
        <v>47</v>
      </c>
      <c r="BB276" s="41">
        <v>0</v>
      </c>
      <c r="BC276" s="448"/>
      <c r="BD276" s="448"/>
      <c r="BE276" s="448"/>
      <c r="BF276" s="448"/>
      <c r="BG276" s="448"/>
      <c r="BH276" s="221"/>
      <c r="BI276" s="221"/>
      <c r="BJ276" s="221"/>
      <c r="BK276" s="221"/>
      <c r="BL276" s="221"/>
      <c r="BM276" s="221"/>
      <c r="BN276" s="221"/>
      <c r="BO276" s="221"/>
      <c r="BP276" s="221"/>
      <c r="BQ276" s="221"/>
      <c r="BR276" s="221"/>
      <c r="BS276" s="221"/>
      <c r="BT276" s="221"/>
      <c r="BU276" s="221"/>
      <c r="BV276" s="221"/>
      <c r="BW276" s="221"/>
      <c r="BX276" s="221"/>
      <c r="BY276" s="221"/>
      <c r="BZ276" s="221"/>
      <c r="CA276" s="221"/>
      <c r="CB276" s="221"/>
      <c r="CC276" s="221"/>
      <c r="CD276" s="221"/>
      <c r="CE276" s="221"/>
      <c r="CF276" s="221"/>
      <c r="CG276" s="221"/>
      <c r="CH276" s="221"/>
      <c r="CI276" s="221"/>
      <c r="CJ276" s="221"/>
      <c r="CK276" s="221"/>
      <c r="CL276" s="221"/>
      <c r="CM276" s="221"/>
      <c r="CN276" s="221"/>
      <c r="CO276" s="221"/>
      <c r="CP276" s="221"/>
      <c r="CQ276" s="221"/>
      <c r="CR276" s="221"/>
      <c r="CS276" s="221"/>
      <c r="CT276" s="221"/>
      <c r="CU276" s="221"/>
      <c r="CV276" s="221"/>
      <c r="CW276" s="221"/>
      <c r="CX276" s="221"/>
      <c r="CY276" s="221"/>
      <c r="CZ276" s="221"/>
      <c r="DA276" s="221"/>
      <c r="DB276" s="221"/>
      <c r="DC276" s="221"/>
      <c r="DD276" s="221"/>
      <c r="DE276" s="221"/>
      <c r="DF276" s="221"/>
      <c r="DG276" s="221"/>
      <c r="DH276" s="221"/>
      <c r="DI276" s="221"/>
      <c r="DJ276" s="221"/>
      <c r="DK276" s="221"/>
      <c r="DL276" s="221"/>
      <c r="DM276" s="221"/>
      <c r="DN276" s="221"/>
      <c r="DO276" s="221"/>
      <c r="DP276" s="221"/>
      <c r="DQ276" s="221"/>
      <c r="DR276" s="221"/>
      <c r="DS276" s="221"/>
      <c r="DT276" s="221"/>
      <c r="DU276" s="221"/>
      <c r="DV276" s="221"/>
      <c r="DW276" s="221"/>
      <c r="DX276" s="221"/>
      <c r="DY276" s="221"/>
      <c r="DZ276" s="221"/>
      <c r="EA276" s="221"/>
      <c r="EB276" s="221"/>
      <c r="EC276" s="221"/>
      <c r="ED276" s="221"/>
      <c r="EE276" s="221"/>
      <c r="EF276" s="221"/>
      <c r="EG276" s="221"/>
      <c r="EH276" s="221"/>
      <c r="EI276" s="221"/>
      <c r="EJ276" s="221"/>
      <c r="EK276" s="221"/>
      <c r="EL276" s="221"/>
      <c r="EM276" s="221"/>
      <c r="EN276" s="221"/>
      <c r="EO276" s="221"/>
      <c r="EP276" s="221"/>
      <c r="EQ276" s="221"/>
      <c r="ER276" s="221"/>
      <c r="ES276" s="221"/>
      <c r="ET276" s="221"/>
      <c r="EU276" s="221"/>
      <c r="EV276" s="221"/>
      <c r="EW276" s="221"/>
      <c r="EX276" s="221"/>
      <c r="EY276" s="221"/>
      <c r="EZ276" s="221"/>
      <c r="FA276" s="221"/>
      <c r="FB276" s="221"/>
      <c r="FC276" s="221"/>
      <c r="FD276" s="221"/>
      <c r="FE276" s="221"/>
      <c r="FF276" s="221"/>
      <c r="FG276" s="221"/>
      <c r="FH276" s="221"/>
      <c r="FI276" s="221"/>
      <c r="FJ276" s="221"/>
      <c r="FK276" s="221"/>
      <c r="FL276" s="221"/>
      <c r="FM276" s="221"/>
      <c r="FN276" s="221"/>
      <c r="FO276" s="221"/>
      <c r="FP276" s="221"/>
      <c r="FQ276" s="221"/>
      <c r="FR276" s="221"/>
      <c r="FS276" s="221"/>
      <c r="FT276" s="221"/>
      <c r="FU276" s="221"/>
      <c r="FV276" s="221"/>
      <c r="FW276" s="221"/>
      <c r="FX276" s="221"/>
      <c r="FY276" s="221"/>
      <c r="FZ276" s="221"/>
      <c r="GA276" s="221"/>
      <c r="GB276" s="221"/>
      <c r="GC276" s="221"/>
      <c r="GD276" s="221"/>
      <c r="GE276" s="221"/>
      <c r="GF276" s="221"/>
      <c r="GG276" s="221"/>
      <c r="GH276" s="221"/>
      <c r="GI276" s="221"/>
      <c r="GJ276" s="221"/>
      <c r="GK276" s="221"/>
      <c r="GL276" s="221"/>
      <c r="GM276" s="221"/>
      <c r="GN276" s="221"/>
      <c r="GO276" s="221"/>
      <c r="GP276" s="221"/>
      <c r="GQ276" s="221"/>
      <c r="GR276" s="221"/>
      <c r="GS276" s="221"/>
      <c r="GT276" s="221"/>
      <c r="GU276" s="221"/>
      <c r="GV276" s="221"/>
      <c r="GW276" s="221"/>
      <c r="GX276" s="221"/>
      <c r="GY276" s="221"/>
      <c r="GZ276" s="221"/>
      <c r="HA276" s="221"/>
      <c r="HB276" s="221"/>
      <c r="HC276" s="221"/>
      <c r="HD276" s="221"/>
      <c r="HE276" s="221"/>
      <c r="HF276" s="221"/>
      <c r="HG276" s="221"/>
      <c r="HH276" s="221"/>
      <c r="HI276" s="221"/>
      <c r="HJ276" s="221"/>
      <c r="HK276" s="221"/>
      <c r="HL276" s="221"/>
      <c r="HM276" s="221"/>
      <c r="HN276" s="221"/>
      <c r="HO276" s="221"/>
      <c r="HP276" s="221"/>
      <c r="HQ276" s="221"/>
      <c r="HR276" s="221"/>
      <c r="HS276" s="221"/>
      <c r="HT276" s="221"/>
      <c r="HU276" s="221"/>
      <c r="HV276" s="221"/>
      <c r="HW276" s="221"/>
      <c r="HX276" s="221"/>
      <c r="HY276" s="221"/>
      <c r="HZ276" s="221"/>
      <c r="IA276" s="221"/>
      <c r="IB276" s="221"/>
      <c r="IC276" s="221"/>
      <c r="ID276" s="221"/>
      <c r="IE276" s="221"/>
      <c r="IF276" s="221"/>
      <c r="IG276" s="221"/>
      <c r="IH276" s="221"/>
      <c r="II276" s="221"/>
      <c r="IJ276" s="221"/>
      <c r="IK276" s="221"/>
      <c r="IL276" s="221"/>
      <c r="IM276" s="221"/>
      <c r="IN276" s="221"/>
      <c r="IO276" s="221"/>
      <c r="IP276" s="221"/>
      <c r="IQ276" s="221"/>
      <c r="IR276" s="221"/>
      <c r="IS276" s="221"/>
      <c r="IT276" s="221"/>
      <c r="IU276" s="221"/>
      <c r="IV276" s="221"/>
      <c r="IW276" s="221"/>
      <c r="IX276" s="221"/>
      <c r="IY276" s="221"/>
      <c r="IZ276" s="221"/>
      <c r="JA276" s="221"/>
      <c r="JB276" s="221"/>
      <c r="JC276" s="221"/>
      <c r="JD276" s="221"/>
      <c r="JE276" s="221"/>
      <c r="JF276" s="221"/>
      <c r="JG276" s="221"/>
      <c r="JH276" s="221"/>
      <c r="JI276" s="221"/>
      <c r="JJ276" s="221"/>
      <c r="JK276" s="221"/>
      <c r="JL276" s="221"/>
      <c r="JM276" s="221"/>
      <c r="JN276" s="221"/>
      <c r="JO276" s="221"/>
      <c r="JP276" s="221"/>
      <c r="JQ276" s="221"/>
    </row>
    <row r="277" spans="1:277" ht="20" customHeight="1" outlineLevel="1">
      <c r="A277" s="482">
        <v>190625</v>
      </c>
      <c r="B277" s="439">
        <v>42172</v>
      </c>
      <c r="C277" s="514" t="s">
        <v>67</v>
      </c>
      <c r="D277" s="514" t="s">
        <v>1259</v>
      </c>
      <c r="E277" s="539" t="s">
        <v>2064</v>
      </c>
      <c r="F277" s="531" t="s">
        <v>47</v>
      </c>
      <c r="G277" s="514" t="s">
        <v>2065</v>
      </c>
      <c r="H277" s="439">
        <f ca="1">TODAY()</f>
        <v>42215</v>
      </c>
      <c r="I277" s="443" t="s">
        <v>155</v>
      </c>
      <c r="J277" s="838" t="s">
        <v>62</v>
      </c>
      <c r="K277" s="514" t="s">
        <v>50</v>
      </c>
      <c r="L277" s="448">
        <v>112428050</v>
      </c>
      <c r="M277" s="439">
        <v>42174</v>
      </c>
      <c r="N277" s="514" t="s">
        <v>2066</v>
      </c>
      <c r="O277" s="514" t="s">
        <v>2067</v>
      </c>
      <c r="P277" s="801" t="s">
        <v>2068</v>
      </c>
      <c r="Q277" s="629"/>
      <c r="R277" s="589">
        <v>3</v>
      </c>
      <c r="S277" s="590">
        <v>0</v>
      </c>
      <c r="T277" s="604">
        <v>0</v>
      </c>
      <c r="U277" s="596">
        <v>0</v>
      </c>
      <c r="V277" s="590">
        <v>0</v>
      </c>
      <c r="W277" s="604">
        <v>0</v>
      </c>
      <c r="X277" s="596">
        <v>0</v>
      </c>
      <c r="Y277" s="590">
        <v>0</v>
      </c>
      <c r="Z277" s="604">
        <v>0</v>
      </c>
      <c r="AA277" s="596">
        <v>0</v>
      </c>
      <c r="AB277" s="590">
        <v>0</v>
      </c>
      <c r="AC277" s="604">
        <v>0</v>
      </c>
      <c r="AD277" s="596">
        <v>0</v>
      </c>
      <c r="AE277" s="596">
        <v>0</v>
      </c>
      <c r="AF277" s="596">
        <v>0</v>
      </c>
      <c r="AG277" s="590">
        <v>0</v>
      </c>
      <c r="AH277" s="604">
        <v>0</v>
      </c>
      <c r="AI277" s="610">
        <v>0</v>
      </c>
      <c r="AJ277" s="610">
        <v>0</v>
      </c>
      <c r="AK277" s="629"/>
      <c r="AL277" s="531" t="s">
        <v>1300</v>
      </c>
      <c r="AM277" s="448"/>
      <c r="AN277" s="612">
        <f>3*8</f>
        <v>24</v>
      </c>
      <c r="AO277" s="440" t="s">
        <v>2085</v>
      </c>
      <c r="AP277" s="37">
        <v>46.8</v>
      </c>
      <c r="AQ277" s="795">
        <f t="shared" si="29"/>
        <v>22.799999999999997</v>
      </c>
      <c r="AR277" s="835">
        <f t="shared" si="21"/>
        <v>0.48717948717948717</v>
      </c>
      <c r="AS277" s="821"/>
      <c r="AT277" s="514" t="s">
        <v>1254</v>
      </c>
      <c r="AU277" s="448">
        <v>1</v>
      </c>
      <c r="AV277" s="448"/>
      <c r="AW277" s="448"/>
      <c r="AX277" s="612">
        <v>30</v>
      </c>
      <c r="AY277" s="448"/>
      <c r="AZ277" s="612">
        <v>26.2</v>
      </c>
      <c r="BA277" s="256" t="s">
        <v>47</v>
      </c>
      <c r="BB277" s="41">
        <v>0</v>
      </c>
      <c r="BC277" s="448"/>
      <c r="BD277" s="448"/>
      <c r="BE277" s="448"/>
      <c r="BF277" s="448"/>
      <c r="BG277" s="448"/>
      <c r="BH277" s="221"/>
      <c r="BI277" s="221"/>
      <c r="BJ277" s="221"/>
      <c r="BK277" s="221"/>
      <c r="BL277" s="221"/>
      <c r="BM277" s="221"/>
      <c r="BN277" s="221"/>
      <c r="BO277" s="221"/>
      <c r="BP277" s="221"/>
      <c r="BQ277" s="221"/>
      <c r="BR277" s="221"/>
      <c r="BS277" s="221"/>
      <c r="BT277" s="221"/>
      <c r="BU277" s="221"/>
      <c r="BV277" s="221"/>
      <c r="BW277" s="221"/>
      <c r="BX277" s="221"/>
      <c r="BY277" s="221"/>
      <c r="BZ277" s="221"/>
      <c r="CA277" s="221"/>
      <c r="CB277" s="221"/>
      <c r="CC277" s="221"/>
      <c r="CD277" s="221"/>
      <c r="CE277" s="221"/>
      <c r="CF277" s="221"/>
      <c r="CG277" s="221"/>
      <c r="CH277" s="221"/>
      <c r="CI277" s="221"/>
      <c r="CJ277" s="221"/>
      <c r="CK277" s="221"/>
      <c r="CL277" s="221"/>
      <c r="CM277" s="221"/>
      <c r="CN277" s="221"/>
      <c r="CO277" s="221"/>
      <c r="CP277" s="221"/>
      <c r="CQ277" s="221"/>
      <c r="CR277" s="221"/>
      <c r="CS277" s="221"/>
      <c r="CT277" s="221"/>
      <c r="CU277" s="221"/>
      <c r="CV277" s="221"/>
      <c r="CW277" s="221"/>
      <c r="CX277" s="221"/>
      <c r="CY277" s="221"/>
      <c r="CZ277" s="221"/>
      <c r="DA277" s="221"/>
      <c r="DB277" s="221"/>
      <c r="DC277" s="221"/>
      <c r="DD277" s="221"/>
      <c r="DE277" s="221"/>
      <c r="DF277" s="221"/>
      <c r="DG277" s="221"/>
      <c r="DH277" s="221"/>
      <c r="DI277" s="221"/>
      <c r="DJ277" s="221"/>
      <c r="DK277" s="221"/>
      <c r="DL277" s="221"/>
      <c r="DM277" s="221"/>
      <c r="DN277" s="221"/>
      <c r="DO277" s="221"/>
      <c r="DP277" s="221"/>
      <c r="DQ277" s="221"/>
      <c r="DR277" s="221"/>
      <c r="DS277" s="221"/>
      <c r="DT277" s="221"/>
      <c r="DU277" s="221"/>
      <c r="DV277" s="221"/>
      <c r="DW277" s="221"/>
      <c r="DX277" s="221"/>
      <c r="DY277" s="221"/>
      <c r="DZ277" s="221"/>
      <c r="EA277" s="221"/>
      <c r="EB277" s="221"/>
      <c r="EC277" s="221"/>
      <c r="ED277" s="221"/>
      <c r="EE277" s="221"/>
      <c r="EF277" s="221"/>
      <c r="EG277" s="221"/>
      <c r="EH277" s="221"/>
      <c r="EI277" s="221"/>
      <c r="EJ277" s="221"/>
      <c r="EK277" s="221"/>
      <c r="EL277" s="221"/>
      <c r="EM277" s="221"/>
      <c r="EN277" s="221"/>
      <c r="EO277" s="221"/>
      <c r="EP277" s="221"/>
      <c r="EQ277" s="221"/>
      <c r="ER277" s="221"/>
      <c r="ES277" s="221"/>
      <c r="ET277" s="221"/>
      <c r="EU277" s="221"/>
      <c r="EV277" s="221"/>
      <c r="EW277" s="221"/>
      <c r="EX277" s="221"/>
      <c r="EY277" s="221"/>
      <c r="EZ277" s="221"/>
      <c r="FA277" s="221"/>
      <c r="FB277" s="221"/>
      <c r="FC277" s="221"/>
      <c r="FD277" s="221"/>
      <c r="FE277" s="221"/>
      <c r="FF277" s="221"/>
      <c r="FG277" s="221"/>
      <c r="FH277" s="221"/>
      <c r="FI277" s="221"/>
      <c r="FJ277" s="221"/>
      <c r="FK277" s="221"/>
      <c r="FL277" s="221"/>
      <c r="FM277" s="221"/>
      <c r="FN277" s="221"/>
      <c r="FO277" s="221"/>
      <c r="FP277" s="221"/>
      <c r="FQ277" s="221"/>
      <c r="FR277" s="221"/>
      <c r="FS277" s="221"/>
      <c r="FT277" s="221"/>
      <c r="FU277" s="221"/>
      <c r="FV277" s="221"/>
      <c r="FW277" s="221"/>
      <c r="FX277" s="221"/>
      <c r="FY277" s="221"/>
      <c r="FZ277" s="221"/>
      <c r="GA277" s="221"/>
      <c r="GB277" s="221"/>
      <c r="GC277" s="221"/>
      <c r="GD277" s="221"/>
      <c r="GE277" s="221"/>
      <c r="GF277" s="221"/>
      <c r="GG277" s="221"/>
      <c r="GH277" s="221"/>
      <c r="GI277" s="221"/>
      <c r="GJ277" s="221"/>
      <c r="GK277" s="221"/>
      <c r="GL277" s="221"/>
      <c r="GM277" s="221"/>
      <c r="GN277" s="221"/>
      <c r="GO277" s="221"/>
      <c r="GP277" s="221"/>
      <c r="GQ277" s="221"/>
      <c r="GR277" s="221"/>
      <c r="GS277" s="221"/>
      <c r="GT277" s="221"/>
      <c r="GU277" s="221"/>
      <c r="GV277" s="221"/>
      <c r="GW277" s="221"/>
      <c r="GX277" s="221"/>
      <c r="GY277" s="221"/>
      <c r="GZ277" s="221"/>
      <c r="HA277" s="221"/>
      <c r="HB277" s="221"/>
      <c r="HC277" s="221"/>
      <c r="HD277" s="221"/>
      <c r="HE277" s="221"/>
      <c r="HF277" s="221"/>
      <c r="HG277" s="221"/>
      <c r="HH277" s="221"/>
      <c r="HI277" s="221"/>
      <c r="HJ277" s="221"/>
      <c r="HK277" s="221"/>
      <c r="HL277" s="221"/>
      <c r="HM277" s="221"/>
      <c r="HN277" s="221"/>
      <c r="HO277" s="221"/>
      <c r="HP277" s="221"/>
      <c r="HQ277" s="221"/>
      <c r="HR277" s="221"/>
      <c r="HS277" s="221"/>
      <c r="HT277" s="221"/>
      <c r="HU277" s="221"/>
      <c r="HV277" s="221"/>
      <c r="HW277" s="221"/>
      <c r="HX277" s="221"/>
      <c r="HY277" s="221"/>
      <c r="HZ277" s="221"/>
      <c r="IA277" s="221"/>
      <c r="IB277" s="221"/>
      <c r="IC277" s="221"/>
      <c r="ID277" s="221"/>
      <c r="IE277" s="221"/>
      <c r="IF277" s="221"/>
      <c r="IG277" s="221"/>
      <c r="IH277" s="221"/>
      <c r="II277" s="221"/>
      <c r="IJ277" s="221"/>
      <c r="IK277" s="221"/>
      <c r="IL277" s="221"/>
      <c r="IM277" s="221"/>
      <c r="IN277" s="221"/>
      <c r="IO277" s="221"/>
      <c r="IP277" s="221"/>
      <c r="IQ277" s="221"/>
      <c r="IR277" s="221"/>
      <c r="IS277" s="221"/>
      <c r="IT277" s="221"/>
      <c r="IU277" s="221"/>
      <c r="IV277" s="221"/>
      <c r="IW277" s="221"/>
      <c r="IX277" s="221"/>
      <c r="IY277" s="221"/>
      <c r="IZ277" s="221"/>
      <c r="JA277" s="221"/>
      <c r="JB277" s="221"/>
      <c r="JC277" s="221"/>
      <c r="JD277" s="221"/>
      <c r="JE277" s="221"/>
      <c r="JF277" s="221"/>
      <c r="JG277" s="221"/>
      <c r="JH277" s="221"/>
      <c r="JI277" s="221"/>
      <c r="JJ277" s="221"/>
      <c r="JK277" s="221"/>
      <c r="JL277" s="221"/>
      <c r="JM277" s="221"/>
      <c r="JN277" s="221"/>
      <c r="JO277" s="221"/>
      <c r="JP277" s="221"/>
      <c r="JQ277" s="221"/>
    </row>
    <row r="278" spans="1:277" ht="20" customHeight="1" outlineLevel="1">
      <c r="A278" s="482">
        <v>190626</v>
      </c>
      <c r="B278" s="439">
        <v>42172</v>
      </c>
      <c r="C278" s="514" t="s">
        <v>72</v>
      </c>
      <c r="D278" s="514" t="s">
        <v>1259</v>
      </c>
      <c r="E278" s="539" t="s">
        <v>89</v>
      </c>
      <c r="F278" s="531" t="s">
        <v>123</v>
      </c>
      <c r="G278" s="514" t="s">
        <v>2069</v>
      </c>
      <c r="H278" s="439">
        <f ca="1">TODAY()</f>
        <v>42215</v>
      </c>
      <c r="I278" s="443">
        <v>192820</v>
      </c>
      <c r="J278" s="838" t="s">
        <v>62</v>
      </c>
      <c r="K278" s="514" t="s">
        <v>2005</v>
      </c>
      <c r="L278" s="448"/>
      <c r="M278" s="439">
        <v>42196</v>
      </c>
      <c r="N278" s="514" t="s">
        <v>443</v>
      </c>
      <c r="O278" s="514" t="s">
        <v>99</v>
      </c>
      <c r="P278" s="801" t="s">
        <v>2070</v>
      </c>
      <c r="Q278" s="629"/>
      <c r="R278" s="589">
        <v>0</v>
      </c>
      <c r="S278" s="590">
        <v>0</v>
      </c>
      <c r="T278" s="604">
        <v>0</v>
      </c>
      <c r="U278" s="596">
        <v>1</v>
      </c>
      <c r="V278" s="590">
        <v>0</v>
      </c>
      <c r="W278" s="604">
        <v>0</v>
      </c>
      <c r="X278" s="596">
        <v>0</v>
      </c>
      <c r="Y278" s="590">
        <v>0</v>
      </c>
      <c r="Z278" s="604">
        <v>0</v>
      </c>
      <c r="AA278" s="596">
        <v>0</v>
      </c>
      <c r="AB278" s="590">
        <v>0</v>
      </c>
      <c r="AC278" s="604">
        <v>0</v>
      </c>
      <c r="AD278" s="596">
        <v>0</v>
      </c>
      <c r="AE278" s="596">
        <v>3</v>
      </c>
      <c r="AF278" s="596">
        <v>0</v>
      </c>
      <c r="AG278" s="590">
        <v>0</v>
      </c>
      <c r="AH278" s="604">
        <v>0</v>
      </c>
      <c r="AI278" s="610">
        <v>0</v>
      </c>
      <c r="AJ278" s="610">
        <v>0</v>
      </c>
      <c r="AK278" s="629"/>
      <c r="AL278" s="531" t="s">
        <v>1300</v>
      </c>
      <c r="AM278" s="448">
        <v>191750</v>
      </c>
      <c r="AN278" s="612">
        <v>124.75</v>
      </c>
      <c r="AO278" s="444" t="s">
        <v>2202</v>
      </c>
      <c r="AP278" s="37">
        <v>223.93</v>
      </c>
      <c r="AQ278" s="795">
        <f t="shared" si="29"/>
        <v>99.18</v>
      </c>
      <c r="AR278" s="835">
        <f t="shared" si="21"/>
        <v>0.44290626535077926</v>
      </c>
      <c r="AS278" s="821"/>
      <c r="AT278" s="448"/>
      <c r="AU278" s="448"/>
      <c r="AV278" s="448"/>
      <c r="AW278" s="448"/>
      <c r="AX278" s="612"/>
      <c r="AY278" s="448"/>
      <c r="AZ278" s="612"/>
      <c r="BA278" s="256" t="s">
        <v>47</v>
      </c>
      <c r="BB278" s="41">
        <v>0</v>
      </c>
      <c r="BC278" s="448"/>
      <c r="BD278" s="448"/>
      <c r="BE278" s="448"/>
      <c r="BF278" s="448"/>
      <c r="BG278" s="448"/>
      <c r="BH278" s="221"/>
      <c r="BI278" s="221"/>
      <c r="BJ278" s="221"/>
      <c r="BK278" s="221"/>
      <c r="BL278" s="221"/>
      <c r="BM278" s="221"/>
      <c r="BN278" s="221"/>
      <c r="BO278" s="221"/>
      <c r="BP278" s="221"/>
      <c r="BQ278" s="221"/>
      <c r="BR278" s="221"/>
      <c r="BS278" s="221"/>
      <c r="BT278" s="221"/>
      <c r="BU278" s="221"/>
      <c r="BV278" s="221"/>
      <c r="BW278" s="221"/>
      <c r="BX278" s="221"/>
      <c r="BY278" s="221"/>
      <c r="BZ278" s="221"/>
      <c r="CA278" s="221"/>
      <c r="CB278" s="221"/>
      <c r="CC278" s="221"/>
      <c r="CD278" s="221"/>
      <c r="CE278" s="221"/>
      <c r="CF278" s="221"/>
      <c r="CG278" s="221"/>
      <c r="CH278" s="221"/>
      <c r="CI278" s="221"/>
      <c r="CJ278" s="221"/>
      <c r="CK278" s="221"/>
      <c r="CL278" s="221"/>
      <c r="CM278" s="221"/>
      <c r="CN278" s="221"/>
      <c r="CO278" s="221"/>
      <c r="CP278" s="221"/>
      <c r="CQ278" s="221"/>
      <c r="CR278" s="221"/>
      <c r="CS278" s="221"/>
      <c r="CT278" s="221"/>
      <c r="CU278" s="221"/>
      <c r="CV278" s="221"/>
      <c r="CW278" s="221"/>
      <c r="CX278" s="221"/>
      <c r="CY278" s="221"/>
      <c r="CZ278" s="221"/>
      <c r="DA278" s="221"/>
      <c r="DB278" s="221"/>
      <c r="DC278" s="221"/>
      <c r="DD278" s="221"/>
      <c r="DE278" s="221"/>
      <c r="DF278" s="221"/>
      <c r="DG278" s="221"/>
      <c r="DH278" s="221"/>
      <c r="DI278" s="221"/>
      <c r="DJ278" s="221"/>
      <c r="DK278" s="221"/>
      <c r="DL278" s="221"/>
      <c r="DM278" s="221"/>
      <c r="DN278" s="221"/>
      <c r="DO278" s="221"/>
      <c r="DP278" s="221"/>
      <c r="DQ278" s="221"/>
      <c r="DR278" s="221"/>
      <c r="DS278" s="221"/>
      <c r="DT278" s="221"/>
      <c r="DU278" s="221"/>
      <c r="DV278" s="221"/>
      <c r="DW278" s="221"/>
      <c r="DX278" s="221"/>
      <c r="DY278" s="221"/>
      <c r="DZ278" s="221"/>
      <c r="EA278" s="221"/>
      <c r="EB278" s="221"/>
      <c r="EC278" s="221"/>
      <c r="ED278" s="221"/>
      <c r="EE278" s="221"/>
      <c r="EF278" s="221"/>
      <c r="EG278" s="221"/>
      <c r="EH278" s="221"/>
      <c r="EI278" s="221"/>
      <c r="EJ278" s="221"/>
      <c r="EK278" s="221"/>
      <c r="EL278" s="221"/>
      <c r="EM278" s="221"/>
      <c r="EN278" s="221"/>
      <c r="EO278" s="221"/>
      <c r="EP278" s="221"/>
      <c r="EQ278" s="221"/>
      <c r="ER278" s="221"/>
      <c r="ES278" s="221"/>
      <c r="ET278" s="221"/>
      <c r="EU278" s="221"/>
      <c r="EV278" s="221"/>
      <c r="EW278" s="221"/>
      <c r="EX278" s="221"/>
      <c r="EY278" s="221"/>
      <c r="EZ278" s="221"/>
      <c r="FA278" s="221"/>
      <c r="FB278" s="221"/>
      <c r="FC278" s="221"/>
      <c r="FD278" s="221"/>
      <c r="FE278" s="221"/>
      <c r="FF278" s="221"/>
      <c r="FG278" s="221"/>
      <c r="FH278" s="221"/>
      <c r="FI278" s="221"/>
      <c r="FJ278" s="221"/>
      <c r="FK278" s="221"/>
      <c r="FL278" s="221"/>
      <c r="FM278" s="221"/>
      <c r="FN278" s="221"/>
      <c r="FO278" s="221"/>
      <c r="FP278" s="221"/>
      <c r="FQ278" s="221"/>
      <c r="FR278" s="221"/>
      <c r="FS278" s="221"/>
      <c r="FT278" s="221"/>
      <c r="FU278" s="221"/>
      <c r="FV278" s="221"/>
      <c r="FW278" s="221"/>
      <c r="FX278" s="221"/>
      <c r="FY278" s="221"/>
      <c r="FZ278" s="221"/>
      <c r="GA278" s="221"/>
      <c r="GB278" s="221"/>
      <c r="GC278" s="221"/>
      <c r="GD278" s="221"/>
      <c r="GE278" s="221"/>
      <c r="GF278" s="221"/>
      <c r="GG278" s="221"/>
      <c r="GH278" s="221"/>
      <c r="GI278" s="221"/>
      <c r="GJ278" s="221"/>
      <c r="GK278" s="221"/>
      <c r="GL278" s="221"/>
      <c r="GM278" s="221"/>
      <c r="GN278" s="221"/>
      <c r="GO278" s="221"/>
      <c r="GP278" s="221"/>
      <c r="GQ278" s="221"/>
      <c r="GR278" s="221"/>
      <c r="GS278" s="221"/>
      <c r="GT278" s="221"/>
      <c r="GU278" s="221"/>
      <c r="GV278" s="221"/>
      <c r="GW278" s="221"/>
      <c r="GX278" s="221"/>
      <c r="GY278" s="221"/>
      <c r="GZ278" s="221"/>
      <c r="HA278" s="221"/>
      <c r="HB278" s="221"/>
      <c r="HC278" s="221"/>
      <c r="HD278" s="221"/>
      <c r="HE278" s="221"/>
      <c r="HF278" s="221"/>
      <c r="HG278" s="221"/>
      <c r="HH278" s="221"/>
      <c r="HI278" s="221"/>
      <c r="HJ278" s="221"/>
      <c r="HK278" s="221"/>
      <c r="HL278" s="221"/>
      <c r="HM278" s="221"/>
      <c r="HN278" s="221"/>
      <c r="HO278" s="221"/>
      <c r="HP278" s="221"/>
      <c r="HQ278" s="221"/>
      <c r="HR278" s="221"/>
      <c r="HS278" s="221"/>
      <c r="HT278" s="221"/>
      <c r="HU278" s="221"/>
      <c r="HV278" s="221"/>
      <c r="HW278" s="221"/>
      <c r="HX278" s="221"/>
      <c r="HY278" s="221"/>
      <c r="HZ278" s="221"/>
      <c r="IA278" s="221"/>
      <c r="IB278" s="221"/>
      <c r="IC278" s="221"/>
      <c r="ID278" s="221"/>
      <c r="IE278" s="221"/>
      <c r="IF278" s="221"/>
      <c r="IG278" s="221"/>
      <c r="IH278" s="221"/>
      <c r="II278" s="221"/>
      <c r="IJ278" s="221"/>
      <c r="IK278" s="221"/>
      <c r="IL278" s="221"/>
      <c r="IM278" s="221"/>
      <c r="IN278" s="221"/>
      <c r="IO278" s="221"/>
      <c r="IP278" s="221"/>
      <c r="IQ278" s="221"/>
      <c r="IR278" s="221"/>
      <c r="IS278" s="221"/>
      <c r="IT278" s="221"/>
      <c r="IU278" s="221"/>
      <c r="IV278" s="221"/>
      <c r="IW278" s="221"/>
      <c r="IX278" s="221"/>
      <c r="IY278" s="221"/>
      <c r="IZ278" s="221"/>
      <c r="JA278" s="221"/>
      <c r="JB278" s="221"/>
      <c r="JC278" s="221"/>
      <c r="JD278" s="221"/>
      <c r="JE278" s="221"/>
      <c r="JF278" s="221"/>
      <c r="JG278" s="221"/>
      <c r="JH278" s="221"/>
      <c r="JI278" s="221"/>
      <c r="JJ278" s="221"/>
      <c r="JK278" s="221"/>
      <c r="JL278" s="221"/>
      <c r="JM278" s="221"/>
      <c r="JN278" s="221"/>
      <c r="JO278" s="221"/>
      <c r="JP278" s="221"/>
      <c r="JQ278" s="221"/>
    </row>
    <row r="279" spans="1:277" ht="20" customHeight="1" outlineLevel="1">
      <c r="A279" s="482">
        <v>190627</v>
      </c>
      <c r="B279" s="439">
        <v>42172</v>
      </c>
      <c r="C279" s="514" t="s">
        <v>44</v>
      </c>
      <c r="D279" s="514" t="s">
        <v>1259</v>
      </c>
      <c r="E279" s="539" t="s">
        <v>1793</v>
      </c>
      <c r="F279" s="531" t="s">
        <v>47</v>
      </c>
      <c r="G279" s="514" t="s">
        <v>2071</v>
      </c>
      <c r="H279" s="439">
        <f ca="1">TODAY()</f>
        <v>42215</v>
      </c>
      <c r="I279" s="443">
        <v>192588</v>
      </c>
      <c r="J279" s="838" t="s">
        <v>62</v>
      </c>
      <c r="K279" s="514" t="s">
        <v>50</v>
      </c>
      <c r="L279" s="448">
        <v>116632952</v>
      </c>
      <c r="M279" s="439">
        <v>42180</v>
      </c>
      <c r="N279" s="514" t="s">
        <v>2072</v>
      </c>
      <c r="O279" s="514" t="s">
        <v>1167</v>
      </c>
      <c r="P279" s="801" t="s">
        <v>2073</v>
      </c>
      <c r="Q279" s="629"/>
      <c r="R279" s="589">
        <v>0</v>
      </c>
      <c r="S279" s="590">
        <v>0</v>
      </c>
      <c r="T279" s="604">
        <v>0</v>
      </c>
      <c r="U279" s="596">
        <v>5</v>
      </c>
      <c r="V279" s="590">
        <v>0</v>
      </c>
      <c r="W279" s="604">
        <v>0</v>
      </c>
      <c r="X279" s="596">
        <v>0</v>
      </c>
      <c r="Y279" s="590">
        <v>0</v>
      </c>
      <c r="Z279" s="604">
        <v>0</v>
      </c>
      <c r="AA279" s="596">
        <v>0</v>
      </c>
      <c r="AB279" s="590">
        <v>0</v>
      </c>
      <c r="AC279" s="604">
        <v>0</v>
      </c>
      <c r="AD279" s="596">
        <v>0</v>
      </c>
      <c r="AE279" s="596">
        <v>0</v>
      </c>
      <c r="AF279" s="596">
        <v>0</v>
      </c>
      <c r="AG279" s="590">
        <v>0</v>
      </c>
      <c r="AH279" s="604">
        <v>0</v>
      </c>
      <c r="AI279" s="610">
        <v>0</v>
      </c>
      <c r="AJ279" s="610">
        <v>0</v>
      </c>
      <c r="AK279" s="629"/>
      <c r="AL279" s="531" t="s">
        <v>1313</v>
      </c>
      <c r="AM279" s="514">
        <v>191653</v>
      </c>
      <c r="AN279" s="612">
        <v>108</v>
      </c>
      <c r="AO279" s="444" t="s">
        <v>2166</v>
      </c>
      <c r="AP279" s="37">
        <v>475.8</v>
      </c>
      <c r="AQ279" s="795">
        <f t="shared" si="29"/>
        <v>367.8</v>
      </c>
      <c r="AR279" s="835">
        <f t="shared" si="21"/>
        <v>0.77301387137452715</v>
      </c>
      <c r="AS279" s="821"/>
      <c r="AT279" s="448"/>
      <c r="AU279" s="448"/>
      <c r="AV279" s="448"/>
      <c r="AW279" s="448"/>
      <c r="AX279" s="612"/>
      <c r="AY279" s="448"/>
      <c r="AZ279" s="612"/>
      <c r="BA279" s="256" t="s">
        <v>47</v>
      </c>
      <c r="BB279" s="41">
        <v>0</v>
      </c>
      <c r="BC279" s="448"/>
      <c r="BD279" s="448"/>
      <c r="BE279" s="448"/>
      <c r="BF279" s="448"/>
      <c r="BG279" s="448"/>
      <c r="BH279" s="221"/>
      <c r="BI279" s="221"/>
      <c r="BJ279" s="221"/>
      <c r="BK279" s="221"/>
      <c r="BL279" s="221"/>
      <c r="BM279" s="221"/>
      <c r="BN279" s="221"/>
      <c r="BO279" s="221"/>
      <c r="BP279" s="221"/>
      <c r="BQ279" s="221"/>
      <c r="BR279" s="221"/>
      <c r="BS279" s="221"/>
      <c r="BT279" s="221"/>
      <c r="BU279" s="221"/>
      <c r="BV279" s="221"/>
      <c r="BW279" s="221"/>
      <c r="BX279" s="221"/>
      <c r="BY279" s="221"/>
      <c r="BZ279" s="221"/>
      <c r="CA279" s="221"/>
      <c r="CB279" s="221"/>
      <c r="CC279" s="221"/>
      <c r="CD279" s="221"/>
      <c r="CE279" s="221"/>
      <c r="CF279" s="221"/>
      <c r="CG279" s="221"/>
      <c r="CH279" s="221"/>
      <c r="CI279" s="221"/>
      <c r="CJ279" s="221"/>
      <c r="CK279" s="221"/>
      <c r="CL279" s="221"/>
      <c r="CM279" s="221"/>
      <c r="CN279" s="221"/>
      <c r="CO279" s="221"/>
      <c r="CP279" s="221"/>
      <c r="CQ279" s="221"/>
      <c r="CR279" s="221"/>
      <c r="CS279" s="221"/>
      <c r="CT279" s="221"/>
      <c r="CU279" s="221"/>
      <c r="CV279" s="221"/>
      <c r="CW279" s="221"/>
      <c r="CX279" s="221"/>
      <c r="CY279" s="221"/>
      <c r="CZ279" s="221"/>
      <c r="DA279" s="221"/>
      <c r="DB279" s="221"/>
      <c r="DC279" s="221"/>
      <c r="DD279" s="221"/>
      <c r="DE279" s="221"/>
      <c r="DF279" s="221"/>
      <c r="DG279" s="221"/>
      <c r="DH279" s="221"/>
      <c r="DI279" s="221"/>
      <c r="DJ279" s="221"/>
      <c r="DK279" s="221"/>
      <c r="DL279" s="221"/>
      <c r="DM279" s="221"/>
      <c r="DN279" s="221"/>
      <c r="DO279" s="221"/>
      <c r="DP279" s="221"/>
      <c r="DQ279" s="221"/>
      <c r="DR279" s="221"/>
      <c r="DS279" s="221"/>
      <c r="DT279" s="221"/>
      <c r="DU279" s="221"/>
      <c r="DV279" s="221"/>
      <c r="DW279" s="221"/>
      <c r="DX279" s="221"/>
      <c r="DY279" s="221"/>
      <c r="DZ279" s="221"/>
      <c r="EA279" s="221"/>
      <c r="EB279" s="221"/>
      <c r="EC279" s="221"/>
      <c r="ED279" s="221"/>
      <c r="EE279" s="221"/>
      <c r="EF279" s="221"/>
      <c r="EG279" s="221"/>
      <c r="EH279" s="221"/>
      <c r="EI279" s="221"/>
      <c r="EJ279" s="221"/>
      <c r="EK279" s="221"/>
      <c r="EL279" s="221"/>
      <c r="EM279" s="221"/>
      <c r="EN279" s="221"/>
      <c r="EO279" s="221"/>
      <c r="EP279" s="221"/>
      <c r="EQ279" s="221"/>
      <c r="ER279" s="221"/>
      <c r="ES279" s="221"/>
      <c r="ET279" s="221"/>
      <c r="EU279" s="221"/>
      <c r="EV279" s="221"/>
      <c r="EW279" s="221"/>
      <c r="EX279" s="221"/>
      <c r="EY279" s="221"/>
      <c r="EZ279" s="221"/>
      <c r="FA279" s="221"/>
      <c r="FB279" s="221"/>
      <c r="FC279" s="221"/>
      <c r="FD279" s="221"/>
      <c r="FE279" s="221"/>
      <c r="FF279" s="221"/>
      <c r="FG279" s="221"/>
      <c r="FH279" s="221"/>
      <c r="FI279" s="221"/>
      <c r="FJ279" s="221"/>
      <c r="FK279" s="221"/>
      <c r="FL279" s="221"/>
      <c r="FM279" s="221"/>
      <c r="FN279" s="221"/>
      <c r="FO279" s="221"/>
      <c r="FP279" s="221"/>
      <c r="FQ279" s="221"/>
      <c r="FR279" s="221"/>
      <c r="FS279" s="221"/>
      <c r="FT279" s="221"/>
      <c r="FU279" s="221"/>
      <c r="FV279" s="221"/>
      <c r="FW279" s="221"/>
      <c r="FX279" s="221"/>
      <c r="FY279" s="221"/>
      <c r="FZ279" s="221"/>
      <c r="GA279" s="221"/>
      <c r="GB279" s="221"/>
      <c r="GC279" s="221"/>
      <c r="GD279" s="221"/>
      <c r="GE279" s="221"/>
      <c r="GF279" s="221"/>
      <c r="GG279" s="221"/>
      <c r="GH279" s="221"/>
      <c r="GI279" s="221"/>
      <c r="GJ279" s="221"/>
      <c r="GK279" s="221"/>
      <c r="GL279" s="221"/>
      <c r="GM279" s="221"/>
      <c r="GN279" s="221"/>
      <c r="GO279" s="221"/>
      <c r="GP279" s="221"/>
      <c r="GQ279" s="221"/>
      <c r="GR279" s="221"/>
      <c r="GS279" s="221"/>
      <c r="GT279" s="221"/>
      <c r="GU279" s="221"/>
      <c r="GV279" s="221"/>
      <c r="GW279" s="221"/>
      <c r="GX279" s="221"/>
      <c r="GY279" s="221"/>
      <c r="GZ279" s="221"/>
      <c r="HA279" s="221"/>
      <c r="HB279" s="221"/>
      <c r="HC279" s="221"/>
      <c r="HD279" s="221"/>
      <c r="HE279" s="221"/>
      <c r="HF279" s="221"/>
      <c r="HG279" s="221"/>
      <c r="HH279" s="221"/>
      <c r="HI279" s="221"/>
      <c r="HJ279" s="221"/>
      <c r="HK279" s="221"/>
      <c r="HL279" s="221"/>
      <c r="HM279" s="221"/>
      <c r="HN279" s="221"/>
      <c r="HO279" s="221"/>
      <c r="HP279" s="221"/>
      <c r="HQ279" s="221"/>
      <c r="HR279" s="221"/>
      <c r="HS279" s="221"/>
      <c r="HT279" s="221"/>
      <c r="HU279" s="221"/>
      <c r="HV279" s="221"/>
      <c r="HW279" s="221"/>
      <c r="HX279" s="221"/>
      <c r="HY279" s="221"/>
      <c r="HZ279" s="221"/>
      <c r="IA279" s="221"/>
      <c r="IB279" s="221"/>
      <c r="IC279" s="221"/>
      <c r="ID279" s="221"/>
      <c r="IE279" s="221"/>
      <c r="IF279" s="221"/>
      <c r="IG279" s="221"/>
      <c r="IH279" s="221"/>
      <c r="II279" s="221"/>
      <c r="IJ279" s="221"/>
      <c r="IK279" s="221"/>
      <c r="IL279" s="221"/>
      <c r="IM279" s="221"/>
      <c r="IN279" s="221"/>
      <c r="IO279" s="221"/>
      <c r="IP279" s="221"/>
      <c r="IQ279" s="221"/>
      <c r="IR279" s="221"/>
      <c r="IS279" s="221"/>
      <c r="IT279" s="221"/>
      <c r="IU279" s="221"/>
      <c r="IV279" s="221"/>
      <c r="IW279" s="221"/>
      <c r="IX279" s="221"/>
      <c r="IY279" s="221"/>
      <c r="IZ279" s="221"/>
      <c r="JA279" s="221"/>
      <c r="JB279" s="221"/>
      <c r="JC279" s="221"/>
      <c r="JD279" s="221"/>
      <c r="JE279" s="221"/>
      <c r="JF279" s="221"/>
      <c r="JG279" s="221"/>
      <c r="JH279" s="221"/>
      <c r="JI279" s="221"/>
      <c r="JJ279" s="221"/>
      <c r="JK279" s="221"/>
      <c r="JL279" s="221"/>
      <c r="JM279" s="221"/>
      <c r="JN279" s="221"/>
      <c r="JO279" s="221"/>
      <c r="JP279" s="221"/>
      <c r="JQ279" s="221"/>
    </row>
    <row r="280" spans="1:277" ht="20" customHeight="1" outlineLevel="1">
      <c r="A280" s="456">
        <v>190628</v>
      </c>
      <c r="B280" s="439">
        <v>42172</v>
      </c>
      <c r="C280" s="514" t="s">
        <v>1523</v>
      </c>
      <c r="D280" s="514" t="s">
        <v>1259</v>
      </c>
      <c r="E280" s="539" t="s">
        <v>60</v>
      </c>
      <c r="F280" s="531" t="s">
        <v>47</v>
      </c>
      <c r="G280" s="514" t="s">
        <v>2176</v>
      </c>
      <c r="H280" s="448"/>
      <c r="I280" s="443">
        <v>192742</v>
      </c>
      <c r="J280" s="838" t="s">
        <v>62</v>
      </c>
      <c r="K280" s="514" t="s">
        <v>50</v>
      </c>
      <c r="L280" s="448"/>
      <c r="M280" s="439">
        <v>42189</v>
      </c>
      <c r="N280" s="514" t="s">
        <v>2074</v>
      </c>
      <c r="O280" s="514" t="s">
        <v>1876</v>
      </c>
      <c r="P280" s="516"/>
      <c r="Q280" s="629"/>
      <c r="R280" s="589">
        <v>0</v>
      </c>
      <c r="S280" s="590">
        <v>0</v>
      </c>
      <c r="T280" s="604">
        <v>0</v>
      </c>
      <c r="U280" s="596">
        <v>0</v>
      </c>
      <c r="V280" s="590">
        <v>1</v>
      </c>
      <c r="W280" s="604">
        <v>0</v>
      </c>
      <c r="X280" s="596">
        <v>0</v>
      </c>
      <c r="Y280" s="590">
        <v>0</v>
      </c>
      <c r="Z280" s="604">
        <v>0</v>
      </c>
      <c r="AA280" s="596">
        <v>0</v>
      </c>
      <c r="AB280" s="590">
        <v>0</v>
      </c>
      <c r="AC280" s="604">
        <v>0</v>
      </c>
      <c r="AD280" s="596">
        <v>0</v>
      </c>
      <c r="AE280" s="596">
        <v>0</v>
      </c>
      <c r="AF280" s="596">
        <v>0</v>
      </c>
      <c r="AG280" s="590">
        <v>1</v>
      </c>
      <c r="AH280" s="604">
        <v>0</v>
      </c>
      <c r="AI280" s="610">
        <v>0</v>
      </c>
      <c r="AJ280" s="610">
        <v>0</v>
      </c>
      <c r="AK280" s="629"/>
      <c r="AL280" s="531" t="s">
        <v>1725</v>
      </c>
      <c r="AM280" s="514" t="s">
        <v>157</v>
      </c>
      <c r="AN280" s="612">
        <f>1*PRODUCTS!C3+1*PRODUCTS!F3</f>
        <v>118.72</v>
      </c>
      <c r="AO280" s="440" t="s">
        <v>2185</v>
      </c>
      <c r="AP280" s="37">
        <v>99.17</v>
      </c>
      <c r="AQ280" s="795">
        <f t="shared" si="29"/>
        <v>-19.549999999999997</v>
      </c>
      <c r="AR280" s="835">
        <f t="shared" si="21"/>
        <v>-0.19713623071493391</v>
      </c>
      <c r="AS280" s="821"/>
      <c r="AT280" s="514" t="s">
        <v>1254</v>
      </c>
      <c r="AU280" s="448">
        <v>1</v>
      </c>
      <c r="AV280" s="448"/>
      <c r="AW280" s="448"/>
      <c r="AX280" s="612">
        <v>10</v>
      </c>
      <c r="AY280" s="448"/>
      <c r="AZ280" s="612">
        <v>8.34</v>
      </c>
      <c r="BA280" s="256" t="s">
        <v>47</v>
      </c>
      <c r="BB280" s="41">
        <v>0</v>
      </c>
      <c r="BC280" s="448"/>
      <c r="BD280" s="448"/>
      <c r="BE280" s="448"/>
      <c r="BF280" s="448"/>
      <c r="BG280" s="448"/>
      <c r="BH280" s="221"/>
      <c r="BI280" s="221"/>
      <c r="BJ280" s="221"/>
      <c r="BK280" s="221"/>
      <c r="BL280" s="221"/>
      <c r="BM280" s="221"/>
      <c r="BN280" s="221"/>
      <c r="BO280" s="221"/>
      <c r="BP280" s="221"/>
      <c r="BQ280" s="221"/>
      <c r="BR280" s="221"/>
      <c r="BS280" s="221"/>
      <c r="BT280" s="221"/>
      <c r="BU280" s="221"/>
      <c r="BV280" s="221"/>
      <c r="BW280" s="221"/>
      <c r="BX280" s="221"/>
      <c r="BY280" s="221"/>
      <c r="BZ280" s="221"/>
      <c r="CA280" s="221"/>
      <c r="CB280" s="221"/>
      <c r="CC280" s="221"/>
      <c r="CD280" s="221"/>
      <c r="CE280" s="221"/>
      <c r="CF280" s="221"/>
      <c r="CG280" s="221"/>
      <c r="CH280" s="221"/>
      <c r="CI280" s="221"/>
      <c r="CJ280" s="221"/>
      <c r="CK280" s="221"/>
      <c r="CL280" s="221"/>
      <c r="CM280" s="221"/>
      <c r="CN280" s="221"/>
      <c r="CO280" s="221"/>
      <c r="CP280" s="221"/>
      <c r="CQ280" s="221"/>
      <c r="CR280" s="221"/>
      <c r="CS280" s="221"/>
      <c r="CT280" s="221"/>
      <c r="CU280" s="221"/>
      <c r="CV280" s="221"/>
      <c r="CW280" s="221"/>
      <c r="CX280" s="221"/>
      <c r="CY280" s="221"/>
      <c r="CZ280" s="221"/>
      <c r="DA280" s="221"/>
      <c r="DB280" s="221"/>
      <c r="DC280" s="221"/>
      <c r="DD280" s="221"/>
      <c r="DE280" s="221"/>
      <c r="DF280" s="221"/>
      <c r="DG280" s="221"/>
      <c r="DH280" s="221"/>
      <c r="DI280" s="221"/>
      <c r="DJ280" s="221"/>
      <c r="DK280" s="221"/>
      <c r="DL280" s="221"/>
      <c r="DM280" s="221"/>
      <c r="DN280" s="221"/>
      <c r="DO280" s="221"/>
      <c r="DP280" s="221"/>
      <c r="DQ280" s="221"/>
      <c r="DR280" s="221"/>
      <c r="DS280" s="221"/>
      <c r="DT280" s="221"/>
      <c r="DU280" s="221"/>
      <c r="DV280" s="221"/>
      <c r="DW280" s="221"/>
      <c r="DX280" s="221"/>
      <c r="DY280" s="221"/>
      <c r="DZ280" s="221"/>
      <c r="EA280" s="221"/>
      <c r="EB280" s="221"/>
      <c r="EC280" s="221"/>
      <c r="ED280" s="221"/>
      <c r="EE280" s="221"/>
      <c r="EF280" s="221"/>
      <c r="EG280" s="221"/>
      <c r="EH280" s="221"/>
      <c r="EI280" s="221"/>
      <c r="EJ280" s="221"/>
      <c r="EK280" s="221"/>
      <c r="EL280" s="221"/>
      <c r="EM280" s="221"/>
      <c r="EN280" s="221"/>
      <c r="EO280" s="221"/>
      <c r="EP280" s="221"/>
      <c r="EQ280" s="221"/>
      <c r="ER280" s="221"/>
      <c r="ES280" s="221"/>
      <c r="ET280" s="221"/>
      <c r="EU280" s="221"/>
      <c r="EV280" s="221"/>
      <c r="EW280" s="221"/>
      <c r="EX280" s="221"/>
      <c r="EY280" s="221"/>
      <c r="EZ280" s="221"/>
      <c r="FA280" s="221"/>
      <c r="FB280" s="221"/>
      <c r="FC280" s="221"/>
      <c r="FD280" s="221"/>
      <c r="FE280" s="221"/>
      <c r="FF280" s="221"/>
      <c r="FG280" s="221"/>
      <c r="FH280" s="221"/>
      <c r="FI280" s="221"/>
      <c r="FJ280" s="221"/>
      <c r="FK280" s="221"/>
      <c r="FL280" s="221"/>
      <c r="FM280" s="221"/>
      <c r="FN280" s="221"/>
      <c r="FO280" s="221"/>
      <c r="FP280" s="221"/>
      <c r="FQ280" s="221"/>
      <c r="FR280" s="221"/>
      <c r="FS280" s="221"/>
      <c r="FT280" s="221"/>
      <c r="FU280" s="221"/>
      <c r="FV280" s="221"/>
      <c r="FW280" s="221"/>
      <c r="FX280" s="221"/>
      <c r="FY280" s="221"/>
      <c r="FZ280" s="221"/>
      <c r="GA280" s="221"/>
      <c r="GB280" s="221"/>
      <c r="GC280" s="221"/>
      <c r="GD280" s="221"/>
      <c r="GE280" s="221"/>
      <c r="GF280" s="221"/>
      <c r="GG280" s="221"/>
      <c r="GH280" s="221"/>
      <c r="GI280" s="221"/>
      <c r="GJ280" s="221"/>
      <c r="GK280" s="221"/>
      <c r="GL280" s="221"/>
      <c r="GM280" s="221"/>
      <c r="GN280" s="221"/>
      <c r="GO280" s="221"/>
      <c r="GP280" s="221"/>
      <c r="GQ280" s="221"/>
      <c r="GR280" s="221"/>
      <c r="GS280" s="221"/>
      <c r="GT280" s="221"/>
      <c r="GU280" s="221"/>
      <c r="GV280" s="221"/>
      <c r="GW280" s="221"/>
      <c r="GX280" s="221"/>
      <c r="GY280" s="221"/>
      <c r="GZ280" s="221"/>
      <c r="HA280" s="221"/>
      <c r="HB280" s="221"/>
      <c r="HC280" s="221"/>
      <c r="HD280" s="221"/>
      <c r="HE280" s="221"/>
      <c r="HF280" s="221"/>
      <c r="HG280" s="221"/>
      <c r="HH280" s="221"/>
      <c r="HI280" s="221"/>
      <c r="HJ280" s="221"/>
      <c r="HK280" s="221"/>
      <c r="HL280" s="221"/>
      <c r="HM280" s="221"/>
      <c r="HN280" s="221"/>
      <c r="HO280" s="221"/>
      <c r="HP280" s="221"/>
      <c r="HQ280" s="221"/>
      <c r="HR280" s="221"/>
      <c r="HS280" s="221"/>
      <c r="HT280" s="221"/>
      <c r="HU280" s="221"/>
      <c r="HV280" s="221"/>
      <c r="HW280" s="221"/>
      <c r="HX280" s="221"/>
      <c r="HY280" s="221"/>
      <c r="HZ280" s="221"/>
      <c r="IA280" s="221"/>
      <c r="IB280" s="221"/>
      <c r="IC280" s="221"/>
      <c r="ID280" s="221"/>
      <c r="IE280" s="221"/>
      <c r="IF280" s="221"/>
      <c r="IG280" s="221"/>
      <c r="IH280" s="221"/>
      <c r="II280" s="221"/>
      <c r="IJ280" s="221"/>
      <c r="IK280" s="221"/>
      <c r="IL280" s="221"/>
      <c r="IM280" s="221"/>
      <c r="IN280" s="221"/>
      <c r="IO280" s="221"/>
      <c r="IP280" s="221"/>
      <c r="IQ280" s="221"/>
      <c r="IR280" s="221"/>
      <c r="IS280" s="221"/>
      <c r="IT280" s="221"/>
      <c r="IU280" s="221"/>
      <c r="IV280" s="221"/>
      <c r="IW280" s="221"/>
      <c r="IX280" s="221"/>
      <c r="IY280" s="221"/>
      <c r="IZ280" s="221"/>
      <c r="JA280" s="221"/>
      <c r="JB280" s="221"/>
      <c r="JC280" s="221"/>
      <c r="JD280" s="221"/>
      <c r="JE280" s="221"/>
      <c r="JF280" s="221"/>
      <c r="JG280" s="221"/>
      <c r="JH280" s="221"/>
      <c r="JI280" s="221"/>
      <c r="JJ280" s="221"/>
      <c r="JK280" s="221"/>
      <c r="JL280" s="221"/>
      <c r="JM280" s="221"/>
      <c r="JN280" s="221"/>
      <c r="JO280" s="221"/>
      <c r="JP280" s="221"/>
      <c r="JQ280" s="221"/>
    </row>
    <row r="281" spans="1:277" ht="20" customHeight="1" outlineLevel="1">
      <c r="A281" s="482">
        <v>190629</v>
      </c>
      <c r="B281" s="439">
        <v>42172</v>
      </c>
      <c r="C281" s="514" t="s">
        <v>1523</v>
      </c>
      <c r="D281" s="514" t="s">
        <v>1259</v>
      </c>
      <c r="E281" s="539" t="s">
        <v>60</v>
      </c>
      <c r="F281" s="531" t="s">
        <v>47</v>
      </c>
      <c r="G281" s="514" t="s">
        <v>2075</v>
      </c>
      <c r="H281" s="439">
        <f ca="1">TODAY()</f>
        <v>42215</v>
      </c>
      <c r="I281" s="443"/>
      <c r="J281" s="838" t="s">
        <v>62</v>
      </c>
      <c r="K281" s="514" t="s">
        <v>50</v>
      </c>
      <c r="L281" s="448">
        <v>118543610</v>
      </c>
      <c r="M281" s="448"/>
      <c r="N281" s="514" t="s">
        <v>2076</v>
      </c>
      <c r="O281" s="514" t="s">
        <v>2086</v>
      </c>
      <c r="P281" s="516"/>
      <c r="Q281" s="629"/>
      <c r="R281" s="589">
        <v>0</v>
      </c>
      <c r="S281" s="590">
        <v>0</v>
      </c>
      <c r="T281" s="604">
        <v>0</v>
      </c>
      <c r="U281" s="596">
        <v>0</v>
      </c>
      <c r="V281" s="590">
        <v>0</v>
      </c>
      <c r="W281" s="604">
        <v>0</v>
      </c>
      <c r="X281" s="596">
        <v>0</v>
      </c>
      <c r="Y281" s="590">
        <v>0</v>
      </c>
      <c r="Z281" s="604">
        <v>0</v>
      </c>
      <c r="AA281" s="596">
        <v>0</v>
      </c>
      <c r="AB281" s="590">
        <v>0</v>
      </c>
      <c r="AC281" s="604">
        <v>0</v>
      </c>
      <c r="AD281" s="596">
        <v>0</v>
      </c>
      <c r="AE281" s="596">
        <v>0</v>
      </c>
      <c r="AF281" s="596">
        <v>0</v>
      </c>
      <c r="AG281" s="590">
        <v>1</v>
      </c>
      <c r="AH281" s="604">
        <v>0</v>
      </c>
      <c r="AI281" s="610">
        <v>0</v>
      </c>
      <c r="AJ281" s="610">
        <v>0</v>
      </c>
      <c r="AK281" s="629"/>
      <c r="AL281" s="531" t="s">
        <v>1725</v>
      </c>
      <c r="AM281" s="514" t="s">
        <v>157</v>
      </c>
      <c r="AN281" s="612">
        <f>PRODUCTS!C3</f>
        <v>63.99</v>
      </c>
      <c r="AO281" s="444"/>
      <c r="AP281" s="37"/>
      <c r="AQ281" s="795">
        <f t="shared" si="29"/>
        <v>-63.99</v>
      </c>
      <c r="AR281" s="835" t="e">
        <f t="shared" si="21"/>
        <v>#DIV/0!</v>
      </c>
      <c r="AS281" s="821"/>
      <c r="AT281" s="448"/>
      <c r="AU281" s="448"/>
      <c r="AV281" s="448"/>
      <c r="AW281" s="448"/>
      <c r="AX281" s="612"/>
      <c r="AY281" s="448"/>
      <c r="AZ281" s="612"/>
      <c r="BA281" s="256" t="s">
        <v>47</v>
      </c>
      <c r="BB281" s="41">
        <v>0</v>
      </c>
      <c r="BC281" s="448"/>
      <c r="BD281" s="448"/>
      <c r="BE281" s="448"/>
      <c r="BF281" s="448"/>
      <c r="BG281" s="448"/>
      <c r="BH281" s="221"/>
      <c r="BI281" s="221"/>
      <c r="BJ281" s="221"/>
      <c r="BK281" s="221"/>
      <c r="BL281" s="221"/>
      <c r="BM281" s="221"/>
      <c r="BN281" s="221"/>
      <c r="BO281" s="221"/>
      <c r="BP281" s="221"/>
      <c r="BQ281" s="221"/>
      <c r="BR281" s="221"/>
      <c r="BS281" s="221"/>
      <c r="BT281" s="221"/>
      <c r="BU281" s="221"/>
      <c r="BV281" s="221"/>
      <c r="BW281" s="221"/>
      <c r="BX281" s="221"/>
      <c r="BY281" s="221"/>
      <c r="BZ281" s="221"/>
      <c r="CA281" s="221"/>
      <c r="CB281" s="221"/>
      <c r="CC281" s="221"/>
      <c r="CD281" s="221"/>
      <c r="CE281" s="221"/>
      <c r="CF281" s="221"/>
      <c r="CG281" s="221"/>
      <c r="CH281" s="221"/>
      <c r="CI281" s="221"/>
      <c r="CJ281" s="221"/>
      <c r="CK281" s="221"/>
      <c r="CL281" s="221"/>
      <c r="CM281" s="221"/>
      <c r="CN281" s="221"/>
      <c r="CO281" s="221"/>
      <c r="CP281" s="221"/>
      <c r="CQ281" s="221"/>
      <c r="CR281" s="221"/>
      <c r="CS281" s="221"/>
      <c r="CT281" s="221"/>
      <c r="CU281" s="221"/>
      <c r="CV281" s="221"/>
      <c r="CW281" s="221"/>
      <c r="CX281" s="221"/>
      <c r="CY281" s="221"/>
      <c r="CZ281" s="221"/>
      <c r="DA281" s="221"/>
      <c r="DB281" s="221"/>
      <c r="DC281" s="221"/>
      <c r="DD281" s="221"/>
      <c r="DE281" s="221"/>
      <c r="DF281" s="221"/>
      <c r="DG281" s="221"/>
      <c r="DH281" s="221"/>
      <c r="DI281" s="221"/>
      <c r="DJ281" s="221"/>
      <c r="DK281" s="221"/>
      <c r="DL281" s="221"/>
      <c r="DM281" s="221"/>
      <c r="DN281" s="221"/>
      <c r="DO281" s="221"/>
      <c r="DP281" s="221"/>
      <c r="DQ281" s="221"/>
      <c r="DR281" s="221"/>
      <c r="DS281" s="221"/>
      <c r="DT281" s="221"/>
      <c r="DU281" s="221"/>
      <c r="DV281" s="221"/>
      <c r="DW281" s="221"/>
      <c r="DX281" s="221"/>
      <c r="DY281" s="221"/>
      <c r="DZ281" s="221"/>
      <c r="EA281" s="221"/>
      <c r="EB281" s="221"/>
      <c r="EC281" s="221"/>
      <c r="ED281" s="221"/>
      <c r="EE281" s="221"/>
      <c r="EF281" s="221"/>
      <c r="EG281" s="221"/>
      <c r="EH281" s="221"/>
      <c r="EI281" s="221"/>
      <c r="EJ281" s="221"/>
      <c r="EK281" s="221"/>
      <c r="EL281" s="221"/>
      <c r="EM281" s="221"/>
      <c r="EN281" s="221"/>
      <c r="EO281" s="221"/>
      <c r="EP281" s="221"/>
      <c r="EQ281" s="221"/>
      <c r="ER281" s="221"/>
      <c r="ES281" s="221"/>
      <c r="ET281" s="221"/>
      <c r="EU281" s="221"/>
      <c r="EV281" s="221"/>
      <c r="EW281" s="221"/>
      <c r="EX281" s="221"/>
      <c r="EY281" s="221"/>
      <c r="EZ281" s="221"/>
      <c r="FA281" s="221"/>
      <c r="FB281" s="221"/>
      <c r="FC281" s="221"/>
      <c r="FD281" s="221"/>
      <c r="FE281" s="221"/>
      <c r="FF281" s="221"/>
      <c r="FG281" s="221"/>
      <c r="FH281" s="221"/>
      <c r="FI281" s="221"/>
      <c r="FJ281" s="221"/>
      <c r="FK281" s="221"/>
      <c r="FL281" s="221"/>
      <c r="FM281" s="221"/>
      <c r="FN281" s="221"/>
      <c r="FO281" s="221"/>
      <c r="FP281" s="221"/>
      <c r="FQ281" s="221"/>
      <c r="FR281" s="221"/>
      <c r="FS281" s="221"/>
      <c r="FT281" s="221"/>
      <c r="FU281" s="221"/>
      <c r="FV281" s="221"/>
      <c r="FW281" s="221"/>
      <c r="FX281" s="221"/>
      <c r="FY281" s="221"/>
      <c r="FZ281" s="221"/>
      <c r="GA281" s="221"/>
      <c r="GB281" s="221"/>
      <c r="GC281" s="221"/>
      <c r="GD281" s="221"/>
      <c r="GE281" s="221"/>
      <c r="GF281" s="221"/>
      <c r="GG281" s="221"/>
      <c r="GH281" s="221"/>
      <c r="GI281" s="221"/>
      <c r="GJ281" s="221"/>
      <c r="GK281" s="221"/>
      <c r="GL281" s="221"/>
      <c r="GM281" s="221"/>
      <c r="GN281" s="221"/>
      <c r="GO281" s="221"/>
      <c r="GP281" s="221"/>
      <c r="GQ281" s="221"/>
      <c r="GR281" s="221"/>
      <c r="GS281" s="221"/>
      <c r="GT281" s="221"/>
      <c r="GU281" s="221"/>
      <c r="GV281" s="221"/>
      <c r="GW281" s="221"/>
      <c r="GX281" s="221"/>
      <c r="GY281" s="221"/>
      <c r="GZ281" s="221"/>
      <c r="HA281" s="221"/>
      <c r="HB281" s="221"/>
      <c r="HC281" s="221"/>
      <c r="HD281" s="221"/>
      <c r="HE281" s="221"/>
      <c r="HF281" s="221"/>
      <c r="HG281" s="221"/>
      <c r="HH281" s="221"/>
      <c r="HI281" s="221"/>
      <c r="HJ281" s="221"/>
      <c r="HK281" s="221"/>
      <c r="HL281" s="221"/>
      <c r="HM281" s="221"/>
      <c r="HN281" s="221"/>
      <c r="HO281" s="221"/>
      <c r="HP281" s="221"/>
      <c r="HQ281" s="221"/>
      <c r="HR281" s="221"/>
      <c r="HS281" s="221"/>
      <c r="HT281" s="221"/>
      <c r="HU281" s="221"/>
      <c r="HV281" s="221"/>
      <c r="HW281" s="221"/>
      <c r="HX281" s="221"/>
      <c r="HY281" s="221"/>
      <c r="HZ281" s="221"/>
      <c r="IA281" s="221"/>
      <c r="IB281" s="221"/>
      <c r="IC281" s="221"/>
      <c r="ID281" s="221"/>
      <c r="IE281" s="221"/>
      <c r="IF281" s="221"/>
      <c r="IG281" s="221"/>
      <c r="IH281" s="221"/>
      <c r="II281" s="221"/>
      <c r="IJ281" s="221"/>
      <c r="IK281" s="221"/>
      <c r="IL281" s="221"/>
      <c r="IM281" s="221"/>
      <c r="IN281" s="221"/>
      <c r="IO281" s="221"/>
      <c r="IP281" s="221"/>
      <c r="IQ281" s="221"/>
      <c r="IR281" s="221"/>
      <c r="IS281" s="221"/>
      <c r="IT281" s="221"/>
      <c r="IU281" s="221"/>
      <c r="IV281" s="221"/>
      <c r="IW281" s="221"/>
      <c r="IX281" s="221"/>
      <c r="IY281" s="221"/>
      <c r="IZ281" s="221"/>
      <c r="JA281" s="221"/>
      <c r="JB281" s="221"/>
      <c r="JC281" s="221"/>
      <c r="JD281" s="221"/>
      <c r="JE281" s="221"/>
      <c r="JF281" s="221"/>
      <c r="JG281" s="221"/>
      <c r="JH281" s="221"/>
      <c r="JI281" s="221"/>
      <c r="JJ281" s="221"/>
      <c r="JK281" s="221"/>
      <c r="JL281" s="221"/>
      <c r="JM281" s="221"/>
      <c r="JN281" s="221"/>
      <c r="JO281" s="221"/>
      <c r="JP281" s="221"/>
      <c r="JQ281" s="221"/>
    </row>
    <row r="282" spans="1:277" ht="20" customHeight="1" outlineLevel="1">
      <c r="A282" s="482">
        <v>190630</v>
      </c>
      <c r="B282" s="439">
        <v>42172</v>
      </c>
      <c r="C282" s="514" t="s">
        <v>44</v>
      </c>
      <c r="D282" s="514" t="s">
        <v>1259</v>
      </c>
      <c r="E282" s="539" t="s">
        <v>2077</v>
      </c>
      <c r="F282" s="531" t="s">
        <v>2078</v>
      </c>
      <c r="G282" s="514" t="s">
        <v>2097</v>
      </c>
      <c r="H282" s="439">
        <v>42175</v>
      </c>
      <c r="I282" s="443">
        <v>192678</v>
      </c>
      <c r="J282" s="837" t="s">
        <v>1269</v>
      </c>
      <c r="K282" s="448" t="s">
        <v>50</v>
      </c>
      <c r="L282" s="448">
        <v>116646055</v>
      </c>
      <c r="M282" s="439">
        <v>42187</v>
      </c>
      <c r="N282" s="448" t="s">
        <v>1783</v>
      </c>
      <c r="O282" s="448" t="s">
        <v>2080</v>
      </c>
      <c r="P282" s="516"/>
      <c r="Q282" s="629"/>
      <c r="R282" s="589">
        <v>0</v>
      </c>
      <c r="S282" s="590">
        <v>0</v>
      </c>
      <c r="T282" s="604">
        <v>0</v>
      </c>
      <c r="U282" s="596">
        <v>1</v>
      </c>
      <c r="V282" s="590">
        <v>0</v>
      </c>
      <c r="W282" s="604">
        <v>0</v>
      </c>
      <c r="X282" s="596">
        <v>6</v>
      </c>
      <c r="Y282" s="590">
        <v>0</v>
      </c>
      <c r="Z282" s="604">
        <v>0</v>
      </c>
      <c r="AA282" s="596">
        <v>8</v>
      </c>
      <c r="AB282" s="590">
        <v>0</v>
      </c>
      <c r="AC282" s="604">
        <v>0</v>
      </c>
      <c r="AD282" s="596">
        <v>5</v>
      </c>
      <c r="AE282" s="596">
        <v>0</v>
      </c>
      <c r="AF282" s="596">
        <v>0</v>
      </c>
      <c r="AG282" s="590">
        <v>0</v>
      </c>
      <c r="AH282" s="604">
        <v>0</v>
      </c>
      <c r="AI282" s="610">
        <v>0</v>
      </c>
      <c r="AJ282" s="610">
        <v>0</v>
      </c>
      <c r="AK282" s="629"/>
      <c r="AL282" s="531" t="s">
        <v>1268</v>
      </c>
      <c r="AM282" s="448">
        <v>191648</v>
      </c>
      <c r="AN282" s="612">
        <v>267.57</v>
      </c>
      <c r="AO282" s="444" t="s">
        <v>2111</v>
      </c>
      <c r="AP282" s="37">
        <f>735.35-260</f>
        <v>475.35</v>
      </c>
      <c r="AQ282" s="795">
        <f t="shared" si="29"/>
        <v>207.78000000000003</v>
      </c>
      <c r="AR282" s="835">
        <f t="shared" si="21"/>
        <v>0.43710949826443679</v>
      </c>
      <c r="AS282" s="821">
        <v>42174</v>
      </c>
      <c r="AT282" s="448" t="s">
        <v>1254</v>
      </c>
      <c r="AU282" s="448">
        <v>2</v>
      </c>
      <c r="AV282" s="448"/>
      <c r="AW282" s="448"/>
      <c r="AX282" s="612">
        <v>260</v>
      </c>
      <c r="AY282" s="448"/>
      <c r="AZ282" s="612">
        <v>210</v>
      </c>
      <c r="BA282" s="256" t="s">
        <v>47</v>
      </c>
      <c r="BB282" s="41">
        <v>0</v>
      </c>
      <c r="BC282" s="448"/>
      <c r="BD282" s="448"/>
      <c r="BE282" s="448"/>
      <c r="BF282" s="448"/>
      <c r="BG282" s="448"/>
      <c r="BH282" s="221"/>
      <c r="BI282" s="221"/>
      <c r="BJ282" s="221"/>
      <c r="BK282" s="221"/>
      <c r="BL282" s="221"/>
      <c r="BM282" s="221"/>
      <c r="BN282" s="221"/>
      <c r="BO282" s="221"/>
      <c r="BP282" s="221"/>
      <c r="BQ282" s="221"/>
      <c r="BR282" s="221"/>
      <c r="BS282" s="221"/>
      <c r="BT282" s="221"/>
      <c r="BU282" s="221"/>
      <c r="BV282" s="221"/>
      <c r="BW282" s="221"/>
      <c r="BX282" s="221"/>
      <c r="BY282" s="221"/>
      <c r="BZ282" s="221"/>
      <c r="CA282" s="221"/>
      <c r="CB282" s="221"/>
      <c r="CC282" s="221"/>
      <c r="CD282" s="221"/>
      <c r="CE282" s="221"/>
      <c r="CF282" s="221"/>
      <c r="CG282" s="221"/>
      <c r="CH282" s="221"/>
      <c r="CI282" s="221"/>
      <c r="CJ282" s="221"/>
      <c r="CK282" s="221"/>
      <c r="CL282" s="221"/>
      <c r="CM282" s="221"/>
      <c r="CN282" s="221"/>
      <c r="CO282" s="221"/>
      <c r="CP282" s="221"/>
      <c r="CQ282" s="221"/>
      <c r="CR282" s="221"/>
      <c r="CS282" s="221"/>
      <c r="CT282" s="221"/>
      <c r="CU282" s="221"/>
      <c r="CV282" s="221"/>
      <c r="CW282" s="221"/>
      <c r="CX282" s="221"/>
      <c r="CY282" s="221"/>
      <c r="CZ282" s="221"/>
      <c r="DA282" s="221"/>
      <c r="DB282" s="221"/>
      <c r="DC282" s="221"/>
      <c r="DD282" s="221"/>
      <c r="DE282" s="221"/>
      <c r="DF282" s="221"/>
      <c r="DG282" s="221"/>
      <c r="DH282" s="221"/>
      <c r="DI282" s="221"/>
      <c r="DJ282" s="221"/>
      <c r="DK282" s="221"/>
      <c r="DL282" s="221"/>
      <c r="DM282" s="221"/>
      <c r="DN282" s="221"/>
      <c r="DO282" s="221"/>
      <c r="DP282" s="221"/>
      <c r="DQ282" s="221"/>
      <c r="DR282" s="221"/>
      <c r="DS282" s="221"/>
      <c r="DT282" s="221"/>
      <c r="DU282" s="221"/>
      <c r="DV282" s="221"/>
      <c r="DW282" s="221"/>
      <c r="DX282" s="221"/>
      <c r="DY282" s="221"/>
      <c r="DZ282" s="221"/>
      <c r="EA282" s="221"/>
      <c r="EB282" s="221"/>
      <c r="EC282" s="221"/>
      <c r="ED282" s="221"/>
      <c r="EE282" s="221"/>
      <c r="EF282" s="221"/>
      <c r="EG282" s="221"/>
      <c r="EH282" s="221"/>
      <c r="EI282" s="221"/>
      <c r="EJ282" s="221"/>
      <c r="EK282" s="221"/>
      <c r="EL282" s="221"/>
      <c r="EM282" s="221"/>
      <c r="EN282" s="221"/>
      <c r="EO282" s="221"/>
      <c r="EP282" s="221"/>
      <c r="EQ282" s="221"/>
      <c r="ER282" s="221"/>
      <c r="ES282" s="221"/>
      <c r="ET282" s="221"/>
      <c r="EU282" s="221"/>
      <c r="EV282" s="221"/>
      <c r="EW282" s="221"/>
      <c r="EX282" s="221"/>
      <c r="EY282" s="221"/>
      <c r="EZ282" s="221"/>
      <c r="FA282" s="221"/>
      <c r="FB282" s="221"/>
      <c r="FC282" s="221"/>
      <c r="FD282" s="221"/>
      <c r="FE282" s="221"/>
      <c r="FF282" s="221"/>
      <c r="FG282" s="221"/>
      <c r="FH282" s="221"/>
      <c r="FI282" s="221"/>
      <c r="FJ282" s="221"/>
      <c r="FK282" s="221"/>
      <c r="FL282" s="221"/>
      <c r="FM282" s="221"/>
      <c r="FN282" s="221"/>
      <c r="FO282" s="221"/>
      <c r="FP282" s="221"/>
      <c r="FQ282" s="221"/>
      <c r="FR282" s="221"/>
      <c r="FS282" s="221"/>
      <c r="FT282" s="221"/>
      <c r="FU282" s="221"/>
      <c r="FV282" s="221"/>
      <c r="FW282" s="221"/>
      <c r="FX282" s="221"/>
      <c r="FY282" s="221"/>
      <c r="FZ282" s="221"/>
      <c r="GA282" s="221"/>
      <c r="GB282" s="221"/>
      <c r="GC282" s="221"/>
      <c r="GD282" s="221"/>
      <c r="GE282" s="221"/>
      <c r="GF282" s="221"/>
      <c r="GG282" s="221"/>
      <c r="GH282" s="221"/>
      <c r="GI282" s="221"/>
      <c r="GJ282" s="221"/>
      <c r="GK282" s="221"/>
      <c r="GL282" s="221"/>
      <c r="GM282" s="221"/>
      <c r="GN282" s="221"/>
      <c r="GO282" s="221"/>
      <c r="GP282" s="221"/>
      <c r="GQ282" s="221"/>
      <c r="GR282" s="221"/>
      <c r="GS282" s="221"/>
      <c r="GT282" s="221"/>
      <c r="GU282" s="221"/>
      <c r="GV282" s="221"/>
      <c r="GW282" s="221"/>
      <c r="GX282" s="221"/>
      <c r="GY282" s="221"/>
      <c r="GZ282" s="221"/>
      <c r="HA282" s="221"/>
      <c r="HB282" s="221"/>
      <c r="HC282" s="221"/>
      <c r="HD282" s="221"/>
      <c r="HE282" s="221"/>
      <c r="HF282" s="221"/>
      <c r="HG282" s="221"/>
      <c r="HH282" s="221"/>
      <c r="HI282" s="221"/>
      <c r="HJ282" s="221"/>
      <c r="HK282" s="221"/>
      <c r="HL282" s="221"/>
      <c r="HM282" s="221"/>
      <c r="HN282" s="221"/>
      <c r="HO282" s="221"/>
      <c r="HP282" s="221"/>
      <c r="HQ282" s="221"/>
      <c r="HR282" s="221"/>
      <c r="HS282" s="221"/>
      <c r="HT282" s="221"/>
      <c r="HU282" s="221"/>
      <c r="HV282" s="221"/>
      <c r="HW282" s="221"/>
      <c r="HX282" s="221"/>
      <c r="HY282" s="221"/>
      <c r="HZ282" s="221"/>
      <c r="IA282" s="221"/>
      <c r="IB282" s="221"/>
      <c r="IC282" s="221"/>
      <c r="ID282" s="221"/>
      <c r="IE282" s="221"/>
      <c r="IF282" s="221"/>
      <c r="IG282" s="221"/>
      <c r="IH282" s="221"/>
      <c r="II282" s="221"/>
      <c r="IJ282" s="221"/>
      <c r="IK282" s="221"/>
      <c r="IL282" s="221"/>
      <c r="IM282" s="221"/>
      <c r="IN282" s="221"/>
      <c r="IO282" s="221"/>
      <c r="IP282" s="221"/>
      <c r="IQ282" s="221"/>
      <c r="IR282" s="221"/>
      <c r="IS282" s="221"/>
      <c r="IT282" s="221"/>
      <c r="IU282" s="221"/>
      <c r="IV282" s="221"/>
      <c r="IW282" s="221"/>
      <c r="IX282" s="221"/>
      <c r="IY282" s="221"/>
      <c r="IZ282" s="221"/>
      <c r="JA282" s="221"/>
      <c r="JB282" s="221"/>
      <c r="JC282" s="221"/>
      <c r="JD282" s="221"/>
      <c r="JE282" s="221"/>
      <c r="JF282" s="221"/>
      <c r="JG282" s="221"/>
      <c r="JH282" s="221"/>
      <c r="JI282" s="221"/>
      <c r="JJ282" s="221"/>
      <c r="JK282" s="221"/>
      <c r="JL282" s="221"/>
      <c r="JM282" s="221"/>
      <c r="JN282" s="221"/>
      <c r="JO282" s="221"/>
      <c r="JP282" s="221"/>
      <c r="JQ282" s="221"/>
    </row>
    <row r="283" spans="1:277" ht="20" customHeight="1" outlineLevel="1">
      <c r="A283" s="482">
        <v>190631</v>
      </c>
      <c r="B283" s="439">
        <v>42173</v>
      </c>
      <c r="C283" s="514" t="s">
        <v>1523</v>
      </c>
      <c r="D283" s="514" t="s">
        <v>1259</v>
      </c>
      <c r="E283" s="539" t="s">
        <v>60</v>
      </c>
      <c r="F283" s="531" t="s">
        <v>47</v>
      </c>
      <c r="G283" s="514" t="s">
        <v>2082</v>
      </c>
      <c r="H283" s="448"/>
      <c r="I283" s="443"/>
      <c r="J283" s="838" t="s">
        <v>62</v>
      </c>
      <c r="K283" s="514" t="s">
        <v>50</v>
      </c>
      <c r="L283" s="448">
        <v>112779467</v>
      </c>
      <c r="M283" s="439">
        <v>42175</v>
      </c>
      <c r="N283" s="514" t="s">
        <v>2083</v>
      </c>
      <c r="O283" s="514" t="s">
        <v>2084</v>
      </c>
      <c r="P283" s="516">
        <v>21920583</v>
      </c>
      <c r="Q283" s="629"/>
      <c r="R283" s="589">
        <v>5</v>
      </c>
      <c r="S283" s="590">
        <v>0</v>
      </c>
      <c r="T283" s="604">
        <v>0</v>
      </c>
      <c r="U283" s="596">
        <v>0</v>
      </c>
      <c r="V283" s="590">
        <v>0</v>
      </c>
      <c r="W283" s="604">
        <v>0</v>
      </c>
      <c r="X283" s="596">
        <v>2</v>
      </c>
      <c r="Y283" s="590">
        <v>1</v>
      </c>
      <c r="Z283" s="604">
        <v>0</v>
      </c>
      <c r="AA283" s="596">
        <v>2</v>
      </c>
      <c r="AB283" s="590">
        <v>1</v>
      </c>
      <c r="AC283" s="604">
        <v>0</v>
      </c>
      <c r="AD283" s="596">
        <v>0</v>
      </c>
      <c r="AE283" s="596">
        <v>0</v>
      </c>
      <c r="AF283" s="596">
        <v>0</v>
      </c>
      <c r="AG283" s="590">
        <v>1</v>
      </c>
      <c r="AH283" s="604">
        <v>0</v>
      </c>
      <c r="AI283" s="610">
        <v>0</v>
      </c>
      <c r="AJ283" s="610">
        <v>0</v>
      </c>
      <c r="AK283" s="629"/>
      <c r="AL283" s="531" t="s">
        <v>1725</v>
      </c>
      <c r="AM283" s="448"/>
      <c r="AN283" s="351"/>
      <c r="AO283" s="444" t="s">
        <v>2105</v>
      </c>
      <c r="AP283" s="37">
        <v>645.01</v>
      </c>
      <c r="AQ283" s="795">
        <f t="shared" si="29"/>
        <v>645.01</v>
      </c>
      <c r="AR283" s="835">
        <f t="shared" si="21"/>
        <v>1</v>
      </c>
      <c r="AS283" s="821"/>
      <c r="AT283" s="448" t="s">
        <v>1254</v>
      </c>
      <c r="AU283" s="448">
        <v>2</v>
      </c>
      <c r="AV283" s="448"/>
      <c r="AW283" s="448"/>
      <c r="AX283" s="612">
        <v>0</v>
      </c>
      <c r="AY283" s="448"/>
      <c r="AZ283" s="612">
        <v>10</v>
      </c>
      <c r="BA283" s="256" t="s">
        <v>136</v>
      </c>
      <c r="BB283" s="41">
        <f>(3*99.17)*5%+(88+171.5+88)*15%</f>
        <v>67.000500000000002</v>
      </c>
      <c r="BC283" s="448"/>
      <c r="BD283" s="448"/>
      <c r="BE283" s="448"/>
      <c r="BF283" s="448"/>
      <c r="BG283" s="448"/>
      <c r="BH283" s="221"/>
      <c r="BI283" s="221"/>
      <c r="BJ283" s="221"/>
      <c r="BK283" s="221"/>
      <c r="BL283" s="221"/>
      <c r="BM283" s="221"/>
      <c r="BN283" s="221"/>
      <c r="BO283" s="221"/>
      <c r="BP283" s="221"/>
      <c r="BQ283" s="221"/>
      <c r="BR283" s="221"/>
      <c r="BS283" s="221"/>
      <c r="BT283" s="221"/>
      <c r="BU283" s="221"/>
      <c r="BV283" s="221"/>
      <c r="BW283" s="221"/>
      <c r="BX283" s="221"/>
      <c r="BY283" s="221"/>
      <c r="BZ283" s="221"/>
      <c r="CA283" s="221"/>
      <c r="CB283" s="221"/>
      <c r="CC283" s="221"/>
      <c r="CD283" s="221"/>
      <c r="CE283" s="221"/>
      <c r="CF283" s="221"/>
      <c r="CG283" s="221"/>
      <c r="CH283" s="221"/>
      <c r="CI283" s="221"/>
      <c r="CJ283" s="221"/>
      <c r="CK283" s="221"/>
      <c r="CL283" s="221"/>
      <c r="CM283" s="221"/>
      <c r="CN283" s="221"/>
      <c r="CO283" s="221"/>
      <c r="CP283" s="221"/>
      <c r="CQ283" s="221"/>
      <c r="CR283" s="221"/>
      <c r="CS283" s="221"/>
      <c r="CT283" s="221"/>
      <c r="CU283" s="221"/>
      <c r="CV283" s="221"/>
      <c r="CW283" s="221"/>
      <c r="CX283" s="221"/>
      <c r="CY283" s="221"/>
      <c r="CZ283" s="221"/>
      <c r="DA283" s="221"/>
      <c r="DB283" s="221"/>
      <c r="DC283" s="221"/>
      <c r="DD283" s="221"/>
      <c r="DE283" s="221"/>
      <c r="DF283" s="221"/>
      <c r="DG283" s="221"/>
      <c r="DH283" s="221"/>
      <c r="DI283" s="221"/>
      <c r="DJ283" s="221"/>
      <c r="DK283" s="221"/>
      <c r="DL283" s="221"/>
      <c r="DM283" s="221"/>
      <c r="DN283" s="221"/>
      <c r="DO283" s="221"/>
      <c r="DP283" s="221"/>
      <c r="DQ283" s="221"/>
      <c r="DR283" s="221"/>
      <c r="DS283" s="221"/>
      <c r="DT283" s="221"/>
      <c r="DU283" s="221"/>
      <c r="DV283" s="221"/>
      <c r="DW283" s="221"/>
      <c r="DX283" s="221"/>
      <c r="DY283" s="221"/>
      <c r="DZ283" s="221"/>
      <c r="EA283" s="221"/>
      <c r="EB283" s="221"/>
      <c r="EC283" s="221"/>
      <c r="ED283" s="221"/>
      <c r="EE283" s="221"/>
      <c r="EF283" s="221"/>
      <c r="EG283" s="221"/>
      <c r="EH283" s="221"/>
      <c r="EI283" s="221"/>
      <c r="EJ283" s="221"/>
      <c r="EK283" s="221"/>
      <c r="EL283" s="221"/>
      <c r="EM283" s="221"/>
      <c r="EN283" s="221"/>
      <c r="EO283" s="221"/>
      <c r="EP283" s="221"/>
      <c r="EQ283" s="221"/>
      <c r="ER283" s="221"/>
      <c r="ES283" s="221"/>
      <c r="ET283" s="221"/>
      <c r="EU283" s="221"/>
      <c r="EV283" s="221"/>
      <c r="EW283" s="221"/>
      <c r="EX283" s="221"/>
      <c r="EY283" s="221"/>
      <c r="EZ283" s="221"/>
      <c r="FA283" s="221"/>
      <c r="FB283" s="221"/>
      <c r="FC283" s="221"/>
      <c r="FD283" s="221"/>
      <c r="FE283" s="221"/>
      <c r="FF283" s="221"/>
      <c r="FG283" s="221"/>
      <c r="FH283" s="221"/>
      <c r="FI283" s="221"/>
      <c r="FJ283" s="221"/>
      <c r="FK283" s="221"/>
      <c r="FL283" s="221"/>
      <c r="FM283" s="221"/>
      <c r="FN283" s="221"/>
      <c r="FO283" s="221"/>
      <c r="FP283" s="221"/>
      <c r="FQ283" s="221"/>
      <c r="FR283" s="221"/>
      <c r="FS283" s="221"/>
      <c r="FT283" s="221"/>
      <c r="FU283" s="221"/>
      <c r="FV283" s="221"/>
      <c r="FW283" s="221"/>
      <c r="FX283" s="221"/>
      <c r="FY283" s="221"/>
      <c r="FZ283" s="221"/>
      <c r="GA283" s="221"/>
      <c r="GB283" s="221"/>
      <c r="GC283" s="221"/>
      <c r="GD283" s="221"/>
      <c r="GE283" s="221"/>
      <c r="GF283" s="221"/>
      <c r="GG283" s="221"/>
      <c r="GH283" s="221"/>
      <c r="GI283" s="221"/>
      <c r="GJ283" s="221"/>
      <c r="GK283" s="221"/>
      <c r="GL283" s="221"/>
      <c r="GM283" s="221"/>
      <c r="GN283" s="221"/>
      <c r="GO283" s="221"/>
      <c r="GP283" s="221"/>
      <c r="GQ283" s="221"/>
      <c r="GR283" s="221"/>
      <c r="GS283" s="221"/>
      <c r="GT283" s="221"/>
      <c r="GU283" s="221"/>
      <c r="GV283" s="221"/>
      <c r="GW283" s="221"/>
      <c r="GX283" s="221"/>
      <c r="GY283" s="221"/>
      <c r="GZ283" s="221"/>
      <c r="HA283" s="221"/>
      <c r="HB283" s="221"/>
      <c r="HC283" s="221"/>
      <c r="HD283" s="221"/>
      <c r="HE283" s="221"/>
      <c r="HF283" s="221"/>
      <c r="HG283" s="221"/>
      <c r="HH283" s="221"/>
      <c r="HI283" s="221"/>
      <c r="HJ283" s="221"/>
      <c r="HK283" s="221"/>
      <c r="HL283" s="221"/>
      <c r="HM283" s="221"/>
      <c r="HN283" s="221"/>
      <c r="HO283" s="221"/>
      <c r="HP283" s="221"/>
      <c r="HQ283" s="221"/>
      <c r="HR283" s="221"/>
      <c r="HS283" s="221"/>
      <c r="HT283" s="221"/>
      <c r="HU283" s="221"/>
      <c r="HV283" s="221"/>
      <c r="HW283" s="221"/>
      <c r="HX283" s="221"/>
      <c r="HY283" s="221"/>
      <c r="HZ283" s="221"/>
      <c r="IA283" s="221"/>
      <c r="IB283" s="221"/>
      <c r="IC283" s="221"/>
      <c r="ID283" s="221"/>
      <c r="IE283" s="221"/>
      <c r="IF283" s="221"/>
      <c r="IG283" s="221"/>
      <c r="IH283" s="221"/>
      <c r="II283" s="221"/>
      <c r="IJ283" s="221"/>
      <c r="IK283" s="221"/>
      <c r="IL283" s="221"/>
      <c r="IM283" s="221"/>
      <c r="IN283" s="221"/>
      <c r="IO283" s="221"/>
      <c r="IP283" s="221"/>
      <c r="IQ283" s="221"/>
      <c r="IR283" s="221"/>
      <c r="IS283" s="221"/>
      <c r="IT283" s="221"/>
      <c r="IU283" s="221"/>
      <c r="IV283" s="221"/>
      <c r="IW283" s="221"/>
      <c r="IX283" s="221"/>
      <c r="IY283" s="221"/>
      <c r="IZ283" s="221"/>
      <c r="JA283" s="221"/>
      <c r="JB283" s="221"/>
      <c r="JC283" s="221"/>
      <c r="JD283" s="221"/>
      <c r="JE283" s="221"/>
      <c r="JF283" s="221"/>
      <c r="JG283" s="221"/>
      <c r="JH283" s="221"/>
      <c r="JI283" s="221"/>
      <c r="JJ283" s="221"/>
      <c r="JK283" s="221"/>
      <c r="JL283" s="221"/>
      <c r="JM283" s="221"/>
      <c r="JN283" s="221"/>
      <c r="JO283" s="221"/>
      <c r="JP283" s="221"/>
      <c r="JQ283" s="221"/>
    </row>
    <row r="284" spans="1:277" ht="20" customHeight="1" outlineLevel="1">
      <c r="A284" s="482">
        <v>190632</v>
      </c>
      <c r="B284" s="439">
        <v>42173</v>
      </c>
      <c r="C284" s="514" t="s">
        <v>72</v>
      </c>
      <c r="D284" s="514" t="s">
        <v>1259</v>
      </c>
      <c r="E284" s="539" t="s">
        <v>2056</v>
      </c>
      <c r="F284" s="531" t="s">
        <v>2089</v>
      </c>
      <c r="G284" s="448" t="s">
        <v>2088</v>
      </c>
      <c r="H284" s="448"/>
      <c r="I284" s="443" t="s">
        <v>155</v>
      </c>
      <c r="J284" s="837" t="s">
        <v>62</v>
      </c>
      <c r="K284" s="448" t="s">
        <v>118</v>
      </c>
      <c r="L284" s="448"/>
      <c r="M284" s="448"/>
      <c r="N284" s="448" t="s">
        <v>2001</v>
      </c>
      <c r="O284" s="448" t="s">
        <v>2090</v>
      </c>
      <c r="P284" s="516"/>
      <c r="Q284" s="629"/>
      <c r="R284" s="589">
        <v>0</v>
      </c>
      <c r="S284" s="590">
        <v>0</v>
      </c>
      <c r="T284" s="604">
        <v>0</v>
      </c>
      <c r="U284" s="596">
        <v>0</v>
      </c>
      <c r="V284" s="590">
        <v>0</v>
      </c>
      <c r="W284" s="604">
        <v>0</v>
      </c>
      <c r="X284" s="596">
        <v>0</v>
      </c>
      <c r="Y284" s="590">
        <v>0</v>
      </c>
      <c r="Z284" s="604">
        <v>0</v>
      </c>
      <c r="AA284" s="596">
        <v>1</v>
      </c>
      <c r="AB284" s="590">
        <v>0</v>
      </c>
      <c r="AC284" s="604">
        <v>0</v>
      </c>
      <c r="AD284" s="596">
        <v>0</v>
      </c>
      <c r="AE284" s="596">
        <v>0</v>
      </c>
      <c r="AF284" s="596">
        <v>0</v>
      </c>
      <c r="AG284" s="590">
        <v>0</v>
      </c>
      <c r="AH284" s="604">
        <v>0</v>
      </c>
      <c r="AI284" s="610">
        <v>0</v>
      </c>
      <c r="AJ284" s="610">
        <v>0</v>
      </c>
      <c r="AK284" s="629"/>
      <c r="AL284" s="530"/>
      <c r="AM284" s="448"/>
      <c r="AN284" s="612"/>
      <c r="AO284" s="444"/>
      <c r="AP284" s="37"/>
      <c r="AQ284" s="795">
        <f t="shared" si="29"/>
        <v>0</v>
      </c>
      <c r="AR284" s="835" t="e">
        <f t="shared" si="21"/>
        <v>#DIV/0!</v>
      </c>
      <c r="AS284" s="821"/>
      <c r="AT284" s="448"/>
      <c r="AU284" s="448"/>
      <c r="AV284" s="448"/>
      <c r="AW284" s="448"/>
      <c r="AX284" s="612"/>
      <c r="AY284" s="448"/>
      <c r="AZ284" s="612"/>
      <c r="BA284" s="256" t="s">
        <v>47</v>
      </c>
      <c r="BB284" s="41">
        <v>0</v>
      </c>
      <c r="BC284" s="448"/>
      <c r="BD284" s="448"/>
      <c r="BE284" s="448"/>
      <c r="BF284" s="448"/>
      <c r="BG284" s="448"/>
      <c r="BH284" s="221"/>
      <c r="BI284" s="221"/>
      <c r="BJ284" s="221"/>
      <c r="BK284" s="221"/>
      <c r="BL284" s="221"/>
      <c r="BM284" s="221"/>
      <c r="BN284" s="221"/>
      <c r="BO284" s="221"/>
      <c r="BP284" s="221"/>
      <c r="BQ284" s="221"/>
      <c r="BR284" s="221"/>
      <c r="BS284" s="221"/>
      <c r="BT284" s="221"/>
      <c r="BU284" s="221"/>
      <c r="BV284" s="221"/>
      <c r="BW284" s="221"/>
      <c r="BX284" s="221"/>
      <c r="BY284" s="221"/>
      <c r="BZ284" s="221"/>
      <c r="CA284" s="221"/>
      <c r="CB284" s="221"/>
      <c r="CC284" s="221"/>
      <c r="CD284" s="221"/>
      <c r="CE284" s="221"/>
      <c r="CF284" s="221"/>
      <c r="CG284" s="221"/>
      <c r="CH284" s="221"/>
      <c r="CI284" s="221"/>
      <c r="CJ284" s="221"/>
      <c r="CK284" s="221"/>
      <c r="CL284" s="221"/>
      <c r="CM284" s="221"/>
      <c r="CN284" s="221"/>
      <c r="CO284" s="221"/>
      <c r="CP284" s="221"/>
      <c r="CQ284" s="221"/>
      <c r="CR284" s="221"/>
      <c r="CS284" s="221"/>
      <c r="CT284" s="221"/>
      <c r="CU284" s="221"/>
      <c r="CV284" s="221"/>
      <c r="CW284" s="221"/>
      <c r="CX284" s="221"/>
      <c r="CY284" s="221"/>
      <c r="CZ284" s="221"/>
      <c r="DA284" s="221"/>
      <c r="DB284" s="221"/>
      <c r="DC284" s="221"/>
      <c r="DD284" s="221"/>
      <c r="DE284" s="221"/>
      <c r="DF284" s="221"/>
      <c r="DG284" s="221"/>
      <c r="DH284" s="221"/>
      <c r="DI284" s="221"/>
      <c r="DJ284" s="221"/>
      <c r="DK284" s="221"/>
      <c r="DL284" s="221"/>
      <c r="DM284" s="221"/>
      <c r="DN284" s="221"/>
      <c r="DO284" s="221"/>
      <c r="DP284" s="221"/>
      <c r="DQ284" s="221"/>
      <c r="DR284" s="221"/>
      <c r="DS284" s="221"/>
      <c r="DT284" s="221"/>
      <c r="DU284" s="221"/>
      <c r="DV284" s="221"/>
      <c r="DW284" s="221"/>
      <c r="DX284" s="221"/>
      <c r="DY284" s="221"/>
      <c r="DZ284" s="221"/>
      <c r="EA284" s="221"/>
      <c r="EB284" s="221"/>
      <c r="EC284" s="221"/>
      <c r="ED284" s="221"/>
      <c r="EE284" s="221"/>
      <c r="EF284" s="221"/>
      <c r="EG284" s="221"/>
      <c r="EH284" s="221"/>
      <c r="EI284" s="221"/>
      <c r="EJ284" s="221"/>
      <c r="EK284" s="221"/>
      <c r="EL284" s="221"/>
      <c r="EM284" s="221"/>
      <c r="EN284" s="221"/>
      <c r="EO284" s="221"/>
      <c r="EP284" s="221"/>
      <c r="EQ284" s="221"/>
      <c r="ER284" s="221"/>
      <c r="ES284" s="221"/>
      <c r="ET284" s="221"/>
      <c r="EU284" s="221"/>
      <c r="EV284" s="221"/>
      <c r="EW284" s="221"/>
      <c r="EX284" s="221"/>
      <c r="EY284" s="221"/>
      <c r="EZ284" s="221"/>
      <c r="FA284" s="221"/>
      <c r="FB284" s="221"/>
      <c r="FC284" s="221"/>
      <c r="FD284" s="221"/>
      <c r="FE284" s="221"/>
      <c r="FF284" s="221"/>
      <c r="FG284" s="221"/>
      <c r="FH284" s="221"/>
      <c r="FI284" s="221"/>
      <c r="FJ284" s="221"/>
      <c r="FK284" s="221"/>
      <c r="FL284" s="221"/>
      <c r="FM284" s="221"/>
      <c r="FN284" s="221"/>
      <c r="FO284" s="221"/>
      <c r="FP284" s="221"/>
      <c r="FQ284" s="221"/>
      <c r="FR284" s="221"/>
      <c r="FS284" s="221"/>
      <c r="FT284" s="221"/>
      <c r="FU284" s="221"/>
      <c r="FV284" s="221"/>
      <c r="FW284" s="221"/>
      <c r="FX284" s="221"/>
      <c r="FY284" s="221"/>
      <c r="FZ284" s="221"/>
      <c r="GA284" s="221"/>
      <c r="GB284" s="221"/>
      <c r="GC284" s="221"/>
      <c r="GD284" s="221"/>
      <c r="GE284" s="221"/>
      <c r="GF284" s="221"/>
      <c r="GG284" s="221"/>
      <c r="GH284" s="221"/>
      <c r="GI284" s="221"/>
      <c r="GJ284" s="221"/>
      <c r="GK284" s="221"/>
      <c r="GL284" s="221"/>
      <c r="GM284" s="221"/>
      <c r="GN284" s="221"/>
      <c r="GO284" s="221"/>
      <c r="GP284" s="221"/>
      <c r="GQ284" s="221"/>
      <c r="GR284" s="221"/>
      <c r="GS284" s="221"/>
      <c r="GT284" s="221"/>
      <c r="GU284" s="221"/>
      <c r="GV284" s="221"/>
      <c r="GW284" s="221"/>
      <c r="GX284" s="221"/>
      <c r="GY284" s="221"/>
      <c r="GZ284" s="221"/>
      <c r="HA284" s="221"/>
      <c r="HB284" s="221"/>
      <c r="HC284" s="221"/>
      <c r="HD284" s="221"/>
      <c r="HE284" s="221"/>
      <c r="HF284" s="221"/>
      <c r="HG284" s="221"/>
      <c r="HH284" s="221"/>
      <c r="HI284" s="221"/>
      <c r="HJ284" s="221"/>
      <c r="HK284" s="221"/>
      <c r="HL284" s="221"/>
      <c r="HM284" s="221"/>
      <c r="HN284" s="221"/>
      <c r="HO284" s="221"/>
      <c r="HP284" s="221"/>
      <c r="HQ284" s="221"/>
      <c r="HR284" s="221"/>
      <c r="HS284" s="221"/>
      <c r="HT284" s="221"/>
      <c r="HU284" s="221"/>
      <c r="HV284" s="221"/>
      <c r="HW284" s="221"/>
      <c r="HX284" s="221"/>
      <c r="HY284" s="221"/>
      <c r="HZ284" s="221"/>
      <c r="IA284" s="221"/>
      <c r="IB284" s="221"/>
      <c r="IC284" s="221"/>
      <c r="ID284" s="221"/>
      <c r="IE284" s="221"/>
      <c r="IF284" s="221"/>
      <c r="IG284" s="221"/>
      <c r="IH284" s="221"/>
      <c r="II284" s="221"/>
      <c r="IJ284" s="221"/>
      <c r="IK284" s="221"/>
      <c r="IL284" s="221"/>
      <c r="IM284" s="221"/>
      <c r="IN284" s="221"/>
      <c r="IO284" s="221"/>
      <c r="IP284" s="221"/>
      <c r="IQ284" s="221"/>
      <c r="IR284" s="221"/>
      <c r="IS284" s="221"/>
      <c r="IT284" s="221"/>
      <c r="IU284" s="221"/>
      <c r="IV284" s="221"/>
      <c r="IW284" s="221"/>
      <c r="IX284" s="221"/>
      <c r="IY284" s="221"/>
      <c r="IZ284" s="221"/>
      <c r="JA284" s="221"/>
      <c r="JB284" s="221"/>
      <c r="JC284" s="221"/>
      <c r="JD284" s="221"/>
      <c r="JE284" s="221"/>
      <c r="JF284" s="221"/>
      <c r="JG284" s="221"/>
      <c r="JH284" s="221"/>
      <c r="JI284" s="221"/>
      <c r="JJ284" s="221"/>
      <c r="JK284" s="221"/>
      <c r="JL284" s="221"/>
      <c r="JM284" s="221"/>
      <c r="JN284" s="221"/>
      <c r="JO284" s="221"/>
      <c r="JP284" s="221"/>
      <c r="JQ284" s="221"/>
    </row>
    <row r="285" spans="1:277" ht="20" customHeight="1" outlineLevel="1">
      <c r="A285" s="456">
        <v>190633</v>
      </c>
      <c r="B285" s="439">
        <v>42173</v>
      </c>
      <c r="C285" s="514" t="s">
        <v>1675</v>
      </c>
      <c r="D285" s="514" t="s">
        <v>1259</v>
      </c>
      <c r="E285" s="539" t="s">
        <v>60</v>
      </c>
      <c r="F285" s="531" t="s">
        <v>47</v>
      </c>
      <c r="G285" s="448" t="s">
        <v>47</v>
      </c>
      <c r="H285" s="448" t="s">
        <v>47</v>
      </c>
      <c r="I285" s="443" t="s">
        <v>47</v>
      </c>
      <c r="J285" s="837" t="s">
        <v>2092</v>
      </c>
      <c r="K285" s="448" t="s">
        <v>50</v>
      </c>
      <c r="L285" s="448"/>
      <c r="M285" s="448"/>
      <c r="N285" s="448" t="s">
        <v>2093</v>
      </c>
      <c r="O285" s="448" t="s">
        <v>2094</v>
      </c>
      <c r="P285" s="516"/>
      <c r="Q285" s="629"/>
      <c r="R285" s="589">
        <v>0</v>
      </c>
      <c r="S285" s="590">
        <v>0</v>
      </c>
      <c r="T285" s="604">
        <v>0</v>
      </c>
      <c r="U285" s="596">
        <v>0</v>
      </c>
      <c r="V285" s="590">
        <v>0</v>
      </c>
      <c r="W285" s="604">
        <v>0</v>
      </c>
      <c r="X285" s="596">
        <v>5</v>
      </c>
      <c r="Y285" s="590">
        <v>0</v>
      </c>
      <c r="Z285" s="604">
        <v>0</v>
      </c>
      <c r="AA285" s="596">
        <v>0</v>
      </c>
      <c r="AB285" s="590">
        <v>0</v>
      </c>
      <c r="AC285" s="604">
        <v>4</v>
      </c>
      <c r="AD285" s="596">
        <v>0</v>
      </c>
      <c r="AE285" s="596">
        <v>0</v>
      </c>
      <c r="AF285" s="596">
        <v>0</v>
      </c>
      <c r="AG285" s="590">
        <v>0</v>
      </c>
      <c r="AH285" s="604">
        <v>40</v>
      </c>
      <c r="AI285" s="610">
        <v>0</v>
      </c>
      <c r="AJ285" s="610">
        <v>0</v>
      </c>
      <c r="AK285" s="629"/>
      <c r="AL285" s="530" t="s">
        <v>1262</v>
      </c>
      <c r="AM285" s="448" t="s">
        <v>1197</v>
      </c>
      <c r="AN285" s="612">
        <v>40</v>
      </c>
      <c r="AO285" s="444" t="s">
        <v>47</v>
      </c>
      <c r="AP285" s="37">
        <v>0</v>
      </c>
      <c r="AQ285" s="795">
        <f t="shared" si="29"/>
        <v>-40</v>
      </c>
      <c r="AR285" s="835" t="e">
        <f t="shared" si="21"/>
        <v>#DIV/0!</v>
      </c>
      <c r="AS285" s="821" t="s">
        <v>47</v>
      </c>
      <c r="AT285" s="448" t="s">
        <v>1254</v>
      </c>
      <c r="AU285" s="448">
        <v>1</v>
      </c>
      <c r="AV285" s="448"/>
      <c r="AW285" s="448"/>
      <c r="AX285" s="612"/>
      <c r="AY285" s="448"/>
      <c r="AZ285" s="612"/>
      <c r="BA285" s="256" t="s">
        <v>47</v>
      </c>
      <c r="BB285" s="41">
        <v>0</v>
      </c>
      <c r="BC285" s="448"/>
      <c r="BD285" s="448"/>
      <c r="BE285" s="448"/>
      <c r="BF285" s="448"/>
      <c r="BG285" s="448"/>
      <c r="BH285" s="221"/>
      <c r="BI285" s="221"/>
      <c r="BJ285" s="221"/>
      <c r="BK285" s="221"/>
      <c r="BL285" s="221"/>
      <c r="BM285" s="221"/>
      <c r="BN285" s="221"/>
      <c r="BO285" s="221"/>
      <c r="BP285" s="221"/>
      <c r="BQ285" s="221"/>
      <c r="BR285" s="221"/>
      <c r="BS285" s="221"/>
      <c r="BT285" s="221"/>
      <c r="BU285" s="221"/>
      <c r="BV285" s="221"/>
      <c r="BW285" s="221"/>
      <c r="BX285" s="221"/>
      <c r="BY285" s="221"/>
      <c r="BZ285" s="221"/>
      <c r="CA285" s="221"/>
      <c r="CB285" s="221"/>
      <c r="CC285" s="221"/>
      <c r="CD285" s="221"/>
      <c r="CE285" s="221"/>
      <c r="CF285" s="221"/>
      <c r="CG285" s="221"/>
      <c r="CH285" s="221"/>
      <c r="CI285" s="221"/>
      <c r="CJ285" s="221"/>
      <c r="CK285" s="221"/>
      <c r="CL285" s="221"/>
      <c r="CM285" s="221"/>
      <c r="CN285" s="221"/>
      <c r="CO285" s="221"/>
      <c r="CP285" s="221"/>
      <c r="CQ285" s="221"/>
      <c r="CR285" s="221"/>
      <c r="CS285" s="221"/>
      <c r="CT285" s="221"/>
      <c r="CU285" s="221"/>
      <c r="CV285" s="221"/>
      <c r="CW285" s="221"/>
      <c r="CX285" s="221"/>
      <c r="CY285" s="221"/>
      <c r="CZ285" s="221"/>
      <c r="DA285" s="221"/>
      <c r="DB285" s="221"/>
      <c r="DC285" s="221"/>
      <c r="DD285" s="221"/>
      <c r="DE285" s="221"/>
      <c r="DF285" s="221"/>
      <c r="DG285" s="221"/>
      <c r="DH285" s="221"/>
      <c r="DI285" s="221"/>
      <c r="DJ285" s="221"/>
      <c r="DK285" s="221"/>
      <c r="DL285" s="221"/>
      <c r="DM285" s="221"/>
      <c r="DN285" s="221"/>
      <c r="DO285" s="221"/>
      <c r="DP285" s="221"/>
      <c r="DQ285" s="221"/>
      <c r="DR285" s="221"/>
      <c r="DS285" s="221"/>
      <c r="DT285" s="221"/>
      <c r="DU285" s="221"/>
      <c r="DV285" s="221"/>
      <c r="DW285" s="221"/>
      <c r="DX285" s="221"/>
      <c r="DY285" s="221"/>
      <c r="DZ285" s="221"/>
      <c r="EA285" s="221"/>
      <c r="EB285" s="221"/>
      <c r="EC285" s="221"/>
      <c r="ED285" s="221"/>
      <c r="EE285" s="221"/>
      <c r="EF285" s="221"/>
      <c r="EG285" s="221"/>
      <c r="EH285" s="221"/>
      <c r="EI285" s="221"/>
      <c r="EJ285" s="221"/>
      <c r="EK285" s="221"/>
      <c r="EL285" s="221"/>
      <c r="EM285" s="221"/>
      <c r="EN285" s="221"/>
      <c r="EO285" s="221"/>
      <c r="EP285" s="221"/>
      <c r="EQ285" s="221"/>
      <c r="ER285" s="221"/>
      <c r="ES285" s="221"/>
      <c r="ET285" s="221"/>
      <c r="EU285" s="221"/>
      <c r="EV285" s="221"/>
      <c r="EW285" s="221"/>
      <c r="EX285" s="221"/>
      <c r="EY285" s="221"/>
      <c r="EZ285" s="221"/>
      <c r="FA285" s="221"/>
      <c r="FB285" s="221"/>
      <c r="FC285" s="221"/>
      <c r="FD285" s="221"/>
      <c r="FE285" s="221"/>
      <c r="FF285" s="221"/>
      <c r="FG285" s="221"/>
      <c r="FH285" s="221"/>
      <c r="FI285" s="221"/>
      <c r="FJ285" s="221"/>
      <c r="FK285" s="221"/>
      <c r="FL285" s="221"/>
      <c r="FM285" s="221"/>
      <c r="FN285" s="221"/>
      <c r="FO285" s="221"/>
      <c r="FP285" s="221"/>
      <c r="FQ285" s="221"/>
      <c r="FR285" s="221"/>
      <c r="FS285" s="221"/>
      <c r="FT285" s="221"/>
      <c r="FU285" s="221"/>
      <c r="FV285" s="221"/>
      <c r="FW285" s="221"/>
      <c r="FX285" s="221"/>
      <c r="FY285" s="221"/>
      <c r="FZ285" s="221"/>
      <c r="GA285" s="221"/>
      <c r="GB285" s="221"/>
      <c r="GC285" s="221"/>
      <c r="GD285" s="221"/>
      <c r="GE285" s="221"/>
      <c r="GF285" s="221"/>
      <c r="GG285" s="221"/>
      <c r="GH285" s="221"/>
      <c r="GI285" s="221"/>
      <c r="GJ285" s="221"/>
      <c r="GK285" s="221"/>
      <c r="GL285" s="221"/>
      <c r="GM285" s="221"/>
      <c r="GN285" s="221"/>
      <c r="GO285" s="221"/>
      <c r="GP285" s="221"/>
      <c r="GQ285" s="221"/>
      <c r="GR285" s="221"/>
      <c r="GS285" s="221"/>
      <c r="GT285" s="221"/>
      <c r="GU285" s="221"/>
      <c r="GV285" s="221"/>
      <c r="GW285" s="221"/>
      <c r="GX285" s="221"/>
      <c r="GY285" s="221"/>
      <c r="GZ285" s="221"/>
      <c r="HA285" s="221"/>
      <c r="HB285" s="221"/>
      <c r="HC285" s="221"/>
      <c r="HD285" s="221"/>
      <c r="HE285" s="221"/>
      <c r="HF285" s="221"/>
      <c r="HG285" s="221"/>
      <c r="HH285" s="221"/>
      <c r="HI285" s="221"/>
      <c r="HJ285" s="221"/>
      <c r="HK285" s="221"/>
      <c r="HL285" s="221"/>
      <c r="HM285" s="221"/>
      <c r="HN285" s="221"/>
      <c r="HO285" s="221"/>
      <c r="HP285" s="221"/>
      <c r="HQ285" s="221"/>
      <c r="HR285" s="221"/>
      <c r="HS285" s="221"/>
      <c r="HT285" s="221"/>
      <c r="HU285" s="221"/>
      <c r="HV285" s="221"/>
      <c r="HW285" s="221"/>
      <c r="HX285" s="221"/>
      <c r="HY285" s="221"/>
      <c r="HZ285" s="221"/>
      <c r="IA285" s="221"/>
      <c r="IB285" s="221"/>
      <c r="IC285" s="221"/>
      <c r="ID285" s="221"/>
      <c r="IE285" s="221"/>
      <c r="IF285" s="221"/>
      <c r="IG285" s="221"/>
      <c r="IH285" s="221"/>
      <c r="II285" s="221"/>
      <c r="IJ285" s="221"/>
      <c r="IK285" s="221"/>
      <c r="IL285" s="221"/>
      <c r="IM285" s="221"/>
      <c r="IN285" s="221"/>
      <c r="IO285" s="221"/>
      <c r="IP285" s="221"/>
      <c r="IQ285" s="221"/>
      <c r="IR285" s="221"/>
      <c r="IS285" s="221"/>
      <c r="IT285" s="221"/>
      <c r="IU285" s="221"/>
      <c r="IV285" s="221"/>
      <c r="IW285" s="221"/>
      <c r="IX285" s="221"/>
      <c r="IY285" s="221"/>
      <c r="IZ285" s="221"/>
      <c r="JA285" s="221"/>
      <c r="JB285" s="221"/>
      <c r="JC285" s="221"/>
      <c r="JD285" s="221"/>
      <c r="JE285" s="221"/>
      <c r="JF285" s="221"/>
      <c r="JG285" s="221"/>
      <c r="JH285" s="221"/>
      <c r="JI285" s="221"/>
      <c r="JJ285" s="221"/>
      <c r="JK285" s="221"/>
      <c r="JL285" s="221"/>
      <c r="JM285" s="221"/>
      <c r="JN285" s="221"/>
      <c r="JO285" s="221"/>
      <c r="JP285" s="221"/>
      <c r="JQ285" s="221"/>
    </row>
    <row r="286" spans="1:277" ht="20" customHeight="1" outlineLevel="1">
      <c r="A286" s="456">
        <v>190634</v>
      </c>
      <c r="B286" s="439">
        <v>42173</v>
      </c>
      <c r="C286" s="514" t="s">
        <v>44</v>
      </c>
      <c r="D286" s="514" t="s">
        <v>1259</v>
      </c>
      <c r="E286" s="539" t="s">
        <v>74</v>
      </c>
      <c r="F286" s="531" t="s">
        <v>47</v>
      </c>
      <c r="G286" s="448" t="s">
        <v>47</v>
      </c>
      <c r="H286" s="448" t="s">
        <v>47</v>
      </c>
      <c r="I286" s="443" t="s">
        <v>47</v>
      </c>
      <c r="J286" s="837" t="s">
        <v>62</v>
      </c>
      <c r="K286" s="448" t="s">
        <v>50</v>
      </c>
      <c r="L286" s="448"/>
      <c r="M286" s="448"/>
      <c r="N286" s="448" t="s">
        <v>2095</v>
      </c>
      <c r="O286" s="448" t="s">
        <v>2096</v>
      </c>
      <c r="P286" s="516"/>
      <c r="Q286" s="629"/>
      <c r="R286" s="589">
        <v>0</v>
      </c>
      <c r="S286" s="590">
        <v>0</v>
      </c>
      <c r="T286" s="604">
        <v>0</v>
      </c>
      <c r="U286" s="596">
        <v>0</v>
      </c>
      <c r="V286" s="590">
        <v>0</v>
      </c>
      <c r="W286" s="604">
        <v>4</v>
      </c>
      <c r="X286" s="596">
        <v>0</v>
      </c>
      <c r="Y286" s="590">
        <v>0</v>
      </c>
      <c r="Z286" s="604">
        <v>0</v>
      </c>
      <c r="AA286" s="596">
        <v>0</v>
      </c>
      <c r="AB286" s="590">
        <v>0</v>
      </c>
      <c r="AC286" s="604">
        <v>0</v>
      </c>
      <c r="AD286" s="596">
        <v>0</v>
      </c>
      <c r="AE286" s="596">
        <v>0</v>
      </c>
      <c r="AF286" s="596">
        <v>0</v>
      </c>
      <c r="AG286" s="590">
        <v>0</v>
      </c>
      <c r="AH286" s="604">
        <v>8</v>
      </c>
      <c r="AI286" s="610">
        <v>0</v>
      </c>
      <c r="AJ286" s="610">
        <v>0</v>
      </c>
      <c r="AK286" s="629"/>
      <c r="AL286" s="530" t="s">
        <v>1268</v>
      </c>
      <c r="AM286" s="448" t="s">
        <v>1197</v>
      </c>
      <c r="AN286" s="612"/>
      <c r="AO286" s="444" t="s">
        <v>47</v>
      </c>
      <c r="AP286" s="37">
        <v>0</v>
      </c>
      <c r="AQ286" s="795">
        <f t="shared" si="29"/>
        <v>0</v>
      </c>
      <c r="AR286" s="835" t="e">
        <f t="shared" si="21"/>
        <v>#DIV/0!</v>
      </c>
      <c r="AS286" s="821" t="s">
        <v>47</v>
      </c>
      <c r="AT286" s="448" t="s">
        <v>1254</v>
      </c>
      <c r="AU286" s="448">
        <v>1</v>
      </c>
      <c r="AV286" s="448"/>
      <c r="AW286" s="448"/>
      <c r="AX286" s="612">
        <v>0</v>
      </c>
      <c r="AY286" s="448"/>
      <c r="AZ286" s="612">
        <v>8</v>
      </c>
      <c r="BA286" s="256" t="s">
        <v>47</v>
      </c>
      <c r="BB286" s="41">
        <v>0</v>
      </c>
      <c r="BC286" s="448"/>
      <c r="BD286" s="448"/>
      <c r="BE286" s="448"/>
      <c r="BF286" s="448"/>
      <c r="BG286" s="448"/>
      <c r="BH286" s="221"/>
      <c r="BI286" s="221"/>
      <c r="BJ286" s="221"/>
      <c r="BK286" s="221"/>
      <c r="BL286" s="221"/>
      <c r="BM286" s="221"/>
      <c r="BN286" s="221"/>
      <c r="BO286" s="221"/>
      <c r="BP286" s="221"/>
      <c r="BQ286" s="221"/>
      <c r="BR286" s="221"/>
      <c r="BS286" s="221"/>
      <c r="BT286" s="221"/>
      <c r="BU286" s="221"/>
      <c r="BV286" s="221"/>
      <c r="BW286" s="221"/>
      <c r="BX286" s="221"/>
      <c r="BY286" s="221"/>
      <c r="BZ286" s="221"/>
      <c r="CA286" s="221"/>
      <c r="CB286" s="221"/>
      <c r="CC286" s="221"/>
      <c r="CD286" s="221"/>
      <c r="CE286" s="221"/>
      <c r="CF286" s="221"/>
      <c r="CG286" s="221"/>
      <c r="CH286" s="221"/>
      <c r="CI286" s="221"/>
      <c r="CJ286" s="221"/>
      <c r="CK286" s="221"/>
      <c r="CL286" s="221"/>
      <c r="CM286" s="221"/>
      <c r="CN286" s="221"/>
      <c r="CO286" s="221"/>
      <c r="CP286" s="221"/>
      <c r="CQ286" s="221"/>
      <c r="CR286" s="221"/>
      <c r="CS286" s="221"/>
      <c r="CT286" s="221"/>
      <c r="CU286" s="221"/>
      <c r="CV286" s="221"/>
      <c r="CW286" s="221"/>
      <c r="CX286" s="221"/>
      <c r="CY286" s="221"/>
      <c r="CZ286" s="221"/>
      <c r="DA286" s="221"/>
      <c r="DB286" s="221"/>
      <c r="DC286" s="221"/>
      <c r="DD286" s="221"/>
      <c r="DE286" s="221"/>
      <c r="DF286" s="221"/>
      <c r="DG286" s="221"/>
      <c r="DH286" s="221"/>
      <c r="DI286" s="221"/>
      <c r="DJ286" s="221"/>
      <c r="DK286" s="221"/>
      <c r="DL286" s="221"/>
      <c r="DM286" s="221"/>
      <c r="DN286" s="221"/>
      <c r="DO286" s="221"/>
      <c r="DP286" s="221"/>
      <c r="DQ286" s="221"/>
      <c r="DR286" s="221"/>
      <c r="DS286" s="221"/>
      <c r="DT286" s="221"/>
      <c r="DU286" s="221"/>
      <c r="DV286" s="221"/>
      <c r="DW286" s="221"/>
      <c r="DX286" s="221"/>
      <c r="DY286" s="221"/>
      <c r="DZ286" s="221"/>
      <c r="EA286" s="221"/>
      <c r="EB286" s="221"/>
      <c r="EC286" s="221"/>
      <c r="ED286" s="221"/>
      <c r="EE286" s="221"/>
      <c r="EF286" s="221"/>
      <c r="EG286" s="221"/>
      <c r="EH286" s="221"/>
      <c r="EI286" s="221"/>
      <c r="EJ286" s="221"/>
      <c r="EK286" s="221"/>
      <c r="EL286" s="221"/>
      <c r="EM286" s="221"/>
      <c r="EN286" s="221"/>
      <c r="EO286" s="221"/>
      <c r="EP286" s="221"/>
      <c r="EQ286" s="221"/>
      <c r="ER286" s="221"/>
      <c r="ES286" s="221"/>
      <c r="ET286" s="221"/>
      <c r="EU286" s="221"/>
      <c r="EV286" s="221"/>
      <c r="EW286" s="221"/>
      <c r="EX286" s="221"/>
      <c r="EY286" s="221"/>
      <c r="EZ286" s="221"/>
      <c r="FA286" s="221"/>
      <c r="FB286" s="221"/>
      <c r="FC286" s="221"/>
      <c r="FD286" s="221"/>
      <c r="FE286" s="221"/>
      <c r="FF286" s="221"/>
      <c r="FG286" s="221"/>
      <c r="FH286" s="221"/>
      <c r="FI286" s="221"/>
      <c r="FJ286" s="221"/>
      <c r="FK286" s="221"/>
      <c r="FL286" s="221"/>
      <c r="FM286" s="221"/>
      <c r="FN286" s="221"/>
      <c r="FO286" s="221"/>
      <c r="FP286" s="221"/>
      <c r="FQ286" s="221"/>
      <c r="FR286" s="221"/>
      <c r="FS286" s="221"/>
      <c r="FT286" s="221"/>
      <c r="FU286" s="221"/>
      <c r="FV286" s="221"/>
      <c r="FW286" s="221"/>
      <c r="FX286" s="221"/>
      <c r="FY286" s="221"/>
      <c r="FZ286" s="221"/>
      <c r="GA286" s="221"/>
      <c r="GB286" s="221"/>
      <c r="GC286" s="221"/>
      <c r="GD286" s="221"/>
      <c r="GE286" s="221"/>
      <c r="GF286" s="221"/>
      <c r="GG286" s="221"/>
      <c r="GH286" s="221"/>
      <c r="GI286" s="221"/>
      <c r="GJ286" s="221"/>
      <c r="GK286" s="221"/>
      <c r="GL286" s="221"/>
      <c r="GM286" s="221"/>
      <c r="GN286" s="221"/>
      <c r="GO286" s="221"/>
      <c r="GP286" s="221"/>
      <c r="GQ286" s="221"/>
      <c r="GR286" s="221"/>
      <c r="GS286" s="221"/>
      <c r="GT286" s="221"/>
      <c r="GU286" s="221"/>
      <c r="GV286" s="221"/>
      <c r="GW286" s="221"/>
      <c r="GX286" s="221"/>
      <c r="GY286" s="221"/>
      <c r="GZ286" s="221"/>
      <c r="HA286" s="221"/>
      <c r="HB286" s="221"/>
      <c r="HC286" s="221"/>
      <c r="HD286" s="221"/>
      <c r="HE286" s="221"/>
      <c r="HF286" s="221"/>
      <c r="HG286" s="221"/>
      <c r="HH286" s="221"/>
      <c r="HI286" s="221"/>
      <c r="HJ286" s="221"/>
      <c r="HK286" s="221"/>
      <c r="HL286" s="221"/>
      <c r="HM286" s="221"/>
      <c r="HN286" s="221"/>
      <c r="HO286" s="221"/>
      <c r="HP286" s="221"/>
      <c r="HQ286" s="221"/>
      <c r="HR286" s="221"/>
      <c r="HS286" s="221"/>
      <c r="HT286" s="221"/>
      <c r="HU286" s="221"/>
      <c r="HV286" s="221"/>
      <c r="HW286" s="221"/>
      <c r="HX286" s="221"/>
      <c r="HY286" s="221"/>
      <c r="HZ286" s="221"/>
      <c r="IA286" s="221"/>
      <c r="IB286" s="221"/>
      <c r="IC286" s="221"/>
      <c r="ID286" s="221"/>
      <c r="IE286" s="221"/>
      <c r="IF286" s="221"/>
      <c r="IG286" s="221"/>
      <c r="IH286" s="221"/>
      <c r="II286" s="221"/>
      <c r="IJ286" s="221"/>
      <c r="IK286" s="221"/>
      <c r="IL286" s="221"/>
      <c r="IM286" s="221"/>
      <c r="IN286" s="221"/>
      <c r="IO286" s="221"/>
      <c r="IP286" s="221"/>
      <c r="IQ286" s="221"/>
      <c r="IR286" s="221"/>
      <c r="IS286" s="221"/>
      <c r="IT286" s="221"/>
      <c r="IU286" s="221"/>
      <c r="IV286" s="221"/>
      <c r="IW286" s="221"/>
      <c r="IX286" s="221"/>
      <c r="IY286" s="221"/>
      <c r="IZ286" s="221"/>
      <c r="JA286" s="221"/>
      <c r="JB286" s="221"/>
      <c r="JC286" s="221"/>
      <c r="JD286" s="221"/>
      <c r="JE286" s="221"/>
      <c r="JF286" s="221"/>
      <c r="JG286" s="221"/>
      <c r="JH286" s="221"/>
      <c r="JI286" s="221"/>
      <c r="JJ286" s="221"/>
      <c r="JK286" s="221"/>
      <c r="JL286" s="221"/>
      <c r="JM286" s="221"/>
      <c r="JN286" s="221"/>
      <c r="JO286" s="221"/>
      <c r="JP286" s="221"/>
      <c r="JQ286" s="221"/>
    </row>
    <row r="287" spans="1:277" ht="20" customHeight="1" outlineLevel="1">
      <c r="A287" s="456">
        <v>190635</v>
      </c>
      <c r="B287" s="439">
        <v>42174</v>
      </c>
      <c r="C287" s="514" t="s">
        <v>44</v>
      </c>
      <c r="D287" s="514" t="s">
        <v>1259</v>
      </c>
      <c r="E287" s="539" t="s">
        <v>89</v>
      </c>
      <c r="F287" s="531" t="s">
        <v>47</v>
      </c>
      <c r="G287" s="448" t="s">
        <v>2098</v>
      </c>
      <c r="H287" s="439">
        <v>42175</v>
      </c>
      <c r="I287" s="443">
        <v>192546</v>
      </c>
      <c r="J287" s="837" t="s">
        <v>62</v>
      </c>
      <c r="K287" s="448" t="s">
        <v>2099</v>
      </c>
      <c r="L287" s="845">
        <v>775543609545</v>
      </c>
      <c r="M287" s="439">
        <v>42179</v>
      </c>
      <c r="N287" s="448" t="s">
        <v>443</v>
      </c>
      <c r="O287" s="448" t="s">
        <v>99</v>
      </c>
      <c r="P287" s="801" t="s">
        <v>2120</v>
      </c>
      <c r="Q287" s="629"/>
      <c r="R287" s="589">
        <v>2</v>
      </c>
      <c r="S287" s="590">
        <v>0</v>
      </c>
      <c r="T287" s="604">
        <v>0</v>
      </c>
      <c r="U287" s="596">
        <v>0</v>
      </c>
      <c r="V287" s="590">
        <v>0</v>
      </c>
      <c r="W287" s="604">
        <v>0</v>
      </c>
      <c r="X287" s="596">
        <v>0</v>
      </c>
      <c r="Y287" s="590">
        <v>0</v>
      </c>
      <c r="Z287" s="604">
        <v>0</v>
      </c>
      <c r="AA287" s="596">
        <v>0</v>
      </c>
      <c r="AB287" s="590">
        <v>0</v>
      </c>
      <c r="AC287" s="604">
        <v>0</v>
      </c>
      <c r="AD287" s="596">
        <v>0</v>
      </c>
      <c r="AE287" s="596">
        <v>0</v>
      </c>
      <c r="AF287" s="596">
        <v>0</v>
      </c>
      <c r="AG287" s="590">
        <v>0</v>
      </c>
      <c r="AH287" s="604">
        <v>0</v>
      </c>
      <c r="AI287" s="610">
        <v>0</v>
      </c>
      <c r="AJ287" s="610">
        <v>0</v>
      </c>
      <c r="AK287" s="629"/>
      <c r="AL287" s="530" t="s">
        <v>1300</v>
      </c>
      <c r="AM287" s="448">
        <v>191596</v>
      </c>
      <c r="AN287" s="612">
        <f>2*8</f>
        <v>16</v>
      </c>
      <c r="AO287" s="444" t="s">
        <v>2153</v>
      </c>
      <c r="AP287" s="37">
        <v>31.2</v>
      </c>
      <c r="AQ287" s="795">
        <f t="shared" si="29"/>
        <v>15.2</v>
      </c>
      <c r="AR287" s="835">
        <f t="shared" si="21"/>
        <v>0.48717948717948717</v>
      </c>
      <c r="AS287" s="821"/>
      <c r="AT287" s="448" t="s">
        <v>1254</v>
      </c>
      <c r="AU287" s="448">
        <v>1</v>
      </c>
      <c r="AV287" s="448"/>
      <c r="AW287" s="448"/>
      <c r="AX287" s="612">
        <v>0</v>
      </c>
      <c r="AY287" s="448" t="s">
        <v>118</v>
      </c>
      <c r="AZ287" s="612">
        <v>0</v>
      </c>
      <c r="BA287" s="256" t="s">
        <v>47</v>
      </c>
      <c r="BB287" s="41">
        <v>0</v>
      </c>
      <c r="BC287" s="448"/>
      <c r="BD287" s="448"/>
      <c r="BE287" s="448"/>
      <c r="BF287" s="448"/>
      <c r="BG287" s="448"/>
      <c r="BH287" s="221"/>
      <c r="BI287" s="221"/>
      <c r="BJ287" s="221"/>
      <c r="BK287" s="221"/>
      <c r="BL287" s="221"/>
      <c r="BM287" s="221"/>
      <c r="BN287" s="221"/>
      <c r="BO287" s="221"/>
      <c r="BP287" s="221"/>
      <c r="BQ287" s="221"/>
      <c r="BR287" s="221"/>
      <c r="BS287" s="221"/>
      <c r="BT287" s="221"/>
      <c r="BU287" s="221"/>
      <c r="BV287" s="221"/>
      <c r="BW287" s="221"/>
      <c r="BX287" s="221"/>
      <c r="BY287" s="221"/>
      <c r="BZ287" s="221"/>
      <c r="CA287" s="221"/>
      <c r="CB287" s="221"/>
      <c r="CC287" s="221"/>
      <c r="CD287" s="221"/>
      <c r="CE287" s="221"/>
      <c r="CF287" s="221"/>
      <c r="CG287" s="221"/>
      <c r="CH287" s="221"/>
      <c r="CI287" s="221"/>
      <c r="CJ287" s="221"/>
      <c r="CK287" s="221"/>
      <c r="CL287" s="221"/>
      <c r="CM287" s="221"/>
      <c r="CN287" s="221"/>
      <c r="CO287" s="221"/>
      <c r="CP287" s="221"/>
      <c r="CQ287" s="221"/>
      <c r="CR287" s="221"/>
      <c r="CS287" s="221"/>
      <c r="CT287" s="221"/>
      <c r="CU287" s="221"/>
      <c r="CV287" s="221"/>
      <c r="CW287" s="221"/>
      <c r="CX287" s="221"/>
      <c r="CY287" s="221"/>
      <c r="CZ287" s="221"/>
      <c r="DA287" s="221"/>
      <c r="DB287" s="221"/>
      <c r="DC287" s="221"/>
      <c r="DD287" s="221"/>
      <c r="DE287" s="221"/>
      <c r="DF287" s="221"/>
      <c r="DG287" s="221"/>
      <c r="DH287" s="221"/>
      <c r="DI287" s="221"/>
      <c r="DJ287" s="221"/>
      <c r="DK287" s="221"/>
      <c r="DL287" s="221"/>
      <c r="DM287" s="221"/>
      <c r="DN287" s="221"/>
      <c r="DO287" s="221"/>
      <c r="DP287" s="221"/>
      <c r="DQ287" s="221"/>
      <c r="DR287" s="221"/>
      <c r="DS287" s="221"/>
      <c r="DT287" s="221"/>
      <c r="DU287" s="221"/>
      <c r="DV287" s="221"/>
      <c r="DW287" s="221"/>
      <c r="DX287" s="221"/>
      <c r="DY287" s="221"/>
      <c r="DZ287" s="221"/>
      <c r="EA287" s="221"/>
      <c r="EB287" s="221"/>
      <c r="EC287" s="221"/>
      <c r="ED287" s="221"/>
      <c r="EE287" s="221"/>
      <c r="EF287" s="221"/>
      <c r="EG287" s="221"/>
      <c r="EH287" s="221"/>
      <c r="EI287" s="221"/>
      <c r="EJ287" s="221"/>
      <c r="EK287" s="221"/>
      <c r="EL287" s="221"/>
      <c r="EM287" s="221"/>
      <c r="EN287" s="221"/>
      <c r="EO287" s="221"/>
      <c r="EP287" s="221"/>
      <c r="EQ287" s="221"/>
      <c r="ER287" s="221"/>
      <c r="ES287" s="221"/>
      <c r="ET287" s="221"/>
      <c r="EU287" s="221"/>
      <c r="EV287" s="221"/>
      <c r="EW287" s="221"/>
      <c r="EX287" s="221"/>
      <c r="EY287" s="221"/>
      <c r="EZ287" s="221"/>
      <c r="FA287" s="221"/>
      <c r="FB287" s="221"/>
      <c r="FC287" s="221"/>
      <c r="FD287" s="221"/>
      <c r="FE287" s="221"/>
      <c r="FF287" s="221"/>
      <c r="FG287" s="221"/>
      <c r="FH287" s="221"/>
      <c r="FI287" s="221"/>
      <c r="FJ287" s="221"/>
      <c r="FK287" s="221"/>
      <c r="FL287" s="221"/>
      <c r="FM287" s="221"/>
      <c r="FN287" s="221"/>
      <c r="FO287" s="221"/>
      <c r="FP287" s="221"/>
      <c r="FQ287" s="221"/>
      <c r="FR287" s="221"/>
      <c r="FS287" s="221"/>
      <c r="FT287" s="221"/>
      <c r="FU287" s="221"/>
      <c r="FV287" s="221"/>
      <c r="FW287" s="221"/>
      <c r="FX287" s="221"/>
      <c r="FY287" s="221"/>
      <c r="FZ287" s="221"/>
      <c r="GA287" s="221"/>
      <c r="GB287" s="221"/>
      <c r="GC287" s="221"/>
      <c r="GD287" s="221"/>
      <c r="GE287" s="221"/>
      <c r="GF287" s="221"/>
      <c r="GG287" s="221"/>
      <c r="GH287" s="221"/>
      <c r="GI287" s="221"/>
      <c r="GJ287" s="221"/>
      <c r="GK287" s="221"/>
      <c r="GL287" s="221"/>
      <c r="GM287" s="221"/>
      <c r="GN287" s="221"/>
      <c r="GO287" s="221"/>
      <c r="GP287" s="221"/>
      <c r="GQ287" s="221"/>
      <c r="GR287" s="221"/>
      <c r="GS287" s="221"/>
      <c r="GT287" s="221"/>
      <c r="GU287" s="221"/>
      <c r="GV287" s="221"/>
      <c r="GW287" s="221"/>
      <c r="GX287" s="221"/>
      <c r="GY287" s="221"/>
      <c r="GZ287" s="221"/>
      <c r="HA287" s="221"/>
      <c r="HB287" s="221"/>
      <c r="HC287" s="221"/>
      <c r="HD287" s="221"/>
      <c r="HE287" s="221"/>
      <c r="HF287" s="221"/>
      <c r="HG287" s="221"/>
      <c r="HH287" s="221"/>
      <c r="HI287" s="221"/>
      <c r="HJ287" s="221"/>
      <c r="HK287" s="221"/>
      <c r="HL287" s="221"/>
      <c r="HM287" s="221"/>
      <c r="HN287" s="221"/>
      <c r="HO287" s="221"/>
      <c r="HP287" s="221"/>
      <c r="HQ287" s="221"/>
      <c r="HR287" s="221"/>
      <c r="HS287" s="221"/>
      <c r="HT287" s="221"/>
      <c r="HU287" s="221"/>
      <c r="HV287" s="221"/>
      <c r="HW287" s="221"/>
      <c r="HX287" s="221"/>
      <c r="HY287" s="221"/>
      <c r="HZ287" s="221"/>
      <c r="IA287" s="221"/>
      <c r="IB287" s="221"/>
      <c r="IC287" s="221"/>
      <c r="ID287" s="221"/>
      <c r="IE287" s="221"/>
      <c r="IF287" s="221"/>
      <c r="IG287" s="221"/>
      <c r="IH287" s="221"/>
      <c r="II287" s="221"/>
      <c r="IJ287" s="221"/>
      <c r="IK287" s="221"/>
      <c r="IL287" s="221"/>
      <c r="IM287" s="221"/>
      <c r="IN287" s="221"/>
      <c r="IO287" s="221"/>
      <c r="IP287" s="221"/>
      <c r="IQ287" s="221"/>
      <c r="IR287" s="221"/>
      <c r="IS287" s="221"/>
      <c r="IT287" s="221"/>
      <c r="IU287" s="221"/>
      <c r="IV287" s="221"/>
      <c r="IW287" s="221"/>
      <c r="IX287" s="221"/>
      <c r="IY287" s="221"/>
      <c r="IZ287" s="221"/>
      <c r="JA287" s="221"/>
      <c r="JB287" s="221"/>
      <c r="JC287" s="221"/>
      <c r="JD287" s="221"/>
      <c r="JE287" s="221"/>
      <c r="JF287" s="221"/>
      <c r="JG287" s="221"/>
      <c r="JH287" s="221"/>
      <c r="JI287" s="221"/>
      <c r="JJ287" s="221"/>
      <c r="JK287" s="221"/>
      <c r="JL287" s="221"/>
      <c r="JM287" s="221"/>
      <c r="JN287" s="221"/>
      <c r="JO287" s="221"/>
      <c r="JP287" s="221"/>
      <c r="JQ287" s="221"/>
    </row>
    <row r="288" spans="1:277" ht="20" customHeight="1" outlineLevel="1">
      <c r="A288" s="482">
        <v>190636</v>
      </c>
      <c r="B288" s="439">
        <v>42174</v>
      </c>
      <c r="C288" s="514" t="s">
        <v>1675</v>
      </c>
      <c r="D288" s="514" t="s">
        <v>1259</v>
      </c>
      <c r="E288" s="539" t="s">
        <v>60</v>
      </c>
      <c r="F288" s="531" t="s">
        <v>47</v>
      </c>
      <c r="G288" s="448" t="s">
        <v>2100</v>
      </c>
      <c r="H288" s="439">
        <v>42175</v>
      </c>
      <c r="I288" s="443" t="s">
        <v>155</v>
      </c>
      <c r="J288" s="837" t="s">
        <v>62</v>
      </c>
      <c r="K288" s="448" t="s">
        <v>50</v>
      </c>
      <c r="L288" s="448">
        <v>113101717</v>
      </c>
      <c r="M288" s="439">
        <v>42178</v>
      </c>
      <c r="N288" s="448" t="s">
        <v>350</v>
      </c>
      <c r="O288" s="448" t="s">
        <v>2101</v>
      </c>
      <c r="P288" s="516"/>
      <c r="Q288" s="629"/>
      <c r="R288" s="589">
        <v>0</v>
      </c>
      <c r="S288" s="590">
        <v>0</v>
      </c>
      <c r="T288" s="604">
        <v>0</v>
      </c>
      <c r="U288" s="596">
        <v>0</v>
      </c>
      <c r="V288" s="590">
        <v>0</v>
      </c>
      <c r="W288" s="604">
        <v>0</v>
      </c>
      <c r="X288" s="596">
        <v>0</v>
      </c>
      <c r="Y288" s="590">
        <v>0</v>
      </c>
      <c r="Z288" s="604">
        <v>0</v>
      </c>
      <c r="AA288" s="596">
        <v>0</v>
      </c>
      <c r="AB288" s="590">
        <v>0</v>
      </c>
      <c r="AC288" s="604">
        <v>0</v>
      </c>
      <c r="AD288" s="596">
        <v>3</v>
      </c>
      <c r="AE288" s="596">
        <v>2</v>
      </c>
      <c r="AF288" s="596">
        <v>0</v>
      </c>
      <c r="AG288" s="590">
        <v>0</v>
      </c>
      <c r="AH288" s="604">
        <v>0</v>
      </c>
      <c r="AI288" s="610">
        <v>0</v>
      </c>
      <c r="AJ288" s="610">
        <v>0</v>
      </c>
      <c r="AK288" s="629"/>
      <c r="AL288" s="530" t="s">
        <v>1725</v>
      </c>
      <c r="AM288" s="448"/>
      <c r="AN288" s="612"/>
      <c r="AO288" s="444"/>
      <c r="AP288" s="37"/>
      <c r="AQ288" s="795">
        <f t="shared" si="29"/>
        <v>0</v>
      </c>
      <c r="AR288" s="835" t="e">
        <f t="shared" si="21"/>
        <v>#DIV/0!</v>
      </c>
      <c r="AS288" s="821"/>
      <c r="AT288" s="448"/>
      <c r="AU288" s="448"/>
      <c r="AV288" s="448"/>
      <c r="AW288" s="448"/>
      <c r="AX288" s="612"/>
      <c r="AY288" s="448"/>
      <c r="AZ288" s="612"/>
      <c r="BA288" s="256" t="s">
        <v>47</v>
      </c>
      <c r="BB288" s="41">
        <v>0</v>
      </c>
      <c r="BC288" s="448"/>
      <c r="BD288" s="448"/>
      <c r="BE288" s="448"/>
      <c r="BF288" s="448"/>
      <c r="BG288" s="448"/>
      <c r="BH288" s="221"/>
      <c r="BI288" s="221"/>
      <c r="BJ288" s="221"/>
      <c r="BK288" s="221"/>
      <c r="BL288" s="221"/>
      <c r="BM288" s="221"/>
      <c r="BN288" s="221"/>
      <c r="BO288" s="221"/>
      <c r="BP288" s="221"/>
      <c r="BQ288" s="221"/>
      <c r="BR288" s="221"/>
      <c r="BS288" s="221"/>
      <c r="BT288" s="221"/>
      <c r="BU288" s="221"/>
      <c r="BV288" s="221"/>
      <c r="BW288" s="221"/>
      <c r="BX288" s="221"/>
      <c r="BY288" s="221"/>
      <c r="BZ288" s="221"/>
      <c r="CA288" s="221"/>
      <c r="CB288" s="221"/>
      <c r="CC288" s="221"/>
      <c r="CD288" s="221"/>
      <c r="CE288" s="221"/>
      <c r="CF288" s="221"/>
      <c r="CG288" s="221"/>
      <c r="CH288" s="221"/>
      <c r="CI288" s="221"/>
      <c r="CJ288" s="221"/>
      <c r="CK288" s="221"/>
      <c r="CL288" s="221"/>
      <c r="CM288" s="221"/>
      <c r="CN288" s="221"/>
      <c r="CO288" s="221"/>
      <c r="CP288" s="221"/>
      <c r="CQ288" s="221"/>
      <c r="CR288" s="221"/>
      <c r="CS288" s="221"/>
      <c r="CT288" s="221"/>
      <c r="CU288" s="221"/>
      <c r="CV288" s="221"/>
      <c r="CW288" s="221"/>
      <c r="CX288" s="221"/>
      <c r="CY288" s="221"/>
      <c r="CZ288" s="221"/>
      <c r="DA288" s="221"/>
      <c r="DB288" s="221"/>
      <c r="DC288" s="221"/>
      <c r="DD288" s="221"/>
      <c r="DE288" s="221"/>
      <c r="DF288" s="221"/>
      <c r="DG288" s="221"/>
      <c r="DH288" s="221"/>
      <c r="DI288" s="221"/>
      <c r="DJ288" s="221"/>
      <c r="DK288" s="221"/>
      <c r="DL288" s="221"/>
      <c r="DM288" s="221"/>
      <c r="DN288" s="221"/>
      <c r="DO288" s="221"/>
      <c r="DP288" s="221"/>
      <c r="DQ288" s="221"/>
      <c r="DR288" s="221"/>
      <c r="DS288" s="221"/>
      <c r="DT288" s="221"/>
      <c r="DU288" s="221"/>
      <c r="DV288" s="221"/>
      <c r="DW288" s="221"/>
      <c r="DX288" s="221"/>
      <c r="DY288" s="221"/>
      <c r="DZ288" s="221"/>
      <c r="EA288" s="221"/>
      <c r="EB288" s="221"/>
      <c r="EC288" s="221"/>
      <c r="ED288" s="221"/>
      <c r="EE288" s="221"/>
      <c r="EF288" s="221"/>
      <c r="EG288" s="221"/>
      <c r="EH288" s="221"/>
      <c r="EI288" s="221"/>
      <c r="EJ288" s="221"/>
      <c r="EK288" s="221"/>
      <c r="EL288" s="221"/>
      <c r="EM288" s="221"/>
      <c r="EN288" s="221"/>
      <c r="EO288" s="221"/>
      <c r="EP288" s="221"/>
      <c r="EQ288" s="221"/>
      <c r="ER288" s="221"/>
      <c r="ES288" s="221"/>
      <c r="ET288" s="221"/>
      <c r="EU288" s="221"/>
      <c r="EV288" s="221"/>
      <c r="EW288" s="221"/>
      <c r="EX288" s="221"/>
      <c r="EY288" s="221"/>
      <c r="EZ288" s="221"/>
      <c r="FA288" s="221"/>
      <c r="FB288" s="221"/>
      <c r="FC288" s="221"/>
      <c r="FD288" s="221"/>
      <c r="FE288" s="221"/>
      <c r="FF288" s="221"/>
      <c r="FG288" s="221"/>
      <c r="FH288" s="221"/>
      <c r="FI288" s="221"/>
      <c r="FJ288" s="221"/>
      <c r="FK288" s="221"/>
      <c r="FL288" s="221"/>
      <c r="FM288" s="221"/>
      <c r="FN288" s="221"/>
      <c r="FO288" s="221"/>
      <c r="FP288" s="221"/>
      <c r="FQ288" s="221"/>
      <c r="FR288" s="221"/>
      <c r="FS288" s="221"/>
      <c r="FT288" s="221"/>
      <c r="FU288" s="221"/>
      <c r="FV288" s="221"/>
      <c r="FW288" s="221"/>
      <c r="FX288" s="221"/>
      <c r="FY288" s="221"/>
      <c r="FZ288" s="221"/>
      <c r="GA288" s="221"/>
      <c r="GB288" s="221"/>
      <c r="GC288" s="221"/>
      <c r="GD288" s="221"/>
      <c r="GE288" s="221"/>
      <c r="GF288" s="221"/>
      <c r="GG288" s="221"/>
      <c r="GH288" s="221"/>
      <c r="GI288" s="221"/>
      <c r="GJ288" s="221"/>
      <c r="GK288" s="221"/>
      <c r="GL288" s="221"/>
      <c r="GM288" s="221"/>
      <c r="GN288" s="221"/>
      <c r="GO288" s="221"/>
      <c r="GP288" s="221"/>
      <c r="GQ288" s="221"/>
      <c r="GR288" s="221"/>
      <c r="GS288" s="221"/>
      <c r="GT288" s="221"/>
      <c r="GU288" s="221"/>
      <c r="GV288" s="221"/>
      <c r="GW288" s="221"/>
      <c r="GX288" s="221"/>
      <c r="GY288" s="221"/>
      <c r="GZ288" s="221"/>
      <c r="HA288" s="221"/>
      <c r="HB288" s="221"/>
      <c r="HC288" s="221"/>
      <c r="HD288" s="221"/>
      <c r="HE288" s="221"/>
      <c r="HF288" s="221"/>
      <c r="HG288" s="221"/>
      <c r="HH288" s="221"/>
      <c r="HI288" s="221"/>
      <c r="HJ288" s="221"/>
      <c r="HK288" s="221"/>
      <c r="HL288" s="221"/>
      <c r="HM288" s="221"/>
      <c r="HN288" s="221"/>
      <c r="HO288" s="221"/>
      <c r="HP288" s="221"/>
      <c r="HQ288" s="221"/>
      <c r="HR288" s="221"/>
      <c r="HS288" s="221"/>
      <c r="HT288" s="221"/>
      <c r="HU288" s="221"/>
      <c r="HV288" s="221"/>
      <c r="HW288" s="221"/>
      <c r="HX288" s="221"/>
      <c r="HY288" s="221"/>
      <c r="HZ288" s="221"/>
      <c r="IA288" s="221"/>
      <c r="IB288" s="221"/>
      <c r="IC288" s="221"/>
      <c r="ID288" s="221"/>
      <c r="IE288" s="221"/>
      <c r="IF288" s="221"/>
      <c r="IG288" s="221"/>
      <c r="IH288" s="221"/>
      <c r="II288" s="221"/>
      <c r="IJ288" s="221"/>
      <c r="IK288" s="221"/>
      <c r="IL288" s="221"/>
      <c r="IM288" s="221"/>
      <c r="IN288" s="221"/>
      <c r="IO288" s="221"/>
      <c r="IP288" s="221"/>
      <c r="IQ288" s="221"/>
      <c r="IR288" s="221"/>
      <c r="IS288" s="221"/>
      <c r="IT288" s="221"/>
      <c r="IU288" s="221"/>
      <c r="IV288" s="221"/>
      <c r="IW288" s="221"/>
      <c r="IX288" s="221"/>
      <c r="IY288" s="221"/>
      <c r="IZ288" s="221"/>
      <c r="JA288" s="221"/>
      <c r="JB288" s="221"/>
      <c r="JC288" s="221"/>
      <c r="JD288" s="221"/>
      <c r="JE288" s="221"/>
      <c r="JF288" s="221"/>
      <c r="JG288" s="221"/>
      <c r="JH288" s="221"/>
      <c r="JI288" s="221"/>
      <c r="JJ288" s="221"/>
      <c r="JK288" s="221"/>
      <c r="JL288" s="221"/>
      <c r="JM288" s="221"/>
      <c r="JN288" s="221"/>
      <c r="JO288" s="221"/>
      <c r="JP288" s="221"/>
      <c r="JQ288" s="221"/>
    </row>
    <row r="289" spans="1:277" ht="20" customHeight="1" outlineLevel="1">
      <c r="A289" s="482">
        <v>190637</v>
      </c>
      <c r="B289" s="439">
        <v>42174</v>
      </c>
      <c r="C289" s="514" t="s">
        <v>1675</v>
      </c>
      <c r="D289" s="514" t="s">
        <v>1238</v>
      </c>
      <c r="E289" s="539" t="s">
        <v>60</v>
      </c>
      <c r="F289" s="531" t="s">
        <v>47</v>
      </c>
      <c r="G289" s="448" t="s">
        <v>2102</v>
      </c>
      <c r="H289" s="448" t="s">
        <v>191</v>
      </c>
      <c r="I289" s="443" t="s">
        <v>155</v>
      </c>
      <c r="J289" s="837" t="s">
        <v>1269</v>
      </c>
      <c r="K289" s="448" t="s">
        <v>50</v>
      </c>
      <c r="L289" s="448">
        <v>112779351</v>
      </c>
      <c r="M289" s="439">
        <v>42175</v>
      </c>
      <c r="N289" s="448" t="s">
        <v>2103</v>
      </c>
      <c r="O289" s="448" t="s">
        <v>2104</v>
      </c>
      <c r="P289" s="516"/>
      <c r="Q289" s="629"/>
      <c r="R289" s="589">
        <v>0</v>
      </c>
      <c r="S289" s="590">
        <v>0</v>
      </c>
      <c r="T289" s="604">
        <v>0</v>
      </c>
      <c r="U289" s="596">
        <v>0</v>
      </c>
      <c r="V289" s="590">
        <v>0</v>
      </c>
      <c r="W289" s="604">
        <v>0</v>
      </c>
      <c r="X289" s="596">
        <v>0</v>
      </c>
      <c r="Y289" s="590">
        <v>0</v>
      </c>
      <c r="Z289" s="604">
        <v>0</v>
      </c>
      <c r="AA289" s="596">
        <v>1</v>
      </c>
      <c r="AB289" s="590">
        <v>0</v>
      </c>
      <c r="AC289" s="604">
        <v>0</v>
      </c>
      <c r="AD289" s="596">
        <v>0</v>
      </c>
      <c r="AE289" s="596">
        <v>0</v>
      </c>
      <c r="AF289" s="596">
        <v>0</v>
      </c>
      <c r="AG289" s="590">
        <v>0</v>
      </c>
      <c r="AH289" s="604">
        <v>0</v>
      </c>
      <c r="AI289" s="610">
        <v>0</v>
      </c>
      <c r="AJ289" s="610">
        <v>0</v>
      </c>
      <c r="AK289" s="629"/>
      <c r="AL289" s="530" t="s">
        <v>1687</v>
      </c>
      <c r="AM289" s="448"/>
      <c r="AN289" s="612"/>
      <c r="AO289" s="444" t="s">
        <v>47</v>
      </c>
      <c r="AP289" s="37">
        <v>0</v>
      </c>
      <c r="AQ289" s="795">
        <f t="shared" si="29"/>
        <v>0</v>
      </c>
      <c r="AR289" s="835" t="e">
        <f t="shared" si="21"/>
        <v>#DIV/0!</v>
      </c>
      <c r="AS289" s="821"/>
      <c r="AT289" s="448"/>
      <c r="AU289" s="448"/>
      <c r="AV289" s="448"/>
      <c r="AW289" s="448"/>
      <c r="AX289" s="612">
        <v>0</v>
      </c>
      <c r="AY289" s="448"/>
      <c r="AZ289" s="612">
        <v>8.77</v>
      </c>
      <c r="BA289" s="256" t="s">
        <v>47</v>
      </c>
      <c r="BB289" s="41">
        <v>0</v>
      </c>
      <c r="BC289" s="448"/>
      <c r="BD289" s="448"/>
      <c r="BE289" s="448"/>
      <c r="BF289" s="448"/>
      <c r="BG289" s="448"/>
      <c r="BH289" s="221"/>
      <c r="BI289" s="221"/>
      <c r="BJ289" s="221"/>
      <c r="BK289" s="221"/>
      <c r="BL289" s="221"/>
      <c r="BM289" s="221"/>
      <c r="BN289" s="221"/>
      <c r="BO289" s="221"/>
      <c r="BP289" s="221"/>
      <c r="BQ289" s="221"/>
      <c r="BR289" s="221"/>
      <c r="BS289" s="221"/>
      <c r="BT289" s="221"/>
      <c r="BU289" s="221"/>
      <c r="BV289" s="221"/>
      <c r="BW289" s="221"/>
      <c r="BX289" s="221"/>
      <c r="BY289" s="221"/>
      <c r="BZ289" s="221"/>
      <c r="CA289" s="221"/>
      <c r="CB289" s="221"/>
      <c r="CC289" s="221"/>
      <c r="CD289" s="221"/>
      <c r="CE289" s="221"/>
      <c r="CF289" s="221"/>
      <c r="CG289" s="221"/>
      <c r="CH289" s="221"/>
      <c r="CI289" s="221"/>
      <c r="CJ289" s="221"/>
      <c r="CK289" s="221"/>
      <c r="CL289" s="221"/>
      <c r="CM289" s="221"/>
      <c r="CN289" s="221"/>
      <c r="CO289" s="221"/>
      <c r="CP289" s="221"/>
      <c r="CQ289" s="221"/>
      <c r="CR289" s="221"/>
      <c r="CS289" s="221"/>
      <c r="CT289" s="221"/>
      <c r="CU289" s="221"/>
      <c r="CV289" s="221"/>
      <c r="CW289" s="221"/>
      <c r="CX289" s="221"/>
      <c r="CY289" s="221"/>
      <c r="CZ289" s="221"/>
      <c r="DA289" s="221"/>
      <c r="DB289" s="221"/>
      <c r="DC289" s="221"/>
      <c r="DD289" s="221"/>
      <c r="DE289" s="221"/>
      <c r="DF289" s="221"/>
      <c r="DG289" s="221"/>
      <c r="DH289" s="221"/>
      <c r="DI289" s="221"/>
      <c r="DJ289" s="221"/>
      <c r="DK289" s="221"/>
      <c r="DL289" s="221"/>
      <c r="DM289" s="221"/>
      <c r="DN289" s="221"/>
      <c r="DO289" s="221"/>
      <c r="DP289" s="221"/>
      <c r="DQ289" s="221"/>
      <c r="DR289" s="221"/>
      <c r="DS289" s="221"/>
      <c r="DT289" s="221"/>
      <c r="DU289" s="221"/>
      <c r="DV289" s="221"/>
      <c r="DW289" s="221"/>
      <c r="DX289" s="221"/>
      <c r="DY289" s="221"/>
      <c r="DZ289" s="221"/>
      <c r="EA289" s="221"/>
      <c r="EB289" s="221"/>
      <c r="EC289" s="221"/>
      <c r="ED289" s="221"/>
      <c r="EE289" s="221"/>
      <c r="EF289" s="221"/>
      <c r="EG289" s="221"/>
      <c r="EH289" s="221"/>
      <c r="EI289" s="221"/>
      <c r="EJ289" s="221"/>
      <c r="EK289" s="221"/>
      <c r="EL289" s="221"/>
      <c r="EM289" s="221"/>
      <c r="EN289" s="221"/>
      <c r="EO289" s="221"/>
      <c r="EP289" s="221"/>
      <c r="EQ289" s="221"/>
      <c r="ER289" s="221"/>
      <c r="ES289" s="221"/>
      <c r="ET289" s="221"/>
      <c r="EU289" s="221"/>
      <c r="EV289" s="221"/>
      <c r="EW289" s="221"/>
      <c r="EX289" s="221"/>
      <c r="EY289" s="221"/>
      <c r="EZ289" s="221"/>
      <c r="FA289" s="221"/>
      <c r="FB289" s="221"/>
      <c r="FC289" s="221"/>
      <c r="FD289" s="221"/>
      <c r="FE289" s="221"/>
      <c r="FF289" s="221"/>
      <c r="FG289" s="221"/>
      <c r="FH289" s="221"/>
      <c r="FI289" s="221"/>
      <c r="FJ289" s="221"/>
      <c r="FK289" s="221"/>
      <c r="FL289" s="221"/>
      <c r="FM289" s="221"/>
      <c r="FN289" s="221"/>
      <c r="FO289" s="221"/>
      <c r="FP289" s="221"/>
      <c r="FQ289" s="221"/>
      <c r="FR289" s="221"/>
      <c r="FS289" s="221"/>
      <c r="FT289" s="221"/>
      <c r="FU289" s="221"/>
      <c r="FV289" s="221"/>
      <c r="FW289" s="221"/>
      <c r="FX289" s="221"/>
      <c r="FY289" s="221"/>
      <c r="FZ289" s="221"/>
      <c r="GA289" s="221"/>
      <c r="GB289" s="221"/>
      <c r="GC289" s="221"/>
      <c r="GD289" s="221"/>
      <c r="GE289" s="221"/>
      <c r="GF289" s="221"/>
      <c r="GG289" s="221"/>
      <c r="GH289" s="221"/>
      <c r="GI289" s="221"/>
      <c r="GJ289" s="221"/>
      <c r="GK289" s="221"/>
      <c r="GL289" s="221"/>
      <c r="GM289" s="221"/>
      <c r="GN289" s="221"/>
      <c r="GO289" s="221"/>
      <c r="GP289" s="221"/>
      <c r="GQ289" s="221"/>
      <c r="GR289" s="221"/>
      <c r="GS289" s="221"/>
      <c r="GT289" s="221"/>
      <c r="GU289" s="221"/>
      <c r="GV289" s="221"/>
      <c r="GW289" s="221"/>
      <c r="GX289" s="221"/>
      <c r="GY289" s="221"/>
      <c r="GZ289" s="221"/>
      <c r="HA289" s="221"/>
      <c r="HB289" s="221"/>
      <c r="HC289" s="221"/>
      <c r="HD289" s="221"/>
      <c r="HE289" s="221"/>
      <c r="HF289" s="221"/>
      <c r="HG289" s="221"/>
      <c r="HH289" s="221"/>
      <c r="HI289" s="221"/>
      <c r="HJ289" s="221"/>
      <c r="HK289" s="221"/>
      <c r="HL289" s="221"/>
      <c r="HM289" s="221"/>
      <c r="HN289" s="221"/>
      <c r="HO289" s="221"/>
      <c r="HP289" s="221"/>
      <c r="HQ289" s="221"/>
      <c r="HR289" s="221"/>
      <c r="HS289" s="221"/>
      <c r="HT289" s="221"/>
      <c r="HU289" s="221"/>
      <c r="HV289" s="221"/>
      <c r="HW289" s="221"/>
      <c r="HX289" s="221"/>
      <c r="HY289" s="221"/>
      <c r="HZ289" s="221"/>
      <c r="IA289" s="221"/>
      <c r="IB289" s="221"/>
      <c r="IC289" s="221"/>
      <c r="ID289" s="221"/>
      <c r="IE289" s="221"/>
      <c r="IF289" s="221"/>
      <c r="IG289" s="221"/>
      <c r="IH289" s="221"/>
      <c r="II289" s="221"/>
      <c r="IJ289" s="221"/>
      <c r="IK289" s="221"/>
      <c r="IL289" s="221"/>
      <c r="IM289" s="221"/>
      <c r="IN289" s="221"/>
      <c r="IO289" s="221"/>
      <c r="IP289" s="221"/>
      <c r="IQ289" s="221"/>
      <c r="IR289" s="221"/>
      <c r="IS289" s="221"/>
      <c r="IT289" s="221"/>
      <c r="IU289" s="221"/>
      <c r="IV289" s="221"/>
      <c r="IW289" s="221"/>
      <c r="IX289" s="221"/>
      <c r="IY289" s="221"/>
      <c r="IZ289" s="221"/>
      <c r="JA289" s="221"/>
      <c r="JB289" s="221"/>
      <c r="JC289" s="221"/>
      <c r="JD289" s="221"/>
      <c r="JE289" s="221"/>
      <c r="JF289" s="221"/>
      <c r="JG289" s="221"/>
      <c r="JH289" s="221"/>
      <c r="JI289" s="221"/>
      <c r="JJ289" s="221"/>
      <c r="JK289" s="221"/>
      <c r="JL289" s="221"/>
      <c r="JM289" s="221"/>
      <c r="JN289" s="221"/>
      <c r="JO289" s="221"/>
      <c r="JP289" s="221"/>
      <c r="JQ289" s="221"/>
    </row>
    <row r="290" spans="1:277" ht="20" customHeight="1" outlineLevel="1">
      <c r="A290" s="482">
        <v>190638</v>
      </c>
      <c r="B290" s="439">
        <v>42174</v>
      </c>
      <c r="C290" s="514" t="s">
        <v>1675</v>
      </c>
      <c r="D290" s="514" t="s">
        <v>1238</v>
      </c>
      <c r="E290" s="539" t="s">
        <v>69</v>
      </c>
      <c r="F290" s="531" t="s">
        <v>2108</v>
      </c>
      <c r="G290" s="448"/>
      <c r="H290" s="448"/>
      <c r="I290" s="443"/>
      <c r="J290" s="837"/>
      <c r="K290" s="448"/>
      <c r="L290" s="448"/>
      <c r="M290" s="448"/>
      <c r="N290" s="448" t="s">
        <v>2109</v>
      </c>
      <c r="O290" s="448" t="s">
        <v>2110</v>
      </c>
      <c r="P290" s="516"/>
      <c r="Q290" s="629"/>
      <c r="R290" s="589">
        <v>0</v>
      </c>
      <c r="S290" s="590">
        <v>0</v>
      </c>
      <c r="T290" s="604">
        <v>0</v>
      </c>
      <c r="U290" s="596">
        <v>0</v>
      </c>
      <c r="V290" s="590">
        <v>0</v>
      </c>
      <c r="W290" s="604">
        <v>0</v>
      </c>
      <c r="X290" s="596">
        <v>0</v>
      </c>
      <c r="Y290" s="590">
        <v>0</v>
      </c>
      <c r="Z290" s="604">
        <v>0</v>
      </c>
      <c r="AA290" s="596">
        <v>0</v>
      </c>
      <c r="AB290" s="590">
        <v>0</v>
      </c>
      <c r="AC290" s="604">
        <v>0</v>
      </c>
      <c r="AD290" s="596">
        <v>0</v>
      </c>
      <c r="AE290" s="596">
        <v>0</v>
      </c>
      <c r="AF290" s="596">
        <v>0</v>
      </c>
      <c r="AG290" s="590">
        <v>0</v>
      </c>
      <c r="AH290" s="604">
        <v>0</v>
      </c>
      <c r="AI290" s="610">
        <v>0</v>
      </c>
      <c r="AJ290" s="610">
        <v>0</v>
      </c>
      <c r="AK290" s="629"/>
      <c r="AL290" s="530"/>
      <c r="AM290" s="448"/>
      <c r="AN290" s="612"/>
      <c r="AO290" s="444"/>
      <c r="AP290" s="37"/>
      <c r="AQ290" s="795">
        <f t="shared" si="29"/>
        <v>0</v>
      </c>
      <c r="AR290" s="835" t="e">
        <f t="shared" si="21"/>
        <v>#DIV/0!</v>
      </c>
      <c r="AS290" s="821"/>
      <c r="AT290" s="448"/>
      <c r="AU290" s="448"/>
      <c r="AV290" s="448"/>
      <c r="AW290" s="448"/>
      <c r="AX290" s="612"/>
      <c r="AY290" s="448"/>
      <c r="AZ290" s="612"/>
      <c r="BA290" s="256" t="s">
        <v>47</v>
      </c>
      <c r="BB290" s="41">
        <v>0</v>
      </c>
      <c r="BC290" s="448"/>
      <c r="BD290" s="448"/>
      <c r="BE290" s="448"/>
      <c r="BF290" s="448"/>
      <c r="BG290" s="448"/>
      <c r="BH290" s="221"/>
      <c r="BI290" s="221"/>
      <c r="BJ290" s="221"/>
      <c r="BK290" s="221"/>
      <c r="BL290" s="221"/>
      <c r="BM290" s="221"/>
      <c r="BN290" s="221"/>
      <c r="BO290" s="221"/>
      <c r="BP290" s="221"/>
      <c r="BQ290" s="221"/>
      <c r="BR290" s="221"/>
      <c r="BS290" s="221"/>
      <c r="BT290" s="221"/>
      <c r="BU290" s="221"/>
      <c r="BV290" s="221"/>
      <c r="BW290" s="221"/>
      <c r="BX290" s="221"/>
      <c r="BY290" s="221"/>
      <c r="BZ290" s="221"/>
      <c r="CA290" s="221"/>
      <c r="CB290" s="221"/>
      <c r="CC290" s="221"/>
      <c r="CD290" s="221"/>
      <c r="CE290" s="221"/>
      <c r="CF290" s="221"/>
      <c r="CG290" s="221"/>
      <c r="CH290" s="221"/>
      <c r="CI290" s="221"/>
      <c r="CJ290" s="221"/>
      <c r="CK290" s="221"/>
      <c r="CL290" s="221"/>
      <c r="CM290" s="221"/>
      <c r="CN290" s="221"/>
      <c r="CO290" s="221"/>
      <c r="CP290" s="221"/>
      <c r="CQ290" s="221"/>
      <c r="CR290" s="221"/>
      <c r="CS290" s="221"/>
      <c r="CT290" s="221"/>
      <c r="CU290" s="221"/>
      <c r="CV290" s="221"/>
      <c r="CW290" s="221"/>
      <c r="CX290" s="221"/>
      <c r="CY290" s="221"/>
      <c r="CZ290" s="221"/>
      <c r="DA290" s="221"/>
      <c r="DB290" s="221"/>
      <c r="DC290" s="221"/>
      <c r="DD290" s="221"/>
      <c r="DE290" s="221"/>
      <c r="DF290" s="221"/>
      <c r="DG290" s="221"/>
      <c r="DH290" s="221"/>
      <c r="DI290" s="221"/>
      <c r="DJ290" s="221"/>
      <c r="DK290" s="221"/>
      <c r="DL290" s="221"/>
      <c r="DM290" s="221"/>
      <c r="DN290" s="221"/>
      <c r="DO290" s="221"/>
      <c r="DP290" s="221"/>
      <c r="DQ290" s="221"/>
      <c r="DR290" s="221"/>
      <c r="DS290" s="221"/>
      <c r="DT290" s="221"/>
      <c r="DU290" s="221"/>
      <c r="DV290" s="221"/>
      <c r="DW290" s="221"/>
      <c r="DX290" s="221"/>
      <c r="DY290" s="221"/>
      <c r="DZ290" s="221"/>
      <c r="EA290" s="221"/>
      <c r="EB290" s="221"/>
      <c r="EC290" s="221"/>
      <c r="ED290" s="221"/>
      <c r="EE290" s="221"/>
      <c r="EF290" s="221"/>
      <c r="EG290" s="221"/>
      <c r="EH290" s="221"/>
      <c r="EI290" s="221"/>
      <c r="EJ290" s="221"/>
      <c r="EK290" s="221"/>
      <c r="EL290" s="221"/>
      <c r="EM290" s="221"/>
      <c r="EN290" s="221"/>
      <c r="EO290" s="221"/>
      <c r="EP290" s="221"/>
      <c r="EQ290" s="221"/>
      <c r="ER290" s="221"/>
      <c r="ES290" s="221"/>
      <c r="ET290" s="221"/>
      <c r="EU290" s="221"/>
      <c r="EV290" s="221"/>
      <c r="EW290" s="221"/>
      <c r="EX290" s="221"/>
      <c r="EY290" s="221"/>
      <c r="EZ290" s="221"/>
      <c r="FA290" s="221"/>
      <c r="FB290" s="221"/>
      <c r="FC290" s="221"/>
      <c r="FD290" s="221"/>
      <c r="FE290" s="221"/>
      <c r="FF290" s="221"/>
      <c r="FG290" s="221"/>
      <c r="FH290" s="221"/>
      <c r="FI290" s="221"/>
      <c r="FJ290" s="221"/>
      <c r="FK290" s="221"/>
      <c r="FL290" s="221"/>
      <c r="FM290" s="221"/>
      <c r="FN290" s="221"/>
      <c r="FO290" s="221"/>
      <c r="FP290" s="221"/>
      <c r="FQ290" s="221"/>
      <c r="FR290" s="221"/>
      <c r="FS290" s="221"/>
      <c r="FT290" s="221"/>
      <c r="FU290" s="221"/>
      <c r="FV290" s="221"/>
      <c r="FW290" s="221"/>
      <c r="FX290" s="221"/>
      <c r="FY290" s="221"/>
      <c r="FZ290" s="221"/>
      <c r="GA290" s="221"/>
      <c r="GB290" s="221"/>
      <c r="GC290" s="221"/>
      <c r="GD290" s="221"/>
      <c r="GE290" s="221"/>
      <c r="GF290" s="221"/>
      <c r="GG290" s="221"/>
      <c r="GH290" s="221"/>
      <c r="GI290" s="221"/>
      <c r="GJ290" s="221"/>
      <c r="GK290" s="221"/>
      <c r="GL290" s="221"/>
      <c r="GM290" s="221"/>
      <c r="GN290" s="221"/>
      <c r="GO290" s="221"/>
      <c r="GP290" s="221"/>
      <c r="GQ290" s="221"/>
      <c r="GR290" s="221"/>
      <c r="GS290" s="221"/>
      <c r="GT290" s="221"/>
      <c r="GU290" s="221"/>
      <c r="GV290" s="221"/>
      <c r="GW290" s="221"/>
      <c r="GX290" s="221"/>
      <c r="GY290" s="221"/>
      <c r="GZ290" s="221"/>
      <c r="HA290" s="221"/>
      <c r="HB290" s="221"/>
      <c r="HC290" s="221"/>
      <c r="HD290" s="221"/>
      <c r="HE290" s="221"/>
      <c r="HF290" s="221"/>
      <c r="HG290" s="221"/>
      <c r="HH290" s="221"/>
      <c r="HI290" s="221"/>
      <c r="HJ290" s="221"/>
      <c r="HK290" s="221"/>
      <c r="HL290" s="221"/>
      <c r="HM290" s="221"/>
      <c r="HN290" s="221"/>
      <c r="HO290" s="221"/>
      <c r="HP290" s="221"/>
      <c r="HQ290" s="221"/>
      <c r="HR290" s="221"/>
      <c r="HS290" s="221"/>
      <c r="HT290" s="221"/>
      <c r="HU290" s="221"/>
      <c r="HV290" s="221"/>
      <c r="HW290" s="221"/>
      <c r="HX290" s="221"/>
      <c r="HY290" s="221"/>
      <c r="HZ290" s="221"/>
      <c r="IA290" s="221"/>
      <c r="IB290" s="221"/>
      <c r="IC290" s="221"/>
      <c r="ID290" s="221"/>
      <c r="IE290" s="221"/>
      <c r="IF290" s="221"/>
      <c r="IG290" s="221"/>
      <c r="IH290" s="221"/>
      <c r="II290" s="221"/>
      <c r="IJ290" s="221"/>
      <c r="IK290" s="221"/>
      <c r="IL290" s="221"/>
      <c r="IM290" s="221"/>
      <c r="IN290" s="221"/>
      <c r="IO290" s="221"/>
      <c r="IP290" s="221"/>
      <c r="IQ290" s="221"/>
      <c r="IR290" s="221"/>
      <c r="IS290" s="221"/>
      <c r="IT290" s="221"/>
      <c r="IU290" s="221"/>
      <c r="IV290" s="221"/>
      <c r="IW290" s="221"/>
      <c r="IX290" s="221"/>
      <c r="IY290" s="221"/>
      <c r="IZ290" s="221"/>
      <c r="JA290" s="221"/>
      <c r="JB290" s="221"/>
      <c r="JC290" s="221"/>
      <c r="JD290" s="221"/>
      <c r="JE290" s="221"/>
      <c r="JF290" s="221"/>
      <c r="JG290" s="221"/>
      <c r="JH290" s="221"/>
      <c r="JI290" s="221"/>
      <c r="JJ290" s="221"/>
      <c r="JK290" s="221"/>
      <c r="JL290" s="221"/>
      <c r="JM290" s="221"/>
      <c r="JN290" s="221"/>
      <c r="JO290" s="221"/>
      <c r="JP290" s="221"/>
      <c r="JQ290" s="221"/>
    </row>
    <row r="291" spans="1:277" ht="20" customHeight="1" outlineLevel="1">
      <c r="A291" s="456">
        <v>190639</v>
      </c>
      <c r="B291" s="439">
        <v>42175</v>
      </c>
      <c r="C291" s="514" t="s">
        <v>44</v>
      </c>
      <c r="D291" s="514" t="s">
        <v>1259</v>
      </c>
      <c r="E291" s="539" t="s">
        <v>500</v>
      </c>
      <c r="F291" s="531" t="s">
        <v>47</v>
      </c>
      <c r="G291" s="514" t="s">
        <v>2115</v>
      </c>
      <c r="H291" s="439">
        <v>42175</v>
      </c>
      <c r="I291" s="443">
        <v>192560</v>
      </c>
      <c r="J291" s="838" t="s">
        <v>2116</v>
      </c>
      <c r="K291" s="514" t="s">
        <v>50</v>
      </c>
      <c r="L291" s="448" t="s">
        <v>118</v>
      </c>
      <c r="M291" s="439">
        <v>42180</v>
      </c>
      <c r="N291" s="514" t="s">
        <v>2001</v>
      </c>
      <c r="O291" s="514" t="s">
        <v>1769</v>
      </c>
      <c r="P291" s="516"/>
      <c r="Q291" s="629"/>
      <c r="R291" s="589">
        <v>0</v>
      </c>
      <c r="S291" s="590">
        <v>5</v>
      </c>
      <c r="T291" s="604">
        <v>0</v>
      </c>
      <c r="U291" s="596">
        <v>0</v>
      </c>
      <c r="V291" s="590">
        <v>0</v>
      </c>
      <c r="W291" s="604">
        <v>0</v>
      </c>
      <c r="X291" s="596">
        <v>0</v>
      </c>
      <c r="Y291" s="590">
        <v>0</v>
      </c>
      <c r="Z291" s="604">
        <v>0</v>
      </c>
      <c r="AA291" s="596">
        <v>0</v>
      </c>
      <c r="AB291" s="590">
        <v>0</v>
      </c>
      <c r="AC291" s="604">
        <v>0</v>
      </c>
      <c r="AD291" s="596">
        <v>0</v>
      </c>
      <c r="AE291" s="596">
        <v>0</v>
      </c>
      <c r="AF291" s="596">
        <v>0</v>
      </c>
      <c r="AG291" s="590">
        <v>5</v>
      </c>
      <c r="AH291" s="604">
        <v>0</v>
      </c>
      <c r="AI291" s="610">
        <v>0</v>
      </c>
      <c r="AJ291" s="610">
        <v>0</v>
      </c>
      <c r="AK291" s="629"/>
      <c r="AL291" s="531" t="s">
        <v>1268</v>
      </c>
      <c r="AM291" s="448" t="s">
        <v>157</v>
      </c>
      <c r="AN291" s="612">
        <f>5*PRODUCTS!C3+5*PRODUCTS!G3</f>
        <v>656.5</v>
      </c>
      <c r="AO291" s="444" t="s">
        <v>2143</v>
      </c>
      <c r="AP291" s="37">
        <v>450</v>
      </c>
      <c r="AQ291" s="795">
        <f t="shared" si="29"/>
        <v>-206.5</v>
      </c>
      <c r="AR291" s="835">
        <f t="shared" si="21"/>
        <v>-0.4588888888888889</v>
      </c>
      <c r="AS291" s="821"/>
      <c r="AT291" s="448"/>
      <c r="AU291" s="448"/>
      <c r="AV291" s="448"/>
      <c r="AW291" s="448"/>
      <c r="AX291" s="612">
        <v>0</v>
      </c>
      <c r="AY291" s="448" t="s">
        <v>118</v>
      </c>
      <c r="AZ291" s="612">
        <v>0</v>
      </c>
      <c r="BA291" s="256" t="s">
        <v>47</v>
      </c>
      <c r="BB291" s="41">
        <v>0</v>
      </c>
      <c r="BC291" s="448"/>
      <c r="BD291" s="448"/>
      <c r="BE291" s="448"/>
      <c r="BF291" s="448"/>
      <c r="BG291" s="448"/>
      <c r="BH291" s="221"/>
      <c r="BI291" s="221"/>
      <c r="BJ291" s="221"/>
      <c r="BK291" s="221"/>
      <c r="BL291" s="221"/>
      <c r="BM291" s="221"/>
      <c r="BN291" s="221"/>
      <c r="BO291" s="221"/>
      <c r="BP291" s="221"/>
      <c r="BQ291" s="221"/>
      <c r="BR291" s="221"/>
      <c r="BS291" s="221"/>
      <c r="BT291" s="221"/>
      <c r="BU291" s="221"/>
      <c r="BV291" s="221"/>
      <c r="BW291" s="221"/>
      <c r="BX291" s="221"/>
      <c r="BY291" s="221"/>
      <c r="BZ291" s="221"/>
      <c r="CA291" s="221"/>
      <c r="CB291" s="221"/>
      <c r="CC291" s="221"/>
      <c r="CD291" s="221"/>
      <c r="CE291" s="221"/>
      <c r="CF291" s="221"/>
      <c r="CG291" s="221"/>
      <c r="CH291" s="221"/>
      <c r="CI291" s="221"/>
      <c r="CJ291" s="221"/>
      <c r="CK291" s="221"/>
      <c r="CL291" s="221"/>
      <c r="CM291" s="221"/>
      <c r="CN291" s="221"/>
      <c r="CO291" s="221"/>
      <c r="CP291" s="221"/>
      <c r="CQ291" s="221"/>
      <c r="CR291" s="221"/>
      <c r="CS291" s="221"/>
      <c r="CT291" s="221"/>
      <c r="CU291" s="221"/>
      <c r="CV291" s="221"/>
      <c r="CW291" s="221"/>
      <c r="CX291" s="221"/>
      <c r="CY291" s="221"/>
      <c r="CZ291" s="221"/>
      <c r="DA291" s="221"/>
      <c r="DB291" s="221"/>
      <c r="DC291" s="221"/>
      <c r="DD291" s="221"/>
      <c r="DE291" s="221"/>
      <c r="DF291" s="221"/>
      <c r="DG291" s="221"/>
      <c r="DH291" s="221"/>
      <c r="DI291" s="221"/>
      <c r="DJ291" s="221"/>
      <c r="DK291" s="221"/>
      <c r="DL291" s="221"/>
      <c r="DM291" s="221"/>
      <c r="DN291" s="221"/>
      <c r="DO291" s="221"/>
      <c r="DP291" s="221"/>
      <c r="DQ291" s="221"/>
      <c r="DR291" s="221"/>
      <c r="DS291" s="221"/>
      <c r="DT291" s="221"/>
      <c r="DU291" s="221"/>
      <c r="DV291" s="221"/>
      <c r="DW291" s="221"/>
      <c r="DX291" s="221"/>
      <c r="DY291" s="221"/>
      <c r="DZ291" s="221"/>
      <c r="EA291" s="221"/>
      <c r="EB291" s="221"/>
      <c r="EC291" s="221"/>
      <c r="ED291" s="221"/>
      <c r="EE291" s="221"/>
      <c r="EF291" s="221"/>
      <c r="EG291" s="221"/>
      <c r="EH291" s="221"/>
      <c r="EI291" s="221"/>
      <c r="EJ291" s="221"/>
      <c r="EK291" s="221"/>
      <c r="EL291" s="221"/>
      <c r="EM291" s="221"/>
      <c r="EN291" s="221"/>
      <c r="EO291" s="221"/>
      <c r="EP291" s="221"/>
      <c r="EQ291" s="221"/>
      <c r="ER291" s="221"/>
      <c r="ES291" s="221"/>
      <c r="ET291" s="221"/>
      <c r="EU291" s="221"/>
      <c r="EV291" s="221"/>
      <c r="EW291" s="221"/>
      <c r="EX291" s="221"/>
      <c r="EY291" s="221"/>
      <c r="EZ291" s="221"/>
      <c r="FA291" s="221"/>
      <c r="FB291" s="221"/>
      <c r="FC291" s="221"/>
      <c r="FD291" s="221"/>
      <c r="FE291" s="221"/>
      <c r="FF291" s="221"/>
      <c r="FG291" s="221"/>
      <c r="FH291" s="221"/>
      <c r="FI291" s="221"/>
      <c r="FJ291" s="221"/>
      <c r="FK291" s="221"/>
      <c r="FL291" s="221"/>
      <c r="FM291" s="221"/>
      <c r="FN291" s="221"/>
      <c r="FO291" s="221"/>
      <c r="FP291" s="221"/>
      <c r="FQ291" s="221"/>
      <c r="FR291" s="221"/>
      <c r="FS291" s="221"/>
      <c r="FT291" s="221"/>
      <c r="FU291" s="221"/>
      <c r="FV291" s="221"/>
      <c r="FW291" s="221"/>
      <c r="FX291" s="221"/>
      <c r="FY291" s="221"/>
      <c r="FZ291" s="221"/>
      <c r="GA291" s="221"/>
      <c r="GB291" s="221"/>
      <c r="GC291" s="221"/>
      <c r="GD291" s="221"/>
      <c r="GE291" s="221"/>
      <c r="GF291" s="221"/>
      <c r="GG291" s="221"/>
      <c r="GH291" s="221"/>
      <c r="GI291" s="221"/>
      <c r="GJ291" s="221"/>
      <c r="GK291" s="221"/>
      <c r="GL291" s="221"/>
      <c r="GM291" s="221"/>
      <c r="GN291" s="221"/>
      <c r="GO291" s="221"/>
      <c r="GP291" s="221"/>
      <c r="GQ291" s="221"/>
      <c r="GR291" s="221"/>
      <c r="GS291" s="221"/>
      <c r="GT291" s="221"/>
      <c r="GU291" s="221"/>
      <c r="GV291" s="221"/>
      <c r="GW291" s="221"/>
      <c r="GX291" s="221"/>
      <c r="GY291" s="221"/>
      <c r="GZ291" s="221"/>
      <c r="HA291" s="221"/>
      <c r="HB291" s="221"/>
      <c r="HC291" s="221"/>
      <c r="HD291" s="221"/>
      <c r="HE291" s="221"/>
      <c r="HF291" s="221"/>
      <c r="HG291" s="221"/>
      <c r="HH291" s="221"/>
      <c r="HI291" s="221"/>
      <c r="HJ291" s="221"/>
      <c r="HK291" s="221"/>
      <c r="HL291" s="221"/>
      <c r="HM291" s="221"/>
      <c r="HN291" s="221"/>
      <c r="HO291" s="221"/>
      <c r="HP291" s="221"/>
      <c r="HQ291" s="221"/>
      <c r="HR291" s="221"/>
      <c r="HS291" s="221"/>
      <c r="HT291" s="221"/>
      <c r="HU291" s="221"/>
      <c r="HV291" s="221"/>
      <c r="HW291" s="221"/>
      <c r="HX291" s="221"/>
      <c r="HY291" s="221"/>
      <c r="HZ291" s="221"/>
      <c r="IA291" s="221"/>
      <c r="IB291" s="221"/>
      <c r="IC291" s="221"/>
      <c r="ID291" s="221"/>
      <c r="IE291" s="221"/>
      <c r="IF291" s="221"/>
      <c r="IG291" s="221"/>
      <c r="IH291" s="221"/>
      <c r="II291" s="221"/>
      <c r="IJ291" s="221"/>
      <c r="IK291" s="221"/>
      <c r="IL291" s="221"/>
      <c r="IM291" s="221"/>
      <c r="IN291" s="221"/>
      <c r="IO291" s="221"/>
      <c r="IP291" s="221"/>
      <c r="IQ291" s="221"/>
      <c r="IR291" s="221"/>
      <c r="IS291" s="221"/>
      <c r="IT291" s="221"/>
      <c r="IU291" s="221"/>
      <c r="IV291" s="221"/>
      <c r="IW291" s="221"/>
      <c r="IX291" s="221"/>
      <c r="IY291" s="221"/>
      <c r="IZ291" s="221"/>
      <c r="JA291" s="221"/>
      <c r="JB291" s="221"/>
      <c r="JC291" s="221"/>
      <c r="JD291" s="221"/>
      <c r="JE291" s="221"/>
      <c r="JF291" s="221"/>
      <c r="JG291" s="221"/>
      <c r="JH291" s="221"/>
      <c r="JI291" s="221"/>
      <c r="JJ291" s="221"/>
      <c r="JK291" s="221"/>
      <c r="JL291" s="221"/>
      <c r="JM291" s="221"/>
      <c r="JN291" s="221"/>
      <c r="JO291" s="221"/>
      <c r="JP291" s="221"/>
      <c r="JQ291" s="221"/>
    </row>
    <row r="292" spans="1:277" ht="20" customHeight="1" outlineLevel="1">
      <c r="A292" s="482">
        <v>190640</v>
      </c>
      <c r="B292" s="439">
        <v>42175</v>
      </c>
      <c r="C292" s="514" t="s">
        <v>72</v>
      </c>
      <c r="D292" s="514" t="s">
        <v>1259</v>
      </c>
      <c r="E292" s="539" t="s">
        <v>89</v>
      </c>
      <c r="F292" s="531" t="s">
        <v>47</v>
      </c>
      <c r="G292" s="514" t="s">
        <v>2119</v>
      </c>
      <c r="H292" s="448"/>
      <c r="I292" s="443" t="s">
        <v>155</v>
      </c>
      <c r="J292" s="837"/>
      <c r="K292" s="448"/>
      <c r="L292" s="448"/>
      <c r="M292" s="448"/>
      <c r="N292" s="514" t="s">
        <v>443</v>
      </c>
      <c r="O292" s="514" t="s">
        <v>2117</v>
      </c>
      <c r="P292" s="801" t="s">
        <v>2118</v>
      </c>
      <c r="Q292" s="629"/>
      <c r="R292" s="589">
        <v>1</v>
      </c>
      <c r="S292" s="590">
        <v>0</v>
      </c>
      <c r="T292" s="604">
        <v>0</v>
      </c>
      <c r="U292" s="596">
        <v>0</v>
      </c>
      <c r="V292" s="590">
        <v>0</v>
      </c>
      <c r="W292" s="604">
        <v>0</v>
      </c>
      <c r="X292" s="596">
        <v>0</v>
      </c>
      <c r="Y292" s="590">
        <v>0</v>
      </c>
      <c r="Z292" s="604">
        <v>0</v>
      </c>
      <c r="AA292" s="596">
        <v>0</v>
      </c>
      <c r="AB292" s="590">
        <v>0</v>
      </c>
      <c r="AC292" s="604">
        <v>0</v>
      </c>
      <c r="AD292" s="596">
        <v>0</v>
      </c>
      <c r="AE292" s="596">
        <v>2</v>
      </c>
      <c r="AF292" s="596">
        <v>0</v>
      </c>
      <c r="AG292" s="590">
        <v>0</v>
      </c>
      <c r="AH292" s="604">
        <v>0</v>
      </c>
      <c r="AI292" s="610">
        <v>0</v>
      </c>
      <c r="AJ292" s="610">
        <v>0</v>
      </c>
      <c r="AK292" s="629"/>
      <c r="AL292" s="531" t="s">
        <v>1300</v>
      </c>
      <c r="AM292" s="448"/>
      <c r="AN292" s="612"/>
      <c r="AO292" s="444"/>
      <c r="AP292" s="37"/>
      <c r="AQ292" s="795">
        <f t="shared" si="29"/>
        <v>0</v>
      </c>
      <c r="AR292" s="835" t="e">
        <f t="shared" si="21"/>
        <v>#DIV/0!</v>
      </c>
      <c r="AS292" s="821"/>
      <c r="AT292" s="448"/>
      <c r="AU292" s="448"/>
      <c r="AV292" s="448"/>
      <c r="AW292" s="448"/>
      <c r="AX292" s="612"/>
      <c r="AY292" s="448"/>
      <c r="AZ292" s="612"/>
      <c r="BA292" s="256" t="s">
        <v>47</v>
      </c>
      <c r="BB292" s="41">
        <v>0</v>
      </c>
      <c r="BC292" s="448"/>
      <c r="BD292" s="448"/>
      <c r="BE292" s="448"/>
      <c r="BF292" s="448"/>
      <c r="BG292" s="448"/>
      <c r="BH292" s="221"/>
      <c r="BI292" s="221"/>
      <c r="BJ292" s="221"/>
      <c r="BK292" s="221"/>
      <c r="BL292" s="221"/>
      <c r="BM292" s="221"/>
      <c r="BN292" s="221"/>
      <c r="BO292" s="221"/>
      <c r="BP292" s="221"/>
      <c r="BQ292" s="221"/>
      <c r="BR292" s="221"/>
      <c r="BS292" s="221"/>
      <c r="BT292" s="221"/>
      <c r="BU292" s="221"/>
      <c r="BV292" s="221"/>
      <c r="BW292" s="221"/>
      <c r="BX292" s="221"/>
      <c r="BY292" s="221"/>
      <c r="BZ292" s="221"/>
      <c r="CA292" s="221"/>
      <c r="CB292" s="221"/>
      <c r="CC292" s="221"/>
      <c r="CD292" s="221"/>
      <c r="CE292" s="221"/>
      <c r="CF292" s="221"/>
      <c r="CG292" s="221"/>
      <c r="CH292" s="221"/>
      <c r="CI292" s="221"/>
      <c r="CJ292" s="221"/>
      <c r="CK292" s="221"/>
      <c r="CL292" s="221"/>
      <c r="CM292" s="221"/>
      <c r="CN292" s="221"/>
      <c r="CO292" s="221"/>
      <c r="CP292" s="221"/>
      <c r="CQ292" s="221"/>
      <c r="CR292" s="221"/>
      <c r="CS292" s="221"/>
      <c r="CT292" s="221"/>
      <c r="CU292" s="221"/>
      <c r="CV292" s="221"/>
      <c r="CW292" s="221"/>
      <c r="CX292" s="221"/>
      <c r="CY292" s="221"/>
      <c r="CZ292" s="221"/>
      <c r="DA292" s="221"/>
      <c r="DB292" s="221"/>
      <c r="DC292" s="221"/>
      <c r="DD292" s="221"/>
      <c r="DE292" s="221"/>
      <c r="DF292" s="221"/>
      <c r="DG292" s="221"/>
      <c r="DH292" s="221"/>
      <c r="DI292" s="221"/>
      <c r="DJ292" s="221"/>
      <c r="DK292" s="221"/>
      <c r="DL292" s="221"/>
      <c r="DM292" s="221"/>
      <c r="DN292" s="221"/>
      <c r="DO292" s="221"/>
      <c r="DP292" s="221"/>
      <c r="DQ292" s="221"/>
      <c r="DR292" s="221"/>
      <c r="DS292" s="221"/>
      <c r="DT292" s="221"/>
      <c r="DU292" s="221"/>
      <c r="DV292" s="221"/>
      <c r="DW292" s="221"/>
      <c r="DX292" s="221"/>
      <c r="DY292" s="221"/>
      <c r="DZ292" s="221"/>
      <c r="EA292" s="221"/>
      <c r="EB292" s="221"/>
      <c r="EC292" s="221"/>
      <c r="ED292" s="221"/>
      <c r="EE292" s="221"/>
      <c r="EF292" s="221"/>
      <c r="EG292" s="221"/>
      <c r="EH292" s="221"/>
      <c r="EI292" s="221"/>
      <c r="EJ292" s="221"/>
      <c r="EK292" s="221"/>
      <c r="EL292" s="221"/>
      <c r="EM292" s="221"/>
      <c r="EN292" s="221"/>
      <c r="EO292" s="221"/>
      <c r="EP292" s="221"/>
      <c r="EQ292" s="221"/>
      <c r="ER292" s="221"/>
      <c r="ES292" s="221"/>
      <c r="ET292" s="221"/>
      <c r="EU292" s="221"/>
      <c r="EV292" s="221"/>
      <c r="EW292" s="221"/>
      <c r="EX292" s="221"/>
      <c r="EY292" s="221"/>
      <c r="EZ292" s="221"/>
      <c r="FA292" s="221"/>
      <c r="FB292" s="221"/>
      <c r="FC292" s="221"/>
      <c r="FD292" s="221"/>
      <c r="FE292" s="221"/>
      <c r="FF292" s="221"/>
      <c r="FG292" s="221"/>
      <c r="FH292" s="221"/>
      <c r="FI292" s="221"/>
      <c r="FJ292" s="221"/>
      <c r="FK292" s="221"/>
      <c r="FL292" s="221"/>
      <c r="FM292" s="221"/>
      <c r="FN292" s="221"/>
      <c r="FO292" s="221"/>
      <c r="FP292" s="221"/>
      <c r="FQ292" s="221"/>
      <c r="FR292" s="221"/>
      <c r="FS292" s="221"/>
      <c r="FT292" s="221"/>
      <c r="FU292" s="221"/>
      <c r="FV292" s="221"/>
      <c r="FW292" s="221"/>
      <c r="FX292" s="221"/>
      <c r="FY292" s="221"/>
      <c r="FZ292" s="221"/>
      <c r="GA292" s="221"/>
      <c r="GB292" s="221"/>
      <c r="GC292" s="221"/>
      <c r="GD292" s="221"/>
      <c r="GE292" s="221"/>
      <c r="GF292" s="221"/>
      <c r="GG292" s="221"/>
      <c r="GH292" s="221"/>
      <c r="GI292" s="221"/>
      <c r="GJ292" s="221"/>
      <c r="GK292" s="221"/>
      <c r="GL292" s="221"/>
      <c r="GM292" s="221"/>
      <c r="GN292" s="221"/>
      <c r="GO292" s="221"/>
      <c r="GP292" s="221"/>
      <c r="GQ292" s="221"/>
      <c r="GR292" s="221"/>
      <c r="GS292" s="221"/>
      <c r="GT292" s="221"/>
      <c r="GU292" s="221"/>
      <c r="GV292" s="221"/>
      <c r="GW292" s="221"/>
      <c r="GX292" s="221"/>
      <c r="GY292" s="221"/>
      <c r="GZ292" s="221"/>
      <c r="HA292" s="221"/>
      <c r="HB292" s="221"/>
      <c r="HC292" s="221"/>
      <c r="HD292" s="221"/>
      <c r="HE292" s="221"/>
      <c r="HF292" s="221"/>
      <c r="HG292" s="221"/>
      <c r="HH292" s="221"/>
      <c r="HI292" s="221"/>
      <c r="HJ292" s="221"/>
      <c r="HK292" s="221"/>
      <c r="HL292" s="221"/>
      <c r="HM292" s="221"/>
      <c r="HN292" s="221"/>
      <c r="HO292" s="221"/>
      <c r="HP292" s="221"/>
      <c r="HQ292" s="221"/>
      <c r="HR292" s="221"/>
      <c r="HS292" s="221"/>
      <c r="HT292" s="221"/>
      <c r="HU292" s="221"/>
      <c r="HV292" s="221"/>
      <c r="HW292" s="221"/>
      <c r="HX292" s="221"/>
      <c r="HY292" s="221"/>
      <c r="HZ292" s="221"/>
      <c r="IA292" s="221"/>
      <c r="IB292" s="221"/>
      <c r="IC292" s="221"/>
      <c r="ID292" s="221"/>
      <c r="IE292" s="221"/>
      <c r="IF292" s="221"/>
      <c r="IG292" s="221"/>
      <c r="IH292" s="221"/>
      <c r="II292" s="221"/>
      <c r="IJ292" s="221"/>
      <c r="IK292" s="221"/>
      <c r="IL292" s="221"/>
      <c r="IM292" s="221"/>
      <c r="IN292" s="221"/>
      <c r="IO292" s="221"/>
      <c r="IP292" s="221"/>
      <c r="IQ292" s="221"/>
      <c r="IR292" s="221"/>
      <c r="IS292" s="221"/>
      <c r="IT292" s="221"/>
      <c r="IU292" s="221"/>
      <c r="IV292" s="221"/>
      <c r="IW292" s="221"/>
      <c r="IX292" s="221"/>
      <c r="IY292" s="221"/>
      <c r="IZ292" s="221"/>
      <c r="JA292" s="221"/>
      <c r="JB292" s="221"/>
      <c r="JC292" s="221"/>
      <c r="JD292" s="221"/>
      <c r="JE292" s="221"/>
      <c r="JF292" s="221"/>
      <c r="JG292" s="221"/>
      <c r="JH292" s="221"/>
      <c r="JI292" s="221"/>
      <c r="JJ292" s="221"/>
      <c r="JK292" s="221"/>
      <c r="JL292" s="221"/>
      <c r="JM292" s="221"/>
      <c r="JN292" s="221"/>
      <c r="JO292" s="221"/>
      <c r="JP292" s="221"/>
      <c r="JQ292" s="221"/>
    </row>
    <row r="293" spans="1:277" ht="20" customHeight="1" outlineLevel="1">
      <c r="A293" s="456">
        <v>190641</v>
      </c>
      <c r="B293" s="439">
        <v>42179</v>
      </c>
      <c r="C293" s="514" t="s">
        <v>1675</v>
      </c>
      <c r="D293" s="514" t="s">
        <v>1259</v>
      </c>
      <c r="E293" s="539" t="s">
        <v>60</v>
      </c>
      <c r="F293" s="531" t="s">
        <v>47</v>
      </c>
      <c r="G293" s="448" t="s">
        <v>47</v>
      </c>
      <c r="H293" s="448" t="s">
        <v>47</v>
      </c>
      <c r="I293" s="443" t="s">
        <v>47</v>
      </c>
      <c r="J293" s="837" t="s">
        <v>47</v>
      </c>
      <c r="K293" s="448" t="s">
        <v>47</v>
      </c>
      <c r="L293" s="448" t="s">
        <v>47</v>
      </c>
      <c r="M293" s="439">
        <v>42179</v>
      </c>
      <c r="N293" s="448" t="s">
        <v>2135</v>
      </c>
      <c r="O293" s="448" t="s">
        <v>2136</v>
      </c>
      <c r="P293" s="516"/>
      <c r="Q293" s="629"/>
      <c r="R293" s="589">
        <v>0</v>
      </c>
      <c r="S293" s="590">
        <v>0</v>
      </c>
      <c r="T293" s="604">
        <v>0</v>
      </c>
      <c r="U293" s="596">
        <v>0</v>
      </c>
      <c r="V293" s="590">
        <v>0</v>
      </c>
      <c r="W293" s="604">
        <v>1</v>
      </c>
      <c r="X293" s="596">
        <v>0</v>
      </c>
      <c r="Y293" s="590">
        <v>0</v>
      </c>
      <c r="Z293" s="604">
        <v>0</v>
      </c>
      <c r="AA293" s="596">
        <v>0</v>
      </c>
      <c r="AB293" s="590">
        <v>0</v>
      </c>
      <c r="AC293" s="604">
        <v>16</v>
      </c>
      <c r="AD293" s="596">
        <v>0</v>
      </c>
      <c r="AE293" s="596">
        <v>0</v>
      </c>
      <c r="AF293" s="596">
        <v>0</v>
      </c>
      <c r="AG293" s="590">
        <v>0</v>
      </c>
      <c r="AH293" s="604">
        <v>0</v>
      </c>
      <c r="AI293" s="610">
        <v>0</v>
      </c>
      <c r="AJ293" s="610">
        <v>0</v>
      </c>
      <c r="AK293" s="629"/>
      <c r="AL293" s="530" t="s">
        <v>1262</v>
      </c>
      <c r="AM293" s="448" t="s">
        <v>92</v>
      </c>
      <c r="AN293" s="612">
        <f>PRODUCTS!F12+16*PRODUCTS!D14</f>
        <v>16.105034155794538</v>
      </c>
      <c r="AO293" s="444" t="s">
        <v>47</v>
      </c>
      <c r="AP293" s="37">
        <v>0</v>
      </c>
      <c r="AQ293" s="795">
        <f t="shared" si="29"/>
        <v>-16.105034155794538</v>
      </c>
      <c r="AR293" s="835" t="e">
        <f t="shared" si="21"/>
        <v>#DIV/0!</v>
      </c>
      <c r="AS293" s="821" t="s">
        <v>47</v>
      </c>
      <c r="AT293" s="448" t="s">
        <v>2037</v>
      </c>
      <c r="AU293" s="448">
        <v>1</v>
      </c>
      <c r="AV293" s="448"/>
      <c r="AW293" s="448"/>
      <c r="AX293" s="612">
        <v>0</v>
      </c>
      <c r="AY293" s="448" t="s">
        <v>2139</v>
      </c>
      <c r="AZ293" s="612">
        <v>0</v>
      </c>
      <c r="BA293" s="256" t="s">
        <v>47</v>
      </c>
      <c r="BB293" s="41">
        <v>0</v>
      </c>
      <c r="BC293" s="448"/>
      <c r="BD293" s="448"/>
      <c r="BE293" s="448"/>
      <c r="BF293" s="448"/>
      <c r="BG293" s="448"/>
      <c r="BH293" s="221"/>
      <c r="BI293" s="221"/>
      <c r="BJ293" s="221"/>
      <c r="BK293" s="221"/>
      <c r="BL293" s="221"/>
      <c r="BM293" s="221"/>
      <c r="BN293" s="221"/>
      <c r="BO293" s="221"/>
      <c r="BP293" s="221"/>
      <c r="BQ293" s="221"/>
      <c r="BR293" s="221"/>
      <c r="BS293" s="221"/>
      <c r="BT293" s="221"/>
      <c r="BU293" s="221"/>
      <c r="BV293" s="221"/>
      <c r="BW293" s="221"/>
      <c r="BX293" s="221"/>
      <c r="BY293" s="221"/>
      <c r="BZ293" s="221"/>
      <c r="CA293" s="221"/>
      <c r="CB293" s="221"/>
      <c r="CC293" s="221"/>
      <c r="CD293" s="221"/>
      <c r="CE293" s="221"/>
      <c r="CF293" s="221"/>
      <c r="CG293" s="221"/>
      <c r="CH293" s="221"/>
      <c r="CI293" s="221"/>
      <c r="CJ293" s="221"/>
      <c r="CK293" s="221"/>
      <c r="CL293" s="221"/>
      <c r="CM293" s="221"/>
      <c r="CN293" s="221"/>
      <c r="CO293" s="221"/>
      <c r="CP293" s="221"/>
      <c r="CQ293" s="221"/>
      <c r="CR293" s="221"/>
      <c r="CS293" s="221"/>
      <c r="CT293" s="221"/>
      <c r="CU293" s="221"/>
      <c r="CV293" s="221"/>
      <c r="CW293" s="221"/>
      <c r="CX293" s="221"/>
      <c r="CY293" s="221"/>
      <c r="CZ293" s="221"/>
      <c r="DA293" s="221"/>
      <c r="DB293" s="221"/>
      <c r="DC293" s="221"/>
      <c r="DD293" s="221"/>
      <c r="DE293" s="221"/>
      <c r="DF293" s="221"/>
      <c r="DG293" s="221"/>
      <c r="DH293" s="221"/>
      <c r="DI293" s="221"/>
      <c r="DJ293" s="221"/>
      <c r="DK293" s="221"/>
      <c r="DL293" s="221"/>
      <c r="DM293" s="221"/>
      <c r="DN293" s="221"/>
      <c r="DO293" s="221"/>
      <c r="DP293" s="221"/>
      <c r="DQ293" s="221"/>
      <c r="DR293" s="221"/>
      <c r="DS293" s="221"/>
      <c r="DT293" s="221"/>
      <c r="DU293" s="221"/>
      <c r="DV293" s="221"/>
      <c r="DW293" s="221"/>
      <c r="DX293" s="221"/>
      <c r="DY293" s="221"/>
      <c r="DZ293" s="221"/>
      <c r="EA293" s="221"/>
      <c r="EB293" s="221"/>
      <c r="EC293" s="221"/>
      <c r="ED293" s="221"/>
      <c r="EE293" s="221"/>
      <c r="EF293" s="221"/>
      <c r="EG293" s="221"/>
      <c r="EH293" s="221"/>
      <c r="EI293" s="221"/>
      <c r="EJ293" s="221"/>
      <c r="EK293" s="221"/>
      <c r="EL293" s="221"/>
      <c r="EM293" s="221"/>
      <c r="EN293" s="221"/>
      <c r="EO293" s="221"/>
      <c r="EP293" s="221"/>
      <c r="EQ293" s="221"/>
      <c r="ER293" s="221"/>
      <c r="ES293" s="221"/>
      <c r="ET293" s="221"/>
      <c r="EU293" s="221"/>
      <c r="EV293" s="221"/>
      <c r="EW293" s="221"/>
      <c r="EX293" s="221"/>
      <c r="EY293" s="221"/>
      <c r="EZ293" s="221"/>
      <c r="FA293" s="221"/>
      <c r="FB293" s="221"/>
      <c r="FC293" s="221"/>
      <c r="FD293" s="221"/>
      <c r="FE293" s="221"/>
      <c r="FF293" s="221"/>
      <c r="FG293" s="221"/>
      <c r="FH293" s="221"/>
      <c r="FI293" s="221"/>
      <c r="FJ293" s="221"/>
      <c r="FK293" s="221"/>
      <c r="FL293" s="221"/>
      <c r="FM293" s="221"/>
      <c r="FN293" s="221"/>
      <c r="FO293" s="221"/>
      <c r="FP293" s="221"/>
      <c r="FQ293" s="221"/>
      <c r="FR293" s="221"/>
      <c r="FS293" s="221"/>
      <c r="FT293" s="221"/>
      <c r="FU293" s="221"/>
      <c r="FV293" s="221"/>
      <c r="FW293" s="221"/>
      <c r="FX293" s="221"/>
      <c r="FY293" s="221"/>
      <c r="FZ293" s="221"/>
      <c r="GA293" s="221"/>
      <c r="GB293" s="221"/>
      <c r="GC293" s="221"/>
      <c r="GD293" s="221"/>
      <c r="GE293" s="221"/>
      <c r="GF293" s="221"/>
      <c r="GG293" s="221"/>
      <c r="GH293" s="221"/>
      <c r="GI293" s="221"/>
      <c r="GJ293" s="221"/>
      <c r="GK293" s="221"/>
      <c r="GL293" s="221"/>
      <c r="GM293" s="221"/>
      <c r="GN293" s="221"/>
      <c r="GO293" s="221"/>
      <c r="GP293" s="221"/>
      <c r="GQ293" s="221"/>
      <c r="GR293" s="221"/>
      <c r="GS293" s="221"/>
      <c r="GT293" s="221"/>
      <c r="GU293" s="221"/>
      <c r="GV293" s="221"/>
      <c r="GW293" s="221"/>
      <c r="GX293" s="221"/>
      <c r="GY293" s="221"/>
      <c r="GZ293" s="221"/>
      <c r="HA293" s="221"/>
      <c r="HB293" s="221"/>
      <c r="HC293" s="221"/>
      <c r="HD293" s="221"/>
      <c r="HE293" s="221"/>
      <c r="HF293" s="221"/>
      <c r="HG293" s="221"/>
      <c r="HH293" s="221"/>
      <c r="HI293" s="221"/>
      <c r="HJ293" s="221"/>
      <c r="HK293" s="221"/>
      <c r="HL293" s="221"/>
      <c r="HM293" s="221"/>
      <c r="HN293" s="221"/>
      <c r="HO293" s="221"/>
      <c r="HP293" s="221"/>
      <c r="HQ293" s="221"/>
      <c r="HR293" s="221"/>
      <c r="HS293" s="221"/>
      <c r="HT293" s="221"/>
      <c r="HU293" s="221"/>
      <c r="HV293" s="221"/>
      <c r="HW293" s="221"/>
      <c r="HX293" s="221"/>
      <c r="HY293" s="221"/>
      <c r="HZ293" s="221"/>
      <c r="IA293" s="221"/>
      <c r="IB293" s="221"/>
      <c r="IC293" s="221"/>
      <c r="ID293" s="221"/>
      <c r="IE293" s="221"/>
      <c r="IF293" s="221"/>
      <c r="IG293" s="221"/>
      <c r="IH293" s="221"/>
      <c r="II293" s="221"/>
      <c r="IJ293" s="221"/>
      <c r="IK293" s="221"/>
      <c r="IL293" s="221"/>
      <c r="IM293" s="221"/>
      <c r="IN293" s="221"/>
      <c r="IO293" s="221"/>
      <c r="IP293" s="221"/>
      <c r="IQ293" s="221"/>
      <c r="IR293" s="221"/>
      <c r="IS293" s="221"/>
      <c r="IT293" s="221"/>
      <c r="IU293" s="221"/>
      <c r="IV293" s="221"/>
      <c r="IW293" s="221"/>
      <c r="IX293" s="221"/>
      <c r="IY293" s="221"/>
      <c r="IZ293" s="221"/>
      <c r="JA293" s="221"/>
      <c r="JB293" s="221"/>
      <c r="JC293" s="221"/>
      <c r="JD293" s="221"/>
      <c r="JE293" s="221"/>
      <c r="JF293" s="221"/>
      <c r="JG293" s="221"/>
      <c r="JH293" s="221"/>
      <c r="JI293" s="221"/>
      <c r="JJ293" s="221"/>
      <c r="JK293" s="221"/>
      <c r="JL293" s="221"/>
      <c r="JM293" s="221"/>
      <c r="JN293" s="221"/>
      <c r="JO293" s="221"/>
      <c r="JP293" s="221"/>
      <c r="JQ293" s="221"/>
    </row>
    <row r="294" spans="1:277" ht="20" customHeight="1" outlineLevel="1">
      <c r="A294" s="456">
        <v>190642</v>
      </c>
      <c r="B294" s="439">
        <v>42179</v>
      </c>
      <c r="C294" s="514" t="s">
        <v>1675</v>
      </c>
      <c r="D294" s="514" t="s">
        <v>1259</v>
      </c>
      <c r="E294" s="539" t="s">
        <v>60</v>
      </c>
      <c r="F294" s="531" t="s">
        <v>47</v>
      </c>
      <c r="G294" s="448" t="s">
        <v>47</v>
      </c>
      <c r="H294" s="448" t="s">
        <v>47</v>
      </c>
      <c r="I294" s="443" t="s">
        <v>47</v>
      </c>
      <c r="J294" s="837" t="s">
        <v>47</v>
      </c>
      <c r="K294" s="448" t="s">
        <v>47</v>
      </c>
      <c r="L294" s="448" t="s">
        <v>47</v>
      </c>
      <c r="M294" s="439">
        <v>42179</v>
      </c>
      <c r="N294" s="448" t="s">
        <v>2137</v>
      </c>
      <c r="O294" s="448" t="s">
        <v>2138</v>
      </c>
      <c r="P294" s="516"/>
      <c r="Q294" s="629"/>
      <c r="R294" s="589">
        <v>0</v>
      </c>
      <c r="S294" s="590">
        <v>0</v>
      </c>
      <c r="T294" s="604">
        <v>1</v>
      </c>
      <c r="U294" s="596">
        <v>0</v>
      </c>
      <c r="V294" s="590">
        <v>0</v>
      </c>
      <c r="W294" s="604">
        <v>0</v>
      </c>
      <c r="X294" s="596">
        <v>0</v>
      </c>
      <c r="Y294" s="590">
        <v>0</v>
      </c>
      <c r="Z294" s="604">
        <v>0</v>
      </c>
      <c r="AA294" s="596">
        <v>0</v>
      </c>
      <c r="AB294" s="590">
        <v>0</v>
      </c>
      <c r="AC294" s="604">
        <v>0</v>
      </c>
      <c r="AD294" s="596">
        <v>0</v>
      </c>
      <c r="AE294" s="596">
        <v>0</v>
      </c>
      <c r="AF294" s="596">
        <v>0</v>
      </c>
      <c r="AG294" s="590">
        <v>0</v>
      </c>
      <c r="AH294" s="604">
        <v>0</v>
      </c>
      <c r="AI294" s="610">
        <v>0</v>
      </c>
      <c r="AJ294" s="610">
        <v>0</v>
      </c>
      <c r="AK294" s="629"/>
      <c r="AL294" s="530" t="s">
        <v>1725</v>
      </c>
      <c r="AM294" s="448" t="s">
        <v>92</v>
      </c>
      <c r="AN294" s="612">
        <f>1*PRODUCTS!G14</f>
        <v>1</v>
      </c>
      <c r="AO294" s="444" t="s">
        <v>47</v>
      </c>
      <c r="AP294" s="37">
        <v>0</v>
      </c>
      <c r="AQ294" s="795">
        <f t="shared" si="29"/>
        <v>-1</v>
      </c>
      <c r="AR294" s="835" t="e">
        <f t="shared" si="21"/>
        <v>#DIV/0!</v>
      </c>
      <c r="AS294" s="821" t="s">
        <v>47</v>
      </c>
      <c r="AT294" s="448" t="s">
        <v>2037</v>
      </c>
      <c r="AU294" s="448">
        <v>1</v>
      </c>
      <c r="AV294" s="448"/>
      <c r="AW294" s="448"/>
      <c r="AX294" s="612">
        <v>0</v>
      </c>
      <c r="AY294" s="448" t="s">
        <v>1861</v>
      </c>
      <c r="AZ294" s="612">
        <f>3*0.7</f>
        <v>2.0999999999999996</v>
      </c>
      <c r="BA294" s="256" t="s">
        <v>47</v>
      </c>
      <c r="BB294" s="41">
        <v>0</v>
      </c>
      <c r="BC294" s="448"/>
      <c r="BD294" s="448"/>
      <c r="BE294" s="448"/>
      <c r="BF294" s="448"/>
      <c r="BG294" s="448"/>
      <c r="BH294" s="221"/>
      <c r="BI294" s="221"/>
      <c r="BJ294" s="221"/>
      <c r="BK294" s="221"/>
      <c r="BL294" s="221"/>
      <c r="BM294" s="221"/>
      <c r="BN294" s="221"/>
      <c r="BO294" s="221"/>
      <c r="BP294" s="221"/>
      <c r="BQ294" s="221"/>
      <c r="BR294" s="221"/>
      <c r="BS294" s="221"/>
      <c r="BT294" s="221"/>
      <c r="BU294" s="221"/>
      <c r="BV294" s="221"/>
      <c r="BW294" s="221"/>
      <c r="BX294" s="221"/>
      <c r="BY294" s="221"/>
      <c r="BZ294" s="221"/>
      <c r="CA294" s="221"/>
      <c r="CB294" s="221"/>
      <c r="CC294" s="221"/>
      <c r="CD294" s="221"/>
      <c r="CE294" s="221"/>
      <c r="CF294" s="221"/>
      <c r="CG294" s="221"/>
      <c r="CH294" s="221"/>
      <c r="CI294" s="221"/>
      <c r="CJ294" s="221"/>
      <c r="CK294" s="221"/>
      <c r="CL294" s="221"/>
      <c r="CM294" s="221"/>
      <c r="CN294" s="221"/>
      <c r="CO294" s="221"/>
      <c r="CP294" s="221"/>
      <c r="CQ294" s="221"/>
      <c r="CR294" s="221"/>
      <c r="CS294" s="221"/>
      <c r="CT294" s="221"/>
      <c r="CU294" s="221"/>
      <c r="CV294" s="221"/>
      <c r="CW294" s="221"/>
      <c r="CX294" s="221"/>
      <c r="CY294" s="221"/>
      <c r="CZ294" s="221"/>
      <c r="DA294" s="221"/>
      <c r="DB294" s="221"/>
      <c r="DC294" s="221"/>
      <c r="DD294" s="221"/>
      <c r="DE294" s="221"/>
      <c r="DF294" s="221"/>
      <c r="DG294" s="221"/>
      <c r="DH294" s="221"/>
      <c r="DI294" s="221"/>
      <c r="DJ294" s="221"/>
      <c r="DK294" s="221"/>
      <c r="DL294" s="221"/>
      <c r="DM294" s="221"/>
      <c r="DN294" s="221"/>
      <c r="DO294" s="221"/>
      <c r="DP294" s="221"/>
      <c r="DQ294" s="221"/>
      <c r="DR294" s="221"/>
      <c r="DS294" s="221"/>
      <c r="DT294" s="221"/>
      <c r="DU294" s="221"/>
      <c r="DV294" s="221"/>
      <c r="DW294" s="221"/>
      <c r="DX294" s="221"/>
      <c r="DY294" s="221"/>
      <c r="DZ294" s="221"/>
      <c r="EA294" s="221"/>
      <c r="EB294" s="221"/>
      <c r="EC294" s="221"/>
      <c r="ED294" s="221"/>
      <c r="EE294" s="221"/>
      <c r="EF294" s="221"/>
      <c r="EG294" s="221"/>
      <c r="EH294" s="221"/>
      <c r="EI294" s="221"/>
      <c r="EJ294" s="221"/>
      <c r="EK294" s="221"/>
      <c r="EL294" s="221"/>
      <c r="EM294" s="221"/>
      <c r="EN294" s="221"/>
      <c r="EO294" s="221"/>
      <c r="EP294" s="221"/>
      <c r="EQ294" s="221"/>
      <c r="ER294" s="221"/>
      <c r="ES294" s="221"/>
      <c r="ET294" s="221"/>
      <c r="EU294" s="221"/>
      <c r="EV294" s="221"/>
      <c r="EW294" s="221"/>
      <c r="EX294" s="221"/>
      <c r="EY294" s="221"/>
      <c r="EZ294" s="221"/>
      <c r="FA294" s="221"/>
      <c r="FB294" s="221"/>
      <c r="FC294" s="221"/>
      <c r="FD294" s="221"/>
      <c r="FE294" s="221"/>
      <c r="FF294" s="221"/>
      <c r="FG294" s="221"/>
      <c r="FH294" s="221"/>
      <c r="FI294" s="221"/>
      <c r="FJ294" s="221"/>
      <c r="FK294" s="221"/>
      <c r="FL294" s="221"/>
      <c r="FM294" s="221"/>
      <c r="FN294" s="221"/>
      <c r="FO294" s="221"/>
      <c r="FP294" s="221"/>
      <c r="FQ294" s="221"/>
      <c r="FR294" s="221"/>
      <c r="FS294" s="221"/>
      <c r="FT294" s="221"/>
      <c r="FU294" s="221"/>
      <c r="FV294" s="221"/>
      <c r="FW294" s="221"/>
      <c r="FX294" s="221"/>
      <c r="FY294" s="221"/>
      <c r="FZ294" s="221"/>
      <c r="GA294" s="221"/>
      <c r="GB294" s="221"/>
      <c r="GC294" s="221"/>
      <c r="GD294" s="221"/>
      <c r="GE294" s="221"/>
      <c r="GF294" s="221"/>
      <c r="GG294" s="221"/>
      <c r="GH294" s="221"/>
      <c r="GI294" s="221"/>
      <c r="GJ294" s="221"/>
      <c r="GK294" s="221"/>
      <c r="GL294" s="221"/>
      <c r="GM294" s="221"/>
      <c r="GN294" s="221"/>
      <c r="GO294" s="221"/>
      <c r="GP294" s="221"/>
      <c r="GQ294" s="221"/>
      <c r="GR294" s="221"/>
      <c r="GS294" s="221"/>
      <c r="GT294" s="221"/>
      <c r="GU294" s="221"/>
      <c r="GV294" s="221"/>
      <c r="GW294" s="221"/>
      <c r="GX294" s="221"/>
      <c r="GY294" s="221"/>
      <c r="GZ294" s="221"/>
      <c r="HA294" s="221"/>
      <c r="HB294" s="221"/>
      <c r="HC294" s="221"/>
      <c r="HD294" s="221"/>
      <c r="HE294" s="221"/>
      <c r="HF294" s="221"/>
      <c r="HG294" s="221"/>
      <c r="HH294" s="221"/>
      <c r="HI294" s="221"/>
      <c r="HJ294" s="221"/>
      <c r="HK294" s="221"/>
      <c r="HL294" s="221"/>
      <c r="HM294" s="221"/>
      <c r="HN294" s="221"/>
      <c r="HO294" s="221"/>
      <c r="HP294" s="221"/>
      <c r="HQ294" s="221"/>
      <c r="HR294" s="221"/>
      <c r="HS294" s="221"/>
      <c r="HT294" s="221"/>
      <c r="HU294" s="221"/>
      <c r="HV294" s="221"/>
      <c r="HW294" s="221"/>
      <c r="HX294" s="221"/>
      <c r="HY294" s="221"/>
      <c r="HZ294" s="221"/>
      <c r="IA294" s="221"/>
      <c r="IB294" s="221"/>
      <c r="IC294" s="221"/>
      <c r="ID294" s="221"/>
      <c r="IE294" s="221"/>
      <c r="IF294" s="221"/>
      <c r="IG294" s="221"/>
      <c r="IH294" s="221"/>
      <c r="II294" s="221"/>
      <c r="IJ294" s="221"/>
      <c r="IK294" s="221"/>
      <c r="IL294" s="221"/>
      <c r="IM294" s="221"/>
      <c r="IN294" s="221"/>
      <c r="IO294" s="221"/>
      <c r="IP294" s="221"/>
      <c r="IQ294" s="221"/>
      <c r="IR294" s="221"/>
      <c r="IS294" s="221"/>
      <c r="IT294" s="221"/>
      <c r="IU294" s="221"/>
      <c r="IV294" s="221"/>
      <c r="IW294" s="221"/>
      <c r="IX294" s="221"/>
      <c r="IY294" s="221"/>
      <c r="IZ294" s="221"/>
      <c r="JA294" s="221"/>
      <c r="JB294" s="221"/>
      <c r="JC294" s="221"/>
      <c r="JD294" s="221"/>
      <c r="JE294" s="221"/>
      <c r="JF294" s="221"/>
      <c r="JG294" s="221"/>
      <c r="JH294" s="221"/>
      <c r="JI294" s="221"/>
      <c r="JJ294" s="221"/>
      <c r="JK294" s="221"/>
      <c r="JL294" s="221"/>
      <c r="JM294" s="221"/>
      <c r="JN294" s="221"/>
      <c r="JO294" s="221"/>
      <c r="JP294" s="221"/>
      <c r="JQ294" s="221"/>
    </row>
    <row r="295" spans="1:277" ht="20" customHeight="1" outlineLevel="1">
      <c r="A295" s="456">
        <v>190643</v>
      </c>
      <c r="B295" s="439">
        <v>42180</v>
      </c>
      <c r="C295" s="514" t="s">
        <v>1675</v>
      </c>
      <c r="D295" s="514" t="s">
        <v>1259</v>
      </c>
      <c r="E295" s="539" t="s">
        <v>60</v>
      </c>
      <c r="F295" s="531" t="s">
        <v>47</v>
      </c>
      <c r="G295" s="448" t="s">
        <v>2140</v>
      </c>
      <c r="H295" s="448" t="s">
        <v>191</v>
      </c>
      <c r="I295" s="443">
        <v>192613</v>
      </c>
      <c r="J295" s="837" t="s">
        <v>62</v>
      </c>
      <c r="K295" s="448" t="s">
        <v>50</v>
      </c>
      <c r="L295" s="448">
        <v>114404714</v>
      </c>
      <c r="M295" s="439">
        <v>42179</v>
      </c>
      <c r="N295" s="448" t="s">
        <v>2145</v>
      </c>
      <c r="O295" s="448" t="s">
        <v>2141</v>
      </c>
      <c r="P295" s="516"/>
      <c r="Q295" s="629"/>
      <c r="R295" s="589">
        <v>0</v>
      </c>
      <c r="S295" s="590">
        <v>0</v>
      </c>
      <c r="T295" s="604">
        <v>0</v>
      </c>
      <c r="U295" s="596">
        <v>0</v>
      </c>
      <c r="V295" s="590">
        <v>0</v>
      </c>
      <c r="W295" s="604">
        <v>0</v>
      </c>
      <c r="X295" s="596">
        <v>0</v>
      </c>
      <c r="Y295" s="590">
        <v>0</v>
      </c>
      <c r="Z295" s="604">
        <v>0</v>
      </c>
      <c r="AA295" s="596">
        <v>0</v>
      </c>
      <c r="AB295" s="590">
        <v>0</v>
      </c>
      <c r="AC295" s="604">
        <v>0</v>
      </c>
      <c r="AD295" s="596">
        <v>0</v>
      </c>
      <c r="AE295" s="596">
        <v>1</v>
      </c>
      <c r="AF295" s="596">
        <v>0</v>
      </c>
      <c r="AG295" s="590">
        <v>0</v>
      </c>
      <c r="AH295" s="604">
        <v>0</v>
      </c>
      <c r="AI295" s="610">
        <v>0</v>
      </c>
      <c r="AJ295" s="610">
        <v>0</v>
      </c>
      <c r="AK295" s="629"/>
      <c r="AL295" s="530" t="s">
        <v>1687</v>
      </c>
      <c r="AM295" s="448">
        <v>191601</v>
      </c>
      <c r="AN295" s="612">
        <f>1*PRODUCTS!C10</f>
        <v>16.25</v>
      </c>
      <c r="AO295" s="444" t="s">
        <v>2142</v>
      </c>
      <c r="AP295" s="37">
        <v>81.3</v>
      </c>
      <c r="AQ295" s="795">
        <f t="shared" si="29"/>
        <v>65.05</v>
      </c>
      <c r="AR295" s="835">
        <f t="shared" si="21"/>
        <v>0.80012300123001234</v>
      </c>
      <c r="AS295" s="821"/>
      <c r="AT295" s="448" t="s">
        <v>1254</v>
      </c>
      <c r="AU295" s="448">
        <v>1</v>
      </c>
      <c r="AV295" s="448"/>
      <c r="AW295" s="448"/>
      <c r="AX295" s="612"/>
      <c r="AY295" s="448"/>
      <c r="AZ295" s="612"/>
      <c r="BA295" s="256" t="s">
        <v>47</v>
      </c>
      <c r="BB295" s="41">
        <v>0</v>
      </c>
      <c r="BC295" s="448"/>
      <c r="BD295" s="448"/>
      <c r="BE295" s="448"/>
      <c r="BF295" s="448"/>
      <c r="BG295" s="448"/>
      <c r="BH295" s="221"/>
      <c r="BI295" s="221"/>
      <c r="BJ295" s="221"/>
      <c r="BK295" s="221"/>
      <c r="BL295" s="221"/>
      <c r="BM295" s="221"/>
      <c r="BN295" s="221"/>
      <c r="BO295" s="221"/>
      <c r="BP295" s="221"/>
      <c r="BQ295" s="221"/>
      <c r="BR295" s="221"/>
      <c r="BS295" s="221"/>
      <c r="BT295" s="221"/>
      <c r="BU295" s="221"/>
      <c r="BV295" s="221"/>
      <c r="BW295" s="221"/>
      <c r="BX295" s="221"/>
      <c r="BY295" s="221"/>
      <c r="BZ295" s="221"/>
      <c r="CA295" s="221"/>
      <c r="CB295" s="221"/>
      <c r="CC295" s="221"/>
      <c r="CD295" s="221"/>
      <c r="CE295" s="221"/>
      <c r="CF295" s="221"/>
      <c r="CG295" s="221"/>
      <c r="CH295" s="221"/>
      <c r="CI295" s="221"/>
      <c r="CJ295" s="221"/>
      <c r="CK295" s="221"/>
      <c r="CL295" s="221"/>
      <c r="CM295" s="221"/>
      <c r="CN295" s="221"/>
      <c r="CO295" s="221"/>
      <c r="CP295" s="221"/>
      <c r="CQ295" s="221"/>
      <c r="CR295" s="221"/>
      <c r="CS295" s="221"/>
      <c r="CT295" s="221"/>
      <c r="CU295" s="221"/>
      <c r="CV295" s="221"/>
      <c r="CW295" s="221"/>
      <c r="CX295" s="221"/>
      <c r="CY295" s="221"/>
      <c r="CZ295" s="221"/>
      <c r="DA295" s="221"/>
      <c r="DB295" s="221"/>
      <c r="DC295" s="221"/>
      <c r="DD295" s="221"/>
      <c r="DE295" s="221"/>
      <c r="DF295" s="221"/>
      <c r="DG295" s="221"/>
      <c r="DH295" s="221"/>
      <c r="DI295" s="221"/>
      <c r="DJ295" s="221"/>
      <c r="DK295" s="221"/>
      <c r="DL295" s="221"/>
      <c r="DM295" s="221"/>
      <c r="DN295" s="221"/>
      <c r="DO295" s="221"/>
      <c r="DP295" s="221"/>
      <c r="DQ295" s="221"/>
      <c r="DR295" s="221"/>
      <c r="DS295" s="221"/>
      <c r="DT295" s="221"/>
      <c r="DU295" s="221"/>
      <c r="DV295" s="221"/>
      <c r="DW295" s="221"/>
      <c r="DX295" s="221"/>
      <c r="DY295" s="221"/>
      <c r="DZ295" s="221"/>
      <c r="EA295" s="221"/>
      <c r="EB295" s="221"/>
      <c r="EC295" s="221"/>
      <c r="ED295" s="221"/>
      <c r="EE295" s="221"/>
      <c r="EF295" s="221"/>
      <c r="EG295" s="221"/>
      <c r="EH295" s="221"/>
      <c r="EI295" s="221"/>
      <c r="EJ295" s="221"/>
      <c r="EK295" s="221"/>
      <c r="EL295" s="221"/>
      <c r="EM295" s="221"/>
      <c r="EN295" s="221"/>
      <c r="EO295" s="221"/>
      <c r="EP295" s="221"/>
      <c r="EQ295" s="221"/>
      <c r="ER295" s="221"/>
      <c r="ES295" s="221"/>
      <c r="ET295" s="221"/>
      <c r="EU295" s="221"/>
      <c r="EV295" s="221"/>
      <c r="EW295" s="221"/>
      <c r="EX295" s="221"/>
      <c r="EY295" s="221"/>
      <c r="EZ295" s="221"/>
      <c r="FA295" s="221"/>
      <c r="FB295" s="221"/>
      <c r="FC295" s="221"/>
      <c r="FD295" s="221"/>
      <c r="FE295" s="221"/>
      <c r="FF295" s="221"/>
      <c r="FG295" s="221"/>
      <c r="FH295" s="221"/>
      <c r="FI295" s="221"/>
      <c r="FJ295" s="221"/>
      <c r="FK295" s="221"/>
      <c r="FL295" s="221"/>
      <c r="FM295" s="221"/>
      <c r="FN295" s="221"/>
      <c r="FO295" s="221"/>
      <c r="FP295" s="221"/>
      <c r="FQ295" s="221"/>
      <c r="FR295" s="221"/>
      <c r="FS295" s="221"/>
      <c r="FT295" s="221"/>
      <c r="FU295" s="221"/>
      <c r="FV295" s="221"/>
      <c r="FW295" s="221"/>
      <c r="FX295" s="221"/>
      <c r="FY295" s="221"/>
      <c r="FZ295" s="221"/>
      <c r="GA295" s="221"/>
      <c r="GB295" s="221"/>
      <c r="GC295" s="221"/>
      <c r="GD295" s="221"/>
      <c r="GE295" s="221"/>
      <c r="GF295" s="221"/>
      <c r="GG295" s="221"/>
      <c r="GH295" s="221"/>
      <c r="GI295" s="221"/>
      <c r="GJ295" s="221"/>
      <c r="GK295" s="221"/>
      <c r="GL295" s="221"/>
      <c r="GM295" s="221"/>
      <c r="GN295" s="221"/>
      <c r="GO295" s="221"/>
      <c r="GP295" s="221"/>
      <c r="GQ295" s="221"/>
      <c r="GR295" s="221"/>
      <c r="GS295" s="221"/>
      <c r="GT295" s="221"/>
      <c r="GU295" s="221"/>
      <c r="GV295" s="221"/>
      <c r="GW295" s="221"/>
      <c r="GX295" s="221"/>
      <c r="GY295" s="221"/>
      <c r="GZ295" s="221"/>
      <c r="HA295" s="221"/>
      <c r="HB295" s="221"/>
      <c r="HC295" s="221"/>
      <c r="HD295" s="221"/>
      <c r="HE295" s="221"/>
      <c r="HF295" s="221"/>
      <c r="HG295" s="221"/>
      <c r="HH295" s="221"/>
      <c r="HI295" s="221"/>
      <c r="HJ295" s="221"/>
      <c r="HK295" s="221"/>
      <c r="HL295" s="221"/>
      <c r="HM295" s="221"/>
      <c r="HN295" s="221"/>
      <c r="HO295" s="221"/>
      <c r="HP295" s="221"/>
      <c r="HQ295" s="221"/>
      <c r="HR295" s="221"/>
      <c r="HS295" s="221"/>
      <c r="HT295" s="221"/>
      <c r="HU295" s="221"/>
      <c r="HV295" s="221"/>
      <c r="HW295" s="221"/>
      <c r="HX295" s="221"/>
      <c r="HY295" s="221"/>
      <c r="HZ295" s="221"/>
      <c r="IA295" s="221"/>
      <c r="IB295" s="221"/>
      <c r="IC295" s="221"/>
      <c r="ID295" s="221"/>
      <c r="IE295" s="221"/>
      <c r="IF295" s="221"/>
      <c r="IG295" s="221"/>
      <c r="IH295" s="221"/>
      <c r="II295" s="221"/>
      <c r="IJ295" s="221"/>
      <c r="IK295" s="221"/>
      <c r="IL295" s="221"/>
      <c r="IM295" s="221"/>
      <c r="IN295" s="221"/>
      <c r="IO295" s="221"/>
      <c r="IP295" s="221"/>
      <c r="IQ295" s="221"/>
      <c r="IR295" s="221"/>
      <c r="IS295" s="221"/>
      <c r="IT295" s="221"/>
      <c r="IU295" s="221"/>
      <c r="IV295" s="221"/>
      <c r="IW295" s="221"/>
      <c r="IX295" s="221"/>
      <c r="IY295" s="221"/>
      <c r="IZ295" s="221"/>
      <c r="JA295" s="221"/>
      <c r="JB295" s="221"/>
      <c r="JC295" s="221"/>
      <c r="JD295" s="221"/>
      <c r="JE295" s="221"/>
      <c r="JF295" s="221"/>
      <c r="JG295" s="221"/>
      <c r="JH295" s="221"/>
      <c r="JI295" s="221"/>
      <c r="JJ295" s="221"/>
      <c r="JK295" s="221"/>
      <c r="JL295" s="221"/>
      <c r="JM295" s="221"/>
      <c r="JN295" s="221"/>
      <c r="JO295" s="221"/>
      <c r="JP295" s="221"/>
      <c r="JQ295" s="221"/>
    </row>
    <row r="296" spans="1:277" ht="20" customHeight="1" outlineLevel="1">
      <c r="A296" s="456">
        <v>190644</v>
      </c>
      <c r="B296" s="439">
        <v>42180</v>
      </c>
      <c r="C296" s="514" t="s">
        <v>1675</v>
      </c>
      <c r="D296" s="514" t="s">
        <v>1259</v>
      </c>
      <c r="E296" s="539" t="s">
        <v>60</v>
      </c>
      <c r="F296" s="531" t="s">
        <v>47</v>
      </c>
      <c r="G296" s="448" t="s">
        <v>2144</v>
      </c>
      <c r="H296" s="439">
        <v>42181</v>
      </c>
      <c r="I296" s="443">
        <v>192611</v>
      </c>
      <c r="J296" s="837" t="s">
        <v>62</v>
      </c>
      <c r="K296" s="448" t="s">
        <v>50</v>
      </c>
      <c r="L296" s="448">
        <v>114629099</v>
      </c>
      <c r="M296" s="439">
        <v>42180</v>
      </c>
      <c r="N296" s="448" t="s">
        <v>497</v>
      </c>
      <c r="O296" s="448" t="s">
        <v>2146</v>
      </c>
      <c r="P296" s="516"/>
      <c r="Q296" s="629"/>
      <c r="R296" s="589">
        <v>0</v>
      </c>
      <c r="S296" s="590">
        <v>0</v>
      </c>
      <c r="T296" s="604">
        <v>0</v>
      </c>
      <c r="U296" s="596">
        <v>0</v>
      </c>
      <c r="V296" s="590">
        <v>0</v>
      </c>
      <c r="W296" s="604">
        <v>0</v>
      </c>
      <c r="X296" s="596">
        <v>0</v>
      </c>
      <c r="Y296" s="590">
        <v>0</v>
      </c>
      <c r="Z296" s="604">
        <v>0</v>
      </c>
      <c r="AA296" s="596">
        <v>0</v>
      </c>
      <c r="AB296" s="590">
        <v>0</v>
      </c>
      <c r="AC296" s="604">
        <v>0</v>
      </c>
      <c r="AD296" s="596">
        <v>0</v>
      </c>
      <c r="AE296" s="596">
        <v>1</v>
      </c>
      <c r="AF296" s="596">
        <v>0</v>
      </c>
      <c r="AG296" s="590">
        <v>0</v>
      </c>
      <c r="AH296" s="604">
        <v>0</v>
      </c>
      <c r="AI296" s="610">
        <v>0</v>
      </c>
      <c r="AJ296" s="610">
        <v>0</v>
      </c>
      <c r="AK296" s="629"/>
      <c r="AL296" s="530" t="s">
        <v>133</v>
      </c>
      <c r="AM296" s="448">
        <v>191599</v>
      </c>
      <c r="AN296" s="612">
        <v>16.25</v>
      </c>
      <c r="AO296" s="444" t="s">
        <v>47</v>
      </c>
      <c r="AP296" s="37">
        <v>0</v>
      </c>
      <c r="AQ296" s="795">
        <f t="shared" si="29"/>
        <v>-16.25</v>
      </c>
      <c r="AR296" s="835" t="e">
        <f t="shared" si="21"/>
        <v>#DIV/0!</v>
      </c>
      <c r="AS296" s="821" t="s">
        <v>47</v>
      </c>
      <c r="AT296" s="448"/>
      <c r="AU296" s="448"/>
      <c r="AV296" s="448"/>
      <c r="AW296" s="448"/>
      <c r="AX296" s="612"/>
      <c r="AY296" s="448"/>
      <c r="AZ296" s="612"/>
      <c r="BA296" s="256" t="s">
        <v>47</v>
      </c>
      <c r="BB296" s="41">
        <v>0</v>
      </c>
      <c r="BC296" s="448"/>
      <c r="BD296" s="448"/>
      <c r="BE296" s="448"/>
      <c r="BF296" s="448"/>
      <c r="BG296" s="448"/>
      <c r="BH296" s="221"/>
      <c r="BI296" s="221"/>
      <c r="BJ296" s="221"/>
      <c r="BK296" s="221"/>
      <c r="BL296" s="221"/>
      <c r="BM296" s="221"/>
      <c r="BN296" s="221"/>
      <c r="BO296" s="221"/>
      <c r="BP296" s="221"/>
      <c r="BQ296" s="221"/>
      <c r="BR296" s="221"/>
      <c r="BS296" s="221"/>
      <c r="BT296" s="221"/>
      <c r="BU296" s="221"/>
      <c r="BV296" s="221"/>
      <c r="BW296" s="221"/>
      <c r="BX296" s="221"/>
      <c r="BY296" s="221"/>
      <c r="BZ296" s="221"/>
      <c r="CA296" s="221"/>
      <c r="CB296" s="221"/>
      <c r="CC296" s="221"/>
      <c r="CD296" s="221"/>
      <c r="CE296" s="221"/>
      <c r="CF296" s="221"/>
      <c r="CG296" s="221"/>
      <c r="CH296" s="221"/>
      <c r="CI296" s="221"/>
      <c r="CJ296" s="221"/>
      <c r="CK296" s="221"/>
      <c r="CL296" s="221"/>
      <c r="CM296" s="221"/>
      <c r="CN296" s="221"/>
      <c r="CO296" s="221"/>
      <c r="CP296" s="221"/>
      <c r="CQ296" s="221"/>
      <c r="CR296" s="221"/>
      <c r="CS296" s="221"/>
      <c r="CT296" s="221"/>
      <c r="CU296" s="221"/>
      <c r="CV296" s="221"/>
      <c r="CW296" s="221"/>
      <c r="CX296" s="221"/>
      <c r="CY296" s="221"/>
      <c r="CZ296" s="221"/>
      <c r="DA296" s="221"/>
      <c r="DB296" s="221"/>
      <c r="DC296" s="221"/>
      <c r="DD296" s="221"/>
      <c r="DE296" s="221"/>
      <c r="DF296" s="221"/>
      <c r="DG296" s="221"/>
      <c r="DH296" s="221"/>
      <c r="DI296" s="221"/>
      <c r="DJ296" s="221"/>
      <c r="DK296" s="221"/>
      <c r="DL296" s="221"/>
      <c r="DM296" s="221"/>
      <c r="DN296" s="221"/>
      <c r="DO296" s="221"/>
      <c r="DP296" s="221"/>
      <c r="DQ296" s="221"/>
      <c r="DR296" s="221"/>
      <c r="DS296" s="221"/>
      <c r="DT296" s="221"/>
      <c r="DU296" s="221"/>
      <c r="DV296" s="221"/>
      <c r="DW296" s="221"/>
      <c r="DX296" s="221"/>
      <c r="DY296" s="221"/>
      <c r="DZ296" s="221"/>
      <c r="EA296" s="221"/>
      <c r="EB296" s="221"/>
      <c r="EC296" s="221"/>
      <c r="ED296" s="221"/>
      <c r="EE296" s="221"/>
      <c r="EF296" s="221"/>
      <c r="EG296" s="221"/>
      <c r="EH296" s="221"/>
      <c r="EI296" s="221"/>
      <c r="EJ296" s="221"/>
      <c r="EK296" s="221"/>
      <c r="EL296" s="221"/>
      <c r="EM296" s="221"/>
      <c r="EN296" s="221"/>
      <c r="EO296" s="221"/>
      <c r="EP296" s="221"/>
      <c r="EQ296" s="221"/>
      <c r="ER296" s="221"/>
      <c r="ES296" s="221"/>
      <c r="ET296" s="221"/>
      <c r="EU296" s="221"/>
      <c r="EV296" s="221"/>
      <c r="EW296" s="221"/>
      <c r="EX296" s="221"/>
      <c r="EY296" s="221"/>
      <c r="EZ296" s="221"/>
      <c r="FA296" s="221"/>
      <c r="FB296" s="221"/>
      <c r="FC296" s="221"/>
      <c r="FD296" s="221"/>
      <c r="FE296" s="221"/>
      <c r="FF296" s="221"/>
      <c r="FG296" s="221"/>
      <c r="FH296" s="221"/>
      <c r="FI296" s="221"/>
      <c r="FJ296" s="221"/>
      <c r="FK296" s="221"/>
      <c r="FL296" s="221"/>
      <c r="FM296" s="221"/>
      <c r="FN296" s="221"/>
      <c r="FO296" s="221"/>
      <c r="FP296" s="221"/>
      <c r="FQ296" s="221"/>
      <c r="FR296" s="221"/>
      <c r="FS296" s="221"/>
      <c r="FT296" s="221"/>
      <c r="FU296" s="221"/>
      <c r="FV296" s="221"/>
      <c r="FW296" s="221"/>
      <c r="FX296" s="221"/>
      <c r="FY296" s="221"/>
      <c r="FZ296" s="221"/>
      <c r="GA296" s="221"/>
      <c r="GB296" s="221"/>
      <c r="GC296" s="221"/>
      <c r="GD296" s="221"/>
      <c r="GE296" s="221"/>
      <c r="GF296" s="221"/>
      <c r="GG296" s="221"/>
      <c r="GH296" s="221"/>
      <c r="GI296" s="221"/>
      <c r="GJ296" s="221"/>
      <c r="GK296" s="221"/>
      <c r="GL296" s="221"/>
      <c r="GM296" s="221"/>
      <c r="GN296" s="221"/>
      <c r="GO296" s="221"/>
      <c r="GP296" s="221"/>
      <c r="GQ296" s="221"/>
      <c r="GR296" s="221"/>
      <c r="GS296" s="221"/>
      <c r="GT296" s="221"/>
      <c r="GU296" s="221"/>
      <c r="GV296" s="221"/>
      <c r="GW296" s="221"/>
      <c r="GX296" s="221"/>
      <c r="GY296" s="221"/>
      <c r="GZ296" s="221"/>
      <c r="HA296" s="221"/>
      <c r="HB296" s="221"/>
      <c r="HC296" s="221"/>
      <c r="HD296" s="221"/>
      <c r="HE296" s="221"/>
      <c r="HF296" s="221"/>
      <c r="HG296" s="221"/>
      <c r="HH296" s="221"/>
      <c r="HI296" s="221"/>
      <c r="HJ296" s="221"/>
      <c r="HK296" s="221"/>
      <c r="HL296" s="221"/>
      <c r="HM296" s="221"/>
      <c r="HN296" s="221"/>
      <c r="HO296" s="221"/>
      <c r="HP296" s="221"/>
      <c r="HQ296" s="221"/>
      <c r="HR296" s="221"/>
      <c r="HS296" s="221"/>
      <c r="HT296" s="221"/>
      <c r="HU296" s="221"/>
      <c r="HV296" s="221"/>
      <c r="HW296" s="221"/>
      <c r="HX296" s="221"/>
      <c r="HY296" s="221"/>
      <c r="HZ296" s="221"/>
      <c r="IA296" s="221"/>
      <c r="IB296" s="221"/>
      <c r="IC296" s="221"/>
      <c r="ID296" s="221"/>
      <c r="IE296" s="221"/>
      <c r="IF296" s="221"/>
      <c r="IG296" s="221"/>
      <c r="IH296" s="221"/>
      <c r="II296" s="221"/>
      <c r="IJ296" s="221"/>
      <c r="IK296" s="221"/>
      <c r="IL296" s="221"/>
      <c r="IM296" s="221"/>
      <c r="IN296" s="221"/>
      <c r="IO296" s="221"/>
      <c r="IP296" s="221"/>
      <c r="IQ296" s="221"/>
      <c r="IR296" s="221"/>
      <c r="IS296" s="221"/>
      <c r="IT296" s="221"/>
      <c r="IU296" s="221"/>
      <c r="IV296" s="221"/>
      <c r="IW296" s="221"/>
      <c r="IX296" s="221"/>
      <c r="IY296" s="221"/>
      <c r="IZ296" s="221"/>
      <c r="JA296" s="221"/>
      <c r="JB296" s="221"/>
      <c r="JC296" s="221"/>
      <c r="JD296" s="221"/>
      <c r="JE296" s="221"/>
      <c r="JF296" s="221"/>
      <c r="JG296" s="221"/>
      <c r="JH296" s="221"/>
      <c r="JI296" s="221"/>
      <c r="JJ296" s="221"/>
      <c r="JK296" s="221"/>
      <c r="JL296" s="221"/>
      <c r="JM296" s="221"/>
      <c r="JN296" s="221"/>
      <c r="JO296" s="221"/>
      <c r="JP296" s="221"/>
      <c r="JQ296" s="221"/>
    </row>
    <row r="297" spans="1:277" ht="20" customHeight="1" outlineLevel="1">
      <c r="A297" s="456">
        <v>190645</v>
      </c>
      <c r="B297" s="439">
        <v>42181</v>
      </c>
      <c r="C297" s="514" t="s">
        <v>1675</v>
      </c>
      <c r="D297" s="514" t="s">
        <v>1259</v>
      </c>
      <c r="E297" s="539" t="s">
        <v>60</v>
      </c>
      <c r="F297" s="531" t="s">
        <v>47</v>
      </c>
      <c r="G297" s="448" t="s">
        <v>2151</v>
      </c>
      <c r="H297" s="439">
        <v>42181</v>
      </c>
      <c r="I297" s="443">
        <v>192612</v>
      </c>
      <c r="J297" s="837" t="s">
        <v>62</v>
      </c>
      <c r="K297" s="448" t="s">
        <v>50</v>
      </c>
      <c r="L297" s="448"/>
      <c r="M297" s="439">
        <v>42181</v>
      </c>
      <c r="N297" s="448" t="s">
        <v>350</v>
      </c>
      <c r="O297" s="448" t="s">
        <v>2152</v>
      </c>
      <c r="P297" s="516"/>
      <c r="Q297" s="629"/>
      <c r="R297" s="589">
        <v>0</v>
      </c>
      <c r="S297" s="590">
        <v>0</v>
      </c>
      <c r="T297" s="604">
        <v>0</v>
      </c>
      <c r="U297" s="596">
        <v>0</v>
      </c>
      <c r="V297" s="590">
        <v>0</v>
      </c>
      <c r="W297" s="604">
        <v>0</v>
      </c>
      <c r="X297" s="596">
        <v>0</v>
      </c>
      <c r="Y297" s="590">
        <v>0</v>
      </c>
      <c r="Z297" s="604">
        <v>0</v>
      </c>
      <c r="AA297" s="596">
        <v>0</v>
      </c>
      <c r="AB297" s="590">
        <v>0</v>
      </c>
      <c r="AC297" s="604">
        <v>0</v>
      </c>
      <c r="AD297" s="596">
        <v>5</v>
      </c>
      <c r="AE297" s="596">
        <v>0</v>
      </c>
      <c r="AF297" s="596">
        <v>0</v>
      </c>
      <c r="AG297" s="590">
        <v>0</v>
      </c>
      <c r="AH297" s="604">
        <v>0</v>
      </c>
      <c r="AI297" s="610">
        <v>0</v>
      </c>
      <c r="AJ297" s="610">
        <v>0</v>
      </c>
      <c r="AK297" s="629"/>
      <c r="AL297" s="530" t="s">
        <v>133</v>
      </c>
      <c r="AM297" s="448">
        <v>191600</v>
      </c>
      <c r="AN297" s="612">
        <v>59.75</v>
      </c>
      <c r="AO297" s="444" t="s">
        <v>2154</v>
      </c>
      <c r="AP297" s="37">
        <v>223.5</v>
      </c>
      <c r="AQ297" s="795">
        <f t="shared" si="29"/>
        <v>163.75</v>
      </c>
      <c r="AR297" s="835">
        <f t="shared" si="21"/>
        <v>0.73266219239373598</v>
      </c>
      <c r="AS297" s="821"/>
      <c r="AT297" s="448" t="s">
        <v>1254</v>
      </c>
      <c r="AU297" s="448">
        <v>1</v>
      </c>
      <c r="AV297" s="448"/>
      <c r="AW297" s="448"/>
      <c r="AX297" s="612">
        <v>8.5</v>
      </c>
      <c r="AY297" s="448"/>
      <c r="AZ297" s="612">
        <v>8.25</v>
      </c>
      <c r="BA297" s="256" t="s">
        <v>47</v>
      </c>
      <c r="BB297" s="41">
        <v>0</v>
      </c>
      <c r="BC297" s="448"/>
      <c r="BD297" s="448"/>
      <c r="BE297" s="448"/>
      <c r="BF297" s="448"/>
      <c r="BG297" s="448"/>
      <c r="BH297" s="221"/>
      <c r="BI297" s="221"/>
      <c r="BJ297" s="221"/>
      <c r="BK297" s="221"/>
      <c r="BL297" s="221"/>
      <c r="BM297" s="221"/>
      <c r="BN297" s="221"/>
      <c r="BO297" s="221"/>
      <c r="BP297" s="221"/>
      <c r="BQ297" s="221"/>
      <c r="BR297" s="221"/>
      <c r="BS297" s="221"/>
      <c r="BT297" s="221"/>
      <c r="BU297" s="221"/>
      <c r="BV297" s="221"/>
      <c r="BW297" s="221"/>
      <c r="BX297" s="221"/>
      <c r="BY297" s="221"/>
      <c r="BZ297" s="221"/>
      <c r="CA297" s="221"/>
      <c r="CB297" s="221"/>
      <c r="CC297" s="221"/>
      <c r="CD297" s="221"/>
      <c r="CE297" s="221"/>
      <c r="CF297" s="221"/>
      <c r="CG297" s="221"/>
      <c r="CH297" s="221"/>
      <c r="CI297" s="221"/>
      <c r="CJ297" s="221"/>
      <c r="CK297" s="221"/>
      <c r="CL297" s="221"/>
      <c r="CM297" s="221"/>
      <c r="CN297" s="221"/>
      <c r="CO297" s="221"/>
      <c r="CP297" s="221"/>
      <c r="CQ297" s="221"/>
      <c r="CR297" s="221"/>
      <c r="CS297" s="221"/>
      <c r="CT297" s="221"/>
      <c r="CU297" s="221"/>
      <c r="CV297" s="221"/>
      <c r="CW297" s="221"/>
      <c r="CX297" s="221"/>
      <c r="CY297" s="221"/>
      <c r="CZ297" s="221"/>
      <c r="DA297" s="221"/>
      <c r="DB297" s="221"/>
      <c r="DC297" s="221"/>
      <c r="DD297" s="221"/>
      <c r="DE297" s="221"/>
      <c r="DF297" s="221"/>
      <c r="DG297" s="221"/>
      <c r="DH297" s="221"/>
      <c r="DI297" s="221"/>
      <c r="DJ297" s="221"/>
      <c r="DK297" s="221"/>
      <c r="DL297" s="221"/>
      <c r="DM297" s="221"/>
      <c r="DN297" s="221"/>
      <c r="DO297" s="221"/>
      <c r="DP297" s="221"/>
      <c r="DQ297" s="221"/>
      <c r="DR297" s="221"/>
      <c r="DS297" s="221"/>
      <c r="DT297" s="221"/>
      <c r="DU297" s="221"/>
      <c r="DV297" s="221"/>
      <c r="DW297" s="221"/>
      <c r="DX297" s="221"/>
      <c r="DY297" s="221"/>
      <c r="DZ297" s="221"/>
      <c r="EA297" s="221"/>
      <c r="EB297" s="221"/>
      <c r="EC297" s="221"/>
      <c r="ED297" s="221"/>
      <c r="EE297" s="221"/>
      <c r="EF297" s="221"/>
      <c r="EG297" s="221"/>
      <c r="EH297" s="221"/>
      <c r="EI297" s="221"/>
      <c r="EJ297" s="221"/>
      <c r="EK297" s="221"/>
      <c r="EL297" s="221"/>
      <c r="EM297" s="221"/>
      <c r="EN297" s="221"/>
      <c r="EO297" s="221"/>
      <c r="EP297" s="221"/>
      <c r="EQ297" s="221"/>
      <c r="ER297" s="221"/>
      <c r="ES297" s="221"/>
      <c r="ET297" s="221"/>
      <c r="EU297" s="221"/>
      <c r="EV297" s="221"/>
      <c r="EW297" s="221"/>
      <c r="EX297" s="221"/>
      <c r="EY297" s="221"/>
      <c r="EZ297" s="221"/>
      <c r="FA297" s="221"/>
      <c r="FB297" s="221"/>
      <c r="FC297" s="221"/>
      <c r="FD297" s="221"/>
      <c r="FE297" s="221"/>
      <c r="FF297" s="221"/>
      <c r="FG297" s="221"/>
      <c r="FH297" s="221"/>
      <c r="FI297" s="221"/>
      <c r="FJ297" s="221"/>
      <c r="FK297" s="221"/>
      <c r="FL297" s="221"/>
      <c r="FM297" s="221"/>
      <c r="FN297" s="221"/>
      <c r="FO297" s="221"/>
      <c r="FP297" s="221"/>
      <c r="FQ297" s="221"/>
      <c r="FR297" s="221"/>
      <c r="FS297" s="221"/>
      <c r="FT297" s="221"/>
      <c r="FU297" s="221"/>
      <c r="FV297" s="221"/>
      <c r="FW297" s="221"/>
      <c r="FX297" s="221"/>
      <c r="FY297" s="221"/>
      <c r="FZ297" s="221"/>
      <c r="GA297" s="221"/>
      <c r="GB297" s="221"/>
      <c r="GC297" s="221"/>
      <c r="GD297" s="221"/>
      <c r="GE297" s="221"/>
      <c r="GF297" s="221"/>
      <c r="GG297" s="221"/>
      <c r="GH297" s="221"/>
      <c r="GI297" s="221"/>
      <c r="GJ297" s="221"/>
      <c r="GK297" s="221"/>
      <c r="GL297" s="221"/>
      <c r="GM297" s="221"/>
      <c r="GN297" s="221"/>
      <c r="GO297" s="221"/>
      <c r="GP297" s="221"/>
      <c r="GQ297" s="221"/>
      <c r="GR297" s="221"/>
      <c r="GS297" s="221"/>
      <c r="GT297" s="221"/>
      <c r="GU297" s="221"/>
      <c r="GV297" s="221"/>
      <c r="GW297" s="221"/>
      <c r="GX297" s="221"/>
      <c r="GY297" s="221"/>
      <c r="GZ297" s="221"/>
      <c r="HA297" s="221"/>
      <c r="HB297" s="221"/>
      <c r="HC297" s="221"/>
      <c r="HD297" s="221"/>
      <c r="HE297" s="221"/>
      <c r="HF297" s="221"/>
      <c r="HG297" s="221"/>
      <c r="HH297" s="221"/>
      <c r="HI297" s="221"/>
      <c r="HJ297" s="221"/>
      <c r="HK297" s="221"/>
      <c r="HL297" s="221"/>
      <c r="HM297" s="221"/>
      <c r="HN297" s="221"/>
      <c r="HO297" s="221"/>
      <c r="HP297" s="221"/>
      <c r="HQ297" s="221"/>
      <c r="HR297" s="221"/>
      <c r="HS297" s="221"/>
      <c r="HT297" s="221"/>
      <c r="HU297" s="221"/>
      <c r="HV297" s="221"/>
      <c r="HW297" s="221"/>
      <c r="HX297" s="221"/>
      <c r="HY297" s="221"/>
      <c r="HZ297" s="221"/>
      <c r="IA297" s="221"/>
      <c r="IB297" s="221"/>
      <c r="IC297" s="221"/>
      <c r="ID297" s="221"/>
      <c r="IE297" s="221"/>
      <c r="IF297" s="221"/>
      <c r="IG297" s="221"/>
      <c r="IH297" s="221"/>
      <c r="II297" s="221"/>
      <c r="IJ297" s="221"/>
      <c r="IK297" s="221"/>
      <c r="IL297" s="221"/>
      <c r="IM297" s="221"/>
      <c r="IN297" s="221"/>
      <c r="IO297" s="221"/>
      <c r="IP297" s="221"/>
      <c r="IQ297" s="221"/>
      <c r="IR297" s="221"/>
      <c r="IS297" s="221"/>
      <c r="IT297" s="221"/>
      <c r="IU297" s="221"/>
      <c r="IV297" s="221"/>
      <c r="IW297" s="221"/>
      <c r="IX297" s="221"/>
      <c r="IY297" s="221"/>
      <c r="IZ297" s="221"/>
      <c r="JA297" s="221"/>
      <c r="JB297" s="221"/>
      <c r="JC297" s="221"/>
      <c r="JD297" s="221"/>
      <c r="JE297" s="221"/>
      <c r="JF297" s="221"/>
      <c r="JG297" s="221"/>
      <c r="JH297" s="221"/>
      <c r="JI297" s="221"/>
      <c r="JJ297" s="221"/>
      <c r="JK297" s="221"/>
      <c r="JL297" s="221"/>
      <c r="JM297" s="221"/>
      <c r="JN297" s="221"/>
      <c r="JO297" s="221"/>
      <c r="JP297" s="221"/>
      <c r="JQ297" s="221"/>
    </row>
    <row r="298" spans="1:277" ht="20" customHeight="1" outlineLevel="1" thickBot="1">
      <c r="A298" s="482">
        <v>190646</v>
      </c>
      <c r="B298" s="439">
        <v>42182</v>
      </c>
      <c r="C298" s="514" t="s">
        <v>72</v>
      </c>
      <c r="D298" s="514" t="s">
        <v>1259</v>
      </c>
      <c r="E298" s="539" t="s">
        <v>204</v>
      </c>
      <c r="F298" s="531" t="s">
        <v>47</v>
      </c>
      <c r="G298" s="448" t="s">
        <v>2149</v>
      </c>
      <c r="H298" s="448"/>
      <c r="I298" s="443">
        <v>192813</v>
      </c>
      <c r="J298" s="837" t="s">
        <v>1975</v>
      </c>
      <c r="K298" s="448" t="s">
        <v>50</v>
      </c>
      <c r="L298" s="448"/>
      <c r="M298" s="448"/>
      <c r="N298" s="448" t="s">
        <v>1783</v>
      </c>
      <c r="O298" s="448" t="s">
        <v>1275</v>
      </c>
      <c r="P298" s="516" t="s">
        <v>2150</v>
      </c>
      <c r="Q298" s="629"/>
      <c r="R298" s="589">
        <v>4</v>
      </c>
      <c r="S298" s="590">
        <v>0</v>
      </c>
      <c r="T298" s="604">
        <v>0</v>
      </c>
      <c r="U298" s="596">
        <v>0</v>
      </c>
      <c r="V298" s="590">
        <v>0</v>
      </c>
      <c r="W298" s="604">
        <v>0</v>
      </c>
      <c r="X298" s="596">
        <v>0</v>
      </c>
      <c r="Y298" s="590">
        <v>0</v>
      </c>
      <c r="Z298" s="604">
        <v>0</v>
      </c>
      <c r="AA298" s="596">
        <v>0</v>
      </c>
      <c r="AB298" s="590">
        <v>0</v>
      </c>
      <c r="AC298" s="604">
        <v>0</v>
      </c>
      <c r="AD298" s="596">
        <v>4</v>
      </c>
      <c r="AE298" s="596">
        <v>0</v>
      </c>
      <c r="AF298" s="596">
        <v>1</v>
      </c>
      <c r="AG298" s="590">
        <v>0</v>
      </c>
      <c r="AH298" s="604">
        <v>0</v>
      </c>
      <c r="AI298" s="610">
        <v>0</v>
      </c>
      <c r="AJ298" s="610">
        <v>0</v>
      </c>
      <c r="AK298" s="629"/>
      <c r="AL298" s="530" t="s">
        <v>1268</v>
      </c>
      <c r="AM298" s="448"/>
      <c r="AN298" s="612">
        <v>75</v>
      </c>
      <c r="AO298" s="440" t="s">
        <v>2231</v>
      </c>
      <c r="AP298" s="37">
        <v>149.19999999999999</v>
      </c>
      <c r="AQ298" s="795">
        <f t="shared" si="29"/>
        <v>74.199999999999989</v>
      </c>
      <c r="AR298" s="835">
        <f t="shared" si="21"/>
        <v>0.49731903485254686</v>
      </c>
      <c r="AS298" s="821"/>
      <c r="AT298" s="514" t="s">
        <v>1254</v>
      </c>
      <c r="AU298" s="448">
        <v>1</v>
      </c>
      <c r="AV298" s="448"/>
      <c r="AW298" s="448"/>
      <c r="AX298" s="612">
        <v>125</v>
      </c>
      <c r="AY298" s="448"/>
      <c r="AZ298" s="612"/>
      <c r="BA298" s="256" t="s">
        <v>47</v>
      </c>
      <c r="BB298" s="41">
        <v>0</v>
      </c>
      <c r="BC298" s="448"/>
      <c r="BD298" s="448"/>
      <c r="BE298" s="448"/>
      <c r="BF298" s="448"/>
      <c r="BG298" s="448"/>
      <c r="BH298" s="221"/>
      <c r="BI298" s="221"/>
      <c r="BJ298" s="221"/>
      <c r="BK298" s="221"/>
      <c r="BL298" s="221"/>
      <c r="BM298" s="221"/>
      <c r="BN298" s="221"/>
      <c r="BO298" s="221"/>
      <c r="BP298" s="221"/>
      <c r="BQ298" s="221"/>
      <c r="BR298" s="221"/>
      <c r="BS298" s="221"/>
      <c r="BT298" s="221"/>
      <c r="BU298" s="221"/>
      <c r="BV298" s="221"/>
      <c r="BW298" s="221"/>
      <c r="BX298" s="221"/>
      <c r="BY298" s="221"/>
      <c r="BZ298" s="221"/>
      <c r="CA298" s="221"/>
      <c r="CB298" s="221"/>
      <c r="CC298" s="221"/>
      <c r="CD298" s="221"/>
      <c r="CE298" s="221"/>
      <c r="CF298" s="221"/>
      <c r="CG298" s="221"/>
      <c r="CH298" s="221"/>
      <c r="CI298" s="221"/>
      <c r="CJ298" s="221"/>
      <c r="CK298" s="221"/>
      <c r="CL298" s="221"/>
      <c r="CM298" s="221"/>
      <c r="CN298" s="221"/>
      <c r="CO298" s="221"/>
      <c r="CP298" s="221"/>
      <c r="CQ298" s="221"/>
      <c r="CR298" s="221"/>
      <c r="CS298" s="221"/>
      <c r="CT298" s="221"/>
      <c r="CU298" s="221"/>
      <c r="CV298" s="221"/>
      <c r="CW298" s="221"/>
      <c r="CX298" s="221"/>
      <c r="CY298" s="221"/>
      <c r="CZ298" s="221"/>
      <c r="DA298" s="221"/>
      <c r="DB298" s="221"/>
      <c r="DC298" s="221"/>
      <c r="DD298" s="221"/>
      <c r="DE298" s="221"/>
      <c r="DF298" s="221"/>
      <c r="DG298" s="221"/>
      <c r="DH298" s="221"/>
      <c r="DI298" s="221"/>
      <c r="DJ298" s="221"/>
      <c r="DK298" s="221"/>
      <c r="DL298" s="221"/>
      <c r="DM298" s="221"/>
      <c r="DN298" s="221"/>
      <c r="DO298" s="221"/>
      <c r="DP298" s="221"/>
      <c r="DQ298" s="221"/>
      <c r="DR298" s="221"/>
      <c r="DS298" s="221"/>
      <c r="DT298" s="221"/>
      <c r="DU298" s="221"/>
      <c r="DV298" s="221"/>
      <c r="DW298" s="221"/>
      <c r="DX298" s="221"/>
      <c r="DY298" s="221"/>
      <c r="DZ298" s="221"/>
      <c r="EA298" s="221"/>
      <c r="EB298" s="221"/>
      <c r="EC298" s="221"/>
      <c r="ED298" s="221"/>
      <c r="EE298" s="221"/>
      <c r="EF298" s="221"/>
      <c r="EG298" s="221"/>
      <c r="EH298" s="221"/>
      <c r="EI298" s="221"/>
      <c r="EJ298" s="221"/>
      <c r="EK298" s="221"/>
      <c r="EL298" s="221"/>
      <c r="EM298" s="221"/>
      <c r="EN298" s="221"/>
      <c r="EO298" s="221"/>
      <c r="EP298" s="221"/>
      <c r="EQ298" s="221"/>
      <c r="ER298" s="221"/>
      <c r="ES298" s="221"/>
      <c r="ET298" s="221"/>
      <c r="EU298" s="221"/>
      <c r="EV298" s="221"/>
      <c r="EW298" s="221"/>
      <c r="EX298" s="221"/>
      <c r="EY298" s="221"/>
      <c r="EZ298" s="221"/>
      <c r="FA298" s="221"/>
      <c r="FB298" s="221"/>
      <c r="FC298" s="221"/>
      <c r="FD298" s="221"/>
      <c r="FE298" s="221"/>
      <c r="FF298" s="221"/>
      <c r="FG298" s="221"/>
      <c r="FH298" s="221"/>
      <c r="FI298" s="221"/>
      <c r="FJ298" s="221"/>
      <c r="FK298" s="221"/>
      <c r="FL298" s="221"/>
      <c r="FM298" s="221"/>
      <c r="FN298" s="221"/>
      <c r="FO298" s="221"/>
      <c r="FP298" s="221"/>
      <c r="FQ298" s="221"/>
      <c r="FR298" s="221"/>
      <c r="FS298" s="221"/>
      <c r="FT298" s="221"/>
      <c r="FU298" s="221"/>
      <c r="FV298" s="221"/>
      <c r="FW298" s="221"/>
      <c r="FX298" s="221"/>
      <c r="FY298" s="221"/>
      <c r="FZ298" s="221"/>
      <c r="GA298" s="221"/>
      <c r="GB298" s="221"/>
      <c r="GC298" s="221"/>
      <c r="GD298" s="221"/>
      <c r="GE298" s="221"/>
      <c r="GF298" s="221"/>
      <c r="GG298" s="221"/>
      <c r="GH298" s="221"/>
      <c r="GI298" s="221"/>
      <c r="GJ298" s="221"/>
      <c r="GK298" s="221"/>
      <c r="GL298" s="221"/>
      <c r="GM298" s="221"/>
      <c r="GN298" s="221"/>
      <c r="GO298" s="221"/>
      <c r="GP298" s="221"/>
      <c r="GQ298" s="221"/>
      <c r="GR298" s="221"/>
      <c r="GS298" s="221"/>
      <c r="GT298" s="221"/>
      <c r="GU298" s="221"/>
      <c r="GV298" s="221"/>
      <c r="GW298" s="221"/>
      <c r="GX298" s="221"/>
      <c r="GY298" s="221"/>
      <c r="GZ298" s="221"/>
      <c r="HA298" s="221"/>
      <c r="HB298" s="221"/>
      <c r="HC298" s="221"/>
      <c r="HD298" s="221"/>
      <c r="HE298" s="221"/>
      <c r="HF298" s="221"/>
      <c r="HG298" s="221"/>
      <c r="HH298" s="221"/>
      <c r="HI298" s="221"/>
      <c r="HJ298" s="221"/>
      <c r="HK298" s="221"/>
      <c r="HL298" s="221"/>
      <c r="HM298" s="221"/>
      <c r="HN298" s="221"/>
      <c r="HO298" s="221"/>
      <c r="HP298" s="221"/>
      <c r="HQ298" s="221"/>
      <c r="HR298" s="221"/>
      <c r="HS298" s="221"/>
      <c r="HT298" s="221"/>
      <c r="HU298" s="221"/>
      <c r="HV298" s="221"/>
      <c r="HW298" s="221"/>
      <c r="HX298" s="221"/>
      <c r="HY298" s="221"/>
      <c r="HZ298" s="221"/>
      <c r="IA298" s="221"/>
      <c r="IB298" s="221"/>
      <c r="IC298" s="221"/>
      <c r="ID298" s="221"/>
      <c r="IE298" s="221"/>
      <c r="IF298" s="221"/>
      <c r="IG298" s="221"/>
      <c r="IH298" s="221"/>
      <c r="II298" s="221"/>
      <c r="IJ298" s="221"/>
      <c r="IK298" s="221"/>
      <c r="IL298" s="221"/>
      <c r="IM298" s="221"/>
      <c r="IN298" s="221"/>
      <c r="IO298" s="221"/>
      <c r="IP298" s="221"/>
      <c r="IQ298" s="221"/>
      <c r="IR298" s="221"/>
      <c r="IS298" s="221"/>
      <c r="IT298" s="221"/>
      <c r="IU298" s="221"/>
      <c r="IV298" s="221"/>
      <c r="IW298" s="221"/>
      <c r="IX298" s="221"/>
      <c r="IY298" s="221"/>
      <c r="IZ298" s="221"/>
      <c r="JA298" s="221"/>
      <c r="JB298" s="221"/>
      <c r="JC298" s="221"/>
      <c r="JD298" s="221"/>
      <c r="JE298" s="221"/>
      <c r="JF298" s="221"/>
      <c r="JG298" s="221"/>
      <c r="JH298" s="221"/>
      <c r="JI298" s="221"/>
      <c r="JJ298" s="221"/>
      <c r="JK298" s="221"/>
      <c r="JL298" s="221"/>
      <c r="JM298" s="221"/>
      <c r="JN298" s="221"/>
      <c r="JO298" s="221"/>
      <c r="JP298" s="221"/>
      <c r="JQ298" s="221"/>
    </row>
    <row r="299" spans="1:277" s="654" customFormat="1" ht="19" customHeight="1" thickBot="1">
      <c r="A299" s="630" t="s">
        <v>1872</v>
      </c>
      <c r="B299" s="631" t="s">
        <v>1844</v>
      </c>
      <c r="C299" s="632">
        <f>AP299-AN299-(AX299-AZ299)</f>
        <v>3155.3749316884132</v>
      </c>
      <c r="D299" s="633" t="s">
        <v>2025</v>
      </c>
      <c r="E299" s="634">
        <f>R299+U299+Y299+AA299+AD299+AE299+AF299+AJ299</f>
        <v>150</v>
      </c>
      <c r="F299" s="635"/>
      <c r="G299" s="636"/>
      <c r="H299" s="636"/>
      <c r="I299" s="637"/>
      <c r="J299" s="638"/>
      <c r="K299" s="633"/>
      <c r="L299" s="639"/>
      <c r="M299" s="640"/>
      <c r="N299" s="641"/>
      <c r="O299" s="641"/>
      <c r="P299" s="642"/>
      <c r="Q299" s="643"/>
      <c r="R299" s="678">
        <f t="shared" ref="R299:AK299" si="30">SUM(R252:R298)</f>
        <v>37</v>
      </c>
      <c r="S299" s="678">
        <f t="shared" si="30"/>
        <v>5</v>
      </c>
      <c r="T299" s="678">
        <f t="shared" si="30"/>
        <v>31</v>
      </c>
      <c r="U299" s="673">
        <f t="shared" si="30"/>
        <v>12</v>
      </c>
      <c r="V299" s="669">
        <f t="shared" si="30"/>
        <v>1</v>
      </c>
      <c r="W299" s="669">
        <f t="shared" si="30"/>
        <v>6</v>
      </c>
      <c r="X299" s="674">
        <f t="shared" si="30"/>
        <v>16</v>
      </c>
      <c r="Y299" s="670">
        <f t="shared" si="30"/>
        <v>1</v>
      </c>
      <c r="Z299" s="670">
        <f t="shared" si="30"/>
        <v>0</v>
      </c>
      <c r="AA299" s="675">
        <f t="shared" si="30"/>
        <v>19</v>
      </c>
      <c r="AB299" s="671">
        <f t="shared" si="30"/>
        <v>7</v>
      </c>
      <c r="AC299" s="671">
        <f t="shared" si="30"/>
        <v>20</v>
      </c>
      <c r="AD299" s="676">
        <f t="shared" si="30"/>
        <v>33</v>
      </c>
      <c r="AE299" s="676">
        <f t="shared" si="30"/>
        <v>28</v>
      </c>
      <c r="AF299" s="676">
        <f t="shared" si="30"/>
        <v>19</v>
      </c>
      <c r="AG299" s="672">
        <f t="shared" si="30"/>
        <v>14</v>
      </c>
      <c r="AH299" s="672">
        <f t="shared" si="30"/>
        <v>158</v>
      </c>
      <c r="AI299" s="677">
        <f t="shared" si="30"/>
        <v>0</v>
      </c>
      <c r="AJ299" s="677">
        <f t="shared" si="30"/>
        <v>1</v>
      </c>
      <c r="AK299" s="678">
        <f t="shared" si="30"/>
        <v>0</v>
      </c>
      <c r="AL299" s="644"/>
      <c r="AM299" s="645"/>
      <c r="AN299" s="646">
        <f>SUM(AN252:AN298)</f>
        <v>3602.5050683115883</v>
      </c>
      <c r="AO299" s="645"/>
      <c r="AP299" s="648">
        <f>SUM(AP252:AP298)</f>
        <v>6860.7300000000014</v>
      </c>
      <c r="AQ299" s="810">
        <f>SUM(AQ252:AQ298)</f>
        <v>3258.2249316884113</v>
      </c>
      <c r="AR299" s="834"/>
      <c r="AS299" s="823"/>
      <c r="AT299" s="645" t="s">
        <v>1845</v>
      </c>
      <c r="AU299" s="647"/>
      <c r="AV299" s="648">
        <f>AX299-AZ299</f>
        <v>102.85000000000002</v>
      </c>
      <c r="AW299" s="649"/>
      <c r="AX299" s="646">
        <f>SUM(AX252:AX298)</f>
        <v>514.5</v>
      </c>
      <c r="AY299" s="647"/>
      <c r="AZ299" s="646">
        <f>SUM(AZ252:AZ298)</f>
        <v>411.65</v>
      </c>
      <c r="BA299" s="650" t="s">
        <v>1867</v>
      </c>
      <c r="BB299" s="651">
        <f>SUM(BB252:BB298)</f>
        <v>89.772999999999996</v>
      </c>
      <c r="BC299" s="646"/>
      <c r="BD299" s="646"/>
      <c r="BE299" s="646"/>
      <c r="BF299" s="646"/>
      <c r="BG299" s="652"/>
      <c r="BH299" s="653"/>
      <c r="BI299" s="653"/>
      <c r="BJ299" s="653"/>
      <c r="BK299" s="653"/>
      <c r="BL299" s="653"/>
      <c r="BM299" s="653"/>
      <c r="BN299" s="653"/>
      <c r="BO299" s="653"/>
      <c r="BP299" s="653"/>
      <c r="BQ299" s="653"/>
      <c r="BR299" s="653"/>
      <c r="BS299" s="653"/>
      <c r="BT299" s="653"/>
      <c r="BU299" s="653"/>
      <c r="BV299" s="653"/>
      <c r="BW299" s="653"/>
      <c r="BX299" s="653"/>
      <c r="BY299" s="653"/>
      <c r="BZ299" s="653"/>
      <c r="CA299" s="653"/>
      <c r="CB299" s="653"/>
      <c r="CC299" s="653"/>
      <c r="CD299" s="653"/>
      <c r="CE299" s="653"/>
      <c r="CF299" s="653"/>
      <c r="CG299" s="653"/>
      <c r="CH299" s="653"/>
      <c r="CI299" s="653"/>
      <c r="CJ299" s="653"/>
      <c r="CK299" s="653"/>
      <c r="CL299" s="653"/>
      <c r="CM299" s="653"/>
      <c r="CN299" s="653"/>
      <c r="CO299" s="653"/>
      <c r="CP299" s="653"/>
      <c r="CQ299" s="653"/>
      <c r="CR299" s="653"/>
      <c r="CS299" s="653"/>
      <c r="CT299" s="653"/>
      <c r="CU299" s="653"/>
      <c r="CV299" s="653"/>
      <c r="CW299" s="653"/>
      <c r="CX299" s="653"/>
      <c r="CY299" s="653"/>
      <c r="CZ299" s="653"/>
      <c r="DA299" s="653"/>
      <c r="DB299" s="653"/>
      <c r="DC299" s="653"/>
      <c r="DD299" s="653"/>
      <c r="DE299" s="653"/>
      <c r="DF299" s="653"/>
      <c r="DG299" s="653"/>
      <c r="DH299" s="653"/>
      <c r="DI299" s="653"/>
      <c r="DJ299" s="653"/>
      <c r="DK299" s="653"/>
      <c r="DL299" s="653"/>
      <c r="DM299" s="653"/>
      <c r="DN299" s="653"/>
      <c r="DO299" s="653"/>
      <c r="DP299" s="653"/>
      <c r="DQ299" s="653"/>
      <c r="DR299" s="653"/>
      <c r="DS299" s="653"/>
      <c r="DT299" s="653"/>
      <c r="DU299" s="653"/>
      <c r="DV299" s="653"/>
      <c r="DW299" s="653"/>
      <c r="DX299" s="653"/>
      <c r="DY299" s="653"/>
      <c r="DZ299" s="653"/>
      <c r="EA299" s="653"/>
      <c r="EB299" s="653"/>
      <c r="EC299" s="653"/>
      <c r="ED299" s="653"/>
      <c r="EE299" s="653"/>
      <c r="EF299" s="653"/>
      <c r="EG299" s="653"/>
      <c r="EH299" s="653"/>
      <c r="EI299" s="653"/>
      <c r="EJ299" s="653"/>
      <c r="EK299" s="653"/>
      <c r="EL299" s="653"/>
      <c r="EM299" s="653"/>
      <c r="EN299" s="653"/>
      <c r="EO299" s="653"/>
      <c r="EP299" s="653"/>
      <c r="EQ299" s="653"/>
      <c r="ER299" s="653"/>
      <c r="ES299" s="653"/>
      <c r="ET299" s="653"/>
      <c r="EU299" s="653"/>
      <c r="EV299" s="653"/>
      <c r="EW299" s="653"/>
      <c r="EX299" s="653"/>
      <c r="EY299" s="653"/>
      <c r="EZ299" s="653"/>
      <c r="FA299" s="653"/>
      <c r="FB299" s="653"/>
      <c r="FC299" s="653"/>
      <c r="FD299" s="653"/>
      <c r="FE299" s="653"/>
      <c r="FF299" s="653"/>
      <c r="FG299" s="653"/>
      <c r="FH299" s="653"/>
      <c r="FI299" s="653"/>
      <c r="FJ299" s="653"/>
      <c r="FK299" s="653"/>
      <c r="FL299" s="653"/>
      <c r="FM299" s="653"/>
      <c r="FN299" s="653"/>
      <c r="FO299" s="653"/>
      <c r="FP299" s="653"/>
      <c r="FQ299" s="653"/>
      <c r="FR299" s="653"/>
      <c r="FS299" s="653"/>
      <c r="FT299" s="653"/>
      <c r="FU299" s="653"/>
      <c r="FV299" s="653"/>
      <c r="FW299" s="653"/>
      <c r="FX299" s="653"/>
      <c r="FY299" s="653"/>
      <c r="FZ299" s="653"/>
      <c r="GA299" s="653"/>
      <c r="GB299" s="653"/>
      <c r="GC299" s="653"/>
      <c r="GD299" s="653"/>
      <c r="GE299" s="653"/>
      <c r="GF299" s="653"/>
      <c r="GG299" s="653"/>
      <c r="GH299" s="653"/>
      <c r="GI299" s="653"/>
      <c r="GJ299" s="653"/>
      <c r="GK299" s="653"/>
      <c r="GL299" s="653"/>
      <c r="GM299" s="653"/>
      <c r="GN299" s="653"/>
      <c r="GO299" s="653"/>
      <c r="GP299" s="653"/>
      <c r="GQ299" s="653"/>
      <c r="GR299" s="653"/>
      <c r="GS299" s="653"/>
      <c r="GT299" s="653"/>
      <c r="GU299" s="653"/>
      <c r="GV299" s="653"/>
      <c r="GW299" s="653"/>
      <c r="GX299" s="653"/>
      <c r="GY299" s="653"/>
      <c r="GZ299" s="653"/>
      <c r="HA299" s="653"/>
      <c r="HB299" s="653"/>
      <c r="HC299" s="653"/>
      <c r="HD299" s="653"/>
      <c r="HE299" s="653"/>
      <c r="HF299" s="653"/>
      <c r="HG299" s="653"/>
      <c r="HH299" s="653"/>
      <c r="HI299" s="653"/>
      <c r="HJ299" s="653"/>
      <c r="HK299" s="653"/>
      <c r="HL299" s="653"/>
      <c r="HM299" s="653"/>
      <c r="HN299" s="653"/>
      <c r="HO299" s="653"/>
      <c r="HP299" s="653"/>
      <c r="HQ299" s="653"/>
      <c r="HR299" s="653"/>
      <c r="HS299" s="653"/>
      <c r="HT299" s="653"/>
      <c r="HU299" s="653"/>
      <c r="HV299" s="653"/>
      <c r="HW299" s="653"/>
      <c r="HX299" s="653"/>
      <c r="HY299" s="653"/>
      <c r="HZ299" s="653"/>
      <c r="IA299" s="653"/>
      <c r="IB299" s="653"/>
      <c r="IC299" s="653"/>
      <c r="ID299" s="653"/>
      <c r="IE299" s="653"/>
      <c r="IF299" s="653"/>
      <c r="IG299" s="653"/>
      <c r="IH299" s="653"/>
      <c r="II299" s="653"/>
      <c r="IJ299" s="653"/>
      <c r="IK299" s="653"/>
      <c r="IL299" s="653"/>
      <c r="IM299" s="653"/>
      <c r="IN299" s="653"/>
      <c r="IO299" s="653"/>
      <c r="IP299" s="653"/>
      <c r="IQ299" s="653"/>
      <c r="IR299" s="653"/>
      <c r="IS299" s="653"/>
      <c r="IT299" s="653"/>
      <c r="IU299" s="653"/>
      <c r="IV299" s="653"/>
      <c r="IW299" s="653"/>
      <c r="IX299" s="653"/>
      <c r="IY299" s="653"/>
      <c r="IZ299" s="653"/>
      <c r="JA299" s="653"/>
      <c r="JB299" s="653"/>
      <c r="JC299" s="653"/>
      <c r="JD299" s="653"/>
      <c r="JE299" s="653"/>
      <c r="JF299" s="653"/>
      <c r="JG299" s="653"/>
      <c r="JH299" s="653"/>
      <c r="JI299" s="653"/>
      <c r="JJ299" s="653"/>
      <c r="JK299" s="653"/>
      <c r="JL299" s="653"/>
      <c r="JM299" s="653"/>
      <c r="JN299" s="653"/>
      <c r="JO299" s="653"/>
      <c r="JP299" s="653"/>
      <c r="JQ299" s="653"/>
    </row>
    <row r="300" spans="1:277" ht="9" customHeight="1">
      <c r="A300" s="221"/>
      <c r="B300" s="221"/>
      <c r="C300" s="221"/>
      <c r="D300" s="221"/>
      <c r="F300" s="221"/>
      <c r="G300" s="221"/>
      <c r="I300" s="221"/>
      <c r="J300" s="221"/>
      <c r="K300" s="221"/>
      <c r="L300" s="221"/>
      <c r="M300" s="221"/>
      <c r="N300" s="221"/>
      <c r="O300" s="221"/>
      <c r="P300" s="221"/>
      <c r="AL300" s="221"/>
      <c r="AM300" s="221"/>
      <c r="AN300" s="221"/>
      <c r="AO300" s="221"/>
      <c r="AP300" s="221"/>
      <c r="AQ300" s="221"/>
      <c r="AS300" s="221"/>
      <c r="AT300" s="221"/>
      <c r="AU300" s="221"/>
      <c r="AV300" s="221"/>
      <c r="AW300" s="221"/>
      <c r="AX300" s="221"/>
      <c r="AY300" s="221"/>
      <c r="AZ300" s="221"/>
      <c r="BA300" s="221"/>
      <c r="BB300" s="221"/>
      <c r="BC300" s="221"/>
      <c r="BD300" s="221"/>
      <c r="BE300" s="221"/>
      <c r="BF300" s="221"/>
      <c r="BG300" s="221"/>
      <c r="BH300" s="221"/>
      <c r="BI300" s="221"/>
      <c r="BJ300" s="221"/>
      <c r="BK300" s="221"/>
      <c r="BL300" s="221"/>
      <c r="BM300" s="221"/>
      <c r="BN300" s="221"/>
      <c r="BO300" s="221"/>
      <c r="BP300" s="221"/>
      <c r="BQ300" s="221"/>
      <c r="BR300" s="221"/>
      <c r="BS300" s="221"/>
      <c r="BT300" s="221"/>
      <c r="BU300" s="221"/>
      <c r="BV300" s="221"/>
      <c r="BW300" s="221"/>
      <c r="BX300" s="221"/>
      <c r="BY300" s="221"/>
      <c r="BZ300" s="221"/>
      <c r="CA300" s="221"/>
      <c r="CB300" s="221"/>
      <c r="CC300" s="221"/>
      <c r="CD300" s="221"/>
      <c r="CE300" s="221"/>
      <c r="CF300" s="221"/>
      <c r="CG300" s="221"/>
      <c r="CH300" s="221"/>
      <c r="CI300" s="221"/>
      <c r="CJ300" s="221"/>
      <c r="CK300" s="221"/>
      <c r="CL300" s="221"/>
      <c r="CM300" s="221"/>
      <c r="CN300" s="221"/>
      <c r="CO300" s="221"/>
      <c r="CP300" s="221"/>
      <c r="CQ300" s="221"/>
      <c r="CR300" s="221"/>
      <c r="CS300" s="221"/>
      <c r="CT300" s="221"/>
      <c r="CU300" s="221"/>
      <c r="CV300" s="221"/>
      <c r="CW300" s="221"/>
      <c r="CX300" s="221"/>
      <c r="CY300" s="221"/>
      <c r="CZ300" s="221"/>
      <c r="DA300" s="221"/>
      <c r="DB300" s="221"/>
      <c r="DC300" s="221"/>
      <c r="DD300" s="221"/>
      <c r="DE300" s="221"/>
      <c r="DF300" s="221"/>
      <c r="DG300" s="221"/>
      <c r="DH300" s="221"/>
      <c r="DI300" s="221"/>
      <c r="DJ300" s="221"/>
      <c r="DK300" s="221"/>
      <c r="DL300" s="221"/>
      <c r="DM300" s="221"/>
      <c r="DN300" s="221"/>
      <c r="DO300" s="221"/>
      <c r="DP300" s="221"/>
      <c r="DQ300" s="221"/>
      <c r="DR300" s="221"/>
      <c r="DS300" s="221"/>
      <c r="DT300" s="221"/>
      <c r="DU300" s="221"/>
      <c r="DV300" s="221"/>
      <c r="DW300" s="221"/>
      <c r="DX300" s="221"/>
      <c r="DY300" s="221"/>
      <c r="DZ300" s="221"/>
      <c r="EA300" s="221"/>
      <c r="EB300" s="221"/>
      <c r="EC300" s="221"/>
      <c r="ED300" s="221"/>
      <c r="EE300" s="221"/>
      <c r="EF300" s="221"/>
      <c r="EG300" s="221"/>
      <c r="EH300" s="221"/>
      <c r="EI300" s="221"/>
      <c r="EJ300" s="221"/>
      <c r="EK300" s="221"/>
      <c r="EL300" s="221"/>
      <c r="EM300" s="221"/>
      <c r="EN300" s="221"/>
      <c r="EO300" s="221"/>
      <c r="EP300" s="221"/>
      <c r="EQ300" s="221"/>
      <c r="ER300" s="221"/>
      <c r="ES300" s="221"/>
      <c r="ET300" s="221"/>
      <c r="EU300" s="221"/>
      <c r="EV300" s="221"/>
      <c r="EW300" s="221"/>
      <c r="EX300" s="221"/>
      <c r="EY300" s="221"/>
      <c r="EZ300" s="221"/>
      <c r="FA300" s="221"/>
      <c r="FB300" s="221"/>
      <c r="FC300" s="221"/>
      <c r="FD300" s="221"/>
      <c r="FE300" s="221"/>
      <c r="FF300" s="221"/>
      <c r="FG300" s="221"/>
      <c r="FH300" s="221"/>
      <c r="FI300" s="221"/>
      <c r="FJ300" s="221"/>
      <c r="FK300" s="221"/>
      <c r="FL300" s="221"/>
      <c r="FM300" s="221"/>
      <c r="FN300" s="221"/>
      <c r="FO300" s="221"/>
      <c r="FP300" s="221"/>
      <c r="FQ300" s="221"/>
      <c r="FR300" s="221"/>
      <c r="FS300" s="221"/>
      <c r="FT300" s="221"/>
      <c r="FU300" s="221"/>
      <c r="FV300" s="221"/>
      <c r="FW300" s="221"/>
      <c r="FX300" s="221"/>
      <c r="FY300" s="221"/>
      <c r="FZ300" s="221"/>
      <c r="GA300" s="221"/>
      <c r="GB300" s="221"/>
      <c r="GC300" s="221"/>
      <c r="GD300" s="221"/>
      <c r="GE300" s="221"/>
      <c r="GF300" s="221"/>
      <c r="GG300" s="221"/>
      <c r="GH300" s="221"/>
      <c r="GI300" s="221"/>
      <c r="GJ300" s="221"/>
      <c r="GK300" s="221"/>
      <c r="GL300" s="221"/>
      <c r="GM300" s="221"/>
      <c r="GN300" s="221"/>
      <c r="GO300" s="221"/>
      <c r="GP300" s="221"/>
      <c r="GQ300" s="221"/>
      <c r="GR300" s="221"/>
      <c r="GS300" s="221"/>
      <c r="GT300" s="221"/>
      <c r="GU300" s="221"/>
      <c r="GV300" s="221"/>
      <c r="GW300" s="221"/>
      <c r="GX300" s="221"/>
      <c r="GY300" s="221"/>
      <c r="GZ300" s="221"/>
      <c r="HA300" s="221"/>
      <c r="HB300" s="221"/>
      <c r="HC300" s="221"/>
      <c r="HD300" s="221"/>
      <c r="HE300" s="221"/>
      <c r="HF300" s="221"/>
      <c r="HG300" s="221"/>
      <c r="HH300" s="221"/>
      <c r="HI300" s="221"/>
      <c r="HJ300" s="221"/>
      <c r="HK300" s="221"/>
      <c r="HL300" s="221"/>
      <c r="HM300" s="221"/>
      <c r="HN300" s="221"/>
      <c r="HO300" s="221"/>
      <c r="HP300" s="221"/>
      <c r="HQ300" s="221"/>
      <c r="HR300" s="221"/>
      <c r="HS300" s="221"/>
      <c r="HT300" s="221"/>
      <c r="HU300" s="221"/>
      <c r="HV300" s="221"/>
      <c r="HW300" s="221"/>
      <c r="HX300" s="221"/>
      <c r="HY300" s="221"/>
      <c r="HZ300" s="221"/>
      <c r="IA300" s="221"/>
      <c r="IB300" s="221"/>
      <c r="IC300" s="221"/>
      <c r="ID300" s="221"/>
      <c r="IE300" s="221"/>
      <c r="IF300" s="221"/>
      <c r="IG300" s="221"/>
      <c r="IH300" s="221"/>
      <c r="II300" s="221"/>
      <c r="IJ300" s="221"/>
      <c r="IK300" s="221"/>
      <c r="IL300" s="221"/>
      <c r="IM300" s="221"/>
      <c r="IN300" s="221"/>
      <c r="IO300" s="221"/>
      <c r="IP300" s="221"/>
      <c r="IQ300" s="221"/>
      <c r="IR300" s="221"/>
      <c r="IS300" s="221"/>
      <c r="IT300" s="221"/>
      <c r="IU300" s="221"/>
      <c r="IV300" s="221"/>
      <c r="IW300" s="221"/>
      <c r="IX300" s="221"/>
      <c r="IY300" s="221"/>
      <c r="IZ300" s="221"/>
      <c r="JA300" s="221"/>
      <c r="JB300" s="221"/>
      <c r="JC300" s="221"/>
      <c r="JD300" s="221"/>
      <c r="JE300" s="221"/>
      <c r="JF300" s="221"/>
      <c r="JG300" s="221"/>
      <c r="JH300" s="221"/>
      <c r="JI300" s="221"/>
      <c r="JJ300" s="221"/>
      <c r="JK300" s="221"/>
      <c r="JL300" s="221"/>
      <c r="JM300" s="221"/>
      <c r="JN300" s="221"/>
      <c r="JO300" s="221"/>
      <c r="JP300" s="221"/>
      <c r="JQ300" s="221"/>
    </row>
    <row r="301" spans="1:277" ht="20" customHeight="1" outlineLevel="1">
      <c r="A301" s="456">
        <v>190701</v>
      </c>
      <c r="B301" s="439">
        <v>42186</v>
      </c>
      <c r="C301" s="514" t="s">
        <v>72</v>
      </c>
      <c r="D301" s="514" t="s">
        <v>1259</v>
      </c>
      <c r="E301" s="539" t="s">
        <v>79</v>
      </c>
      <c r="F301" s="531" t="s">
        <v>47</v>
      </c>
      <c r="G301" s="448" t="s">
        <v>2156</v>
      </c>
      <c r="H301" s="514" t="s">
        <v>191</v>
      </c>
      <c r="I301" s="443">
        <v>192783</v>
      </c>
      <c r="J301" s="838" t="s">
        <v>1269</v>
      </c>
      <c r="K301" s="448" t="s">
        <v>50</v>
      </c>
      <c r="L301" s="448">
        <v>119380087</v>
      </c>
      <c r="M301" s="439">
        <v>42195</v>
      </c>
      <c r="N301" s="448" t="s">
        <v>2159</v>
      </c>
      <c r="O301" s="448" t="s">
        <v>81</v>
      </c>
      <c r="P301" s="516"/>
      <c r="Q301" s="629"/>
      <c r="R301" s="589">
        <v>0</v>
      </c>
      <c r="S301" s="590">
        <v>0</v>
      </c>
      <c r="T301" s="604">
        <v>0</v>
      </c>
      <c r="U301" s="596">
        <v>0</v>
      </c>
      <c r="V301" s="590">
        <v>0</v>
      </c>
      <c r="W301" s="604">
        <v>0</v>
      </c>
      <c r="X301" s="596">
        <v>0</v>
      </c>
      <c r="Y301" s="590">
        <v>0</v>
      </c>
      <c r="Z301" s="604">
        <v>0</v>
      </c>
      <c r="AA301" s="596">
        <v>0</v>
      </c>
      <c r="AB301" s="590">
        <v>0</v>
      </c>
      <c r="AC301" s="604">
        <v>0</v>
      </c>
      <c r="AD301" s="596">
        <v>0</v>
      </c>
      <c r="AE301" s="596">
        <v>0</v>
      </c>
      <c r="AF301" s="596">
        <v>1</v>
      </c>
      <c r="AG301" s="590">
        <v>0</v>
      </c>
      <c r="AH301" s="604">
        <v>0</v>
      </c>
      <c r="AI301" s="610">
        <v>0</v>
      </c>
      <c r="AJ301" s="610">
        <v>0</v>
      </c>
      <c r="AK301" s="629"/>
      <c r="AL301" s="530" t="s">
        <v>1268</v>
      </c>
      <c r="AM301" s="448"/>
      <c r="AN301" s="612"/>
      <c r="AO301" s="440" t="s">
        <v>2194</v>
      </c>
      <c r="AP301" s="37">
        <f>331.4+110.03</f>
        <v>441.42999999999995</v>
      </c>
      <c r="AQ301" s="795">
        <f t="shared" ref="AQ301:AQ317" si="31">AP301-AN301</f>
        <v>441.42999999999995</v>
      </c>
      <c r="AR301" s="835">
        <f t="shared" ref="AR301:AR320" si="32">AQ301/AP301</f>
        <v>1</v>
      </c>
      <c r="AS301" s="821"/>
      <c r="AT301" s="448" t="s">
        <v>2037</v>
      </c>
      <c r="AU301" s="448">
        <v>1</v>
      </c>
      <c r="AV301" s="448"/>
      <c r="AW301" s="448"/>
      <c r="AX301" s="612">
        <v>0</v>
      </c>
      <c r="AY301" s="448" t="s">
        <v>2139</v>
      </c>
      <c r="AZ301" s="612">
        <v>0</v>
      </c>
      <c r="BA301" s="256" t="s">
        <v>47</v>
      </c>
      <c r="BB301" s="41">
        <v>0</v>
      </c>
      <c r="BC301" s="448"/>
      <c r="BD301" s="448"/>
      <c r="BE301" s="448"/>
      <c r="BF301" s="448"/>
      <c r="BG301" s="448"/>
      <c r="BH301" s="221"/>
      <c r="BI301" s="221"/>
      <c r="BJ301" s="221"/>
      <c r="BK301" s="221"/>
      <c r="BL301" s="221"/>
      <c r="BM301" s="221"/>
      <c r="BN301" s="221"/>
      <c r="BO301" s="221"/>
      <c r="BP301" s="221"/>
      <c r="BQ301" s="221"/>
      <c r="BR301" s="221"/>
      <c r="BS301" s="221"/>
      <c r="BT301" s="221"/>
      <c r="BU301" s="221"/>
      <c r="BV301" s="221"/>
      <c r="BW301" s="221"/>
      <c r="BX301" s="221"/>
      <c r="BY301" s="221"/>
      <c r="BZ301" s="221"/>
      <c r="CA301" s="221"/>
      <c r="CB301" s="221"/>
      <c r="CC301" s="221"/>
      <c r="CD301" s="221"/>
      <c r="CE301" s="221"/>
      <c r="CF301" s="221"/>
      <c r="CG301" s="221"/>
      <c r="CH301" s="221"/>
      <c r="CI301" s="221"/>
      <c r="CJ301" s="221"/>
      <c r="CK301" s="221"/>
      <c r="CL301" s="221"/>
      <c r="CM301" s="221"/>
      <c r="CN301" s="221"/>
      <c r="CO301" s="221"/>
      <c r="CP301" s="221"/>
      <c r="CQ301" s="221"/>
      <c r="CR301" s="221"/>
      <c r="CS301" s="221"/>
      <c r="CT301" s="221"/>
      <c r="CU301" s="221"/>
      <c r="CV301" s="221"/>
      <c r="CW301" s="221"/>
      <c r="CX301" s="221"/>
      <c r="CY301" s="221"/>
      <c r="CZ301" s="221"/>
      <c r="DA301" s="221"/>
      <c r="DB301" s="221"/>
      <c r="DC301" s="221"/>
      <c r="DD301" s="221"/>
      <c r="DE301" s="221"/>
      <c r="DF301" s="221"/>
      <c r="DG301" s="221"/>
      <c r="DH301" s="221"/>
      <c r="DI301" s="221"/>
      <c r="DJ301" s="221"/>
      <c r="DK301" s="221"/>
      <c r="DL301" s="221"/>
      <c r="DM301" s="221"/>
      <c r="DN301" s="221"/>
      <c r="DO301" s="221"/>
      <c r="DP301" s="221"/>
      <c r="DQ301" s="221"/>
      <c r="DR301" s="221"/>
      <c r="DS301" s="221"/>
      <c r="DT301" s="221"/>
      <c r="DU301" s="221"/>
      <c r="DV301" s="221"/>
      <c r="DW301" s="221"/>
      <c r="DX301" s="221"/>
      <c r="DY301" s="221"/>
      <c r="DZ301" s="221"/>
      <c r="EA301" s="221"/>
      <c r="EB301" s="221"/>
      <c r="EC301" s="221"/>
      <c r="ED301" s="221"/>
      <c r="EE301" s="221"/>
      <c r="EF301" s="221"/>
      <c r="EG301" s="221"/>
      <c r="EH301" s="221"/>
      <c r="EI301" s="221"/>
      <c r="EJ301" s="221"/>
      <c r="EK301" s="221"/>
      <c r="EL301" s="221"/>
      <c r="EM301" s="221"/>
      <c r="EN301" s="221"/>
      <c r="EO301" s="221"/>
      <c r="EP301" s="221"/>
      <c r="EQ301" s="221"/>
      <c r="ER301" s="221"/>
      <c r="ES301" s="221"/>
      <c r="ET301" s="221"/>
      <c r="EU301" s="221"/>
      <c r="EV301" s="221"/>
      <c r="EW301" s="221"/>
      <c r="EX301" s="221"/>
      <c r="EY301" s="221"/>
      <c r="EZ301" s="221"/>
      <c r="FA301" s="221"/>
      <c r="FB301" s="221"/>
      <c r="FC301" s="221"/>
      <c r="FD301" s="221"/>
      <c r="FE301" s="221"/>
      <c r="FF301" s="221"/>
      <c r="FG301" s="221"/>
      <c r="FH301" s="221"/>
      <c r="FI301" s="221"/>
      <c r="FJ301" s="221"/>
      <c r="FK301" s="221"/>
      <c r="FL301" s="221"/>
      <c r="FM301" s="221"/>
      <c r="FN301" s="221"/>
      <c r="FO301" s="221"/>
      <c r="FP301" s="221"/>
      <c r="FQ301" s="221"/>
      <c r="FR301" s="221"/>
      <c r="FS301" s="221"/>
      <c r="FT301" s="221"/>
      <c r="FU301" s="221"/>
      <c r="FV301" s="221"/>
      <c r="FW301" s="221"/>
      <c r="FX301" s="221"/>
      <c r="FY301" s="221"/>
      <c r="FZ301" s="221"/>
      <c r="GA301" s="221"/>
      <c r="GB301" s="221"/>
      <c r="GC301" s="221"/>
      <c r="GD301" s="221"/>
      <c r="GE301" s="221"/>
      <c r="GF301" s="221"/>
      <c r="GG301" s="221"/>
      <c r="GH301" s="221"/>
      <c r="GI301" s="221"/>
      <c r="GJ301" s="221"/>
      <c r="GK301" s="221"/>
      <c r="GL301" s="221"/>
      <c r="GM301" s="221"/>
      <c r="GN301" s="221"/>
      <c r="GO301" s="221"/>
      <c r="GP301" s="221"/>
      <c r="GQ301" s="221"/>
      <c r="GR301" s="221"/>
      <c r="GS301" s="221"/>
      <c r="GT301" s="221"/>
      <c r="GU301" s="221"/>
      <c r="GV301" s="221"/>
      <c r="GW301" s="221"/>
      <c r="GX301" s="221"/>
      <c r="GY301" s="221"/>
      <c r="GZ301" s="221"/>
      <c r="HA301" s="221"/>
      <c r="HB301" s="221"/>
      <c r="HC301" s="221"/>
      <c r="HD301" s="221"/>
      <c r="HE301" s="221"/>
      <c r="HF301" s="221"/>
      <c r="HG301" s="221"/>
      <c r="HH301" s="221"/>
      <c r="HI301" s="221"/>
      <c r="HJ301" s="221"/>
      <c r="HK301" s="221"/>
      <c r="HL301" s="221"/>
      <c r="HM301" s="221"/>
      <c r="HN301" s="221"/>
      <c r="HO301" s="221"/>
      <c r="HP301" s="221"/>
      <c r="HQ301" s="221"/>
      <c r="HR301" s="221"/>
      <c r="HS301" s="221"/>
      <c r="HT301" s="221"/>
      <c r="HU301" s="221"/>
      <c r="HV301" s="221"/>
      <c r="HW301" s="221"/>
      <c r="HX301" s="221"/>
      <c r="HY301" s="221"/>
      <c r="HZ301" s="221"/>
      <c r="IA301" s="221"/>
      <c r="IB301" s="221"/>
      <c r="IC301" s="221"/>
      <c r="ID301" s="221"/>
      <c r="IE301" s="221"/>
      <c r="IF301" s="221"/>
      <c r="IG301" s="221"/>
      <c r="IH301" s="221"/>
      <c r="II301" s="221"/>
      <c r="IJ301" s="221"/>
      <c r="IK301" s="221"/>
      <c r="IL301" s="221"/>
      <c r="IM301" s="221"/>
      <c r="IN301" s="221"/>
      <c r="IO301" s="221"/>
      <c r="IP301" s="221"/>
      <c r="IQ301" s="221"/>
      <c r="IR301" s="221"/>
      <c r="IS301" s="221"/>
      <c r="IT301" s="221"/>
      <c r="IU301" s="221"/>
      <c r="IV301" s="221"/>
      <c r="IW301" s="221"/>
      <c r="IX301" s="221"/>
      <c r="IY301" s="221"/>
      <c r="IZ301" s="221"/>
      <c r="JA301" s="221"/>
      <c r="JB301" s="221"/>
      <c r="JC301" s="221"/>
      <c r="JD301" s="221"/>
      <c r="JE301" s="221"/>
      <c r="JF301" s="221"/>
      <c r="JG301" s="221"/>
      <c r="JH301" s="221"/>
      <c r="JI301" s="221"/>
      <c r="JJ301" s="221"/>
      <c r="JK301" s="221"/>
      <c r="JL301" s="221"/>
      <c r="JM301" s="221"/>
      <c r="JN301" s="221"/>
      <c r="JO301" s="221"/>
      <c r="JP301" s="221"/>
      <c r="JQ301" s="221"/>
    </row>
    <row r="302" spans="1:277" ht="20" customHeight="1" outlineLevel="1">
      <c r="A302" s="456">
        <v>190702</v>
      </c>
      <c r="B302" s="439">
        <v>42187</v>
      </c>
      <c r="C302" s="514" t="s">
        <v>72</v>
      </c>
      <c r="D302" s="514" t="s">
        <v>1259</v>
      </c>
      <c r="E302" s="539" t="s">
        <v>89</v>
      </c>
      <c r="F302" s="531" t="s">
        <v>47</v>
      </c>
      <c r="G302" s="448" t="s">
        <v>2158</v>
      </c>
      <c r="H302" s="448"/>
      <c r="I302" s="443">
        <v>192748</v>
      </c>
      <c r="J302" s="837" t="s">
        <v>62</v>
      </c>
      <c r="K302" s="448" t="s">
        <v>2099</v>
      </c>
      <c r="L302" s="448" t="s">
        <v>47</v>
      </c>
      <c r="M302" s="439"/>
      <c r="N302" s="448" t="s">
        <v>90</v>
      </c>
      <c r="O302" s="448" t="s">
        <v>99</v>
      </c>
      <c r="P302" s="516" t="s">
        <v>2157</v>
      </c>
      <c r="Q302" s="629"/>
      <c r="R302" s="589">
        <v>3</v>
      </c>
      <c r="S302" s="590">
        <v>0</v>
      </c>
      <c r="T302" s="604">
        <v>0</v>
      </c>
      <c r="U302" s="596">
        <v>0</v>
      </c>
      <c r="V302" s="590">
        <v>0</v>
      </c>
      <c r="W302" s="604">
        <v>0</v>
      </c>
      <c r="X302" s="596">
        <v>0</v>
      </c>
      <c r="Y302" s="590">
        <v>0</v>
      </c>
      <c r="Z302" s="604">
        <v>0</v>
      </c>
      <c r="AA302" s="596">
        <v>0</v>
      </c>
      <c r="AB302" s="590">
        <v>0</v>
      </c>
      <c r="AC302" s="604">
        <v>0</v>
      </c>
      <c r="AD302" s="596">
        <v>0</v>
      </c>
      <c r="AE302" s="596">
        <v>0</v>
      </c>
      <c r="AF302" s="596">
        <v>0</v>
      </c>
      <c r="AG302" s="590">
        <v>0</v>
      </c>
      <c r="AH302" s="604">
        <v>0</v>
      </c>
      <c r="AI302" s="610">
        <v>0</v>
      </c>
      <c r="AJ302" s="610">
        <v>0</v>
      </c>
      <c r="AK302" s="629"/>
      <c r="AL302" s="530" t="s">
        <v>1300</v>
      </c>
      <c r="AM302" s="448"/>
      <c r="AN302" s="612">
        <f>3*8</f>
        <v>24</v>
      </c>
      <c r="AO302" s="444" t="s">
        <v>2203</v>
      </c>
      <c r="AP302" s="37">
        <v>46.8</v>
      </c>
      <c r="AQ302" s="795">
        <f t="shared" si="31"/>
        <v>22.799999999999997</v>
      </c>
      <c r="AR302" s="835">
        <f t="shared" si="32"/>
        <v>0.48717948717948717</v>
      </c>
      <c r="AS302" s="821"/>
      <c r="AT302" s="448" t="s">
        <v>2037</v>
      </c>
      <c r="AU302" s="448">
        <v>1</v>
      </c>
      <c r="AV302" s="448"/>
      <c r="AW302" s="448"/>
      <c r="AX302" s="612">
        <v>0</v>
      </c>
      <c r="AY302" s="448" t="s">
        <v>1861</v>
      </c>
      <c r="AZ302" s="612">
        <f>3*0.7</f>
        <v>2.0999999999999996</v>
      </c>
      <c r="BA302" s="256" t="s">
        <v>47</v>
      </c>
      <c r="BB302" s="41">
        <v>0</v>
      </c>
      <c r="BC302" s="448"/>
      <c r="BD302" s="448"/>
      <c r="BE302" s="448"/>
      <c r="BF302" s="448"/>
      <c r="BG302" s="448"/>
      <c r="BH302" s="221"/>
      <c r="BI302" s="221"/>
      <c r="BJ302" s="221"/>
      <c r="BK302" s="221"/>
      <c r="BL302" s="221"/>
      <c r="BM302" s="221"/>
      <c r="BN302" s="221"/>
      <c r="BO302" s="221"/>
      <c r="BP302" s="221"/>
      <c r="BQ302" s="221"/>
      <c r="BR302" s="221"/>
      <c r="BS302" s="221"/>
      <c r="BT302" s="221"/>
      <c r="BU302" s="221"/>
      <c r="BV302" s="221"/>
      <c r="BW302" s="221"/>
      <c r="BX302" s="221"/>
      <c r="BY302" s="221"/>
      <c r="BZ302" s="221"/>
      <c r="CA302" s="221"/>
      <c r="CB302" s="221"/>
      <c r="CC302" s="221"/>
      <c r="CD302" s="221"/>
      <c r="CE302" s="221"/>
      <c r="CF302" s="221"/>
      <c r="CG302" s="221"/>
      <c r="CH302" s="221"/>
      <c r="CI302" s="221"/>
      <c r="CJ302" s="221"/>
      <c r="CK302" s="221"/>
      <c r="CL302" s="221"/>
      <c r="CM302" s="221"/>
      <c r="CN302" s="221"/>
      <c r="CO302" s="221"/>
      <c r="CP302" s="221"/>
      <c r="CQ302" s="221"/>
      <c r="CR302" s="221"/>
      <c r="CS302" s="221"/>
      <c r="CT302" s="221"/>
      <c r="CU302" s="221"/>
      <c r="CV302" s="221"/>
      <c r="CW302" s="221"/>
      <c r="CX302" s="221"/>
      <c r="CY302" s="221"/>
      <c r="CZ302" s="221"/>
      <c r="DA302" s="221"/>
      <c r="DB302" s="221"/>
      <c r="DC302" s="221"/>
      <c r="DD302" s="221"/>
      <c r="DE302" s="221"/>
      <c r="DF302" s="221"/>
      <c r="DG302" s="221"/>
      <c r="DH302" s="221"/>
      <c r="DI302" s="221"/>
      <c r="DJ302" s="221"/>
      <c r="DK302" s="221"/>
      <c r="DL302" s="221"/>
      <c r="DM302" s="221"/>
      <c r="DN302" s="221"/>
      <c r="DO302" s="221"/>
      <c r="DP302" s="221"/>
      <c r="DQ302" s="221"/>
      <c r="DR302" s="221"/>
      <c r="DS302" s="221"/>
      <c r="DT302" s="221"/>
      <c r="DU302" s="221"/>
      <c r="DV302" s="221"/>
      <c r="DW302" s="221"/>
      <c r="DX302" s="221"/>
      <c r="DY302" s="221"/>
      <c r="DZ302" s="221"/>
      <c r="EA302" s="221"/>
      <c r="EB302" s="221"/>
      <c r="EC302" s="221"/>
      <c r="ED302" s="221"/>
      <c r="EE302" s="221"/>
      <c r="EF302" s="221"/>
      <c r="EG302" s="221"/>
      <c r="EH302" s="221"/>
      <c r="EI302" s="221"/>
      <c r="EJ302" s="221"/>
      <c r="EK302" s="221"/>
      <c r="EL302" s="221"/>
      <c r="EM302" s="221"/>
      <c r="EN302" s="221"/>
      <c r="EO302" s="221"/>
      <c r="EP302" s="221"/>
      <c r="EQ302" s="221"/>
      <c r="ER302" s="221"/>
      <c r="ES302" s="221"/>
      <c r="ET302" s="221"/>
      <c r="EU302" s="221"/>
      <c r="EV302" s="221"/>
      <c r="EW302" s="221"/>
      <c r="EX302" s="221"/>
      <c r="EY302" s="221"/>
      <c r="EZ302" s="221"/>
      <c r="FA302" s="221"/>
      <c r="FB302" s="221"/>
      <c r="FC302" s="221"/>
      <c r="FD302" s="221"/>
      <c r="FE302" s="221"/>
      <c r="FF302" s="221"/>
      <c r="FG302" s="221"/>
      <c r="FH302" s="221"/>
      <c r="FI302" s="221"/>
      <c r="FJ302" s="221"/>
      <c r="FK302" s="221"/>
      <c r="FL302" s="221"/>
      <c r="FM302" s="221"/>
      <c r="FN302" s="221"/>
      <c r="FO302" s="221"/>
      <c r="FP302" s="221"/>
      <c r="FQ302" s="221"/>
      <c r="FR302" s="221"/>
      <c r="FS302" s="221"/>
      <c r="FT302" s="221"/>
      <c r="FU302" s="221"/>
      <c r="FV302" s="221"/>
      <c r="FW302" s="221"/>
      <c r="FX302" s="221"/>
      <c r="FY302" s="221"/>
      <c r="FZ302" s="221"/>
      <c r="GA302" s="221"/>
      <c r="GB302" s="221"/>
      <c r="GC302" s="221"/>
      <c r="GD302" s="221"/>
      <c r="GE302" s="221"/>
      <c r="GF302" s="221"/>
      <c r="GG302" s="221"/>
      <c r="GH302" s="221"/>
      <c r="GI302" s="221"/>
      <c r="GJ302" s="221"/>
      <c r="GK302" s="221"/>
      <c r="GL302" s="221"/>
      <c r="GM302" s="221"/>
      <c r="GN302" s="221"/>
      <c r="GO302" s="221"/>
      <c r="GP302" s="221"/>
      <c r="GQ302" s="221"/>
      <c r="GR302" s="221"/>
      <c r="GS302" s="221"/>
      <c r="GT302" s="221"/>
      <c r="GU302" s="221"/>
      <c r="GV302" s="221"/>
      <c r="GW302" s="221"/>
      <c r="GX302" s="221"/>
      <c r="GY302" s="221"/>
      <c r="GZ302" s="221"/>
      <c r="HA302" s="221"/>
      <c r="HB302" s="221"/>
      <c r="HC302" s="221"/>
      <c r="HD302" s="221"/>
      <c r="HE302" s="221"/>
      <c r="HF302" s="221"/>
      <c r="HG302" s="221"/>
      <c r="HH302" s="221"/>
      <c r="HI302" s="221"/>
      <c r="HJ302" s="221"/>
      <c r="HK302" s="221"/>
      <c r="HL302" s="221"/>
      <c r="HM302" s="221"/>
      <c r="HN302" s="221"/>
      <c r="HO302" s="221"/>
      <c r="HP302" s="221"/>
      <c r="HQ302" s="221"/>
      <c r="HR302" s="221"/>
      <c r="HS302" s="221"/>
      <c r="HT302" s="221"/>
      <c r="HU302" s="221"/>
      <c r="HV302" s="221"/>
      <c r="HW302" s="221"/>
      <c r="HX302" s="221"/>
      <c r="HY302" s="221"/>
      <c r="HZ302" s="221"/>
      <c r="IA302" s="221"/>
      <c r="IB302" s="221"/>
      <c r="IC302" s="221"/>
      <c r="ID302" s="221"/>
      <c r="IE302" s="221"/>
      <c r="IF302" s="221"/>
      <c r="IG302" s="221"/>
      <c r="IH302" s="221"/>
      <c r="II302" s="221"/>
      <c r="IJ302" s="221"/>
      <c r="IK302" s="221"/>
      <c r="IL302" s="221"/>
      <c r="IM302" s="221"/>
      <c r="IN302" s="221"/>
      <c r="IO302" s="221"/>
      <c r="IP302" s="221"/>
      <c r="IQ302" s="221"/>
      <c r="IR302" s="221"/>
      <c r="IS302" s="221"/>
      <c r="IT302" s="221"/>
      <c r="IU302" s="221"/>
      <c r="IV302" s="221"/>
      <c r="IW302" s="221"/>
      <c r="IX302" s="221"/>
      <c r="IY302" s="221"/>
      <c r="IZ302" s="221"/>
      <c r="JA302" s="221"/>
      <c r="JB302" s="221"/>
      <c r="JC302" s="221"/>
      <c r="JD302" s="221"/>
      <c r="JE302" s="221"/>
      <c r="JF302" s="221"/>
      <c r="JG302" s="221"/>
      <c r="JH302" s="221"/>
      <c r="JI302" s="221"/>
      <c r="JJ302" s="221"/>
      <c r="JK302" s="221"/>
      <c r="JL302" s="221"/>
      <c r="JM302" s="221"/>
      <c r="JN302" s="221"/>
      <c r="JO302" s="221"/>
      <c r="JP302" s="221"/>
      <c r="JQ302" s="221"/>
    </row>
    <row r="303" spans="1:277" ht="20" customHeight="1" outlineLevel="1">
      <c r="A303" s="482">
        <v>190703</v>
      </c>
      <c r="B303" s="439">
        <v>42188</v>
      </c>
      <c r="C303" s="514" t="s">
        <v>1675</v>
      </c>
      <c r="D303" s="514" t="s">
        <v>1259</v>
      </c>
      <c r="E303" s="539" t="s">
        <v>60</v>
      </c>
      <c r="F303" s="531" t="s">
        <v>47</v>
      </c>
      <c r="G303" s="448" t="s">
        <v>47</v>
      </c>
      <c r="H303" s="448" t="s">
        <v>47</v>
      </c>
      <c r="I303" s="443" t="s">
        <v>47</v>
      </c>
      <c r="J303" s="837" t="s">
        <v>62</v>
      </c>
      <c r="K303" s="448" t="s">
        <v>50</v>
      </c>
      <c r="L303" s="448"/>
      <c r="M303" s="439"/>
      <c r="N303" s="448" t="s">
        <v>2160</v>
      </c>
      <c r="O303" s="448" t="s">
        <v>2161</v>
      </c>
      <c r="P303" s="516"/>
      <c r="Q303" s="629"/>
      <c r="R303" s="589">
        <v>0</v>
      </c>
      <c r="S303" s="590">
        <v>0</v>
      </c>
      <c r="T303" s="604">
        <v>3</v>
      </c>
      <c r="U303" s="596">
        <v>0</v>
      </c>
      <c r="V303" s="590">
        <v>0</v>
      </c>
      <c r="W303" s="604">
        <v>0</v>
      </c>
      <c r="X303" s="596">
        <v>0</v>
      </c>
      <c r="Y303" s="590">
        <v>0</v>
      </c>
      <c r="Z303" s="604">
        <v>8</v>
      </c>
      <c r="AA303" s="596">
        <v>0</v>
      </c>
      <c r="AB303" s="590">
        <v>0</v>
      </c>
      <c r="AC303" s="604">
        <v>8</v>
      </c>
      <c r="AD303" s="596">
        <v>0</v>
      </c>
      <c r="AE303" s="596">
        <v>0</v>
      </c>
      <c r="AF303" s="596">
        <v>0</v>
      </c>
      <c r="AG303" s="590">
        <v>0</v>
      </c>
      <c r="AH303" s="604">
        <v>0</v>
      </c>
      <c r="AI303" s="610">
        <v>0</v>
      </c>
      <c r="AJ303" s="610">
        <v>0</v>
      </c>
      <c r="AK303" s="629"/>
      <c r="AL303" s="530" t="s">
        <v>133</v>
      </c>
      <c r="AM303" s="448" t="s">
        <v>2036</v>
      </c>
      <c r="AN303" s="612"/>
      <c r="AO303" s="440" t="s">
        <v>47</v>
      </c>
      <c r="AP303" s="37"/>
      <c r="AQ303" s="795">
        <f t="shared" si="31"/>
        <v>0</v>
      </c>
      <c r="AR303" s="835" t="e">
        <f t="shared" si="32"/>
        <v>#DIV/0!</v>
      </c>
      <c r="AS303" s="821"/>
      <c r="AT303" s="448" t="s">
        <v>1254</v>
      </c>
      <c r="AU303" s="448">
        <v>1</v>
      </c>
      <c r="AV303" s="448"/>
      <c r="AW303" s="448"/>
      <c r="AX303" s="612"/>
      <c r="AY303" s="448"/>
      <c r="AZ303" s="612"/>
      <c r="BA303" s="256" t="s">
        <v>47</v>
      </c>
      <c r="BB303" s="41">
        <v>0</v>
      </c>
      <c r="BC303" s="448"/>
      <c r="BD303" s="448"/>
      <c r="BE303" s="448"/>
      <c r="BF303" s="448"/>
      <c r="BG303" s="448"/>
      <c r="BH303" s="221"/>
      <c r="BI303" s="221"/>
      <c r="BJ303" s="221"/>
      <c r="BK303" s="221"/>
      <c r="BL303" s="221"/>
      <c r="BM303" s="221"/>
      <c r="BN303" s="221"/>
      <c r="BO303" s="221"/>
      <c r="BP303" s="221"/>
      <c r="BQ303" s="221"/>
      <c r="BR303" s="221"/>
      <c r="BS303" s="221"/>
      <c r="BT303" s="221"/>
      <c r="BU303" s="221"/>
      <c r="BV303" s="221"/>
      <c r="BW303" s="221"/>
      <c r="BX303" s="221"/>
      <c r="BY303" s="221"/>
      <c r="BZ303" s="221"/>
      <c r="CA303" s="221"/>
      <c r="CB303" s="221"/>
      <c r="CC303" s="221"/>
      <c r="CD303" s="221"/>
      <c r="CE303" s="221"/>
      <c r="CF303" s="221"/>
      <c r="CG303" s="221"/>
      <c r="CH303" s="221"/>
      <c r="CI303" s="221"/>
      <c r="CJ303" s="221"/>
      <c r="CK303" s="221"/>
      <c r="CL303" s="221"/>
      <c r="CM303" s="221"/>
      <c r="CN303" s="221"/>
      <c r="CO303" s="221"/>
      <c r="CP303" s="221"/>
      <c r="CQ303" s="221"/>
      <c r="CR303" s="221"/>
      <c r="CS303" s="221"/>
      <c r="CT303" s="221"/>
      <c r="CU303" s="221"/>
      <c r="CV303" s="221"/>
      <c r="CW303" s="221"/>
      <c r="CX303" s="221"/>
      <c r="CY303" s="221"/>
      <c r="CZ303" s="221"/>
      <c r="DA303" s="221"/>
      <c r="DB303" s="221"/>
      <c r="DC303" s="221"/>
      <c r="DD303" s="221"/>
      <c r="DE303" s="221"/>
      <c r="DF303" s="221"/>
      <c r="DG303" s="221"/>
      <c r="DH303" s="221"/>
      <c r="DI303" s="221"/>
      <c r="DJ303" s="221"/>
      <c r="DK303" s="221"/>
      <c r="DL303" s="221"/>
      <c r="DM303" s="221"/>
      <c r="DN303" s="221"/>
      <c r="DO303" s="221"/>
      <c r="DP303" s="221"/>
      <c r="DQ303" s="221"/>
      <c r="DR303" s="221"/>
      <c r="DS303" s="221"/>
      <c r="DT303" s="221"/>
      <c r="DU303" s="221"/>
      <c r="DV303" s="221"/>
      <c r="DW303" s="221"/>
      <c r="DX303" s="221"/>
      <c r="DY303" s="221"/>
      <c r="DZ303" s="221"/>
      <c r="EA303" s="221"/>
      <c r="EB303" s="221"/>
      <c r="EC303" s="221"/>
      <c r="ED303" s="221"/>
      <c r="EE303" s="221"/>
      <c r="EF303" s="221"/>
      <c r="EG303" s="221"/>
      <c r="EH303" s="221"/>
      <c r="EI303" s="221"/>
      <c r="EJ303" s="221"/>
      <c r="EK303" s="221"/>
      <c r="EL303" s="221"/>
      <c r="EM303" s="221"/>
      <c r="EN303" s="221"/>
      <c r="EO303" s="221"/>
      <c r="EP303" s="221"/>
      <c r="EQ303" s="221"/>
      <c r="ER303" s="221"/>
      <c r="ES303" s="221"/>
      <c r="ET303" s="221"/>
      <c r="EU303" s="221"/>
      <c r="EV303" s="221"/>
      <c r="EW303" s="221"/>
      <c r="EX303" s="221"/>
      <c r="EY303" s="221"/>
      <c r="EZ303" s="221"/>
      <c r="FA303" s="221"/>
      <c r="FB303" s="221"/>
      <c r="FC303" s="221"/>
      <c r="FD303" s="221"/>
      <c r="FE303" s="221"/>
      <c r="FF303" s="221"/>
      <c r="FG303" s="221"/>
      <c r="FH303" s="221"/>
      <c r="FI303" s="221"/>
      <c r="FJ303" s="221"/>
      <c r="FK303" s="221"/>
      <c r="FL303" s="221"/>
      <c r="FM303" s="221"/>
      <c r="FN303" s="221"/>
      <c r="FO303" s="221"/>
      <c r="FP303" s="221"/>
      <c r="FQ303" s="221"/>
      <c r="FR303" s="221"/>
      <c r="FS303" s="221"/>
      <c r="FT303" s="221"/>
      <c r="FU303" s="221"/>
      <c r="FV303" s="221"/>
      <c r="FW303" s="221"/>
      <c r="FX303" s="221"/>
      <c r="FY303" s="221"/>
      <c r="FZ303" s="221"/>
      <c r="GA303" s="221"/>
      <c r="GB303" s="221"/>
      <c r="GC303" s="221"/>
      <c r="GD303" s="221"/>
      <c r="GE303" s="221"/>
      <c r="GF303" s="221"/>
      <c r="GG303" s="221"/>
      <c r="GH303" s="221"/>
      <c r="GI303" s="221"/>
      <c r="GJ303" s="221"/>
      <c r="GK303" s="221"/>
      <c r="GL303" s="221"/>
      <c r="GM303" s="221"/>
      <c r="GN303" s="221"/>
      <c r="GO303" s="221"/>
      <c r="GP303" s="221"/>
      <c r="GQ303" s="221"/>
      <c r="GR303" s="221"/>
      <c r="GS303" s="221"/>
      <c r="GT303" s="221"/>
      <c r="GU303" s="221"/>
      <c r="GV303" s="221"/>
      <c r="GW303" s="221"/>
      <c r="GX303" s="221"/>
      <c r="GY303" s="221"/>
      <c r="GZ303" s="221"/>
      <c r="HA303" s="221"/>
      <c r="HB303" s="221"/>
      <c r="HC303" s="221"/>
      <c r="HD303" s="221"/>
      <c r="HE303" s="221"/>
      <c r="HF303" s="221"/>
      <c r="HG303" s="221"/>
      <c r="HH303" s="221"/>
      <c r="HI303" s="221"/>
      <c r="HJ303" s="221"/>
      <c r="HK303" s="221"/>
      <c r="HL303" s="221"/>
      <c r="HM303" s="221"/>
      <c r="HN303" s="221"/>
      <c r="HO303" s="221"/>
      <c r="HP303" s="221"/>
      <c r="HQ303" s="221"/>
      <c r="HR303" s="221"/>
      <c r="HS303" s="221"/>
      <c r="HT303" s="221"/>
      <c r="HU303" s="221"/>
      <c r="HV303" s="221"/>
      <c r="HW303" s="221"/>
      <c r="HX303" s="221"/>
      <c r="HY303" s="221"/>
      <c r="HZ303" s="221"/>
      <c r="IA303" s="221"/>
      <c r="IB303" s="221"/>
      <c r="IC303" s="221"/>
      <c r="ID303" s="221"/>
      <c r="IE303" s="221"/>
      <c r="IF303" s="221"/>
      <c r="IG303" s="221"/>
      <c r="IH303" s="221"/>
      <c r="II303" s="221"/>
      <c r="IJ303" s="221"/>
      <c r="IK303" s="221"/>
      <c r="IL303" s="221"/>
      <c r="IM303" s="221"/>
      <c r="IN303" s="221"/>
      <c r="IO303" s="221"/>
      <c r="IP303" s="221"/>
      <c r="IQ303" s="221"/>
      <c r="IR303" s="221"/>
      <c r="IS303" s="221"/>
      <c r="IT303" s="221"/>
      <c r="IU303" s="221"/>
      <c r="IV303" s="221"/>
      <c r="IW303" s="221"/>
      <c r="IX303" s="221"/>
      <c r="IY303" s="221"/>
      <c r="IZ303" s="221"/>
      <c r="JA303" s="221"/>
      <c r="JB303" s="221"/>
      <c r="JC303" s="221"/>
      <c r="JD303" s="221"/>
      <c r="JE303" s="221"/>
      <c r="JF303" s="221"/>
      <c r="JG303" s="221"/>
      <c r="JH303" s="221"/>
      <c r="JI303" s="221"/>
      <c r="JJ303" s="221"/>
      <c r="JK303" s="221"/>
      <c r="JL303" s="221"/>
      <c r="JM303" s="221"/>
      <c r="JN303" s="221"/>
      <c r="JO303" s="221"/>
      <c r="JP303" s="221"/>
      <c r="JQ303" s="221"/>
    </row>
    <row r="304" spans="1:277" ht="20" customHeight="1" outlineLevel="1">
      <c r="A304" s="482">
        <v>190704</v>
      </c>
      <c r="B304" s="439">
        <v>42189</v>
      </c>
      <c r="C304" s="514" t="s">
        <v>1675</v>
      </c>
      <c r="D304" s="514" t="s">
        <v>1259</v>
      </c>
      <c r="E304" s="539" t="s">
        <v>2162</v>
      </c>
      <c r="F304" s="531" t="s">
        <v>47</v>
      </c>
      <c r="G304" s="837" t="s">
        <v>2163</v>
      </c>
      <c r="H304" s="448"/>
      <c r="I304" s="443">
        <v>192745</v>
      </c>
      <c r="J304" s="837" t="s">
        <v>62</v>
      </c>
      <c r="K304" s="448" t="s">
        <v>50</v>
      </c>
      <c r="L304" s="848">
        <v>117733453</v>
      </c>
      <c r="M304" s="439">
        <v>42189</v>
      </c>
      <c r="N304" s="448" t="s">
        <v>1756</v>
      </c>
      <c r="O304" s="448" t="s">
        <v>2165</v>
      </c>
      <c r="P304" s="516"/>
      <c r="Q304" s="629"/>
      <c r="R304" s="589">
        <v>0</v>
      </c>
      <c r="S304" s="590">
        <v>0</v>
      </c>
      <c r="T304" s="604">
        <v>0</v>
      </c>
      <c r="U304" s="596">
        <v>0</v>
      </c>
      <c r="V304" s="590">
        <v>0</v>
      </c>
      <c r="W304" s="604">
        <v>0</v>
      </c>
      <c r="X304" s="596">
        <v>0</v>
      </c>
      <c r="Y304" s="590">
        <v>0</v>
      </c>
      <c r="Z304" s="604">
        <v>0</v>
      </c>
      <c r="AA304" s="596">
        <v>0</v>
      </c>
      <c r="AB304" s="590">
        <v>0</v>
      </c>
      <c r="AC304" s="604">
        <v>0</v>
      </c>
      <c r="AD304" s="596">
        <v>0</v>
      </c>
      <c r="AE304" s="596">
        <v>0</v>
      </c>
      <c r="AF304" s="596">
        <v>1</v>
      </c>
      <c r="AG304" s="590">
        <v>1</v>
      </c>
      <c r="AH304" s="604">
        <v>25</v>
      </c>
      <c r="AI304" s="610">
        <v>0</v>
      </c>
      <c r="AJ304" s="610">
        <v>0</v>
      </c>
      <c r="AK304" s="629"/>
      <c r="AL304" s="531" t="s">
        <v>1268</v>
      </c>
      <c r="AM304" s="448"/>
      <c r="AN304" s="612">
        <f>2*8</f>
        <v>16</v>
      </c>
      <c r="AO304" s="440" t="s">
        <v>2167</v>
      </c>
      <c r="AP304" s="37">
        <v>44</v>
      </c>
      <c r="AQ304" s="795">
        <f t="shared" si="31"/>
        <v>28</v>
      </c>
      <c r="AR304" s="835">
        <f t="shared" si="32"/>
        <v>0.63636363636363635</v>
      </c>
      <c r="AS304" s="821"/>
      <c r="AT304" s="514" t="s">
        <v>57</v>
      </c>
      <c r="AU304" s="448">
        <v>1</v>
      </c>
      <c r="AV304" s="448"/>
      <c r="AW304" s="448"/>
      <c r="AX304" s="612">
        <v>0</v>
      </c>
      <c r="AY304" s="514" t="s">
        <v>118</v>
      </c>
      <c r="AZ304" s="612">
        <v>0</v>
      </c>
      <c r="BA304" s="256" t="s">
        <v>47</v>
      </c>
      <c r="BB304" s="41">
        <v>0</v>
      </c>
      <c r="BC304" s="448"/>
      <c r="BD304" s="448"/>
      <c r="BE304" s="448"/>
      <c r="BF304" s="448"/>
      <c r="BG304" s="448"/>
      <c r="BH304" s="221"/>
      <c r="BI304" s="221"/>
      <c r="BJ304" s="221"/>
      <c r="BK304" s="221"/>
      <c r="BL304" s="221"/>
      <c r="BM304" s="221"/>
      <c r="BN304" s="221"/>
      <c r="BO304" s="221"/>
      <c r="BP304" s="221"/>
      <c r="BQ304" s="221"/>
      <c r="BR304" s="221"/>
      <c r="BS304" s="221"/>
      <c r="BT304" s="221"/>
      <c r="BU304" s="221"/>
      <c r="BV304" s="221"/>
      <c r="BW304" s="221"/>
      <c r="BX304" s="221"/>
      <c r="BY304" s="221"/>
      <c r="BZ304" s="221"/>
      <c r="CA304" s="221"/>
      <c r="CB304" s="221"/>
      <c r="CC304" s="221"/>
      <c r="CD304" s="221"/>
      <c r="CE304" s="221"/>
      <c r="CF304" s="221"/>
      <c r="CG304" s="221"/>
      <c r="CH304" s="221"/>
      <c r="CI304" s="221"/>
      <c r="CJ304" s="221"/>
      <c r="CK304" s="221"/>
      <c r="CL304" s="221"/>
      <c r="CM304" s="221"/>
      <c r="CN304" s="221"/>
      <c r="CO304" s="221"/>
      <c r="CP304" s="221"/>
      <c r="CQ304" s="221"/>
      <c r="CR304" s="221"/>
      <c r="CS304" s="221"/>
      <c r="CT304" s="221"/>
      <c r="CU304" s="221"/>
      <c r="CV304" s="221"/>
      <c r="CW304" s="221"/>
      <c r="CX304" s="221"/>
      <c r="CY304" s="221"/>
      <c r="CZ304" s="221"/>
      <c r="DA304" s="221"/>
      <c r="DB304" s="221"/>
      <c r="DC304" s="221"/>
      <c r="DD304" s="221"/>
      <c r="DE304" s="221"/>
      <c r="DF304" s="221"/>
      <c r="DG304" s="221"/>
      <c r="DH304" s="221"/>
      <c r="DI304" s="221"/>
      <c r="DJ304" s="221"/>
      <c r="DK304" s="221"/>
      <c r="DL304" s="221"/>
      <c r="DM304" s="221"/>
      <c r="DN304" s="221"/>
      <c r="DO304" s="221"/>
      <c r="DP304" s="221"/>
      <c r="DQ304" s="221"/>
      <c r="DR304" s="221"/>
      <c r="DS304" s="221"/>
      <c r="DT304" s="221"/>
      <c r="DU304" s="221"/>
      <c r="DV304" s="221"/>
      <c r="DW304" s="221"/>
      <c r="DX304" s="221"/>
      <c r="DY304" s="221"/>
      <c r="DZ304" s="221"/>
      <c r="EA304" s="221"/>
      <c r="EB304" s="221"/>
      <c r="EC304" s="221"/>
      <c r="ED304" s="221"/>
      <c r="EE304" s="221"/>
      <c r="EF304" s="221"/>
      <c r="EG304" s="221"/>
      <c r="EH304" s="221"/>
      <c r="EI304" s="221"/>
      <c r="EJ304" s="221"/>
      <c r="EK304" s="221"/>
      <c r="EL304" s="221"/>
      <c r="EM304" s="221"/>
      <c r="EN304" s="221"/>
      <c r="EO304" s="221"/>
      <c r="EP304" s="221"/>
      <c r="EQ304" s="221"/>
      <c r="ER304" s="221"/>
      <c r="ES304" s="221"/>
      <c r="ET304" s="221"/>
      <c r="EU304" s="221"/>
      <c r="EV304" s="221"/>
      <c r="EW304" s="221"/>
      <c r="EX304" s="221"/>
      <c r="EY304" s="221"/>
      <c r="EZ304" s="221"/>
      <c r="FA304" s="221"/>
      <c r="FB304" s="221"/>
      <c r="FC304" s="221"/>
      <c r="FD304" s="221"/>
      <c r="FE304" s="221"/>
      <c r="FF304" s="221"/>
      <c r="FG304" s="221"/>
      <c r="FH304" s="221"/>
      <c r="FI304" s="221"/>
      <c r="FJ304" s="221"/>
      <c r="FK304" s="221"/>
      <c r="FL304" s="221"/>
      <c r="FM304" s="221"/>
      <c r="FN304" s="221"/>
      <c r="FO304" s="221"/>
      <c r="FP304" s="221"/>
      <c r="FQ304" s="221"/>
      <c r="FR304" s="221"/>
      <c r="FS304" s="221"/>
      <c r="FT304" s="221"/>
      <c r="FU304" s="221"/>
      <c r="FV304" s="221"/>
      <c r="FW304" s="221"/>
      <c r="FX304" s="221"/>
      <c r="FY304" s="221"/>
      <c r="FZ304" s="221"/>
      <c r="GA304" s="221"/>
      <c r="GB304" s="221"/>
      <c r="GC304" s="221"/>
      <c r="GD304" s="221"/>
      <c r="GE304" s="221"/>
      <c r="GF304" s="221"/>
      <c r="GG304" s="221"/>
      <c r="GH304" s="221"/>
      <c r="GI304" s="221"/>
      <c r="GJ304" s="221"/>
      <c r="GK304" s="221"/>
      <c r="GL304" s="221"/>
      <c r="GM304" s="221"/>
      <c r="GN304" s="221"/>
      <c r="GO304" s="221"/>
      <c r="GP304" s="221"/>
      <c r="GQ304" s="221"/>
      <c r="GR304" s="221"/>
      <c r="GS304" s="221"/>
      <c r="GT304" s="221"/>
      <c r="GU304" s="221"/>
      <c r="GV304" s="221"/>
      <c r="GW304" s="221"/>
      <c r="GX304" s="221"/>
      <c r="GY304" s="221"/>
      <c r="GZ304" s="221"/>
      <c r="HA304" s="221"/>
      <c r="HB304" s="221"/>
      <c r="HC304" s="221"/>
      <c r="HD304" s="221"/>
      <c r="HE304" s="221"/>
      <c r="HF304" s="221"/>
      <c r="HG304" s="221"/>
      <c r="HH304" s="221"/>
      <c r="HI304" s="221"/>
      <c r="HJ304" s="221"/>
      <c r="HK304" s="221"/>
      <c r="HL304" s="221"/>
      <c r="HM304" s="221"/>
      <c r="HN304" s="221"/>
      <c r="HO304" s="221"/>
      <c r="HP304" s="221"/>
      <c r="HQ304" s="221"/>
      <c r="HR304" s="221"/>
      <c r="HS304" s="221"/>
      <c r="HT304" s="221"/>
      <c r="HU304" s="221"/>
      <c r="HV304" s="221"/>
      <c r="HW304" s="221"/>
      <c r="HX304" s="221"/>
      <c r="HY304" s="221"/>
      <c r="HZ304" s="221"/>
      <c r="IA304" s="221"/>
      <c r="IB304" s="221"/>
      <c r="IC304" s="221"/>
      <c r="ID304" s="221"/>
      <c r="IE304" s="221"/>
      <c r="IF304" s="221"/>
      <c r="IG304" s="221"/>
      <c r="IH304" s="221"/>
      <c r="II304" s="221"/>
      <c r="IJ304" s="221"/>
      <c r="IK304" s="221"/>
      <c r="IL304" s="221"/>
      <c r="IM304" s="221"/>
      <c r="IN304" s="221"/>
      <c r="IO304" s="221"/>
      <c r="IP304" s="221"/>
      <c r="IQ304" s="221"/>
      <c r="IR304" s="221"/>
      <c r="IS304" s="221"/>
      <c r="IT304" s="221"/>
      <c r="IU304" s="221"/>
      <c r="IV304" s="221"/>
      <c r="IW304" s="221"/>
      <c r="IX304" s="221"/>
      <c r="IY304" s="221"/>
      <c r="IZ304" s="221"/>
      <c r="JA304" s="221"/>
      <c r="JB304" s="221"/>
      <c r="JC304" s="221"/>
      <c r="JD304" s="221"/>
      <c r="JE304" s="221"/>
      <c r="JF304" s="221"/>
      <c r="JG304" s="221"/>
      <c r="JH304" s="221"/>
      <c r="JI304" s="221"/>
      <c r="JJ304" s="221"/>
      <c r="JK304" s="221"/>
      <c r="JL304" s="221"/>
      <c r="JM304" s="221"/>
      <c r="JN304" s="221"/>
      <c r="JO304" s="221"/>
      <c r="JP304" s="221"/>
      <c r="JQ304" s="221"/>
    </row>
    <row r="305" spans="1:277" ht="20" customHeight="1" outlineLevel="1">
      <c r="A305" s="482">
        <v>190705</v>
      </c>
      <c r="B305" s="439">
        <v>42189</v>
      </c>
      <c r="C305" s="514" t="s">
        <v>1675</v>
      </c>
      <c r="D305" s="514" t="s">
        <v>1259</v>
      </c>
      <c r="E305" s="539" t="s">
        <v>2162</v>
      </c>
      <c r="F305" s="531" t="s">
        <v>1755</v>
      </c>
      <c r="G305" s="448" t="s">
        <v>2164</v>
      </c>
      <c r="H305" s="448"/>
      <c r="I305" s="443">
        <v>192946</v>
      </c>
      <c r="J305" s="837" t="s">
        <v>1975</v>
      </c>
      <c r="K305" s="514" t="s">
        <v>50</v>
      </c>
      <c r="L305" s="448">
        <v>122057512</v>
      </c>
      <c r="M305" s="439">
        <v>42203</v>
      </c>
      <c r="N305" s="514" t="s">
        <v>1756</v>
      </c>
      <c r="O305" s="514" t="s">
        <v>2229</v>
      </c>
      <c r="P305" s="516"/>
      <c r="Q305" s="629"/>
      <c r="R305" s="589">
        <v>0</v>
      </c>
      <c r="S305" s="590">
        <v>0</v>
      </c>
      <c r="T305" s="604">
        <v>0</v>
      </c>
      <c r="U305" s="596">
        <v>0</v>
      </c>
      <c r="V305" s="590">
        <v>0</v>
      </c>
      <c r="W305" s="604">
        <v>0</v>
      </c>
      <c r="X305" s="596">
        <v>0</v>
      </c>
      <c r="Y305" s="590">
        <v>0</v>
      </c>
      <c r="Z305" s="604">
        <v>0</v>
      </c>
      <c r="AA305" s="596">
        <v>0</v>
      </c>
      <c r="AB305" s="590">
        <v>0</v>
      </c>
      <c r="AC305" s="604">
        <v>0</v>
      </c>
      <c r="AD305" s="596">
        <v>0</v>
      </c>
      <c r="AE305" s="596">
        <v>0</v>
      </c>
      <c r="AF305" s="596">
        <v>0</v>
      </c>
      <c r="AG305" s="590">
        <v>0</v>
      </c>
      <c r="AH305" s="604">
        <v>0</v>
      </c>
      <c r="AI305" s="610">
        <v>0</v>
      </c>
      <c r="AJ305" s="610">
        <v>0</v>
      </c>
      <c r="AK305" s="629"/>
      <c r="AL305" s="531" t="s">
        <v>1268</v>
      </c>
      <c r="AM305" s="514">
        <v>60.4</v>
      </c>
      <c r="AN305" s="612">
        <v>0</v>
      </c>
      <c r="AO305" s="440" t="s">
        <v>2230</v>
      </c>
      <c r="AP305" s="37">
        <v>0</v>
      </c>
      <c r="AQ305" s="795">
        <f t="shared" si="31"/>
        <v>0</v>
      </c>
      <c r="AR305" s="835" t="e">
        <f t="shared" si="32"/>
        <v>#DIV/0!</v>
      </c>
      <c r="AS305" s="821"/>
      <c r="AT305" s="514" t="s">
        <v>1254</v>
      </c>
      <c r="AU305" s="448">
        <v>2</v>
      </c>
      <c r="AV305" s="448"/>
      <c r="AW305" s="448"/>
      <c r="AX305" s="612">
        <v>0</v>
      </c>
      <c r="AY305" s="514" t="s">
        <v>118</v>
      </c>
      <c r="AZ305" s="612"/>
      <c r="BA305" s="256" t="s">
        <v>47</v>
      </c>
      <c r="BB305" s="41">
        <v>0</v>
      </c>
      <c r="BC305" s="448"/>
      <c r="BD305" s="448"/>
      <c r="BE305" s="448"/>
      <c r="BF305" s="448"/>
      <c r="BG305" s="448"/>
      <c r="BH305" s="221"/>
      <c r="BI305" s="221"/>
      <c r="BJ305" s="221"/>
      <c r="BK305" s="221"/>
      <c r="BL305" s="221"/>
      <c r="BM305" s="221"/>
      <c r="BN305" s="221"/>
      <c r="BO305" s="221"/>
      <c r="BP305" s="221"/>
      <c r="BQ305" s="221"/>
      <c r="BR305" s="221"/>
      <c r="BS305" s="221"/>
      <c r="BT305" s="221"/>
      <c r="BU305" s="221"/>
      <c r="BV305" s="221"/>
      <c r="BW305" s="221"/>
      <c r="BX305" s="221"/>
      <c r="BY305" s="221"/>
      <c r="BZ305" s="221"/>
      <c r="CA305" s="221"/>
      <c r="CB305" s="221"/>
      <c r="CC305" s="221"/>
      <c r="CD305" s="221"/>
      <c r="CE305" s="221"/>
      <c r="CF305" s="221"/>
      <c r="CG305" s="221"/>
      <c r="CH305" s="221"/>
      <c r="CI305" s="221"/>
      <c r="CJ305" s="221"/>
      <c r="CK305" s="221"/>
      <c r="CL305" s="221"/>
      <c r="CM305" s="221"/>
      <c r="CN305" s="221"/>
      <c r="CO305" s="221"/>
      <c r="CP305" s="221"/>
      <c r="CQ305" s="221"/>
      <c r="CR305" s="221"/>
      <c r="CS305" s="221"/>
      <c r="CT305" s="221"/>
      <c r="CU305" s="221"/>
      <c r="CV305" s="221"/>
      <c r="CW305" s="221"/>
      <c r="CX305" s="221"/>
      <c r="CY305" s="221"/>
      <c r="CZ305" s="221"/>
      <c r="DA305" s="221"/>
      <c r="DB305" s="221"/>
      <c r="DC305" s="221"/>
      <c r="DD305" s="221"/>
      <c r="DE305" s="221"/>
      <c r="DF305" s="221"/>
      <c r="DG305" s="221"/>
      <c r="DH305" s="221"/>
      <c r="DI305" s="221"/>
      <c r="DJ305" s="221"/>
      <c r="DK305" s="221"/>
      <c r="DL305" s="221"/>
      <c r="DM305" s="221"/>
      <c r="DN305" s="221"/>
      <c r="DO305" s="221"/>
      <c r="DP305" s="221"/>
      <c r="DQ305" s="221"/>
      <c r="DR305" s="221"/>
      <c r="DS305" s="221"/>
      <c r="DT305" s="221"/>
      <c r="DU305" s="221"/>
      <c r="DV305" s="221"/>
      <c r="DW305" s="221"/>
      <c r="DX305" s="221"/>
      <c r="DY305" s="221"/>
      <c r="DZ305" s="221"/>
      <c r="EA305" s="221"/>
      <c r="EB305" s="221"/>
      <c r="EC305" s="221"/>
      <c r="ED305" s="221"/>
      <c r="EE305" s="221"/>
      <c r="EF305" s="221"/>
      <c r="EG305" s="221"/>
      <c r="EH305" s="221"/>
      <c r="EI305" s="221"/>
      <c r="EJ305" s="221"/>
      <c r="EK305" s="221"/>
      <c r="EL305" s="221"/>
      <c r="EM305" s="221"/>
      <c r="EN305" s="221"/>
      <c r="EO305" s="221"/>
      <c r="EP305" s="221"/>
      <c r="EQ305" s="221"/>
      <c r="ER305" s="221"/>
      <c r="ES305" s="221"/>
      <c r="ET305" s="221"/>
      <c r="EU305" s="221"/>
      <c r="EV305" s="221"/>
      <c r="EW305" s="221"/>
      <c r="EX305" s="221"/>
      <c r="EY305" s="221"/>
      <c r="EZ305" s="221"/>
      <c r="FA305" s="221"/>
      <c r="FB305" s="221"/>
      <c r="FC305" s="221"/>
      <c r="FD305" s="221"/>
      <c r="FE305" s="221"/>
      <c r="FF305" s="221"/>
      <c r="FG305" s="221"/>
      <c r="FH305" s="221"/>
      <c r="FI305" s="221"/>
      <c r="FJ305" s="221"/>
      <c r="FK305" s="221"/>
      <c r="FL305" s="221"/>
      <c r="FM305" s="221"/>
      <c r="FN305" s="221"/>
      <c r="FO305" s="221"/>
      <c r="FP305" s="221"/>
      <c r="FQ305" s="221"/>
      <c r="FR305" s="221"/>
      <c r="FS305" s="221"/>
      <c r="FT305" s="221"/>
      <c r="FU305" s="221"/>
      <c r="FV305" s="221"/>
      <c r="FW305" s="221"/>
      <c r="FX305" s="221"/>
      <c r="FY305" s="221"/>
      <c r="FZ305" s="221"/>
      <c r="GA305" s="221"/>
      <c r="GB305" s="221"/>
      <c r="GC305" s="221"/>
      <c r="GD305" s="221"/>
      <c r="GE305" s="221"/>
      <c r="GF305" s="221"/>
      <c r="GG305" s="221"/>
      <c r="GH305" s="221"/>
      <c r="GI305" s="221"/>
      <c r="GJ305" s="221"/>
      <c r="GK305" s="221"/>
      <c r="GL305" s="221"/>
      <c r="GM305" s="221"/>
      <c r="GN305" s="221"/>
      <c r="GO305" s="221"/>
      <c r="GP305" s="221"/>
      <c r="GQ305" s="221"/>
      <c r="GR305" s="221"/>
      <c r="GS305" s="221"/>
      <c r="GT305" s="221"/>
      <c r="GU305" s="221"/>
      <c r="GV305" s="221"/>
      <c r="GW305" s="221"/>
      <c r="GX305" s="221"/>
      <c r="GY305" s="221"/>
      <c r="GZ305" s="221"/>
      <c r="HA305" s="221"/>
      <c r="HB305" s="221"/>
      <c r="HC305" s="221"/>
      <c r="HD305" s="221"/>
      <c r="HE305" s="221"/>
      <c r="HF305" s="221"/>
      <c r="HG305" s="221"/>
      <c r="HH305" s="221"/>
      <c r="HI305" s="221"/>
      <c r="HJ305" s="221"/>
      <c r="HK305" s="221"/>
      <c r="HL305" s="221"/>
      <c r="HM305" s="221"/>
      <c r="HN305" s="221"/>
      <c r="HO305" s="221"/>
      <c r="HP305" s="221"/>
      <c r="HQ305" s="221"/>
      <c r="HR305" s="221"/>
      <c r="HS305" s="221"/>
      <c r="HT305" s="221"/>
      <c r="HU305" s="221"/>
      <c r="HV305" s="221"/>
      <c r="HW305" s="221"/>
      <c r="HX305" s="221"/>
      <c r="HY305" s="221"/>
      <c r="HZ305" s="221"/>
      <c r="IA305" s="221"/>
      <c r="IB305" s="221"/>
      <c r="IC305" s="221"/>
      <c r="ID305" s="221"/>
      <c r="IE305" s="221"/>
      <c r="IF305" s="221"/>
      <c r="IG305" s="221"/>
      <c r="IH305" s="221"/>
      <c r="II305" s="221"/>
      <c r="IJ305" s="221"/>
      <c r="IK305" s="221"/>
      <c r="IL305" s="221"/>
      <c r="IM305" s="221"/>
      <c r="IN305" s="221"/>
      <c r="IO305" s="221"/>
      <c r="IP305" s="221"/>
      <c r="IQ305" s="221"/>
      <c r="IR305" s="221"/>
      <c r="IS305" s="221"/>
      <c r="IT305" s="221"/>
      <c r="IU305" s="221"/>
      <c r="IV305" s="221"/>
      <c r="IW305" s="221"/>
      <c r="IX305" s="221"/>
      <c r="IY305" s="221"/>
      <c r="IZ305" s="221"/>
      <c r="JA305" s="221"/>
      <c r="JB305" s="221"/>
      <c r="JC305" s="221"/>
      <c r="JD305" s="221"/>
      <c r="JE305" s="221"/>
      <c r="JF305" s="221"/>
      <c r="JG305" s="221"/>
      <c r="JH305" s="221"/>
      <c r="JI305" s="221"/>
      <c r="JJ305" s="221"/>
      <c r="JK305" s="221"/>
      <c r="JL305" s="221"/>
      <c r="JM305" s="221"/>
      <c r="JN305" s="221"/>
      <c r="JO305" s="221"/>
      <c r="JP305" s="221"/>
      <c r="JQ305" s="221"/>
    </row>
    <row r="306" spans="1:277" ht="20" customHeight="1" outlineLevel="1">
      <c r="A306" s="482"/>
      <c r="B306" s="439">
        <v>42189</v>
      </c>
      <c r="C306" s="514" t="s">
        <v>44</v>
      </c>
      <c r="D306" s="514" t="s">
        <v>1259</v>
      </c>
      <c r="E306" s="539" t="s">
        <v>526</v>
      </c>
      <c r="F306" s="531" t="s">
        <v>47</v>
      </c>
      <c r="G306" s="448" t="s">
        <v>2191</v>
      </c>
      <c r="H306" s="448"/>
      <c r="I306" s="443">
        <v>192910</v>
      </c>
      <c r="J306" s="837" t="s">
        <v>2192</v>
      </c>
      <c r="K306" s="448" t="s">
        <v>50</v>
      </c>
      <c r="L306" s="448"/>
      <c r="M306" s="439"/>
      <c r="N306" s="514" t="s">
        <v>2009</v>
      </c>
      <c r="O306" s="514" t="s">
        <v>174</v>
      </c>
      <c r="P306" s="516" t="s">
        <v>2193</v>
      </c>
      <c r="Q306" s="629"/>
      <c r="R306" s="589">
        <v>0</v>
      </c>
      <c r="S306" s="590">
        <v>0</v>
      </c>
      <c r="T306" s="604">
        <v>0</v>
      </c>
      <c r="U306" s="596">
        <v>1</v>
      </c>
      <c r="V306" s="590">
        <v>0</v>
      </c>
      <c r="W306" s="604">
        <v>0</v>
      </c>
      <c r="X306" s="596">
        <v>0</v>
      </c>
      <c r="Y306" s="590">
        <v>0</v>
      </c>
      <c r="Z306" s="604">
        <v>0</v>
      </c>
      <c r="AA306" s="596">
        <v>0</v>
      </c>
      <c r="AB306" s="590">
        <v>0</v>
      </c>
      <c r="AC306" s="604">
        <v>0</v>
      </c>
      <c r="AD306" s="596">
        <v>0</v>
      </c>
      <c r="AE306" s="596">
        <v>0</v>
      </c>
      <c r="AF306" s="596">
        <v>0</v>
      </c>
      <c r="AG306" s="590">
        <v>0</v>
      </c>
      <c r="AH306" s="604">
        <v>0</v>
      </c>
      <c r="AI306" s="610">
        <v>0</v>
      </c>
      <c r="AJ306" s="610">
        <v>0</v>
      </c>
      <c r="AK306" s="629"/>
      <c r="AL306" s="530" t="s">
        <v>1799</v>
      </c>
      <c r="AM306" s="448"/>
      <c r="AN306" s="612">
        <v>86.4</v>
      </c>
      <c r="AO306" s="440" t="s">
        <v>2228</v>
      </c>
      <c r="AP306" s="37">
        <v>140.4</v>
      </c>
      <c r="AQ306" s="795">
        <f t="shared" si="31"/>
        <v>54</v>
      </c>
      <c r="AR306" s="835">
        <f t="shared" si="32"/>
        <v>0.38461538461538458</v>
      </c>
      <c r="AS306" s="821"/>
      <c r="AT306" s="514" t="s">
        <v>1254</v>
      </c>
      <c r="AU306" s="448">
        <v>1</v>
      </c>
      <c r="AV306" s="448"/>
      <c r="AW306" s="448"/>
      <c r="AX306" s="612">
        <v>0</v>
      </c>
      <c r="AY306" s="514" t="s">
        <v>118</v>
      </c>
      <c r="AZ306" s="612"/>
      <c r="BA306" s="256"/>
      <c r="BB306" s="41"/>
      <c r="BC306" s="448"/>
      <c r="BD306" s="448"/>
      <c r="BE306" s="448"/>
      <c r="BF306" s="448"/>
      <c r="BG306" s="448"/>
      <c r="BH306" s="221"/>
      <c r="BI306" s="221"/>
      <c r="BJ306" s="221"/>
      <c r="BK306" s="221"/>
      <c r="BL306" s="221"/>
      <c r="BM306" s="221"/>
      <c r="BN306" s="221"/>
      <c r="BO306" s="221"/>
      <c r="BP306" s="221"/>
      <c r="BQ306" s="221"/>
      <c r="BR306" s="221"/>
      <c r="BS306" s="221"/>
      <c r="BT306" s="221"/>
      <c r="BU306" s="221"/>
      <c r="BV306" s="221"/>
      <c r="BW306" s="221"/>
      <c r="BX306" s="221"/>
      <c r="BY306" s="221"/>
      <c r="BZ306" s="221"/>
      <c r="CA306" s="221"/>
      <c r="CB306" s="221"/>
      <c r="CC306" s="221"/>
      <c r="CD306" s="221"/>
      <c r="CE306" s="221"/>
      <c r="CF306" s="221"/>
      <c r="CG306" s="221"/>
      <c r="CH306" s="221"/>
      <c r="CI306" s="221"/>
      <c r="CJ306" s="221"/>
      <c r="CK306" s="221"/>
      <c r="CL306" s="221"/>
      <c r="CM306" s="221"/>
      <c r="CN306" s="221"/>
      <c r="CO306" s="221"/>
      <c r="CP306" s="221"/>
      <c r="CQ306" s="221"/>
      <c r="CR306" s="221"/>
      <c r="CS306" s="221"/>
      <c r="CT306" s="221"/>
      <c r="CU306" s="221"/>
      <c r="CV306" s="221"/>
      <c r="CW306" s="221"/>
      <c r="CX306" s="221"/>
      <c r="CY306" s="221"/>
      <c r="CZ306" s="221"/>
      <c r="DA306" s="221"/>
      <c r="DB306" s="221"/>
      <c r="DC306" s="221"/>
      <c r="DD306" s="221"/>
      <c r="DE306" s="221"/>
      <c r="DF306" s="221"/>
      <c r="DG306" s="221"/>
      <c r="DH306" s="221"/>
      <c r="DI306" s="221"/>
      <c r="DJ306" s="221"/>
      <c r="DK306" s="221"/>
      <c r="DL306" s="221"/>
      <c r="DM306" s="221"/>
      <c r="DN306" s="221"/>
      <c r="DO306" s="221"/>
      <c r="DP306" s="221"/>
      <c r="DQ306" s="221"/>
      <c r="DR306" s="221"/>
      <c r="DS306" s="221"/>
      <c r="DT306" s="221"/>
      <c r="DU306" s="221"/>
      <c r="DV306" s="221"/>
      <c r="DW306" s="221"/>
      <c r="DX306" s="221"/>
      <c r="DY306" s="221"/>
      <c r="DZ306" s="221"/>
      <c r="EA306" s="221"/>
      <c r="EB306" s="221"/>
      <c r="EC306" s="221"/>
      <c r="ED306" s="221"/>
      <c r="EE306" s="221"/>
      <c r="EF306" s="221"/>
      <c r="EG306" s="221"/>
      <c r="EH306" s="221"/>
      <c r="EI306" s="221"/>
      <c r="EJ306" s="221"/>
      <c r="EK306" s="221"/>
      <c r="EL306" s="221"/>
      <c r="EM306" s="221"/>
      <c r="EN306" s="221"/>
      <c r="EO306" s="221"/>
      <c r="EP306" s="221"/>
      <c r="EQ306" s="221"/>
      <c r="ER306" s="221"/>
      <c r="ES306" s="221"/>
      <c r="ET306" s="221"/>
      <c r="EU306" s="221"/>
      <c r="EV306" s="221"/>
      <c r="EW306" s="221"/>
      <c r="EX306" s="221"/>
      <c r="EY306" s="221"/>
      <c r="EZ306" s="221"/>
      <c r="FA306" s="221"/>
      <c r="FB306" s="221"/>
      <c r="FC306" s="221"/>
      <c r="FD306" s="221"/>
      <c r="FE306" s="221"/>
      <c r="FF306" s="221"/>
      <c r="FG306" s="221"/>
      <c r="FH306" s="221"/>
      <c r="FI306" s="221"/>
      <c r="FJ306" s="221"/>
      <c r="FK306" s="221"/>
      <c r="FL306" s="221"/>
      <c r="FM306" s="221"/>
      <c r="FN306" s="221"/>
      <c r="FO306" s="221"/>
      <c r="FP306" s="221"/>
      <c r="FQ306" s="221"/>
      <c r="FR306" s="221"/>
      <c r="FS306" s="221"/>
      <c r="FT306" s="221"/>
      <c r="FU306" s="221"/>
      <c r="FV306" s="221"/>
      <c r="FW306" s="221"/>
      <c r="FX306" s="221"/>
      <c r="FY306" s="221"/>
      <c r="FZ306" s="221"/>
      <c r="GA306" s="221"/>
      <c r="GB306" s="221"/>
      <c r="GC306" s="221"/>
      <c r="GD306" s="221"/>
      <c r="GE306" s="221"/>
      <c r="GF306" s="221"/>
      <c r="GG306" s="221"/>
      <c r="GH306" s="221"/>
      <c r="GI306" s="221"/>
      <c r="GJ306" s="221"/>
      <c r="GK306" s="221"/>
      <c r="GL306" s="221"/>
      <c r="GM306" s="221"/>
      <c r="GN306" s="221"/>
      <c r="GO306" s="221"/>
      <c r="GP306" s="221"/>
      <c r="GQ306" s="221"/>
      <c r="GR306" s="221"/>
      <c r="GS306" s="221"/>
      <c r="GT306" s="221"/>
      <c r="GU306" s="221"/>
      <c r="GV306" s="221"/>
      <c r="GW306" s="221"/>
      <c r="GX306" s="221"/>
      <c r="GY306" s="221"/>
      <c r="GZ306" s="221"/>
      <c r="HA306" s="221"/>
      <c r="HB306" s="221"/>
      <c r="HC306" s="221"/>
      <c r="HD306" s="221"/>
      <c r="HE306" s="221"/>
      <c r="HF306" s="221"/>
      <c r="HG306" s="221"/>
      <c r="HH306" s="221"/>
      <c r="HI306" s="221"/>
      <c r="HJ306" s="221"/>
      <c r="HK306" s="221"/>
      <c r="HL306" s="221"/>
      <c r="HM306" s="221"/>
      <c r="HN306" s="221"/>
      <c r="HO306" s="221"/>
      <c r="HP306" s="221"/>
      <c r="HQ306" s="221"/>
      <c r="HR306" s="221"/>
      <c r="HS306" s="221"/>
      <c r="HT306" s="221"/>
      <c r="HU306" s="221"/>
      <c r="HV306" s="221"/>
      <c r="HW306" s="221"/>
      <c r="HX306" s="221"/>
      <c r="HY306" s="221"/>
      <c r="HZ306" s="221"/>
      <c r="IA306" s="221"/>
      <c r="IB306" s="221"/>
      <c r="IC306" s="221"/>
      <c r="ID306" s="221"/>
      <c r="IE306" s="221"/>
      <c r="IF306" s="221"/>
      <c r="IG306" s="221"/>
      <c r="IH306" s="221"/>
      <c r="II306" s="221"/>
      <c r="IJ306" s="221"/>
      <c r="IK306" s="221"/>
      <c r="IL306" s="221"/>
      <c r="IM306" s="221"/>
      <c r="IN306" s="221"/>
      <c r="IO306" s="221"/>
      <c r="IP306" s="221"/>
      <c r="IQ306" s="221"/>
      <c r="IR306" s="221"/>
      <c r="IS306" s="221"/>
      <c r="IT306" s="221"/>
      <c r="IU306" s="221"/>
      <c r="IV306" s="221"/>
      <c r="IW306" s="221"/>
      <c r="IX306" s="221"/>
      <c r="IY306" s="221"/>
      <c r="IZ306" s="221"/>
      <c r="JA306" s="221"/>
      <c r="JB306" s="221"/>
      <c r="JC306" s="221"/>
      <c r="JD306" s="221"/>
      <c r="JE306" s="221"/>
      <c r="JF306" s="221"/>
      <c r="JG306" s="221"/>
      <c r="JH306" s="221"/>
      <c r="JI306" s="221"/>
      <c r="JJ306" s="221"/>
      <c r="JK306" s="221"/>
      <c r="JL306" s="221"/>
      <c r="JM306" s="221"/>
      <c r="JN306" s="221"/>
      <c r="JO306" s="221"/>
      <c r="JP306" s="221"/>
      <c r="JQ306" s="221"/>
    </row>
    <row r="307" spans="1:277" ht="20" customHeight="1" outlineLevel="1">
      <c r="A307" s="482">
        <v>190706</v>
      </c>
      <c r="B307" s="439">
        <v>42192</v>
      </c>
      <c r="C307" s="514" t="s">
        <v>67</v>
      </c>
      <c r="D307" s="514" t="s">
        <v>1259</v>
      </c>
      <c r="E307" s="539" t="s">
        <v>526</v>
      </c>
      <c r="F307" s="531" t="s">
        <v>2174</v>
      </c>
      <c r="G307" s="514" t="s">
        <v>2175</v>
      </c>
      <c r="H307" s="448"/>
      <c r="I307" s="443">
        <v>192899</v>
      </c>
      <c r="J307" s="838" t="s">
        <v>62</v>
      </c>
      <c r="K307" s="514" t="s">
        <v>50</v>
      </c>
      <c r="L307" s="448">
        <v>119748637</v>
      </c>
      <c r="M307" s="439">
        <v>42196</v>
      </c>
      <c r="N307" s="514" t="s">
        <v>2177</v>
      </c>
      <c r="O307" s="514" t="s">
        <v>2178</v>
      </c>
      <c r="P307" s="516"/>
      <c r="Q307" s="629"/>
      <c r="R307" s="589">
        <v>0</v>
      </c>
      <c r="S307" s="590">
        <v>0</v>
      </c>
      <c r="T307" s="604">
        <v>0</v>
      </c>
      <c r="U307" s="596">
        <v>0</v>
      </c>
      <c r="V307" s="590">
        <v>0</v>
      </c>
      <c r="W307" s="604">
        <v>0</v>
      </c>
      <c r="X307" s="596">
        <v>0</v>
      </c>
      <c r="Y307" s="590">
        <v>0</v>
      </c>
      <c r="Z307" s="604">
        <v>0</v>
      </c>
      <c r="AA307" s="596">
        <v>0</v>
      </c>
      <c r="AB307" s="590">
        <v>0</v>
      </c>
      <c r="AC307" s="604">
        <v>0</v>
      </c>
      <c r="AD307" s="596">
        <v>0</v>
      </c>
      <c r="AE307" s="596">
        <v>2</v>
      </c>
      <c r="AF307" s="596">
        <v>0</v>
      </c>
      <c r="AG307" s="590">
        <v>0</v>
      </c>
      <c r="AH307" s="604">
        <v>0</v>
      </c>
      <c r="AI307" s="610">
        <v>0</v>
      </c>
      <c r="AJ307" s="610">
        <v>0</v>
      </c>
      <c r="AK307" s="629"/>
      <c r="AL307" s="531" t="s">
        <v>1687</v>
      </c>
      <c r="AM307" s="448"/>
      <c r="AN307" s="612">
        <f>2*PRODUCTS!C9</f>
        <v>31.5</v>
      </c>
      <c r="AO307" s="440" t="s">
        <v>2179</v>
      </c>
      <c r="AP307" s="37">
        <v>196.8</v>
      </c>
      <c r="AQ307" s="795">
        <f t="shared" si="31"/>
        <v>165.3</v>
      </c>
      <c r="AR307" s="835">
        <f t="shared" si="32"/>
        <v>0.83993902439024393</v>
      </c>
      <c r="AS307" s="821"/>
      <c r="AT307" s="514" t="s">
        <v>1254</v>
      </c>
      <c r="AU307" s="448">
        <v>1</v>
      </c>
      <c r="AV307" s="448"/>
      <c r="AW307" s="448"/>
      <c r="AX307" s="612">
        <v>10</v>
      </c>
      <c r="AY307" s="448"/>
      <c r="AZ307" s="612"/>
      <c r="BA307" s="256" t="s">
        <v>47</v>
      </c>
      <c r="BB307" s="41">
        <v>0</v>
      </c>
      <c r="BC307" s="448"/>
      <c r="BD307" s="448"/>
      <c r="BE307" s="448"/>
      <c r="BF307" s="448"/>
      <c r="BG307" s="448"/>
      <c r="BH307" s="221"/>
      <c r="BI307" s="221"/>
      <c r="BJ307" s="221"/>
      <c r="BK307" s="221"/>
      <c r="BL307" s="221"/>
      <c r="BM307" s="221"/>
      <c r="BN307" s="221"/>
      <c r="BO307" s="221"/>
      <c r="BP307" s="221"/>
      <c r="BQ307" s="221"/>
      <c r="BR307" s="221"/>
      <c r="BS307" s="221"/>
      <c r="BT307" s="221"/>
      <c r="BU307" s="221"/>
      <c r="BV307" s="221"/>
      <c r="BW307" s="221"/>
      <c r="BX307" s="221"/>
      <c r="BY307" s="221"/>
      <c r="BZ307" s="221"/>
      <c r="CA307" s="221"/>
      <c r="CB307" s="221"/>
      <c r="CC307" s="221"/>
      <c r="CD307" s="221"/>
      <c r="CE307" s="221"/>
      <c r="CF307" s="221"/>
      <c r="CG307" s="221"/>
      <c r="CH307" s="221"/>
      <c r="CI307" s="221"/>
      <c r="CJ307" s="221"/>
      <c r="CK307" s="221"/>
      <c r="CL307" s="221"/>
      <c r="CM307" s="221"/>
      <c r="CN307" s="221"/>
      <c r="CO307" s="221"/>
      <c r="CP307" s="221"/>
      <c r="CQ307" s="221"/>
      <c r="CR307" s="221"/>
      <c r="CS307" s="221"/>
      <c r="CT307" s="221"/>
      <c r="CU307" s="221"/>
      <c r="CV307" s="221"/>
      <c r="CW307" s="221"/>
      <c r="CX307" s="221"/>
      <c r="CY307" s="221"/>
      <c r="CZ307" s="221"/>
      <c r="DA307" s="221"/>
      <c r="DB307" s="221"/>
      <c r="DC307" s="221"/>
      <c r="DD307" s="221"/>
      <c r="DE307" s="221"/>
      <c r="DF307" s="221"/>
      <c r="DG307" s="221"/>
      <c r="DH307" s="221"/>
      <c r="DI307" s="221"/>
      <c r="DJ307" s="221"/>
      <c r="DK307" s="221"/>
      <c r="DL307" s="221"/>
      <c r="DM307" s="221"/>
      <c r="DN307" s="221"/>
      <c r="DO307" s="221"/>
      <c r="DP307" s="221"/>
      <c r="DQ307" s="221"/>
      <c r="DR307" s="221"/>
      <c r="DS307" s="221"/>
      <c r="DT307" s="221"/>
      <c r="DU307" s="221"/>
      <c r="DV307" s="221"/>
      <c r="DW307" s="221"/>
      <c r="DX307" s="221"/>
      <c r="DY307" s="221"/>
      <c r="DZ307" s="221"/>
      <c r="EA307" s="221"/>
      <c r="EB307" s="221"/>
      <c r="EC307" s="221"/>
      <c r="ED307" s="221"/>
      <c r="EE307" s="221"/>
      <c r="EF307" s="221"/>
      <c r="EG307" s="221"/>
      <c r="EH307" s="221"/>
      <c r="EI307" s="221"/>
      <c r="EJ307" s="221"/>
      <c r="EK307" s="221"/>
      <c r="EL307" s="221"/>
      <c r="EM307" s="221"/>
      <c r="EN307" s="221"/>
      <c r="EO307" s="221"/>
      <c r="EP307" s="221"/>
      <c r="EQ307" s="221"/>
      <c r="ER307" s="221"/>
      <c r="ES307" s="221"/>
      <c r="ET307" s="221"/>
      <c r="EU307" s="221"/>
      <c r="EV307" s="221"/>
      <c r="EW307" s="221"/>
      <c r="EX307" s="221"/>
      <c r="EY307" s="221"/>
      <c r="EZ307" s="221"/>
      <c r="FA307" s="221"/>
      <c r="FB307" s="221"/>
      <c r="FC307" s="221"/>
      <c r="FD307" s="221"/>
      <c r="FE307" s="221"/>
      <c r="FF307" s="221"/>
      <c r="FG307" s="221"/>
      <c r="FH307" s="221"/>
      <c r="FI307" s="221"/>
      <c r="FJ307" s="221"/>
      <c r="FK307" s="221"/>
      <c r="FL307" s="221"/>
      <c r="FM307" s="221"/>
      <c r="FN307" s="221"/>
      <c r="FO307" s="221"/>
      <c r="FP307" s="221"/>
      <c r="FQ307" s="221"/>
      <c r="FR307" s="221"/>
      <c r="FS307" s="221"/>
      <c r="FT307" s="221"/>
      <c r="FU307" s="221"/>
      <c r="FV307" s="221"/>
      <c r="FW307" s="221"/>
      <c r="FX307" s="221"/>
      <c r="FY307" s="221"/>
      <c r="FZ307" s="221"/>
      <c r="GA307" s="221"/>
      <c r="GB307" s="221"/>
      <c r="GC307" s="221"/>
      <c r="GD307" s="221"/>
      <c r="GE307" s="221"/>
      <c r="GF307" s="221"/>
      <c r="GG307" s="221"/>
      <c r="GH307" s="221"/>
      <c r="GI307" s="221"/>
      <c r="GJ307" s="221"/>
      <c r="GK307" s="221"/>
      <c r="GL307" s="221"/>
      <c r="GM307" s="221"/>
      <c r="GN307" s="221"/>
      <c r="GO307" s="221"/>
      <c r="GP307" s="221"/>
      <c r="GQ307" s="221"/>
      <c r="GR307" s="221"/>
      <c r="GS307" s="221"/>
      <c r="GT307" s="221"/>
      <c r="GU307" s="221"/>
      <c r="GV307" s="221"/>
      <c r="GW307" s="221"/>
      <c r="GX307" s="221"/>
      <c r="GY307" s="221"/>
      <c r="GZ307" s="221"/>
      <c r="HA307" s="221"/>
      <c r="HB307" s="221"/>
      <c r="HC307" s="221"/>
      <c r="HD307" s="221"/>
      <c r="HE307" s="221"/>
      <c r="HF307" s="221"/>
      <c r="HG307" s="221"/>
      <c r="HH307" s="221"/>
      <c r="HI307" s="221"/>
      <c r="HJ307" s="221"/>
      <c r="HK307" s="221"/>
      <c r="HL307" s="221"/>
      <c r="HM307" s="221"/>
      <c r="HN307" s="221"/>
      <c r="HO307" s="221"/>
      <c r="HP307" s="221"/>
      <c r="HQ307" s="221"/>
      <c r="HR307" s="221"/>
      <c r="HS307" s="221"/>
      <c r="HT307" s="221"/>
      <c r="HU307" s="221"/>
      <c r="HV307" s="221"/>
      <c r="HW307" s="221"/>
      <c r="HX307" s="221"/>
      <c r="HY307" s="221"/>
      <c r="HZ307" s="221"/>
      <c r="IA307" s="221"/>
      <c r="IB307" s="221"/>
      <c r="IC307" s="221"/>
      <c r="ID307" s="221"/>
      <c r="IE307" s="221"/>
      <c r="IF307" s="221"/>
      <c r="IG307" s="221"/>
      <c r="IH307" s="221"/>
      <c r="II307" s="221"/>
      <c r="IJ307" s="221"/>
      <c r="IK307" s="221"/>
      <c r="IL307" s="221"/>
      <c r="IM307" s="221"/>
      <c r="IN307" s="221"/>
      <c r="IO307" s="221"/>
      <c r="IP307" s="221"/>
      <c r="IQ307" s="221"/>
      <c r="IR307" s="221"/>
      <c r="IS307" s="221"/>
      <c r="IT307" s="221"/>
      <c r="IU307" s="221"/>
      <c r="IV307" s="221"/>
      <c r="IW307" s="221"/>
      <c r="IX307" s="221"/>
      <c r="IY307" s="221"/>
      <c r="IZ307" s="221"/>
      <c r="JA307" s="221"/>
      <c r="JB307" s="221"/>
      <c r="JC307" s="221"/>
      <c r="JD307" s="221"/>
      <c r="JE307" s="221"/>
      <c r="JF307" s="221"/>
      <c r="JG307" s="221"/>
      <c r="JH307" s="221"/>
      <c r="JI307" s="221"/>
      <c r="JJ307" s="221"/>
      <c r="JK307" s="221"/>
      <c r="JL307" s="221"/>
      <c r="JM307" s="221"/>
      <c r="JN307" s="221"/>
      <c r="JO307" s="221"/>
      <c r="JP307" s="221"/>
      <c r="JQ307" s="221"/>
    </row>
    <row r="308" spans="1:277" ht="20" customHeight="1" outlineLevel="1">
      <c r="A308" s="482">
        <v>190707</v>
      </c>
      <c r="B308" s="439">
        <v>42192</v>
      </c>
      <c r="C308" s="514" t="s">
        <v>67</v>
      </c>
      <c r="D308" s="514" t="s">
        <v>1259</v>
      </c>
      <c r="E308" s="539" t="s">
        <v>60</v>
      </c>
      <c r="F308" s="531" t="s">
        <v>47</v>
      </c>
      <c r="G308" s="514" t="s">
        <v>47</v>
      </c>
      <c r="H308" s="514" t="s">
        <v>47</v>
      </c>
      <c r="I308" s="443" t="s">
        <v>47</v>
      </c>
      <c r="J308" s="838" t="s">
        <v>62</v>
      </c>
      <c r="K308" s="514" t="s">
        <v>50</v>
      </c>
      <c r="L308" s="448"/>
      <c r="M308" s="439"/>
      <c r="N308" s="514" t="s">
        <v>2180</v>
      </c>
      <c r="O308" s="514" t="s">
        <v>2181</v>
      </c>
      <c r="P308" s="516"/>
      <c r="Q308" s="629"/>
      <c r="R308" s="589">
        <v>0</v>
      </c>
      <c r="S308" s="590">
        <v>0</v>
      </c>
      <c r="T308" s="604">
        <v>0</v>
      </c>
      <c r="U308" s="596">
        <v>0</v>
      </c>
      <c r="V308" s="590">
        <v>0</v>
      </c>
      <c r="W308" s="604">
        <v>0</v>
      </c>
      <c r="X308" s="596">
        <v>0</v>
      </c>
      <c r="Y308" s="590">
        <v>0</v>
      </c>
      <c r="Z308" s="604">
        <v>0</v>
      </c>
      <c r="AA308" s="596">
        <v>0</v>
      </c>
      <c r="AB308" s="590">
        <v>0</v>
      </c>
      <c r="AC308" s="604">
        <v>0</v>
      </c>
      <c r="AD308" s="596">
        <v>0</v>
      </c>
      <c r="AE308" s="596">
        <v>0</v>
      </c>
      <c r="AF308" s="596">
        <v>0</v>
      </c>
      <c r="AG308" s="590">
        <v>0</v>
      </c>
      <c r="AH308" s="604">
        <v>0</v>
      </c>
      <c r="AI308" s="610">
        <v>0</v>
      </c>
      <c r="AJ308" s="610">
        <v>0</v>
      </c>
      <c r="AK308" s="629"/>
      <c r="AL308" s="530"/>
      <c r="AM308" s="448"/>
      <c r="AN308" s="612"/>
      <c r="AO308" s="440" t="s">
        <v>47</v>
      </c>
      <c r="AP308" s="37"/>
      <c r="AQ308" s="795">
        <f t="shared" si="31"/>
        <v>0</v>
      </c>
      <c r="AR308" s="835" t="e">
        <f t="shared" si="32"/>
        <v>#DIV/0!</v>
      </c>
      <c r="AS308" s="821"/>
      <c r="AT308" s="514" t="s">
        <v>1245</v>
      </c>
      <c r="AU308" s="448">
        <v>1</v>
      </c>
      <c r="AV308" s="448"/>
      <c r="AW308" s="448"/>
      <c r="AX308" s="612">
        <v>0</v>
      </c>
      <c r="AY308" s="448"/>
      <c r="AZ308" s="612">
        <v>10</v>
      </c>
      <c r="BA308" s="256" t="s">
        <v>47</v>
      </c>
      <c r="BB308" s="41">
        <v>0</v>
      </c>
      <c r="BC308" s="448"/>
      <c r="BD308" s="448"/>
      <c r="BE308" s="448"/>
      <c r="BF308" s="448"/>
      <c r="BG308" s="448"/>
      <c r="BH308" s="221"/>
      <c r="BI308" s="221"/>
      <c r="BJ308" s="221"/>
      <c r="BK308" s="221"/>
      <c r="BL308" s="221"/>
      <c r="BM308" s="221"/>
      <c r="BN308" s="221"/>
      <c r="BO308" s="221"/>
      <c r="BP308" s="221"/>
      <c r="BQ308" s="221"/>
      <c r="BR308" s="221"/>
      <c r="BS308" s="221"/>
      <c r="BT308" s="221"/>
      <c r="BU308" s="221"/>
      <c r="BV308" s="221"/>
      <c r="BW308" s="221"/>
      <c r="BX308" s="221"/>
      <c r="BY308" s="221"/>
      <c r="BZ308" s="221"/>
      <c r="CA308" s="221"/>
      <c r="CB308" s="221"/>
      <c r="CC308" s="221"/>
      <c r="CD308" s="221"/>
      <c r="CE308" s="221"/>
      <c r="CF308" s="221"/>
      <c r="CG308" s="221"/>
      <c r="CH308" s="221"/>
      <c r="CI308" s="221"/>
      <c r="CJ308" s="221"/>
      <c r="CK308" s="221"/>
      <c r="CL308" s="221"/>
      <c r="CM308" s="221"/>
      <c r="CN308" s="221"/>
      <c r="CO308" s="221"/>
      <c r="CP308" s="221"/>
      <c r="CQ308" s="221"/>
      <c r="CR308" s="221"/>
      <c r="CS308" s="221"/>
      <c r="CT308" s="221"/>
      <c r="CU308" s="221"/>
      <c r="CV308" s="221"/>
      <c r="CW308" s="221"/>
      <c r="CX308" s="221"/>
      <c r="CY308" s="221"/>
      <c r="CZ308" s="221"/>
      <c r="DA308" s="221"/>
      <c r="DB308" s="221"/>
      <c r="DC308" s="221"/>
      <c r="DD308" s="221"/>
      <c r="DE308" s="221"/>
      <c r="DF308" s="221"/>
      <c r="DG308" s="221"/>
      <c r="DH308" s="221"/>
      <c r="DI308" s="221"/>
      <c r="DJ308" s="221"/>
      <c r="DK308" s="221"/>
      <c r="DL308" s="221"/>
      <c r="DM308" s="221"/>
      <c r="DN308" s="221"/>
      <c r="DO308" s="221"/>
      <c r="DP308" s="221"/>
      <c r="DQ308" s="221"/>
      <c r="DR308" s="221"/>
      <c r="DS308" s="221"/>
      <c r="DT308" s="221"/>
      <c r="DU308" s="221"/>
      <c r="DV308" s="221"/>
      <c r="DW308" s="221"/>
      <c r="DX308" s="221"/>
      <c r="DY308" s="221"/>
      <c r="DZ308" s="221"/>
      <c r="EA308" s="221"/>
      <c r="EB308" s="221"/>
      <c r="EC308" s="221"/>
      <c r="ED308" s="221"/>
      <c r="EE308" s="221"/>
      <c r="EF308" s="221"/>
      <c r="EG308" s="221"/>
      <c r="EH308" s="221"/>
      <c r="EI308" s="221"/>
      <c r="EJ308" s="221"/>
      <c r="EK308" s="221"/>
      <c r="EL308" s="221"/>
      <c r="EM308" s="221"/>
      <c r="EN308" s="221"/>
      <c r="EO308" s="221"/>
      <c r="EP308" s="221"/>
      <c r="EQ308" s="221"/>
      <c r="ER308" s="221"/>
      <c r="ES308" s="221"/>
      <c r="ET308" s="221"/>
      <c r="EU308" s="221"/>
      <c r="EV308" s="221"/>
      <c r="EW308" s="221"/>
      <c r="EX308" s="221"/>
      <c r="EY308" s="221"/>
      <c r="EZ308" s="221"/>
      <c r="FA308" s="221"/>
      <c r="FB308" s="221"/>
      <c r="FC308" s="221"/>
      <c r="FD308" s="221"/>
      <c r="FE308" s="221"/>
      <c r="FF308" s="221"/>
      <c r="FG308" s="221"/>
      <c r="FH308" s="221"/>
      <c r="FI308" s="221"/>
      <c r="FJ308" s="221"/>
      <c r="FK308" s="221"/>
      <c r="FL308" s="221"/>
      <c r="FM308" s="221"/>
      <c r="FN308" s="221"/>
      <c r="FO308" s="221"/>
      <c r="FP308" s="221"/>
      <c r="FQ308" s="221"/>
      <c r="FR308" s="221"/>
      <c r="FS308" s="221"/>
      <c r="FT308" s="221"/>
      <c r="FU308" s="221"/>
      <c r="FV308" s="221"/>
      <c r="FW308" s="221"/>
      <c r="FX308" s="221"/>
      <c r="FY308" s="221"/>
      <c r="FZ308" s="221"/>
      <c r="GA308" s="221"/>
      <c r="GB308" s="221"/>
      <c r="GC308" s="221"/>
      <c r="GD308" s="221"/>
      <c r="GE308" s="221"/>
      <c r="GF308" s="221"/>
      <c r="GG308" s="221"/>
      <c r="GH308" s="221"/>
      <c r="GI308" s="221"/>
      <c r="GJ308" s="221"/>
      <c r="GK308" s="221"/>
      <c r="GL308" s="221"/>
      <c r="GM308" s="221"/>
      <c r="GN308" s="221"/>
      <c r="GO308" s="221"/>
      <c r="GP308" s="221"/>
      <c r="GQ308" s="221"/>
      <c r="GR308" s="221"/>
      <c r="GS308" s="221"/>
      <c r="GT308" s="221"/>
      <c r="GU308" s="221"/>
      <c r="GV308" s="221"/>
      <c r="GW308" s="221"/>
      <c r="GX308" s="221"/>
      <c r="GY308" s="221"/>
      <c r="GZ308" s="221"/>
      <c r="HA308" s="221"/>
      <c r="HB308" s="221"/>
      <c r="HC308" s="221"/>
      <c r="HD308" s="221"/>
      <c r="HE308" s="221"/>
      <c r="HF308" s="221"/>
      <c r="HG308" s="221"/>
      <c r="HH308" s="221"/>
      <c r="HI308" s="221"/>
      <c r="HJ308" s="221"/>
      <c r="HK308" s="221"/>
      <c r="HL308" s="221"/>
      <c r="HM308" s="221"/>
      <c r="HN308" s="221"/>
      <c r="HO308" s="221"/>
      <c r="HP308" s="221"/>
      <c r="HQ308" s="221"/>
      <c r="HR308" s="221"/>
      <c r="HS308" s="221"/>
      <c r="HT308" s="221"/>
      <c r="HU308" s="221"/>
      <c r="HV308" s="221"/>
      <c r="HW308" s="221"/>
      <c r="HX308" s="221"/>
      <c r="HY308" s="221"/>
      <c r="HZ308" s="221"/>
      <c r="IA308" s="221"/>
      <c r="IB308" s="221"/>
      <c r="IC308" s="221"/>
      <c r="ID308" s="221"/>
      <c r="IE308" s="221"/>
      <c r="IF308" s="221"/>
      <c r="IG308" s="221"/>
      <c r="IH308" s="221"/>
      <c r="II308" s="221"/>
      <c r="IJ308" s="221"/>
      <c r="IK308" s="221"/>
      <c r="IL308" s="221"/>
      <c r="IM308" s="221"/>
      <c r="IN308" s="221"/>
      <c r="IO308" s="221"/>
      <c r="IP308" s="221"/>
      <c r="IQ308" s="221"/>
      <c r="IR308" s="221"/>
      <c r="IS308" s="221"/>
      <c r="IT308" s="221"/>
      <c r="IU308" s="221"/>
      <c r="IV308" s="221"/>
      <c r="IW308" s="221"/>
      <c r="IX308" s="221"/>
      <c r="IY308" s="221"/>
      <c r="IZ308" s="221"/>
      <c r="JA308" s="221"/>
      <c r="JB308" s="221"/>
      <c r="JC308" s="221"/>
      <c r="JD308" s="221"/>
      <c r="JE308" s="221"/>
      <c r="JF308" s="221"/>
      <c r="JG308" s="221"/>
      <c r="JH308" s="221"/>
      <c r="JI308" s="221"/>
      <c r="JJ308" s="221"/>
      <c r="JK308" s="221"/>
      <c r="JL308" s="221"/>
      <c r="JM308" s="221"/>
      <c r="JN308" s="221"/>
      <c r="JO308" s="221"/>
      <c r="JP308" s="221"/>
      <c r="JQ308" s="221"/>
    </row>
    <row r="309" spans="1:277" ht="20" customHeight="1" outlineLevel="1">
      <c r="A309" s="482">
        <v>190708</v>
      </c>
      <c r="B309" s="439">
        <v>42192</v>
      </c>
      <c r="C309" s="514" t="s">
        <v>1675</v>
      </c>
      <c r="D309" s="514" t="s">
        <v>1259</v>
      </c>
      <c r="E309" s="539" t="s">
        <v>162</v>
      </c>
      <c r="F309" s="531" t="s">
        <v>47</v>
      </c>
      <c r="G309" s="514" t="s">
        <v>47</v>
      </c>
      <c r="H309" s="514" t="s">
        <v>47</v>
      </c>
      <c r="I309" s="443" t="s">
        <v>47</v>
      </c>
      <c r="J309" s="838" t="s">
        <v>2092</v>
      </c>
      <c r="K309" s="514" t="s">
        <v>2182</v>
      </c>
      <c r="L309" s="448"/>
      <c r="M309" s="439"/>
      <c r="N309" s="514" t="s">
        <v>2183</v>
      </c>
      <c r="O309" s="514" t="s">
        <v>2184</v>
      </c>
      <c r="P309" s="516"/>
      <c r="Q309" s="629"/>
      <c r="R309" s="589">
        <v>0</v>
      </c>
      <c r="S309" s="590">
        <v>0</v>
      </c>
      <c r="T309" s="604">
        <v>0</v>
      </c>
      <c r="U309" s="596">
        <v>0</v>
      </c>
      <c r="V309" s="590">
        <v>0</v>
      </c>
      <c r="W309" s="604">
        <v>0</v>
      </c>
      <c r="X309" s="596">
        <v>0</v>
      </c>
      <c r="Y309" s="590">
        <v>0</v>
      </c>
      <c r="Z309" s="604">
        <v>0</v>
      </c>
      <c r="AA309" s="596">
        <v>0</v>
      </c>
      <c r="AB309" s="590">
        <v>0</v>
      </c>
      <c r="AC309" s="604">
        <v>0</v>
      </c>
      <c r="AD309" s="596">
        <v>0</v>
      </c>
      <c r="AE309" s="596">
        <v>0</v>
      </c>
      <c r="AF309" s="596">
        <v>0</v>
      </c>
      <c r="AG309" s="590">
        <v>0</v>
      </c>
      <c r="AH309" s="604">
        <v>1</v>
      </c>
      <c r="AI309" s="610">
        <v>0</v>
      </c>
      <c r="AJ309" s="610">
        <v>0</v>
      </c>
      <c r="AK309" s="629"/>
      <c r="AL309" s="531" t="s">
        <v>1687</v>
      </c>
      <c r="AM309" s="514" t="s">
        <v>92</v>
      </c>
      <c r="AN309" s="612">
        <f>1*PRODUCTS!C14</f>
        <v>1.32</v>
      </c>
      <c r="AO309" s="440" t="s">
        <v>47</v>
      </c>
      <c r="AP309" s="37">
        <v>0</v>
      </c>
      <c r="AQ309" s="795">
        <f t="shared" si="31"/>
        <v>-1.32</v>
      </c>
      <c r="AR309" s="835" t="e">
        <f t="shared" si="32"/>
        <v>#DIV/0!</v>
      </c>
      <c r="AS309" s="821" t="s">
        <v>47</v>
      </c>
      <c r="AT309" s="514" t="s">
        <v>1245</v>
      </c>
      <c r="AU309" s="448">
        <v>1</v>
      </c>
      <c r="AV309" s="448"/>
      <c r="AW309" s="448"/>
      <c r="AX309" s="612">
        <v>0</v>
      </c>
      <c r="AY309" s="514" t="s">
        <v>47</v>
      </c>
      <c r="AZ309" s="612">
        <v>5</v>
      </c>
      <c r="BA309" s="256" t="s">
        <v>47</v>
      </c>
      <c r="BB309" s="41">
        <v>0</v>
      </c>
      <c r="BC309" s="448"/>
      <c r="BD309" s="448"/>
      <c r="BE309" s="448"/>
      <c r="BF309" s="448"/>
      <c r="BG309" s="448"/>
      <c r="BH309" s="221"/>
      <c r="BI309" s="221"/>
      <c r="BJ309" s="221"/>
      <c r="BK309" s="221"/>
      <c r="BL309" s="221"/>
      <c r="BM309" s="221"/>
      <c r="BN309" s="221"/>
      <c r="BO309" s="221"/>
      <c r="BP309" s="221"/>
      <c r="BQ309" s="221"/>
      <c r="BR309" s="221"/>
      <c r="BS309" s="221"/>
      <c r="BT309" s="221"/>
      <c r="BU309" s="221"/>
      <c r="BV309" s="221"/>
      <c r="BW309" s="221"/>
      <c r="BX309" s="221"/>
      <c r="BY309" s="221"/>
      <c r="BZ309" s="221"/>
      <c r="CA309" s="221"/>
      <c r="CB309" s="221"/>
      <c r="CC309" s="221"/>
      <c r="CD309" s="221"/>
      <c r="CE309" s="221"/>
      <c r="CF309" s="221"/>
      <c r="CG309" s="221"/>
      <c r="CH309" s="221"/>
      <c r="CI309" s="221"/>
      <c r="CJ309" s="221"/>
      <c r="CK309" s="221"/>
      <c r="CL309" s="221"/>
      <c r="CM309" s="221"/>
      <c r="CN309" s="221"/>
      <c r="CO309" s="221"/>
      <c r="CP309" s="221"/>
      <c r="CQ309" s="221"/>
      <c r="CR309" s="221"/>
      <c r="CS309" s="221"/>
      <c r="CT309" s="221"/>
      <c r="CU309" s="221"/>
      <c r="CV309" s="221"/>
      <c r="CW309" s="221"/>
      <c r="CX309" s="221"/>
      <c r="CY309" s="221"/>
      <c r="CZ309" s="221"/>
      <c r="DA309" s="221"/>
      <c r="DB309" s="221"/>
      <c r="DC309" s="221"/>
      <c r="DD309" s="221"/>
      <c r="DE309" s="221"/>
      <c r="DF309" s="221"/>
      <c r="DG309" s="221"/>
      <c r="DH309" s="221"/>
      <c r="DI309" s="221"/>
      <c r="DJ309" s="221"/>
      <c r="DK309" s="221"/>
      <c r="DL309" s="221"/>
      <c r="DM309" s="221"/>
      <c r="DN309" s="221"/>
      <c r="DO309" s="221"/>
      <c r="DP309" s="221"/>
      <c r="DQ309" s="221"/>
      <c r="DR309" s="221"/>
      <c r="DS309" s="221"/>
      <c r="DT309" s="221"/>
      <c r="DU309" s="221"/>
      <c r="DV309" s="221"/>
      <c r="DW309" s="221"/>
      <c r="DX309" s="221"/>
      <c r="DY309" s="221"/>
      <c r="DZ309" s="221"/>
      <c r="EA309" s="221"/>
      <c r="EB309" s="221"/>
      <c r="EC309" s="221"/>
      <c r="ED309" s="221"/>
      <c r="EE309" s="221"/>
      <c r="EF309" s="221"/>
      <c r="EG309" s="221"/>
      <c r="EH309" s="221"/>
      <c r="EI309" s="221"/>
      <c r="EJ309" s="221"/>
      <c r="EK309" s="221"/>
      <c r="EL309" s="221"/>
      <c r="EM309" s="221"/>
      <c r="EN309" s="221"/>
      <c r="EO309" s="221"/>
      <c r="EP309" s="221"/>
      <c r="EQ309" s="221"/>
      <c r="ER309" s="221"/>
      <c r="ES309" s="221"/>
      <c r="ET309" s="221"/>
      <c r="EU309" s="221"/>
      <c r="EV309" s="221"/>
      <c r="EW309" s="221"/>
      <c r="EX309" s="221"/>
      <c r="EY309" s="221"/>
      <c r="EZ309" s="221"/>
      <c r="FA309" s="221"/>
      <c r="FB309" s="221"/>
      <c r="FC309" s="221"/>
      <c r="FD309" s="221"/>
      <c r="FE309" s="221"/>
      <c r="FF309" s="221"/>
      <c r="FG309" s="221"/>
      <c r="FH309" s="221"/>
      <c r="FI309" s="221"/>
      <c r="FJ309" s="221"/>
      <c r="FK309" s="221"/>
      <c r="FL309" s="221"/>
      <c r="FM309" s="221"/>
      <c r="FN309" s="221"/>
      <c r="FO309" s="221"/>
      <c r="FP309" s="221"/>
      <c r="FQ309" s="221"/>
      <c r="FR309" s="221"/>
      <c r="FS309" s="221"/>
      <c r="FT309" s="221"/>
      <c r="FU309" s="221"/>
      <c r="FV309" s="221"/>
      <c r="FW309" s="221"/>
      <c r="FX309" s="221"/>
      <c r="FY309" s="221"/>
      <c r="FZ309" s="221"/>
      <c r="GA309" s="221"/>
      <c r="GB309" s="221"/>
      <c r="GC309" s="221"/>
      <c r="GD309" s="221"/>
      <c r="GE309" s="221"/>
      <c r="GF309" s="221"/>
      <c r="GG309" s="221"/>
      <c r="GH309" s="221"/>
      <c r="GI309" s="221"/>
      <c r="GJ309" s="221"/>
      <c r="GK309" s="221"/>
      <c r="GL309" s="221"/>
      <c r="GM309" s="221"/>
      <c r="GN309" s="221"/>
      <c r="GO309" s="221"/>
      <c r="GP309" s="221"/>
      <c r="GQ309" s="221"/>
      <c r="GR309" s="221"/>
      <c r="GS309" s="221"/>
      <c r="GT309" s="221"/>
      <c r="GU309" s="221"/>
      <c r="GV309" s="221"/>
      <c r="GW309" s="221"/>
      <c r="GX309" s="221"/>
      <c r="GY309" s="221"/>
      <c r="GZ309" s="221"/>
      <c r="HA309" s="221"/>
      <c r="HB309" s="221"/>
      <c r="HC309" s="221"/>
      <c r="HD309" s="221"/>
      <c r="HE309" s="221"/>
      <c r="HF309" s="221"/>
      <c r="HG309" s="221"/>
      <c r="HH309" s="221"/>
      <c r="HI309" s="221"/>
      <c r="HJ309" s="221"/>
      <c r="HK309" s="221"/>
      <c r="HL309" s="221"/>
      <c r="HM309" s="221"/>
      <c r="HN309" s="221"/>
      <c r="HO309" s="221"/>
      <c r="HP309" s="221"/>
      <c r="HQ309" s="221"/>
      <c r="HR309" s="221"/>
      <c r="HS309" s="221"/>
      <c r="HT309" s="221"/>
      <c r="HU309" s="221"/>
      <c r="HV309" s="221"/>
      <c r="HW309" s="221"/>
      <c r="HX309" s="221"/>
      <c r="HY309" s="221"/>
      <c r="HZ309" s="221"/>
      <c r="IA309" s="221"/>
      <c r="IB309" s="221"/>
      <c r="IC309" s="221"/>
      <c r="ID309" s="221"/>
      <c r="IE309" s="221"/>
      <c r="IF309" s="221"/>
      <c r="IG309" s="221"/>
      <c r="IH309" s="221"/>
      <c r="II309" s="221"/>
      <c r="IJ309" s="221"/>
      <c r="IK309" s="221"/>
      <c r="IL309" s="221"/>
      <c r="IM309" s="221"/>
      <c r="IN309" s="221"/>
      <c r="IO309" s="221"/>
      <c r="IP309" s="221"/>
      <c r="IQ309" s="221"/>
      <c r="IR309" s="221"/>
      <c r="IS309" s="221"/>
      <c r="IT309" s="221"/>
      <c r="IU309" s="221"/>
      <c r="IV309" s="221"/>
      <c r="IW309" s="221"/>
      <c r="IX309" s="221"/>
      <c r="IY309" s="221"/>
      <c r="IZ309" s="221"/>
      <c r="JA309" s="221"/>
      <c r="JB309" s="221"/>
      <c r="JC309" s="221"/>
      <c r="JD309" s="221"/>
      <c r="JE309" s="221"/>
      <c r="JF309" s="221"/>
      <c r="JG309" s="221"/>
      <c r="JH309" s="221"/>
      <c r="JI309" s="221"/>
      <c r="JJ309" s="221"/>
      <c r="JK309" s="221"/>
      <c r="JL309" s="221"/>
      <c r="JM309" s="221"/>
      <c r="JN309" s="221"/>
      <c r="JO309" s="221"/>
      <c r="JP309" s="221"/>
      <c r="JQ309" s="221"/>
    </row>
    <row r="310" spans="1:277" ht="20" customHeight="1" outlineLevel="1">
      <c r="A310" s="482">
        <v>190709</v>
      </c>
      <c r="B310" s="439">
        <v>42192</v>
      </c>
      <c r="C310" s="514" t="s">
        <v>1748</v>
      </c>
      <c r="D310" s="514" t="s">
        <v>1998</v>
      </c>
      <c r="E310" s="539" t="s">
        <v>2129</v>
      </c>
      <c r="F310" s="531" t="s">
        <v>47</v>
      </c>
      <c r="G310" s="514" t="s">
        <v>47</v>
      </c>
      <c r="H310" s="514" t="s">
        <v>47</v>
      </c>
      <c r="I310" s="443" t="s">
        <v>47</v>
      </c>
      <c r="J310" s="838" t="s">
        <v>62</v>
      </c>
      <c r="K310" s="514" t="s">
        <v>50</v>
      </c>
      <c r="L310" s="448"/>
      <c r="M310" s="439"/>
      <c r="N310" s="514" t="s">
        <v>2189</v>
      </c>
      <c r="O310" s="514" t="s">
        <v>1905</v>
      </c>
      <c r="P310" s="516"/>
      <c r="Q310" s="629"/>
      <c r="R310" s="589">
        <v>0</v>
      </c>
      <c r="S310" s="590">
        <v>0</v>
      </c>
      <c r="T310" s="604">
        <v>0</v>
      </c>
      <c r="U310" s="596">
        <v>0</v>
      </c>
      <c r="V310" s="590">
        <v>0</v>
      </c>
      <c r="W310" s="604">
        <v>0</v>
      </c>
      <c r="X310" s="596">
        <v>3</v>
      </c>
      <c r="Y310" s="590">
        <v>0</v>
      </c>
      <c r="Z310" s="604">
        <v>0</v>
      </c>
      <c r="AA310" s="596">
        <v>0</v>
      </c>
      <c r="AB310" s="590">
        <v>0</v>
      </c>
      <c r="AC310" s="604">
        <v>0</v>
      </c>
      <c r="AD310" s="596">
        <v>0</v>
      </c>
      <c r="AE310" s="596">
        <v>0</v>
      </c>
      <c r="AF310" s="596">
        <v>0</v>
      </c>
      <c r="AG310" s="590">
        <v>0</v>
      </c>
      <c r="AH310" s="604">
        <v>0</v>
      </c>
      <c r="AI310" s="610">
        <v>0</v>
      </c>
      <c r="AJ310" s="610">
        <v>0</v>
      </c>
      <c r="AK310" s="629"/>
      <c r="AL310" s="531" t="s">
        <v>1680</v>
      </c>
      <c r="AM310" s="514"/>
      <c r="AN310" s="612"/>
      <c r="AO310" s="440" t="s">
        <v>47</v>
      </c>
      <c r="AP310" s="37"/>
      <c r="AQ310" s="795"/>
      <c r="AR310" s="835"/>
      <c r="AS310" s="821"/>
      <c r="AT310" s="514"/>
      <c r="AU310" s="448"/>
      <c r="AV310" s="448"/>
      <c r="AW310" s="448"/>
      <c r="AX310" s="612"/>
      <c r="AY310" s="514"/>
      <c r="AZ310" s="612"/>
      <c r="BA310" s="256"/>
      <c r="BB310" s="41"/>
      <c r="BC310" s="448"/>
      <c r="BD310" s="448"/>
      <c r="BE310" s="448"/>
      <c r="BF310" s="448"/>
      <c r="BG310" s="448"/>
      <c r="BH310" s="221"/>
      <c r="BI310" s="221"/>
      <c r="BJ310" s="221"/>
      <c r="BK310" s="221"/>
      <c r="BL310" s="221"/>
      <c r="BM310" s="221"/>
      <c r="BN310" s="221"/>
      <c r="BO310" s="221"/>
      <c r="BP310" s="221"/>
      <c r="BQ310" s="221"/>
      <c r="BR310" s="221"/>
      <c r="BS310" s="221"/>
      <c r="BT310" s="221"/>
      <c r="BU310" s="221"/>
      <c r="BV310" s="221"/>
      <c r="BW310" s="221"/>
      <c r="BX310" s="221"/>
      <c r="BY310" s="221"/>
      <c r="BZ310" s="221"/>
      <c r="CA310" s="221"/>
      <c r="CB310" s="221"/>
      <c r="CC310" s="221"/>
      <c r="CD310" s="221"/>
      <c r="CE310" s="221"/>
      <c r="CF310" s="221"/>
      <c r="CG310" s="221"/>
      <c r="CH310" s="221"/>
      <c r="CI310" s="221"/>
      <c r="CJ310" s="221"/>
      <c r="CK310" s="221"/>
      <c r="CL310" s="221"/>
      <c r="CM310" s="221"/>
      <c r="CN310" s="221"/>
      <c r="CO310" s="221"/>
      <c r="CP310" s="221"/>
      <c r="CQ310" s="221"/>
      <c r="CR310" s="221"/>
      <c r="CS310" s="221"/>
      <c r="CT310" s="221"/>
      <c r="CU310" s="221"/>
      <c r="CV310" s="221"/>
      <c r="CW310" s="221"/>
      <c r="CX310" s="221"/>
      <c r="CY310" s="221"/>
      <c r="CZ310" s="221"/>
      <c r="DA310" s="221"/>
      <c r="DB310" s="221"/>
      <c r="DC310" s="221"/>
      <c r="DD310" s="221"/>
      <c r="DE310" s="221"/>
      <c r="DF310" s="221"/>
      <c r="DG310" s="221"/>
      <c r="DH310" s="221"/>
      <c r="DI310" s="221"/>
      <c r="DJ310" s="221"/>
      <c r="DK310" s="221"/>
      <c r="DL310" s="221"/>
      <c r="DM310" s="221"/>
      <c r="DN310" s="221"/>
      <c r="DO310" s="221"/>
      <c r="DP310" s="221"/>
      <c r="DQ310" s="221"/>
      <c r="DR310" s="221"/>
      <c r="DS310" s="221"/>
      <c r="DT310" s="221"/>
      <c r="DU310" s="221"/>
      <c r="DV310" s="221"/>
      <c r="DW310" s="221"/>
      <c r="DX310" s="221"/>
      <c r="DY310" s="221"/>
      <c r="DZ310" s="221"/>
      <c r="EA310" s="221"/>
      <c r="EB310" s="221"/>
      <c r="EC310" s="221"/>
      <c r="ED310" s="221"/>
      <c r="EE310" s="221"/>
      <c r="EF310" s="221"/>
      <c r="EG310" s="221"/>
      <c r="EH310" s="221"/>
      <c r="EI310" s="221"/>
      <c r="EJ310" s="221"/>
      <c r="EK310" s="221"/>
      <c r="EL310" s="221"/>
      <c r="EM310" s="221"/>
      <c r="EN310" s="221"/>
      <c r="EO310" s="221"/>
      <c r="EP310" s="221"/>
      <c r="EQ310" s="221"/>
      <c r="ER310" s="221"/>
      <c r="ES310" s="221"/>
      <c r="ET310" s="221"/>
      <c r="EU310" s="221"/>
      <c r="EV310" s="221"/>
      <c r="EW310" s="221"/>
      <c r="EX310" s="221"/>
      <c r="EY310" s="221"/>
      <c r="EZ310" s="221"/>
      <c r="FA310" s="221"/>
      <c r="FB310" s="221"/>
      <c r="FC310" s="221"/>
      <c r="FD310" s="221"/>
      <c r="FE310" s="221"/>
      <c r="FF310" s="221"/>
      <c r="FG310" s="221"/>
      <c r="FH310" s="221"/>
      <c r="FI310" s="221"/>
      <c r="FJ310" s="221"/>
      <c r="FK310" s="221"/>
      <c r="FL310" s="221"/>
      <c r="FM310" s="221"/>
      <c r="FN310" s="221"/>
      <c r="FO310" s="221"/>
      <c r="FP310" s="221"/>
      <c r="FQ310" s="221"/>
      <c r="FR310" s="221"/>
      <c r="FS310" s="221"/>
      <c r="FT310" s="221"/>
      <c r="FU310" s="221"/>
      <c r="FV310" s="221"/>
      <c r="FW310" s="221"/>
      <c r="FX310" s="221"/>
      <c r="FY310" s="221"/>
      <c r="FZ310" s="221"/>
      <c r="GA310" s="221"/>
      <c r="GB310" s="221"/>
      <c r="GC310" s="221"/>
      <c r="GD310" s="221"/>
      <c r="GE310" s="221"/>
      <c r="GF310" s="221"/>
      <c r="GG310" s="221"/>
      <c r="GH310" s="221"/>
      <c r="GI310" s="221"/>
      <c r="GJ310" s="221"/>
      <c r="GK310" s="221"/>
      <c r="GL310" s="221"/>
      <c r="GM310" s="221"/>
      <c r="GN310" s="221"/>
      <c r="GO310" s="221"/>
      <c r="GP310" s="221"/>
      <c r="GQ310" s="221"/>
      <c r="GR310" s="221"/>
      <c r="GS310" s="221"/>
      <c r="GT310" s="221"/>
      <c r="GU310" s="221"/>
      <c r="GV310" s="221"/>
      <c r="GW310" s="221"/>
      <c r="GX310" s="221"/>
      <c r="GY310" s="221"/>
      <c r="GZ310" s="221"/>
      <c r="HA310" s="221"/>
      <c r="HB310" s="221"/>
      <c r="HC310" s="221"/>
      <c r="HD310" s="221"/>
      <c r="HE310" s="221"/>
      <c r="HF310" s="221"/>
      <c r="HG310" s="221"/>
      <c r="HH310" s="221"/>
      <c r="HI310" s="221"/>
      <c r="HJ310" s="221"/>
      <c r="HK310" s="221"/>
      <c r="HL310" s="221"/>
      <c r="HM310" s="221"/>
      <c r="HN310" s="221"/>
      <c r="HO310" s="221"/>
      <c r="HP310" s="221"/>
      <c r="HQ310" s="221"/>
      <c r="HR310" s="221"/>
      <c r="HS310" s="221"/>
      <c r="HT310" s="221"/>
      <c r="HU310" s="221"/>
      <c r="HV310" s="221"/>
      <c r="HW310" s="221"/>
      <c r="HX310" s="221"/>
      <c r="HY310" s="221"/>
      <c r="HZ310" s="221"/>
      <c r="IA310" s="221"/>
      <c r="IB310" s="221"/>
      <c r="IC310" s="221"/>
      <c r="ID310" s="221"/>
      <c r="IE310" s="221"/>
      <c r="IF310" s="221"/>
      <c r="IG310" s="221"/>
      <c r="IH310" s="221"/>
      <c r="II310" s="221"/>
      <c r="IJ310" s="221"/>
      <c r="IK310" s="221"/>
      <c r="IL310" s="221"/>
      <c r="IM310" s="221"/>
      <c r="IN310" s="221"/>
      <c r="IO310" s="221"/>
      <c r="IP310" s="221"/>
      <c r="IQ310" s="221"/>
      <c r="IR310" s="221"/>
      <c r="IS310" s="221"/>
      <c r="IT310" s="221"/>
      <c r="IU310" s="221"/>
      <c r="IV310" s="221"/>
      <c r="IW310" s="221"/>
      <c r="IX310" s="221"/>
      <c r="IY310" s="221"/>
      <c r="IZ310" s="221"/>
      <c r="JA310" s="221"/>
      <c r="JB310" s="221"/>
      <c r="JC310" s="221"/>
      <c r="JD310" s="221"/>
      <c r="JE310" s="221"/>
      <c r="JF310" s="221"/>
      <c r="JG310" s="221"/>
      <c r="JH310" s="221"/>
      <c r="JI310" s="221"/>
      <c r="JJ310" s="221"/>
      <c r="JK310" s="221"/>
      <c r="JL310" s="221"/>
      <c r="JM310" s="221"/>
      <c r="JN310" s="221"/>
      <c r="JO310" s="221"/>
      <c r="JP310" s="221"/>
      <c r="JQ310" s="221"/>
    </row>
    <row r="311" spans="1:277" ht="20" customHeight="1" outlineLevel="1">
      <c r="A311" s="456">
        <v>190710</v>
      </c>
      <c r="B311" s="439">
        <v>42193</v>
      </c>
      <c r="C311" s="514" t="s">
        <v>1675</v>
      </c>
      <c r="D311" s="514" t="s">
        <v>1259</v>
      </c>
      <c r="E311" s="539" t="s">
        <v>526</v>
      </c>
      <c r="F311" s="531" t="s">
        <v>2187</v>
      </c>
      <c r="G311" s="448" t="s">
        <v>2188</v>
      </c>
      <c r="H311" s="448"/>
      <c r="I311" s="443">
        <v>192898</v>
      </c>
      <c r="J311" s="837" t="s">
        <v>62</v>
      </c>
      <c r="K311" s="448" t="s">
        <v>50</v>
      </c>
      <c r="L311" s="448">
        <v>119744595</v>
      </c>
      <c r="M311" s="439">
        <v>42196</v>
      </c>
      <c r="N311" s="448" t="s">
        <v>1791</v>
      </c>
      <c r="O311" s="448" t="s">
        <v>2190</v>
      </c>
      <c r="P311" s="516"/>
      <c r="Q311" s="629"/>
      <c r="R311" s="589">
        <v>5</v>
      </c>
      <c r="S311" s="590">
        <v>0</v>
      </c>
      <c r="T311" s="604">
        <v>0</v>
      </c>
      <c r="U311" s="596">
        <v>0</v>
      </c>
      <c r="V311" s="590">
        <v>0</v>
      </c>
      <c r="W311" s="604">
        <v>0</v>
      </c>
      <c r="X311" s="596">
        <v>3</v>
      </c>
      <c r="Y311" s="590">
        <v>0</v>
      </c>
      <c r="Z311" s="604">
        <v>0</v>
      </c>
      <c r="AA311" s="596">
        <v>0</v>
      </c>
      <c r="AB311" s="590">
        <v>0</v>
      </c>
      <c r="AC311" s="604">
        <v>0</v>
      </c>
      <c r="AD311" s="596">
        <v>0</v>
      </c>
      <c r="AE311" s="596">
        <v>0</v>
      </c>
      <c r="AF311" s="596">
        <v>0</v>
      </c>
      <c r="AG311" s="590">
        <v>0</v>
      </c>
      <c r="AH311" s="604">
        <v>0</v>
      </c>
      <c r="AI311" s="610">
        <v>0</v>
      </c>
      <c r="AJ311" s="610">
        <v>0</v>
      </c>
      <c r="AK311" s="629"/>
      <c r="AL311" s="530" t="s">
        <v>1687</v>
      </c>
      <c r="AM311" s="448"/>
      <c r="AN311" s="612">
        <f>5*PRODUCTS!G8+3*PRODUCTS!E8</f>
        <v>64</v>
      </c>
      <c r="AO311" s="444" t="s">
        <v>2195</v>
      </c>
      <c r="AP311" s="37">
        <v>655.9</v>
      </c>
      <c r="AQ311" s="795">
        <f t="shared" si="31"/>
        <v>591.9</v>
      </c>
      <c r="AR311" s="835">
        <f t="shared" si="32"/>
        <v>0.90242415002286935</v>
      </c>
      <c r="AS311" s="821"/>
      <c r="AT311" s="448" t="s">
        <v>57</v>
      </c>
      <c r="AU311" s="448">
        <v>1</v>
      </c>
      <c r="AV311" s="448"/>
      <c r="AW311" s="448"/>
      <c r="AX311" s="612">
        <v>0</v>
      </c>
      <c r="AY311" s="448"/>
      <c r="AZ311" s="612">
        <v>17.23</v>
      </c>
      <c r="BA311" s="256" t="s">
        <v>47</v>
      </c>
      <c r="BB311" s="41">
        <v>0</v>
      </c>
      <c r="BC311" s="448"/>
      <c r="BD311" s="448"/>
      <c r="BE311" s="448"/>
      <c r="BF311" s="448"/>
      <c r="BG311" s="448"/>
      <c r="BH311" s="221"/>
      <c r="BI311" s="221"/>
      <c r="BJ311" s="221"/>
      <c r="BK311" s="221"/>
      <c r="BL311" s="221"/>
      <c r="BM311" s="221"/>
      <c r="BN311" s="221"/>
      <c r="BO311" s="221"/>
      <c r="BP311" s="221"/>
      <c r="BQ311" s="221"/>
      <c r="BR311" s="221"/>
      <c r="BS311" s="221"/>
      <c r="BT311" s="221"/>
      <c r="BU311" s="221"/>
      <c r="BV311" s="221"/>
      <c r="BW311" s="221"/>
      <c r="BX311" s="221"/>
      <c r="BY311" s="221"/>
      <c r="BZ311" s="221"/>
      <c r="CA311" s="221"/>
      <c r="CB311" s="221"/>
      <c r="CC311" s="221"/>
      <c r="CD311" s="221"/>
      <c r="CE311" s="221"/>
      <c r="CF311" s="221"/>
      <c r="CG311" s="221"/>
      <c r="CH311" s="221"/>
      <c r="CI311" s="221"/>
      <c r="CJ311" s="221"/>
      <c r="CK311" s="221"/>
      <c r="CL311" s="221"/>
      <c r="CM311" s="221"/>
      <c r="CN311" s="221"/>
      <c r="CO311" s="221"/>
      <c r="CP311" s="221"/>
      <c r="CQ311" s="221"/>
      <c r="CR311" s="221"/>
      <c r="CS311" s="221"/>
      <c r="CT311" s="221"/>
      <c r="CU311" s="221"/>
      <c r="CV311" s="221"/>
      <c r="CW311" s="221"/>
      <c r="CX311" s="221"/>
      <c r="CY311" s="221"/>
      <c r="CZ311" s="221"/>
      <c r="DA311" s="221"/>
      <c r="DB311" s="221"/>
      <c r="DC311" s="221"/>
      <c r="DD311" s="221"/>
      <c r="DE311" s="221"/>
      <c r="DF311" s="221"/>
      <c r="DG311" s="221"/>
      <c r="DH311" s="221"/>
      <c r="DI311" s="221"/>
      <c r="DJ311" s="221"/>
      <c r="DK311" s="221"/>
      <c r="DL311" s="221"/>
      <c r="DM311" s="221"/>
      <c r="DN311" s="221"/>
      <c r="DO311" s="221"/>
      <c r="DP311" s="221"/>
      <c r="DQ311" s="221"/>
      <c r="DR311" s="221"/>
      <c r="DS311" s="221"/>
      <c r="DT311" s="221"/>
      <c r="DU311" s="221"/>
      <c r="DV311" s="221"/>
      <c r="DW311" s="221"/>
      <c r="DX311" s="221"/>
      <c r="DY311" s="221"/>
      <c r="DZ311" s="221"/>
      <c r="EA311" s="221"/>
      <c r="EB311" s="221"/>
      <c r="EC311" s="221"/>
      <c r="ED311" s="221"/>
      <c r="EE311" s="221"/>
      <c r="EF311" s="221"/>
      <c r="EG311" s="221"/>
      <c r="EH311" s="221"/>
      <c r="EI311" s="221"/>
      <c r="EJ311" s="221"/>
      <c r="EK311" s="221"/>
      <c r="EL311" s="221"/>
      <c r="EM311" s="221"/>
      <c r="EN311" s="221"/>
      <c r="EO311" s="221"/>
      <c r="EP311" s="221"/>
      <c r="EQ311" s="221"/>
      <c r="ER311" s="221"/>
      <c r="ES311" s="221"/>
      <c r="ET311" s="221"/>
      <c r="EU311" s="221"/>
      <c r="EV311" s="221"/>
      <c r="EW311" s="221"/>
      <c r="EX311" s="221"/>
      <c r="EY311" s="221"/>
      <c r="EZ311" s="221"/>
      <c r="FA311" s="221"/>
      <c r="FB311" s="221"/>
      <c r="FC311" s="221"/>
      <c r="FD311" s="221"/>
      <c r="FE311" s="221"/>
      <c r="FF311" s="221"/>
      <c r="FG311" s="221"/>
      <c r="FH311" s="221"/>
      <c r="FI311" s="221"/>
      <c r="FJ311" s="221"/>
      <c r="FK311" s="221"/>
      <c r="FL311" s="221"/>
      <c r="FM311" s="221"/>
      <c r="FN311" s="221"/>
      <c r="FO311" s="221"/>
      <c r="FP311" s="221"/>
      <c r="FQ311" s="221"/>
      <c r="FR311" s="221"/>
      <c r="FS311" s="221"/>
      <c r="FT311" s="221"/>
      <c r="FU311" s="221"/>
      <c r="FV311" s="221"/>
      <c r="FW311" s="221"/>
      <c r="FX311" s="221"/>
      <c r="FY311" s="221"/>
      <c r="FZ311" s="221"/>
      <c r="GA311" s="221"/>
      <c r="GB311" s="221"/>
      <c r="GC311" s="221"/>
      <c r="GD311" s="221"/>
      <c r="GE311" s="221"/>
      <c r="GF311" s="221"/>
      <c r="GG311" s="221"/>
      <c r="GH311" s="221"/>
      <c r="GI311" s="221"/>
      <c r="GJ311" s="221"/>
      <c r="GK311" s="221"/>
      <c r="GL311" s="221"/>
      <c r="GM311" s="221"/>
      <c r="GN311" s="221"/>
      <c r="GO311" s="221"/>
      <c r="GP311" s="221"/>
      <c r="GQ311" s="221"/>
      <c r="GR311" s="221"/>
      <c r="GS311" s="221"/>
      <c r="GT311" s="221"/>
      <c r="GU311" s="221"/>
      <c r="GV311" s="221"/>
      <c r="GW311" s="221"/>
      <c r="GX311" s="221"/>
      <c r="GY311" s="221"/>
      <c r="GZ311" s="221"/>
      <c r="HA311" s="221"/>
      <c r="HB311" s="221"/>
      <c r="HC311" s="221"/>
      <c r="HD311" s="221"/>
      <c r="HE311" s="221"/>
      <c r="HF311" s="221"/>
      <c r="HG311" s="221"/>
      <c r="HH311" s="221"/>
      <c r="HI311" s="221"/>
      <c r="HJ311" s="221"/>
      <c r="HK311" s="221"/>
      <c r="HL311" s="221"/>
      <c r="HM311" s="221"/>
      <c r="HN311" s="221"/>
      <c r="HO311" s="221"/>
      <c r="HP311" s="221"/>
      <c r="HQ311" s="221"/>
      <c r="HR311" s="221"/>
      <c r="HS311" s="221"/>
      <c r="HT311" s="221"/>
      <c r="HU311" s="221"/>
      <c r="HV311" s="221"/>
      <c r="HW311" s="221"/>
      <c r="HX311" s="221"/>
      <c r="HY311" s="221"/>
      <c r="HZ311" s="221"/>
      <c r="IA311" s="221"/>
      <c r="IB311" s="221"/>
      <c r="IC311" s="221"/>
      <c r="ID311" s="221"/>
      <c r="IE311" s="221"/>
      <c r="IF311" s="221"/>
      <c r="IG311" s="221"/>
      <c r="IH311" s="221"/>
      <c r="II311" s="221"/>
      <c r="IJ311" s="221"/>
      <c r="IK311" s="221"/>
      <c r="IL311" s="221"/>
      <c r="IM311" s="221"/>
      <c r="IN311" s="221"/>
      <c r="IO311" s="221"/>
      <c r="IP311" s="221"/>
      <c r="IQ311" s="221"/>
      <c r="IR311" s="221"/>
      <c r="IS311" s="221"/>
      <c r="IT311" s="221"/>
      <c r="IU311" s="221"/>
      <c r="IV311" s="221"/>
      <c r="IW311" s="221"/>
      <c r="IX311" s="221"/>
      <c r="IY311" s="221"/>
      <c r="IZ311" s="221"/>
      <c r="JA311" s="221"/>
      <c r="JB311" s="221"/>
      <c r="JC311" s="221"/>
      <c r="JD311" s="221"/>
      <c r="JE311" s="221"/>
      <c r="JF311" s="221"/>
      <c r="JG311" s="221"/>
      <c r="JH311" s="221"/>
      <c r="JI311" s="221"/>
      <c r="JJ311" s="221"/>
      <c r="JK311" s="221"/>
      <c r="JL311" s="221"/>
      <c r="JM311" s="221"/>
      <c r="JN311" s="221"/>
      <c r="JO311" s="221"/>
      <c r="JP311" s="221"/>
      <c r="JQ311" s="221"/>
    </row>
    <row r="312" spans="1:277" ht="20" customHeight="1" outlineLevel="1">
      <c r="A312" s="482">
        <v>190711</v>
      </c>
      <c r="B312" s="439">
        <v>42196</v>
      </c>
      <c r="C312" s="514" t="s">
        <v>72</v>
      </c>
      <c r="D312" s="514" t="s">
        <v>1259</v>
      </c>
      <c r="E312" s="539" t="s">
        <v>89</v>
      </c>
      <c r="F312" s="531" t="s">
        <v>47</v>
      </c>
      <c r="G312" s="448" t="s">
        <v>2196</v>
      </c>
      <c r="H312" s="448"/>
      <c r="I312" s="443">
        <v>192930</v>
      </c>
      <c r="J312" s="837" t="s">
        <v>62</v>
      </c>
      <c r="K312" s="448" t="s">
        <v>50</v>
      </c>
      <c r="L312">
        <v>122236995</v>
      </c>
      <c r="M312" s="439">
        <v>42203</v>
      </c>
      <c r="N312" s="448" t="s">
        <v>90</v>
      </c>
      <c r="O312" s="448" t="s">
        <v>99</v>
      </c>
      <c r="P312" s="516" t="s">
        <v>2197</v>
      </c>
      <c r="Q312" s="629"/>
      <c r="R312" s="589">
        <v>3</v>
      </c>
      <c r="S312" s="590">
        <v>0</v>
      </c>
      <c r="T312" s="604">
        <v>0</v>
      </c>
      <c r="U312" s="596">
        <v>0</v>
      </c>
      <c r="V312" s="590">
        <v>0</v>
      </c>
      <c r="W312" s="604">
        <v>0</v>
      </c>
      <c r="X312" s="596">
        <v>0</v>
      </c>
      <c r="Y312" s="590">
        <v>0</v>
      </c>
      <c r="Z312" s="604">
        <v>0</v>
      </c>
      <c r="AA312" s="596">
        <v>0</v>
      </c>
      <c r="AB312" s="590">
        <v>0</v>
      </c>
      <c r="AC312" s="604">
        <v>0</v>
      </c>
      <c r="AD312" s="596">
        <v>0</v>
      </c>
      <c r="AE312" s="596">
        <v>0</v>
      </c>
      <c r="AF312" s="596">
        <v>0</v>
      </c>
      <c r="AG312" s="590">
        <v>0</v>
      </c>
      <c r="AH312" s="604">
        <v>0</v>
      </c>
      <c r="AI312" s="610">
        <v>0</v>
      </c>
      <c r="AJ312" s="610">
        <v>0</v>
      </c>
      <c r="AK312" s="629"/>
      <c r="AL312" s="530" t="s">
        <v>1300</v>
      </c>
      <c r="AM312" s="448"/>
      <c r="AN312" s="612">
        <v>130.5</v>
      </c>
      <c r="AO312" s="444" t="s">
        <v>2206</v>
      </c>
      <c r="AP312" s="37">
        <v>210.6</v>
      </c>
      <c r="AQ312" s="795"/>
      <c r="AR312" s="835">
        <f>AQ312/AP312</f>
        <v>0</v>
      </c>
      <c r="AS312" s="821"/>
      <c r="AT312" s="514" t="s">
        <v>1254</v>
      </c>
      <c r="AU312" s="448">
        <v>1</v>
      </c>
      <c r="AV312" s="448"/>
      <c r="AW312" s="448"/>
      <c r="AX312" s="612"/>
      <c r="AY312" s="448"/>
      <c r="AZ312" s="612">
        <v>21.25</v>
      </c>
      <c r="BA312" s="256" t="s">
        <v>47</v>
      </c>
      <c r="BB312" s="41">
        <v>0</v>
      </c>
      <c r="BC312" s="448"/>
      <c r="BD312" s="448"/>
      <c r="BE312" s="448"/>
      <c r="BF312" s="448"/>
      <c r="BG312" s="448"/>
      <c r="BH312" s="221"/>
      <c r="BI312" s="221"/>
      <c r="BJ312" s="221"/>
      <c r="BK312" s="221"/>
      <c r="BL312" s="221"/>
      <c r="BM312" s="221"/>
      <c r="BN312" s="221"/>
      <c r="BO312" s="221"/>
      <c r="BP312" s="221"/>
      <c r="BQ312" s="221"/>
      <c r="BR312" s="221"/>
      <c r="BS312" s="221"/>
      <c r="BT312" s="221"/>
      <c r="BU312" s="221"/>
      <c r="BV312" s="221"/>
      <c r="BW312" s="221"/>
      <c r="BX312" s="221"/>
      <c r="BY312" s="221"/>
      <c r="BZ312" s="221"/>
      <c r="CA312" s="221"/>
      <c r="CB312" s="221"/>
      <c r="CC312" s="221"/>
      <c r="CD312" s="221"/>
      <c r="CE312" s="221"/>
      <c r="CF312" s="221"/>
      <c r="CG312" s="221"/>
      <c r="CH312" s="221"/>
      <c r="CI312" s="221"/>
      <c r="CJ312" s="221"/>
      <c r="CK312" s="221"/>
      <c r="CL312" s="221"/>
      <c r="CM312" s="221"/>
      <c r="CN312" s="221"/>
      <c r="CO312" s="221"/>
      <c r="CP312" s="221"/>
      <c r="CQ312" s="221"/>
      <c r="CR312" s="221"/>
      <c r="CS312" s="221"/>
      <c r="CT312" s="221"/>
      <c r="CU312" s="221"/>
      <c r="CV312" s="221"/>
      <c r="CW312" s="221"/>
      <c r="CX312" s="221"/>
      <c r="CY312" s="221"/>
      <c r="CZ312" s="221"/>
      <c r="DA312" s="221"/>
      <c r="DB312" s="221"/>
      <c r="DC312" s="221"/>
      <c r="DD312" s="221"/>
      <c r="DE312" s="221"/>
      <c r="DF312" s="221"/>
      <c r="DG312" s="221"/>
      <c r="DH312" s="221"/>
      <c r="DI312" s="221"/>
      <c r="DJ312" s="221"/>
      <c r="DK312" s="221"/>
      <c r="DL312" s="221"/>
      <c r="DM312" s="221"/>
      <c r="DN312" s="221"/>
      <c r="DO312" s="221"/>
      <c r="DP312" s="221"/>
      <c r="DQ312" s="221"/>
      <c r="DR312" s="221"/>
      <c r="DS312" s="221"/>
      <c r="DT312" s="221"/>
      <c r="DU312" s="221"/>
      <c r="DV312" s="221"/>
      <c r="DW312" s="221"/>
      <c r="DX312" s="221"/>
      <c r="DY312" s="221"/>
      <c r="DZ312" s="221"/>
      <c r="EA312" s="221"/>
      <c r="EB312" s="221"/>
      <c r="EC312" s="221"/>
      <c r="ED312" s="221"/>
      <c r="EE312" s="221"/>
      <c r="EF312" s="221"/>
      <c r="EG312" s="221"/>
      <c r="EH312" s="221"/>
      <c r="EI312" s="221"/>
      <c r="EJ312" s="221"/>
      <c r="EK312" s="221"/>
      <c r="EL312" s="221"/>
      <c r="EM312" s="221"/>
      <c r="EN312" s="221"/>
      <c r="EO312" s="221"/>
      <c r="EP312" s="221"/>
      <c r="EQ312" s="221"/>
      <c r="ER312" s="221"/>
      <c r="ES312" s="221"/>
      <c r="ET312" s="221"/>
      <c r="EU312" s="221"/>
      <c r="EV312" s="221"/>
      <c r="EW312" s="221"/>
      <c r="EX312" s="221"/>
      <c r="EY312" s="221"/>
      <c r="EZ312" s="221"/>
      <c r="FA312" s="221"/>
      <c r="FB312" s="221"/>
      <c r="FC312" s="221"/>
      <c r="FD312" s="221"/>
      <c r="FE312" s="221"/>
      <c r="FF312" s="221"/>
      <c r="FG312" s="221"/>
      <c r="FH312" s="221"/>
      <c r="FI312" s="221"/>
      <c r="FJ312" s="221"/>
      <c r="FK312" s="221"/>
      <c r="FL312" s="221"/>
      <c r="FM312" s="221"/>
      <c r="FN312" s="221"/>
      <c r="FO312" s="221"/>
      <c r="FP312" s="221"/>
      <c r="FQ312" s="221"/>
      <c r="FR312" s="221"/>
      <c r="FS312" s="221"/>
      <c r="FT312" s="221"/>
      <c r="FU312" s="221"/>
      <c r="FV312" s="221"/>
      <c r="FW312" s="221"/>
      <c r="FX312" s="221"/>
      <c r="FY312" s="221"/>
      <c r="FZ312" s="221"/>
      <c r="GA312" s="221"/>
      <c r="GB312" s="221"/>
      <c r="GC312" s="221"/>
      <c r="GD312" s="221"/>
      <c r="GE312" s="221"/>
      <c r="GF312" s="221"/>
      <c r="GG312" s="221"/>
      <c r="GH312" s="221"/>
      <c r="GI312" s="221"/>
      <c r="GJ312" s="221"/>
      <c r="GK312" s="221"/>
      <c r="GL312" s="221"/>
      <c r="GM312" s="221"/>
      <c r="GN312" s="221"/>
      <c r="GO312" s="221"/>
      <c r="GP312" s="221"/>
      <c r="GQ312" s="221"/>
      <c r="GR312" s="221"/>
      <c r="GS312" s="221"/>
      <c r="GT312" s="221"/>
      <c r="GU312" s="221"/>
      <c r="GV312" s="221"/>
      <c r="GW312" s="221"/>
      <c r="GX312" s="221"/>
      <c r="GY312" s="221"/>
      <c r="GZ312" s="221"/>
      <c r="HA312" s="221"/>
      <c r="HB312" s="221"/>
      <c r="HC312" s="221"/>
      <c r="HD312" s="221"/>
      <c r="HE312" s="221"/>
      <c r="HF312" s="221"/>
      <c r="HG312" s="221"/>
      <c r="HH312" s="221"/>
      <c r="HI312" s="221"/>
      <c r="HJ312" s="221"/>
      <c r="HK312" s="221"/>
      <c r="HL312" s="221"/>
      <c r="HM312" s="221"/>
      <c r="HN312" s="221"/>
      <c r="HO312" s="221"/>
      <c r="HP312" s="221"/>
      <c r="HQ312" s="221"/>
      <c r="HR312" s="221"/>
      <c r="HS312" s="221"/>
      <c r="HT312" s="221"/>
      <c r="HU312" s="221"/>
      <c r="HV312" s="221"/>
      <c r="HW312" s="221"/>
      <c r="HX312" s="221"/>
      <c r="HY312" s="221"/>
      <c r="HZ312" s="221"/>
      <c r="IA312" s="221"/>
      <c r="IB312" s="221"/>
      <c r="IC312" s="221"/>
      <c r="ID312" s="221"/>
      <c r="IE312" s="221"/>
      <c r="IF312" s="221"/>
      <c r="IG312" s="221"/>
      <c r="IH312" s="221"/>
      <c r="II312" s="221"/>
      <c r="IJ312" s="221"/>
      <c r="IK312" s="221"/>
      <c r="IL312" s="221"/>
      <c r="IM312" s="221"/>
      <c r="IN312" s="221"/>
      <c r="IO312" s="221"/>
      <c r="IP312" s="221"/>
      <c r="IQ312" s="221"/>
      <c r="IR312" s="221"/>
      <c r="IS312" s="221"/>
      <c r="IT312" s="221"/>
      <c r="IU312" s="221"/>
      <c r="IV312" s="221"/>
      <c r="IW312" s="221"/>
      <c r="IX312" s="221"/>
      <c r="IY312" s="221"/>
      <c r="IZ312" s="221"/>
      <c r="JA312" s="221"/>
      <c r="JB312" s="221"/>
      <c r="JC312" s="221"/>
      <c r="JD312" s="221"/>
      <c r="JE312" s="221"/>
      <c r="JF312" s="221"/>
      <c r="JG312" s="221"/>
      <c r="JH312" s="221"/>
      <c r="JI312" s="221"/>
      <c r="JJ312" s="221"/>
      <c r="JK312" s="221"/>
      <c r="JL312" s="221"/>
      <c r="JM312" s="221"/>
      <c r="JN312" s="221"/>
      <c r="JO312" s="221"/>
      <c r="JP312" s="221"/>
      <c r="JQ312" s="221"/>
    </row>
    <row r="313" spans="1:277" ht="20" customHeight="1" outlineLevel="1">
      <c r="A313" s="482">
        <v>190712</v>
      </c>
      <c r="B313" s="439">
        <v>42196</v>
      </c>
      <c r="C313" s="514" t="s">
        <v>1675</v>
      </c>
      <c r="D313" s="514" t="s">
        <v>1259</v>
      </c>
      <c r="E313" s="539" t="s">
        <v>60</v>
      </c>
      <c r="F313" s="531" t="s">
        <v>2198</v>
      </c>
      <c r="G313" s="448"/>
      <c r="H313" s="448"/>
      <c r="I313" s="443" t="s">
        <v>47</v>
      </c>
      <c r="J313" s="837"/>
      <c r="K313" s="448"/>
      <c r="L313" s="448"/>
      <c r="M313" s="439"/>
      <c r="N313" s="448" t="s">
        <v>2200</v>
      </c>
      <c r="O313" s="448" t="s">
        <v>2199</v>
      </c>
      <c r="P313" s="516"/>
      <c r="Q313" s="629"/>
      <c r="R313" s="589">
        <v>0</v>
      </c>
      <c r="S313" s="590">
        <v>0</v>
      </c>
      <c r="T313" s="604">
        <v>0</v>
      </c>
      <c r="U313" s="596">
        <v>0</v>
      </c>
      <c r="V313" s="590">
        <v>0</v>
      </c>
      <c r="W313" s="604">
        <v>0</v>
      </c>
      <c r="X313" s="596">
        <v>0</v>
      </c>
      <c r="Y313" s="590">
        <v>0</v>
      </c>
      <c r="Z313" s="604">
        <v>0</v>
      </c>
      <c r="AA313" s="596">
        <v>0</v>
      </c>
      <c r="AB313" s="590">
        <v>0</v>
      </c>
      <c r="AC313" s="604">
        <v>0</v>
      </c>
      <c r="AD313" s="596">
        <v>0</v>
      </c>
      <c r="AE313" s="596">
        <v>0</v>
      </c>
      <c r="AF313" s="596">
        <v>2</v>
      </c>
      <c r="AG313" s="590">
        <v>0</v>
      </c>
      <c r="AH313" s="604">
        <v>0</v>
      </c>
      <c r="AI313" s="610">
        <v>0</v>
      </c>
      <c r="AJ313" s="610">
        <v>0</v>
      </c>
      <c r="AK313" s="629"/>
      <c r="AL313" s="530" t="s">
        <v>1687</v>
      </c>
      <c r="AM313" s="448"/>
      <c r="AN313" s="612"/>
      <c r="AO313" s="444"/>
      <c r="AP313" s="37"/>
      <c r="AQ313" s="795">
        <f t="shared" si="31"/>
        <v>0</v>
      </c>
      <c r="AR313" s="835" t="e">
        <f t="shared" si="32"/>
        <v>#DIV/0!</v>
      </c>
      <c r="AS313" s="821"/>
      <c r="AT313" s="448"/>
      <c r="AU313" s="448"/>
      <c r="AV313" s="448"/>
      <c r="AW313" s="448"/>
      <c r="AX313" s="612"/>
      <c r="AY313" s="448"/>
      <c r="AZ313" s="612"/>
      <c r="BA313" s="256" t="s">
        <v>47</v>
      </c>
      <c r="BB313" s="41">
        <v>0</v>
      </c>
      <c r="BC313" s="448"/>
      <c r="BD313" s="448"/>
      <c r="BE313" s="448"/>
      <c r="BF313" s="448"/>
      <c r="BG313" s="448"/>
      <c r="BH313" s="221"/>
      <c r="BI313" s="221"/>
      <c r="BJ313" s="221"/>
      <c r="BK313" s="221"/>
      <c r="BL313" s="221"/>
      <c r="BM313" s="221"/>
      <c r="BN313" s="221"/>
      <c r="BO313" s="221"/>
      <c r="BP313" s="221"/>
      <c r="BQ313" s="221"/>
      <c r="BR313" s="221"/>
      <c r="BS313" s="221"/>
      <c r="BT313" s="221"/>
      <c r="BU313" s="221"/>
      <c r="BV313" s="221"/>
      <c r="BW313" s="221"/>
      <c r="BX313" s="221"/>
      <c r="BY313" s="221"/>
      <c r="BZ313" s="221"/>
      <c r="CA313" s="221"/>
      <c r="CB313" s="221"/>
      <c r="CC313" s="221"/>
      <c r="CD313" s="221"/>
      <c r="CE313" s="221"/>
      <c r="CF313" s="221"/>
      <c r="CG313" s="221"/>
      <c r="CH313" s="221"/>
      <c r="CI313" s="221"/>
      <c r="CJ313" s="221"/>
      <c r="CK313" s="221"/>
      <c r="CL313" s="221"/>
      <c r="CM313" s="221"/>
      <c r="CN313" s="221"/>
      <c r="CO313" s="221"/>
      <c r="CP313" s="221"/>
      <c r="CQ313" s="221"/>
      <c r="CR313" s="221"/>
      <c r="CS313" s="221"/>
      <c r="CT313" s="221"/>
      <c r="CU313" s="221"/>
      <c r="CV313" s="221"/>
      <c r="CW313" s="221"/>
      <c r="CX313" s="221"/>
      <c r="CY313" s="221"/>
      <c r="CZ313" s="221"/>
      <c r="DA313" s="221"/>
      <c r="DB313" s="221"/>
      <c r="DC313" s="221"/>
      <c r="DD313" s="221"/>
      <c r="DE313" s="221"/>
      <c r="DF313" s="221"/>
      <c r="DG313" s="221"/>
      <c r="DH313" s="221"/>
      <c r="DI313" s="221"/>
      <c r="DJ313" s="221"/>
      <c r="DK313" s="221"/>
      <c r="DL313" s="221"/>
      <c r="DM313" s="221"/>
      <c r="DN313" s="221"/>
      <c r="DO313" s="221"/>
      <c r="DP313" s="221"/>
      <c r="DQ313" s="221"/>
      <c r="DR313" s="221"/>
      <c r="DS313" s="221"/>
      <c r="DT313" s="221"/>
      <c r="DU313" s="221"/>
      <c r="DV313" s="221"/>
      <c r="DW313" s="221"/>
      <c r="DX313" s="221"/>
      <c r="DY313" s="221"/>
      <c r="DZ313" s="221"/>
      <c r="EA313" s="221"/>
      <c r="EB313" s="221"/>
      <c r="EC313" s="221"/>
      <c r="ED313" s="221"/>
      <c r="EE313" s="221"/>
      <c r="EF313" s="221"/>
      <c r="EG313" s="221"/>
      <c r="EH313" s="221"/>
      <c r="EI313" s="221"/>
      <c r="EJ313" s="221"/>
      <c r="EK313" s="221"/>
      <c r="EL313" s="221"/>
      <c r="EM313" s="221"/>
      <c r="EN313" s="221"/>
      <c r="EO313" s="221"/>
      <c r="EP313" s="221"/>
      <c r="EQ313" s="221"/>
      <c r="ER313" s="221"/>
      <c r="ES313" s="221"/>
      <c r="ET313" s="221"/>
      <c r="EU313" s="221"/>
      <c r="EV313" s="221"/>
      <c r="EW313" s="221"/>
      <c r="EX313" s="221"/>
      <c r="EY313" s="221"/>
      <c r="EZ313" s="221"/>
      <c r="FA313" s="221"/>
      <c r="FB313" s="221"/>
      <c r="FC313" s="221"/>
      <c r="FD313" s="221"/>
      <c r="FE313" s="221"/>
      <c r="FF313" s="221"/>
      <c r="FG313" s="221"/>
      <c r="FH313" s="221"/>
      <c r="FI313" s="221"/>
      <c r="FJ313" s="221"/>
      <c r="FK313" s="221"/>
      <c r="FL313" s="221"/>
      <c r="FM313" s="221"/>
      <c r="FN313" s="221"/>
      <c r="FO313" s="221"/>
      <c r="FP313" s="221"/>
      <c r="FQ313" s="221"/>
      <c r="FR313" s="221"/>
      <c r="FS313" s="221"/>
      <c r="FT313" s="221"/>
      <c r="FU313" s="221"/>
      <c r="FV313" s="221"/>
      <c r="FW313" s="221"/>
      <c r="FX313" s="221"/>
      <c r="FY313" s="221"/>
      <c r="FZ313" s="221"/>
      <c r="GA313" s="221"/>
      <c r="GB313" s="221"/>
      <c r="GC313" s="221"/>
      <c r="GD313" s="221"/>
      <c r="GE313" s="221"/>
      <c r="GF313" s="221"/>
      <c r="GG313" s="221"/>
      <c r="GH313" s="221"/>
      <c r="GI313" s="221"/>
      <c r="GJ313" s="221"/>
      <c r="GK313" s="221"/>
      <c r="GL313" s="221"/>
      <c r="GM313" s="221"/>
      <c r="GN313" s="221"/>
      <c r="GO313" s="221"/>
      <c r="GP313" s="221"/>
      <c r="GQ313" s="221"/>
      <c r="GR313" s="221"/>
      <c r="GS313" s="221"/>
      <c r="GT313" s="221"/>
      <c r="GU313" s="221"/>
      <c r="GV313" s="221"/>
      <c r="GW313" s="221"/>
      <c r="GX313" s="221"/>
      <c r="GY313" s="221"/>
      <c r="GZ313" s="221"/>
      <c r="HA313" s="221"/>
      <c r="HB313" s="221"/>
      <c r="HC313" s="221"/>
      <c r="HD313" s="221"/>
      <c r="HE313" s="221"/>
      <c r="HF313" s="221"/>
      <c r="HG313" s="221"/>
      <c r="HH313" s="221"/>
      <c r="HI313" s="221"/>
      <c r="HJ313" s="221"/>
      <c r="HK313" s="221"/>
      <c r="HL313" s="221"/>
      <c r="HM313" s="221"/>
      <c r="HN313" s="221"/>
      <c r="HO313" s="221"/>
      <c r="HP313" s="221"/>
      <c r="HQ313" s="221"/>
      <c r="HR313" s="221"/>
      <c r="HS313" s="221"/>
      <c r="HT313" s="221"/>
      <c r="HU313" s="221"/>
      <c r="HV313" s="221"/>
      <c r="HW313" s="221"/>
      <c r="HX313" s="221"/>
      <c r="HY313" s="221"/>
      <c r="HZ313" s="221"/>
      <c r="IA313" s="221"/>
      <c r="IB313" s="221"/>
      <c r="IC313" s="221"/>
      <c r="ID313" s="221"/>
      <c r="IE313" s="221"/>
      <c r="IF313" s="221"/>
      <c r="IG313" s="221"/>
      <c r="IH313" s="221"/>
      <c r="II313" s="221"/>
      <c r="IJ313" s="221"/>
      <c r="IK313" s="221"/>
      <c r="IL313" s="221"/>
      <c r="IM313" s="221"/>
      <c r="IN313" s="221"/>
      <c r="IO313" s="221"/>
      <c r="IP313" s="221"/>
      <c r="IQ313" s="221"/>
      <c r="IR313" s="221"/>
      <c r="IS313" s="221"/>
      <c r="IT313" s="221"/>
      <c r="IU313" s="221"/>
      <c r="IV313" s="221"/>
      <c r="IW313" s="221"/>
      <c r="IX313" s="221"/>
      <c r="IY313" s="221"/>
      <c r="IZ313" s="221"/>
      <c r="JA313" s="221"/>
      <c r="JB313" s="221"/>
      <c r="JC313" s="221"/>
      <c r="JD313" s="221"/>
      <c r="JE313" s="221"/>
      <c r="JF313" s="221"/>
      <c r="JG313" s="221"/>
      <c r="JH313" s="221"/>
      <c r="JI313" s="221"/>
      <c r="JJ313" s="221"/>
      <c r="JK313" s="221"/>
      <c r="JL313" s="221"/>
      <c r="JM313" s="221"/>
      <c r="JN313" s="221"/>
      <c r="JO313" s="221"/>
      <c r="JP313" s="221"/>
      <c r="JQ313" s="221"/>
    </row>
    <row r="314" spans="1:277" ht="20" customHeight="1" outlineLevel="1">
      <c r="A314" s="482">
        <v>190713</v>
      </c>
      <c r="B314" s="439">
        <v>42196</v>
      </c>
      <c r="C314" s="514" t="s">
        <v>72</v>
      </c>
      <c r="D314" s="514" t="s">
        <v>1259</v>
      </c>
      <c r="E314" s="539" t="s">
        <v>116</v>
      </c>
      <c r="F314" s="531" t="s">
        <v>47</v>
      </c>
      <c r="G314" s="514" t="s">
        <v>2213</v>
      </c>
      <c r="H314" s="439"/>
      <c r="I314" s="443">
        <v>192841</v>
      </c>
      <c r="J314" s="837" t="s">
        <v>62</v>
      </c>
      <c r="K314" s="448" t="s">
        <v>50</v>
      </c>
      <c r="L314" s="448"/>
      <c r="M314" s="439"/>
      <c r="N314" s="448" t="s">
        <v>201</v>
      </c>
      <c r="O314" s="448" t="s">
        <v>1932</v>
      </c>
      <c r="P314" s="516"/>
      <c r="Q314" s="629"/>
      <c r="R314" s="589">
        <v>0</v>
      </c>
      <c r="S314" s="590">
        <v>0</v>
      </c>
      <c r="T314" s="604">
        <v>0</v>
      </c>
      <c r="U314" s="596">
        <v>0</v>
      </c>
      <c r="V314" s="590">
        <v>0</v>
      </c>
      <c r="W314" s="604">
        <v>0</v>
      </c>
      <c r="X314" s="596">
        <v>0</v>
      </c>
      <c r="Y314" s="590">
        <v>0</v>
      </c>
      <c r="Z314" s="604">
        <v>0</v>
      </c>
      <c r="AA314" s="596">
        <v>2</v>
      </c>
      <c r="AB314" s="590">
        <v>0</v>
      </c>
      <c r="AC314" s="604">
        <v>0</v>
      </c>
      <c r="AD314" s="596">
        <v>0</v>
      </c>
      <c r="AE314" s="596">
        <v>0</v>
      </c>
      <c r="AF314" s="596">
        <v>0</v>
      </c>
      <c r="AG314" s="590">
        <v>0</v>
      </c>
      <c r="AH314" s="604">
        <v>0</v>
      </c>
      <c r="AI314" s="610">
        <v>0</v>
      </c>
      <c r="AJ314" s="610">
        <v>0</v>
      </c>
      <c r="AK314" s="629"/>
      <c r="AL314" s="530" t="s">
        <v>2031</v>
      </c>
      <c r="AM314" s="448"/>
      <c r="AN314" s="612">
        <f>2*8</f>
        <v>16</v>
      </c>
      <c r="AO314" s="444" t="s">
        <v>2201</v>
      </c>
      <c r="AP314" s="37">
        <v>32</v>
      </c>
      <c r="AQ314" s="795">
        <f>AP314-AN314</f>
        <v>16</v>
      </c>
      <c r="AR314" s="835">
        <f t="shared" si="32"/>
        <v>0.5</v>
      </c>
      <c r="AS314" s="821"/>
      <c r="AT314" s="448" t="s">
        <v>1254</v>
      </c>
      <c r="AU314" s="448">
        <v>1</v>
      </c>
      <c r="AV314" s="448"/>
      <c r="AW314" s="448"/>
      <c r="AX314" s="612">
        <v>45</v>
      </c>
      <c r="AY314" s="448"/>
      <c r="AZ314" s="612">
        <v>39</v>
      </c>
      <c r="BA314" s="256" t="s">
        <v>47</v>
      </c>
      <c r="BB314" s="41">
        <v>0</v>
      </c>
      <c r="BC314" s="448"/>
      <c r="BD314" s="448"/>
      <c r="BE314" s="448"/>
      <c r="BF314" s="448"/>
      <c r="BG314" s="448"/>
      <c r="BH314" s="221"/>
      <c r="BI314" s="221"/>
      <c r="BJ314" s="221"/>
      <c r="BK314" s="221"/>
      <c r="BL314" s="221"/>
      <c r="BM314" s="221"/>
      <c r="BN314" s="221"/>
      <c r="BO314" s="221"/>
      <c r="BP314" s="221"/>
      <c r="BQ314" s="221"/>
      <c r="BR314" s="221"/>
      <c r="BS314" s="221"/>
      <c r="BT314" s="221"/>
      <c r="BU314" s="221"/>
      <c r="BV314" s="221"/>
      <c r="BW314" s="221"/>
      <c r="BX314" s="221"/>
      <c r="BY314" s="221"/>
      <c r="BZ314" s="221"/>
      <c r="CA314" s="221"/>
      <c r="CB314" s="221"/>
      <c r="CC314" s="221"/>
      <c r="CD314" s="221"/>
      <c r="CE314" s="221"/>
      <c r="CF314" s="221"/>
      <c r="CG314" s="221"/>
      <c r="CH314" s="221"/>
      <c r="CI314" s="221"/>
      <c r="CJ314" s="221"/>
      <c r="CK314" s="221"/>
      <c r="CL314" s="221"/>
      <c r="CM314" s="221"/>
      <c r="CN314" s="221"/>
      <c r="CO314" s="221"/>
      <c r="CP314" s="221"/>
      <c r="CQ314" s="221"/>
      <c r="CR314" s="221"/>
      <c r="CS314" s="221"/>
      <c r="CT314" s="221"/>
      <c r="CU314" s="221"/>
      <c r="CV314" s="221"/>
      <c r="CW314" s="221"/>
      <c r="CX314" s="221"/>
      <c r="CY314" s="221"/>
      <c r="CZ314" s="221"/>
      <c r="DA314" s="221"/>
      <c r="DB314" s="221"/>
      <c r="DC314" s="221"/>
      <c r="DD314" s="221"/>
      <c r="DE314" s="221"/>
      <c r="DF314" s="221"/>
      <c r="DG314" s="221"/>
      <c r="DH314" s="221"/>
      <c r="DI314" s="221"/>
      <c r="DJ314" s="221"/>
      <c r="DK314" s="221"/>
      <c r="DL314" s="221"/>
      <c r="DM314" s="221"/>
      <c r="DN314" s="221"/>
      <c r="DO314" s="221"/>
      <c r="DP314" s="221"/>
      <c r="DQ314" s="221"/>
      <c r="DR314" s="221"/>
      <c r="DS314" s="221"/>
      <c r="DT314" s="221"/>
      <c r="DU314" s="221"/>
      <c r="DV314" s="221"/>
      <c r="DW314" s="221"/>
      <c r="DX314" s="221"/>
      <c r="DY314" s="221"/>
      <c r="DZ314" s="221"/>
      <c r="EA314" s="221"/>
      <c r="EB314" s="221"/>
      <c r="EC314" s="221"/>
      <c r="ED314" s="221"/>
      <c r="EE314" s="221"/>
      <c r="EF314" s="221"/>
      <c r="EG314" s="221"/>
      <c r="EH314" s="221"/>
      <c r="EI314" s="221"/>
      <c r="EJ314" s="221"/>
      <c r="EK314" s="221"/>
      <c r="EL314" s="221"/>
      <c r="EM314" s="221"/>
      <c r="EN314" s="221"/>
      <c r="EO314" s="221"/>
      <c r="EP314" s="221"/>
      <c r="EQ314" s="221"/>
      <c r="ER314" s="221"/>
      <c r="ES314" s="221"/>
      <c r="ET314" s="221"/>
      <c r="EU314" s="221"/>
      <c r="EV314" s="221"/>
      <c r="EW314" s="221"/>
      <c r="EX314" s="221"/>
      <c r="EY314" s="221"/>
      <c r="EZ314" s="221"/>
      <c r="FA314" s="221"/>
      <c r="FB314" s="221"/>
      <c r="FC314" s="221"/>
      <c r="FD314" s="221"/>
      <c r="FE314" s="221"/>
      <c r="FF314" s="221"/>
      <c r="FG314" s="221"/>
      <c r="FH314" s="221"/>
      <c r="FI314" s="221"/>
      <c r="FJ314" s="221"/>
      <c r="FK314" s="221"/>
      <c r="FL314" s="221"/>
      <c r="FM314" s="221"/>
      <c r="FN314" s="221"/>
      <c r="FO314" s="221"/>
      <c r="FP314" s="221"/>
      <c r="FQ314" s="221"/>
      <c r="FR314" s="221"/>
      <c r="FS314" s="221"/>
      <c r="FT314" s="221"/>
      <c r="FU314" s="221"/>
      <c r="FV314" s="221"/>
      <c r="FW314" s="221"/>
      <c r="FX314" s="221"/>
      <c r="FY314" s="221"/>
      <c r="FZ314" s="221"/>
      <c r="GA314" s="221"/>
      <c r="GB314" s="221"/>
      <c r="GC314" s="221"/>
      <c r="GD314" s="221"/>
      <c r="GE314" s="221"/>
      <c r="GF314" s="221"/>
      <c r="GG314" s="221"/>
      <c r="GH314" s="221"/>
      <c r="GI314" s="221"/>
      <c r="GJ314" s="221"/>
      <c r="GK314" s="221"/>
      <c r="GL314" s="221"/>
      <c r="GM314" s="221"/>
      <c r="GN314" s="221"/>
      <c r="GO314" s="221"/>
      <c r="GP314" s="221"/>
      <c r="GQ314" s="221"/>
      <c r="GR314" s="221"/>
      <c r="GS314" s="221"/>
      <c r="GT314" s="221"/>
      <c r="GU314" s="221"/>
      <c r="GV314" s="221"/>
      <c r="GW314" s="221"/>
      <c r="GX314" s="221"/>
      <c r="GY314" s="221"/>
      <c r="GZ314" s="221"/>
      <c r="HA314" s="221"/>
      <c r="HB314" s="221"/>
      <c r="HC314" s="221"/>
      <c r="HD314" s="221"/>
      <c r="HE314" s="221"/>
      <c r="HF314" s="221"/>
      <c r="HG314" s="221"/>
      <c r="HH314" s="221"/>
      <c r="HI314" s="221"/>
      <c r="HJ314" s="221"/>
      <c r="HK314" s="221"/>
      <c r="HL314" s="221"/>
      <c r="HM314" s="221"/>
      <c r="HN314" s="221"/>
      <c r="HO314" s="221"/>
      <c r="HP314" s="221"/>
      <c r="HQ314" s="221"/>
      <c r="HR314" s="221"/>
      <c r="HS314" s="221"/>
      <c r="HT314" s="221"/>
      <c r="HU314" s="221"/>
      <c r="HV314" s="221"/>
      <c r="HW314" s="221"/>
      <c r="HX314" s="221"/>
      <c r="HY314" s="221"/>
      <c r="HZ314" s="221"/>
      <c r="IA314" s="221"/>
      <c r="IB314" s="221"/>
      <c r="IC314" s="221"/>
      <c r="ID314" s="221"/>
      <c r="IE314" s="221"/>
      <c r="IF314" s="221"/>
      <c r="IG314" s="221"/>
      <c r="IH314" s="221"/>
      <c r="II314" s="221"/>
      <c r="IJ314" s="221"/>
      <c r="IK314" s="221"/>
      <c r="IL314" s="221"/>
      <c r="IM314" s="221"/>
      <c r="IN314" s="221"/>
      <c r="IO314" s="221"/>
      <c r="IP314" s="221"/>
      <c r="IQ314" s="221"/>
      <c r="IR314" s="221"/>
      <c r="IS314" s="221"/>
      <c r="IT314" s="221"/>
      <c r="IU314" s="221"/>
      <c r="IV314" s="221"/>
      <c r="IW314" s="221"/>
      <c r="IX314" s="221"/>
      <c r="IY314" s="221"/>
      <c r="IZ314" s="221"/>
      <c r="JA314" s="221"/>
      <c r="JB314" s="221"/>
      <c r="JC314" s="221"/>
      <c r="JD314" s="221"/>
      <c r="JE314" s="221"/>
      <c r="JF314" s="221"/>
      <c r="JG314" s="221"/>
      <c r="JH314" s="221"/>
      <c r="JI314" s="221"/>
      <c r="JJ314" s="221"/>
      <c r="JK314" s="221"/>
      <c r="JL314" s="221"/>
      <c r="JM314" s="221"/>
      <c r="JN314" s="221"/>
      <c r="JO314" s="221"/>
      <c r="JP314" s="221"/>
      <c r="JQ314" s="221"/>
    </row>
    <row r="315" spans="1:277" ht="20" customHeight="1" outlineLevel="1">
      <c r="A315" s="482">
        <v>190714</v>
      </c>
      <c r="B315" s="439">
        <v>42196</v>
      </c>
      <c r="C315" s="514" t="s">
        <v>1523</v>
      </c>
      <c r="D315" s="514" t="s">
        <v>1998</v>
      </c>
      <c r="E315" s="539" t="s">
        <v>154</v>
      </c>
      <c r="F315" s="531" t="s">
        <v>47</v>
      </c>
      <c r="G315" s="448" t="s">
        <v>2204</v>
      </c>
      <c r="H315" s="439"/>
      <c r="I315" s="443" t="s">
        <v>47</v>
      </c>
      <c r="J315" s="837" t="s">
        <v>62</v>
      </c>
      <c r="K315" s="448" t="s">
        <v>118</v>
      </c>
      <c r="L315" s="448" t="s">
        <v>47</v>
      </c>
      <c r="M315" s="439">
        <v>42196</v>
      </c>
      <c r="N315" s="448" t="s">
        <v>2205</v>
      </c>
      <c r="O315" s="448" t="s">
        <v>1820</v>
      </c>
      <c r="P315" s="516">
        <v>70002</v>
      </c>
      <c r="Q315" s="629"/>
      <c r="R315" s="589">
        <v>1</v>
      </c>
      <c r="S315" s="590">
        <v>0</v>
      </c>
      <c r="T315" s="604">
        <v>0</v>
      </c>
      <c r="U315" s="596">
        <v>0</v>
      </c>
      <c r="V315" s="590">
        <v>0</v>
      </c>
      <c r="W315" s="604">
        <v>0</v>
      </c>
      <c r="X315" s="596">
        <v>0</v>
      </c>
      <c r="Y315" s="590">
        <v>0</v>
      </c>
      <c r="Z315" s="604">
        <v>0</v>
      </c>
      <c r="AA315" s="596">
        <v>0</v>
      </c>
      <c r="AB315" s="590">
        <v>0</v>
      </c>
      <c r="AC315" s="604">
        <v>0</v>
      </c>
      <c r="AD315" s="596">
        <v>0</v>
      </c>
      <c r="AE315" s="596">
        <v>0</v>
      </c>
      <c r="AF315" s="596">
        <v>0</v>
      </c>
      <c r="AG315" s="590">
        <v>0</v>
      </c>
      <c r="AH315" s="604">
        <v>0</v>
      </c>
      <c r="AI315" s="610">
        <v>0</v>
      </c>
      <c r="AJ315" s="610">
        <v>0</v>
      </c>
      <c r="AK315" s="629"/>
      <c r="AL315" s="531" t="s">
        <v>1300</v>
      </c>
      <c r="AM315" s="448"/>
      <c r="AN315" s="612"/>
      <c r="AO315" s="440" t="s">
        <v>47</v>
      </c>
      <c r="AP315" s="37"/>
      <c r="AQ315" s="795">
        <f t="shared" si="31"/>
        <v>0</v>
      </c>
      <c r="AR315" s="835" t="e">
        <f t="shared" si="32"/>
        <v>#DIV/0!</v>
      </c>
      <c r="AS315" s="821"/>
      <c r="AT315" s="448"/>
      <c r="AU315" s="448"/>
      <c r="AV315" s="448"/>
      <c r="AW315" s="448"/>
      <c r="AX315" s="612"/>
      <c r="AY315" s="448"/>
      <c r="AZ315" s="612"/>
      <c r="BA315" s="256" t="s">
        <v>47</v>
      </c>
      <c r="BB315" s="41">
        <v>0</v>
      </c>
      <c r="BC315" s="448"/>
      <c r="BD315" s="448"/>
      <c r="BE315" s="448"/>
      <c r="BF315" s="448"/>
      <c r="BG315" s="448"/>
      <c r="BH315" s="221"/>
      <c r="BI315" s="221"/>
      <c r="BJ315" s="221"/>
      <c r="BK315" s="221"/>
      <c r="BL315" s="221"/>
      <c r="BM315" s="221"/>
      <c r="BN315" s="221"/>
      <c r="BO315" s="221"/>
      <c r="BP315" s="221"/>
      <c r="BQ315" s="221"/>
      <c r="BR315" s="221"/>
      <c r="BS315" s="221"/>
      <c r="BT315" s="221"/>
      <c r="BU315" s="221"/>
      <c r="BV315" s="221"/>
      <c r="BW315" s="221"/>
      <c r="BX315" s="221"/>
      <c r="BY315" s="221"/>
      <c r="BZ315" s="221"/>
      <c r="CA315" s="221"/>
      <c r="CB315" s="221"/>
      <c r="CC315" s="221"/>
      <c r="CD315" s="221"/>
      <c r="CE315" s="221"/>
      <c r="CF315" s="221"/>
      <c r="CG315" s="221"/>
      <c r="CH315" s="221"/>
      <c r="CI315" s="221"/>
      <c r="CJ315" s="221"/>
      <c r="CK315" s="221"/>
      <c r="CL315" s="221"/>
      <c r="CM315" s="221"/>
      <c r="CN315" s="221"/>
      <c r="CO315" s="221"/>
      <c r="CP315" s="221"/>
      <c r="CQ315" s="221"/>
      <c r="CR315" s="221"/>
      <c r="CS315" s="221"/>
      <c r="CT315" s="221"/>
      <c r="CU315" s="221"/>
      <c r="CV315" s="221"/>
      <c r="CW315" s="221"/>
      <c r="CX315" s="221"/>
      <c r="CY315" s="221"/>
      <c r="CZ315" s="221"/>
      <c r="DA315" s="221"/>
      <c r="DB315" s="221"/>
      <c r="DC315" s="221"/>
      <c r="DD315" s="221"/>
      <c r="DE315" s="221"/>
      <c r="DF315" s="221"/>
      <c r="DG315" s="221"/>
      <c r="DH315" s="221"/>
      <c r="DI315" s="221"/>
      <c r="DJ315" s="221"/>
      <c r="DK315" s="221"/>
      <c r="DL315" s="221"/>
      <c r="DM315" s="221"/>
      <c r="DN315" s="221"/>
      <c r="DO315" s="221"/>
      <c r="DP315" s="221"/>
      <c r="DQ315" s="221"/>
      <c r="DR315" s="221"/>
      <c r="DS315" s="221"/>
      <c r="DT315" s="221"/>
      <c r="DU315" s="221"/>
      <c r="DV315" s="221"/>
      <c r="DW315" s="221"/>
      <c r="DX315" s="221"/>
      <c r="DY315" s="221"/>
      <c r="DZ315" s="221"/>
      <c r="EA315" s="221"/>
      <c r="EB315" s="221"/>
      <c r="EC315" s="221"/>
      <c r="ED315" s="221"/>
      <c r="EE315" s="221"/>
      <c r="EF315" s="221"/>
      <c r="EG315" s="221"/>
      <c r="EH315" s="221"/>
      <c r="EI315" s="221"/>
      <c r="EJ315" s="221"/>
      <c r="EK315" s="221"/>
      <c r="EL315" s="221"/>
      <c r="EM315" s="221"/>
      <c r="EN315" s="221"/>
      <c r="EO315" s="221"/>
      <c r="EP315" s="221"/>
      <c r="EQ315" s="221"/>
      <c r="ER315" s="221"/>
      <c r="ES315" s="221"/>
      <c r="ET315" s="221"/>
      <c r="EU315" s="221"/>
      <c r="EV315" s="221"/>
      <c r="EW315" s="221"/>
      <c r="EX315" s="221"/>
      <c r="EY315" s="221"/>
      <c r="EZ315" s="221"/>
      <c r="FA315" s="221"/>
      <c r="FB315" s="221"/>
      <c r="FC315" s="221"/>
      <c r="FD315" s="221"/>
      <c r="FE315" s="221"/>
      <c r="FF315" s="221"/>
      <c r="FG315" s="221"/>
      <c r="FH315" s="221"/>
      <c r="FI315" s="221"/>
      <c r="FJ315" s="221"/>
      <c r="FK315" s="221"/>
      <c r="FL315" s="221"/>
      <c r="FM315" s="221"/>
      <c r="FN315" s="221"/>
      <c r="FO315" s="221"/>
      <c r="FP315" s="221"/>
      <c r="FQ315" s="221"/>
      <c r="FR315" s="221"/>
      <c r="FS315" s="221"/>
      <c r="FT315" s="221"/>
      <c r="FU315" s="221"/>
      <c r="FV315" s="221"/>
      <c r="FW315" s="221"/>
      <c r="FX315" s="221"/>
      <c r="FY315" s="221"/>
      <c r="FZ315" s="221"/>
      <c r="GA315" s="221"/>
      <c r="GB315" s="221"/>
      <c r="GC315" s="221"/>
      <c r="GD315" s="221"/>
      <c r="GE315" s="221"/>
      <c r="GF315" s="221"/>
      <c r="GG315" s="221"/>
      <c r="GH315" s="221"/>
      <c r="GI315" s="221"/>
      <c r="GJ315" s="221"/>
      <c r="GK315" s="221"/>
      <c r="GL315" s="221"/>
      <c r="GM315" s="221"/>
      <c r="GN315" s="221"/>
      <c r="GO315" s="221"/>
      <c r="GP315" s="221"/>
      <c r="GQ315" s="221"/>
      <c r="GR315" s="221"/>
      <c r="GS315" s="221"/>
      <c r="GT315" s="221"/>
      <c r="GU315" s="221"/>
      <c r="GV315" s="221"/>
      <c r="GW315" s="221"/>
      <c r="GX315" s="221"/>
      <c r="GY315" s="221"/>
      <c r="GZ315" s="221"/>
      <c r="HA315" s="221"/>
      <c r="HB315" s="221"/>
      <c r="HC315" s="221"/>
      <c r="HD315" s="221"/>
      <c r="HE315" s="221"/>
      <c r="HF315" s="221"/>
      <c r="HG315" s="221"/>
      <c r="HH315" s="221"/>
      <c r="HI315" s="221"/>
      <c r="HJ315" s="221"/>
      <c r="HK315" s="221"/>
      <c r="HL315" s="221"/>
      <c r="HM315" s="221"/>
      <c r="HN315" s="221"/>
      <c r="HO315" s="221"/>
      <c r="HP315" s="221"/>
      <c r="HQ315" s="221"/>
      <c r="HR315" s="221"/>
      <c r="HS315" s="221"/>
      <c r="HT315" s="221"/>
      <c r="HU315" s="221"/>
      <c r="HV315" s="221"/>
      <c r="HW315" s="221"/>
      <c r="HX315" s="221"/>
      <c r="HY315" s="221"/>
      <c r="HZ315" s="221"/>
      <c r="IA315" s="221"/>
      <c r="IB315" s="221"/>
      <c r="IC315" s="221"/>
      <c r="ID315" s="221"/>
      <c r="IE315" s="221"/>
      <c r="IF315" s="221"/>
      <c r="IG315" s="221"/>
      <c r="IH315" s="221"/>
      <c r="II315" s="221"/>
      <c r="IJ315" s="221"/>
      <c r="IK315" s="221"/>
      <c r="IL315" s="221"/>
      <c r="IM315" s="221"/>
      <c r="IN315" s="221"/>
      <c r="IO315" s="221"/>
      <c r="IP315" s="221"/>
      <c r="IQ315" s="221"/>
      <c r="IR315" s="221"/>
      <c r="IS315" s="221"/>
      <c r="IT315" s="221"/>
      <c r="IU315" s="221"/>
      <c r="IV315" s="221"/>
      <c r="IW315" s="221"/>
      <c r="IX315" s="221"/>
      <c r="IY315" s="221"/>
      <c r="IZ315" s="221"/>
      <c r="JA315" s="221"/>
      <c r="JB315" s="221"/>
      <c r="JC315" s="221"/>
      <c r="JD315" s="221"/>
      <c r="JE315" s="221"/>
      <c r="JF315" s="221"/>
      <c r="JG315" s="221"/>
      <c r="JH315" s="221"/>
      <c r="JI315" s="221"/>
      <c r="JJ315" s="221"/>
      <c r="JK315" s="221"/>
      <c r="JL315" s="221"/>
      <c r="JM315" s="221"/>
      <c r="JN315" s="221"/>
      <c r="JO315" s="221"/>
      <c r="JP315" s="221"/>
      <c r="JQ315" s="221"/>
    </row>
    <row r="316" spans="1:277" ht="20" customHeight="1" outlineLevel="1">
      <c r="A316" s="482">
        <v>190715</v>
      </c>
      <c r="B316" s="439">
        <v>42196</v>
      </c>
      <c r="C316" s="514" t="s">
        <v>72</v>
      </c>
      <c r="D316" s="514" t="s">
        <v>1259</v>
      </c>
      <c r="E316" s="539" t="s">
        <v>2233</v>
      </c>
      <c r="F316" s="531"/>
      <c r="G316" s="448" t="s">
        <v>2207</v>
      </c>
      <c r="H316" s="439"/>
      <c r="I316" s="443">
        <v>192931</v>
      </c>
      <c r="J316" s="837" t="s">
        <v>62</v>
      </c>
      <c r="K316" s="448" t="s">
        <v>118</v>
      </c>
      <c r="L316" s="448"/>
      <c r="M316" s="439">
        <v>42196</v>
      </c>
      <c r="N316" s="514" t="s">
        <v>283</v>
      </c>
      <c r="O316" s="514" t="s">
        <v>1167</v>
      </c>
      <c r="P316" s="516"/>
      <c r="Q316" s="629"/>
      <c r="R316" s="589">
        <v>0</v>
      </c>
      <c r="S316" s="604">
        <v>0</v>
      </c>
      <c r="T316" s="604">
        <v>0</v>
      </c>
      <c r="U316" s="604">
        <v>0</v>
      </c>
      <c r="V316" s="604">
        <v>0</v>
      </c>
      <c r="W316" s="604">
        <v>0</v>
      </c>
      <c r="X316" s="604">
        <v>0</v>
      </c>
      <c r="Y316" s="604">
        <v>0</v>
      </c>
      <c r="Z316" s="604">
        <v>0</v>
      </c>
      <c r="AA316" s="604">
        <v>0</v>
      </c>
      <c r="AB316" s="604">
        <v>0</v>
      </c>
      <c r="AC316" s="604">
        <v>0</v>
      </c>
      <c r="AD316" s="596">
        <v>5</v>
      </c>
      <c r="AE316" s="604">
        <v>0</v>
      </c>
      <c r="AF316" s="604">
        <v>0</v>
      </c>
      <c r="AG316" s="604">
        <v>0</v>
      </c>
      <c r="AH316" s="604">
        <v>0</v>
      </c>
      <c r="AI316" s="604">
        <v>0</v>
      </c>
      <c r="AJ316" s="604">
        <v>0</v>
      </c>
      <c r="AK316" s="629"/>
      <c r="AL316" s="531" t="s">
        <v>1300</v>
      </c>
      <c r="AM316" s="448"/>
      <c r="AN316" s="612">
        <v>53.75</v>
      </c>
      <c r="AO316" s="440" t="s">
        <v>2227</v>
      </c>
      <c r="AP316" s="37">
        <v>91.5</v>
      </c>
      <c r="AQ316" s="795">
        <f t="shared" si="31"/>
        <v>37.75</v>
      </c>
      <c r="AR316" s="835">
        <f t="shared" si="32"/>
        <v>0.41256830601092898</v>
      </c>
      <c r="AS316" s="821"/>
      <c r="AT316" s="514" t="s">
        <v>1254</v>
      </c>
      <c r="AU316" s="448">
        <v>1</v>
      </c>
      <c r="AV316" s="448"/>
      <c r="AW316" s="448"/>
      <c r="AX316" s="612">
        <v>0</v>
      </c>
      <c r="AY316" s="448" t="s">
        <v>118</v>
      </c>
      <c r="AZ316" s="612"/>
      <c r="BA316" s="256"/>
      <c r="BB316" s="41"/>
      <c r="BC316" s="448"/>
      <c r="BD316" s="448"/>
      <c r="BE316" s="448"/>
      <c r="BF316" s="448"/>
      <c r="BG316" s="448"/>
      <c r="BH316" s="221"/>
      <c r="BI316" s="221"/>
      <c r="BJ316" s="221"/>
      <c r="BK316" s="221"/>
      <c r="BL316" s="221"/>
      <c r="BM316" s="221"/>
      <c r="BN316" s="221"/>
      <c r="BO316" s="221"/>
      <c r="BP316" s="221"/>
      <c r="BQ316" s="221"/>
      <c r="BR316" s="221"/>
      <c r="BS316" s="221"/>
      <c r="BT316" s="221"/>
      <c r="BU316" s="221"/>
      <c r="BV316" s="221"/>
      <c r="BW316" s="221"/>
      <c r="BX316" s="221"/>
      <c r="BY316" s="221"/>
      <c r="BZ316" s="221"/>
      <c r="CA316" s="221"/>
      <c r="CB316" s="221"/>
      <c r="CC316" s="221"/>
      <c r="CD316" s="221"/>
      <c r="CE316" s="221"/>
      <c r="CF316" s="221"/>
      <c r="CG316" s="221"/>
      <c r="CH316" s="221"/>
      <c r="CI316" s="221"/>
      <c r="CJ316" s="221"/>
      <c r="CK316" s="221"/>
      <c r="CL316" s="221"/>
      <c r="CM316" s="221"/>
      <c r="CN316" s="221"/>
      <c r="CO316" s="221"/>
      <c r="CP316" s="221"/>
      <c r="CQ316" s="221"/>
      <c r="CR316" s="221"/>
      <c r="CS316" s="221"/>
      <c r="CT316" s="221"/>
      <c r="CU316" s="221"/>
      <c r="CV316" s="221"/>
      <c r="CW316" s="221"/>
      <c r="CX316" s="221"/>
      <c r="CY316" s="221"/>
      <c r="CZ316" s="221"/>
      <c r="DA316" s="221"/>
      <c r="DB316" s="221"/>
      <c r="DC316" s="221"/>
      <c r="DD316" s="221"/>
      <c r="DE316" s="221"/>
      <c r="DF316" s="221"/>
      <c r="DG316" s="221"/>
      <c r="DH316" s="221"/>
      <c r="DI316" s="221"/>
      <c r="DJ316" s="221"/>
      <c r="DK316" s="221"/>
      <c r="DL316" s="221"/>
      <c r="DM316" s="221"/>
      <c r="DN316" s="221"/>
      <c r="DO316" s="221"/>
      <c r="DP316" s="221"/>
      <c r="DQ316" s="221"/>
      <c r="DR316" s="221"/>
      <c r="DS316" s="221"/>
      <c r="DT316" s="221"/>
      <c r="DU316" s="221"/>
      <c r="DV316" s="221"/>
      <c r="DW316" s="221"/>
      <c r="DX316" s="221"/>
      <c r="DY316" s="221"/>
      <c r="DZ316" s="221"/>
      <c r="EA316" s="221"/>
      <c r="EB316" s="221"/>
      <c r="EC316" s="221"/>
      <c r="ED316" s="221"/>
      <c r="EE316" s="221"/>
      <c r="EF316" s="221"/>
      <c r="EG316" s="221"/>
      <c r="EH316" s="221"/>
      <c r="EI316" s="221"/>
      <c r="EJ316" s="221"/>
      <c r="EK316" s="221"/>
      <c r="EL316" s="221"/>
      <c r="EM316" s="221"/>
      <c r="EN316" s="221"/>
      <c r="EO316" s="221"/>
      <c r="EP316" s="221"/>
      <c r="EQ316" s="221"/>
      <c r="ER316" s="221"/>
      <c r="ES316" s="221"/>
      <c r="ET316" s="221"/>
      <c r="EU316" s="221"/>
      <c r="EV316" s="221"/>
      <c r="EW316" s="221"/>
      <c r="EX316" s="221"/>
      <c r="EY316" s="221"/>
      <c r="EZ316" s="221"/>
      <c r="FA316" s="221"/>
      <c r="FB316" s="221"/>
      <c r="FC316" s="221"/>
      <c r="FD316" s="221"/>
      <c r="FE316" s="221"/>
      <c r="FF316" s="221"/>
      <c r="FG316" s="221"/>
      <c r="FH316" s="221"/>
      <c r="FI316" s="221"/>
      <c r="FJ316" s="221"/>
      <c r="FK316" s="221"/>
      <c r="FL316" s="221"/>
      <c r="FM316" s="221"/>
      <c r="FN316" s="221"/>
      <c r="FO316" s="221"/>
      <c r="FP316" s="221"/>
      <c r="FQ316" s="221"/>
      <c r="FR316" s="221"/>
      <c r="FS316" s="221"/>
      <c r="FT316" s="221"/>
      <c r="FU316" s="221"/>
      <c r="FV316" s="221"/>
      <c r="FW316" s="221"/>
      <c r="FX316" s="221"/>
      <c r="FY316" s="221"/>
      <c r="FZ316" s="221"/>
      <c r="GA316" s="221"/>
      <c r="GB316" s="221"/>
      <c r="GC316" s="221"/>
      <c r="GD316" s="221"/>
      <c r="GE316" s="221"/>
      <c r="GF316" s="221"/>
      <c r="GG316" s="221"/>
      <c r="GH316" s="221"/>
      <c r="GI316" s="221"/>
      <c r="GJ316" s="221"/>
      <c r="GK316" s="221"/>
      <c r="GL316" s="221"/>
      <c r="GM316" s="221"/>
      <c r="GN316" s="221"/>
      <c r="GO316" s="221"/>
      <c r="GP316" s="221"/>
      <c r="GQ316" s="221"/>
      <c r="GR316" s="221"/>
      <c r="GS316" s="221"/>
      <c r="GT316" s="221"/>
      <c r="GU316" s="221"/>
      <c r="GV316" s="221"/>
      <c r="GW316" s="221"/>
      <c r="GX316" s="221"/>
      <c r="GY316" s="221"/>
      <c r="GZ316" s="221"/>
      <c r="HA316" s="221"/>
      <c r="HB316" s="221"/>
      <c r="HC316" s="221"/>
      <c r="HD316" s="221"/>
      <c r="HE316" s="221"/>
      <c r="HF316" s="221"/>
      <c r="HG316" s="221"/>
      <c r="HH316" s="221"/>
      <c r="HI316" s="221"/>
      <c r="HJ316" s="221"/>
      <c r="HK316" s="221"/>
      <c r="HL316" s="221"/>
      <c r="HM316" s="221"/>
      <c r="HN316" s="221"/>
      <c r="HO316" s="221"/>
      <c r="HP316" s="221"/>
      <c r="HQ316" s="221"/>
      <c r="HR316" s="221"/>
      <c r="HS316" s="221"/>
      <c r="HT316" s="221"/>
      <c r="HU316" s="221"/>
      <c r="HV316" s="221"/>
      <c r="HW316" s="221"/>
      <c r="HX316" s="221"/>
      <c r="HY316" s="221"/>
      <c r="HZ316" s="221"/>
      <c r="IA316" s="221"/>
      <c r="IB316" s="221"/>
      <c r="IC316" s="221"/>
      <c r="ID316" s="221"/>
      <c r="IE316" s="221"/>
      <c r="IF316" s="221"/>
      <c r="IG316" s="221"/>
      <c r="IH316" s="221"/>
      <c r="II316" s="221"/>
      <c r="IJ316" s="221"/>
      <c r="IK316" s="221"/>
      <c r="IL316" s="221"/>
      <c r="IM316" s="221"/>
      <c r="IN316" s="221"/>
      <c r="IO316" s="221"/>
      <c r="IP316" s="221"/>
      <c r="IQ316" s="221"/>
      <c r="IR316" s="221"/>
      <c r="IS316" s="221"/>
      <c r="IT316" s="221"/>
      <c r="IU316" s="221"/>
      <c r="IV316" s="221"/>
      <c r="IW316" s="221"/>
      <c r="IX316" s="221"/>
      <c r="IY316" s="221"/>
      <c r="IZ316" s="221"/>
      <c r="JA316" s="221"/>
      <c r="JB316" s="221"/>
      <c r="JC316" s="221"/>
      <c r="JD316" s="221"/>
      <c r="JE316" s="221"/>
      <c r="JF316" s="221"/>
      <c r="JG316" s="221"/>
      <c r="JH316" s="221"/>
      <c r="JI316" s="221"/>
      <c r="JJ316" s="221"/>
      <c r="JK316" s="221"/>
      <c r="JL316" s="221"/>
      <c r="JM316" s="221"/>
      <c r="JN316" s="221"/>
      <c r="JO316" s="221"/>
      <c r="JP316" s="221"/>
      <c r="JQ316" s="221"/>
    </row>
    <row r="317" spans="1:277" ht="20" customHeight="1" outlineLevel="1">
      <c r="A317" s="482">
        <v>190716</v>
      </c>
      <c r="B317" s="439">
        <v>42200</v>
      </c>
      <c r="C317" s="514" t="s">
        <v>72</v>
      </c>
      <c r="D317" s="514" t="s">
        <v>1259</v>
      </c>
      <c r="E317" s="539" t="s">
        <v>2233</v>
      </c>
      <c r="F317" s="531"/>
      <c r="G317" s="448" t="s">
        <v>2208</v>
      </c>
      <c r="H317" s="439"/>
      <c r="I317" s="443">
        <v>192931</v>
      </c>
      <c r="J317" s="837" t="s">
        <v>1269</v>
      </c>
      <c r="K317" s="448" t="s">
        <v>118</v>
      </c>
      <c r="L317" s="448"/>
      <c r="M317" s="439">
        <v>42200</v>
      </c>
      <c r="N317" s="514" t="s">
        <v>283</v>
      </c>
      <c r="O317" s="514" t="s">
        <v>1167</v>
      </c>
      <c r="P317" s="516"/>
      <c r="Q317" s="629"/>
      <c r="R317" s="589">
        <v>0</v>
      </c>
      <c r="S317" s="604">
        <v>0</v>
      </c>
      <c r="T317" s="604">
        <v>0</v>
      </c>
      <c r="U317" s="596">
        <v>1</v>
      </c>
      <c r="V317" s="604">
        <v>0</v>
      </c>
      <c r="W317" s="604">
        <v>0</v>
      </c>
      <c r="X317" s="604">
        <v>0</v>
      </c>
      <c r="Y317" s="604">
        <v>0</v>
      </c>
      <c r="Z317" s="604">
        <v>0</v>
      </c>
      <c r="AA317" s="604">
        <v>0</v>
      </c>
      <c r="AB317" s="604">
        <v>0</v>
      </c>
      <c r="AC317" s="604">
        <v>0</v>
      </c>
      <c r="AD317" s="604">
        <v>0</v>
      </c>
      <c r="AE317" s="604">
        <v>0</v>
      </c>
      <c r="AF317" s="604">
        <v>0</v>
      </c>
      <c r="AG317" s="604">
        <v>0</v>
      </c>
      <c r="AH317" s="604">
        <v>0</v>
      </c>
      <c r="AI317" s="604">
        <v>0</v>
      </c>
      <c r="AJ317" s="604">
        <v>0</v>
      </c>
      <c r="AK317" s="629"/>
      <c r="AL317" s="531" t="s">
        <v>1300</v>
      </c>
      <c r="AM317" s="448"/>
      <c r="AN317" s="612">
        <v>64.8</v>
      </c>
      <c r="AO317" s="440" t="s">
        <v>2227</v>
      </c>
      <c r="AP317" s="37">
        <v>105.3</v>
      </c>
      <c r="AQ317" s="795">
        <f t="shared" si="31"/>
        <v>40.5</v>
      </c>
      <c r="AR317" s="835">
        <f t="shared" si="32"/>
        <v>0.38461538461538464</v>
      </c>
      <c r="AS317" s="821"/>
      <c r="AT317" s="514" t="s">
        <v>1254</v>
      </c>
      <c r="AU317" s="448">
        <v>1</v>
      </c>
      <c r="AV317" s="448"/>
      <c r="AW317" s="448"/>
      <c r="AX317" s="612">
        <v>0</v>
      </c>
      <c r="AY317" s="448" t="s">
        <v>118</v>
      </c>
      <c r="AZ317" s="612"/>
      <c r="BA317" s="256"/>
      <c r="BB317" s="41"/>
      <c r="BC317" s="448"/>
      <c r="BD317" s="448"/>
      <c r="BE317" s="448"/>
      <c r="BF317" s="448"/>
      <c r="BG317" s="448"/>
      <c r="BH317" s="221"/>
      <c r="BI317" s="221"/>
      <c r="BJ317" s="221"/>
      <c r="BK317" s="221"/>
      <c r="BL317" s="221"/>
      <c r="BM317" s="221"/>
      <c r="BN317" s="221"/>
      <c r="BO317" s="221"/>
      <c r="BP317" s="221"/>
      <c r="BQ317" s="221"/>
      <c r="BR317" s="221"/>
      <c r="BS317" s="221"/>
      <c r="BT317" s="221"/>
      <c r="BU317" s="221"/>
      <c r="BV317" s="221"/>
      <c r="BW317" s="221"/>
      <c r="BX317" s="221"/>
      <c r="BY317" s="221"/>
      <c r="BZ317" s="221"/>
      <c r="CA317" s="221"/>
      <c r="CB317" s="221"/>
      <c r="CC317" s="221"/>
      <c r="CD317" s="221"/>
      <c r="CE317" s="221"/>
      <c r="CF317" s="221"/>
      <c r="CG317" s="221"/>
      <c r="CH317" s="221"/>
      <c r="CI317" s="221"/>
      <c r="CJ317" s="221"/>
      <c r="CK317" s="221"/>
      <c r="CL317" s="221"/>
      <c r="CM317" s="221"/>
      <c r="CN317" s="221"/>
      <c r="CO317" s="221"/>
      <c r="CP317" s="221"/>
      <c r="CQ317" s="221"/>
      <c r="CR317" s="221"/>
      <c r="CS317" s="221"/>
      <c r="CT317" s="221"/>
      <c r="CU317" s="221"/>
      <c r="CV317" s="221"/>
      <c r="CW317" s="221"/>
      <c r="CX317" s="221"/>
      <c r="CY317" s="221"/>
      <c r="CZ317" s="221"/>
      <c r="DA317" s="221"/>
      <c r="DB317" s="221"/>
      <c r="DC317" s="221"/>
      <c r="DD317" s="221"/>
      <c r="DE317" s="221"/>
      <c r="DF317" s="221"/>
      <c r="DG317" s="221"/>
      <c r="DH317" s="221"/>
      <c r="DI317" s="221"/>
      <c r="DJ317" s="221"/>
      <c r="DK317" s="221"/>
      <c r="DL317" s="221"/>
      <c r="DM317" s="221"/>
      <c r="DN317" s="221"/>
      <c r="DO317" s="221"/>
      <c r="DP317" s="221"/>
      <c r="DQ317" s="221"/>
      <c r="DR317" s="221"/>
      <c r="DS317" s="221"/>
      <c r="DT317" s="221"/>
      <c r="DU317" s="221"/>
      <c r="DV317" s="221"/>
      <c r="DW317" s="221"/>
      <c r="DX317" s="221"/>
      <c r="DY317" s="221"/>
      <c r="DZ317" s="221"/>
      <c r="EA317" s="221"/>
      <c r="EB317" s="221"/>
      <c r="EC317" s="221"/>
      <c r="ED317" s="221"/>
      <c r="EE317" s="221"/>
      <c r="EF317" s="221"/>
      <c r="EG317" s="221"/>
      <c r="EH317" s="221"/>
      <c r="EI317" s="221"/>
      <c r="EJ317" s="221"/>
      <c r="EK317" s="221"/>
      <c r="EL317" s="221"/>
      <c r="EM317" s="221"/>
      <c r="EN317" s="221"/>
      <c r="EO317" s="221"/>
      <c r="EP317" s="221"/>
      <c r="EQ317" s="221"/>
      <c r="ER317" s="221"/>
      <c r="ES317" s="221"/>
      <c r="ET317" s="221"/>
      <c r="EU317" s="221"/>
      <c r="EV317" s="221"/>
      <c r="EW317" s="221"/>
      <c r="EX317" s="221"/>
      <c r="EY317" s="221"/>
      <c r="EZ317" s="221"/>
      <c r="FA317" s="221"/>
      <c r="FB317" s="221"/>
      <c r="FC317" s="221"/>
      <c r="FD317" s="221"/>
      <c r="FE317" s="221"/>
      <c r="FF317" s="221"/>
      <c r="FG317" s="221"/>
      <c r="FH317" s="221"/>
      <c r="FI317" s="221"/>
      <c r="FJ317" s="221"/>
      <c r="FK317" s="221"/>
      <c r="FL317" s="221"/>
      <c r="FM317" s="221"/>
      <c r="FN317" s="221"/>
      <c r="FO317" s="221"/>
      <c r="FP317" s="221"/>
      <c r="FQ317" s="221"/>
      <c r="FR317" s="221"/>
      <c r="FS317" s="221"/>
      <c r="FT317" s="221"/>
      <c r="FU317" s="221"/>
      <c r="FV317" s="221"/>
      <c r="FW317" s="221"/>
      <c r="FX317" s="221"/>
      <c r="FY317" s="221"/>
      <c r="FZ317" s="221"/>
      <c r="GA317" s="221"/>
      <c r="GB317" s="221"/>
      <c r="GC317" s="221"/>
      <c r="GD317" s="221"/>
      <c r="GE317" s="221"/>
      <c r="GF317" s="221"/>
      <c r="GG317" s="221"/>
      <c r="GH317" s="221"/>
      <c r="GI317" s="221"/>
      <c r="GJ317" s="221"/>
      <c r="GK317" s="221"/>
      <c r="GL317" s="221"/>
      <c r="GM317" s="221"/>
      <c r="GN317" s="221"/>
      <c r="GO317" s="221"/>
      <c r="GP317" s="221"/>
      <c r="GQ317" s="221"/>
      <c r="GR317" s="221"/>
      <c r="GS317" s="221"/>
      <c r="GT317" s="221"/>
      <c r="GU317" s="221"/>
      <c r="GV317" s="221"/>
      <c r="GW317" s="221"/>
      <c r="GX317" s="221"/>
      <c r="GY317" s="221"/>
      <c r="GZ317" s="221"/>
      <c r="HA317" s="221"/>
      <c r="HB317" s="221"/>
      <c r="HC317" s="221"/>
      <c r="HD317" s="221"/>
      <c r="HE317" s="221"/>
      <c r="HF317" s="221"/>
      <c r="HG317" s="221"/>
      <c r="HH317" s="221"/>
      <c r="HI317" s="221"/>
      <c r="HJ317" s="221"/>
      <c r="HK317" s="221"/>
      <c r="HL317" s="221"/>
      <c r="HM317" s="221"/>
      <c r="HN317" s="221"/>
      <c r="HO317" s="221"/>
      <c r="HP317" s="221"/>
      <c r="HQ317" s="221"/>
      <c r="HR317" s="221"/>
      <c r="HS317" s="221"/>
      <c r="HT317" s="221"/>
      <c r="HU317" s="221"/>
      <c r="HV317" s="221"/>
      <c r="HW317" s="221"/>
      <c r="HX317" s="221"/>
      <c r="HY317" s="221"/>
      <c r="HZ317" s="221"/>
      <c r="IA317" s="221"/>
      <c r="IB317" s="221"/>
      <c r="IC317" s="221"/>
      <c r="ID317" s="221"/>
      <c r="IE317" s="221"/>
      <c r="IF317" s="221"/>
      <c r="IG317" s="221"/>
      <c r="IH317" s="221"/>
      <c r="II317" s="221"/>
      <c r="IJ317" s="221"/>
      <c r="IK317" s="221"/>
      <c r="IL317" s="221"/>
      <c r="IM317" s="221"/>
      <c r="IN317" s="221"/>
      <c r="IO317" s="221"/>
      <c r="IP317" s="221"/>
      <c r="IQ317" s="221"/>
      <c r="IR317" s="221"/>
      <c r="IS317" s="221"/>
      <c r="IT317" s="221"/>
      <c r="IU317" s="221"/>
      <c r="IV317" s="221"/>
      <c r="IW317" s="221"/>
      <c r="IX317" s="221"/>
      <c r="IY317" s="221"/>
      <c r="IZ317" s="221"/>
      <c r="JA317" s="221"/>
      <c r="JB317" s="221"/>
      <c r="JC317" s="221"/>
      <c r="JD317" s="221"/>
      <c r="JE317" s="221"/>
      <c r="JF317" s="221"/>
      <c r="JG317" s="221"/>
      <c r="JH317" s="221"/>
      <c r="JI317" s="221"/>
      <c r="JJ317" s="221"/>
      <c r="JK317" s="221"/>
      <c r="JL317" s="221"/>
      <c r="JM317" s="221"/>
      <c r="JN317" s="221"/>
      <c r="JO317" s="221"/>
      <c r="JP317" s="221"/>
      <c r="JQ317" s="221"/>
    </row>
    <row r="318" spans="1:277" ht="20" customHeight="1" outlineLevel="1">
      <c r="A318" s="482">
        <v>190717</v>
      </c>
      <c r="B318" s="439">
        <v>42200</v>
      </c>
      <c r="C318" s="514" t="s">
        <v>67</v>
      </c>
      <c r="D318" s="514" t="s">
        <v>1259</v>
      </c>
      <c r="E318" s="539" t="s">
        <v>60</v>
      </c>
      <c r="F318" s="531" t="s">
        <v>47</v>
      </c>
      <c r="G318" s="448" t="s">
        <v>2209</v>
      </c>
      <c r="H318" s="439"/>
      <c r="I318" s="443">
        <v>192891</v>
      </c>
      <c r="J318" s="838" t="s">
        <v>47</v>
      </c>
      <c r="K318" s="514" t="s">
        <v>50</v>
      </c>
      <c r="L318" s="448"/>
      <c r="M318" s="439">
        <v>42200</v>
      </c>
      <c r="N318" s="514" t="s">
        <v>2220</v>
      </c>
      <c r="O318" s="514" t="s">
        <v>2219</v>
      </c>
      <c r="P318" s="516"/>
      <c r="Q318" s="629"/>
      <c r="R318" s="589">
        <v>0</v>
      </c>
      <c r="S318" s="604">
        <v>0</v>
      </c>
      <c r="T318" s="604">
        <v>0</v>
      </c>
      <c r="U318" s="604">
        <v>0</v>
      </c>
      <c r="V318" s="604">
        <v>0</v>
      </c>
      <c r="W318" s="604">
        <v>0</v>
      </c>
      <c r="X318" s="604">
        <v>0</v>
      </c>
      <c r="Y318" s="604">
        <v>0</v>
      </c>
      <c r="Z318" s="604">
        <v>0</v>
      </c>
      <c r="AA318" s="604">
        <v>0</v>
      </c>
      <c r="AB318" s="604">
        <v>0</v>
      </c>
      <c r="AC318" s="604">
        <v>0</v>
      </c>
      <c r="AD318" s="604">
        <v>0</v>
      </c>
      <c r="AE318" s="604">
        <v>0</v>
      </c>
      <c r="AF318" s="604">
        <v>0</v>
      </c>
      <c r="AG318" s="590">
        <v>6</v>
      </c>
      <c r="AH318" s="604">
        <v>0</v>
      </c>
      <c r="AI318" s="604">
        <v>0</v>
      </c>
      <c r="AJ318" s="604">
        <v>0</v>
      </c>
      <c r="AK318" s="629"/>
      <c r="AL318" s="531" t="s">
        <v>47</v>
      </c>
      <c r="AM318" s="448"/>
      <c r="AN318" s="612">
        <v>0</v>
      </c>
      <c r="AO318" s="440" t="s">
        <v>47</v>
      </c>
      <c r="AP318" s="37">
        <v>0</v>
      </c>
      <c r="AQ318" s="795">
        <v>0</v>
      </c>
      <c r="AR318" s="835" t="e">
        <f t="shared" si="32"/>
        <v>#DIV/0!</v>
      </c>
      <c r="AS318" s="821"/>
      <c r="AT318" s="514" t="s">
        <v>1254</v>
      </c>
      <c r="AU318" s="448"/>
      <c r="AV318" s="448"/>
      <c r="AW318" s="448"/>
      <c r="AX318" s="612"/>
      <c r="AY318" s="448"/>
      <c r="AZ318" s="612"/>
      <c r="BA318" s="256"/>
      <c r="BB318" s="41"/>
      <c r="BC318" s="448"/>
      <c r="BD318" s="448"/>
      <c r="BE318" s="448"/>
      <c r="BF318" s="448"/>
      <c r="BG318" s="448"/>
      <c r="BH318" s="221"/>
      <c r="BI318" s="221"/>
      <c r="BJ318" s="221"/>
      <c r="BK318" s="221"/>
      <c r="BL318" s="221"/>
      <c r="BM318" s="221"/>
      <c r="BN318" s="221"/>
      <c r="BO318" s="221"/>
      <c r="BP318" s="221"/>
      <c r="BQ318" s="221"/>
      <c r="BR318" s="221"/>
      <c r="BS318" s="221"/>
      <c r="BT318" s="221"/>
      <c r="BU318" s="221"/>
      <c r="BV318" s="221"/>
      <c r="BW318" s="221"/>
      <c r="BX318" s="221"/>
      <c r="BY318" s="221"/>
      <c r="BZ318" s="221"/>
      <c r="CA318" s="221"/>
      <c r="CB318" s="221"/>
      <c r="CC318" s="221"/>
      <c r="CD318" s="221"/>
      <c r="CE318" s="221"/>
      <c r="CF318" s="221"/>
      <c r="CG318" s="221"/>
      <c r="CH318" s="221"/>
      <c r="CI318" s="221"/>
      <c r="CJ318" s="221"/>
      <c r="CK318" s="221"/>
      <c r="CL318" s="221"/>
      <c r="CM318" s="221"/>
      <c r="CN318" s="221"/>
      <c r="CO318" s="221"/>
      <c r="CP318" s="221"/>
      <c r="CQ318" s="221"/>
      <c r="CR318" s="221"/>
      <c r="CS318" s="221"/>
      <c r="CT318" s="221"/>
      <c r="CU318" s="221"/>
      <c r="CV318" s="221"/>
      <c r="CW318" s="221"/>
      <c r="CX318" s="221"/>
      <c r="CY318" s="221"/>
      <c r="CZ318" s="221"/>
      <c r="DA318" s="221"/>
      <c r="DB318" s="221"/>
      <c r="DC318" s="221"/>
      <c r="DD318" s="221"/>
      <c r="DE318" s="221"/>
      <c r="DF318" s="221"/>
      <c r="DG318" s="221"/>
      <c r="DH318" s="221"/>
      <c r="DI318" s="221"/>
      <c r="DJ318" s="221"/>
      <c r="DK318" s="221"/>
      <c r="DL318" s="221"/>
      <c r="DM318" s="221"/>
      <c r="DN318" s="221"/>
      <c r="DO318" s="221"/>
      <c r="DP318" s="221"/>
      <c r="DQ318" s="221"/>
      <c r="DR318" s="221"/>
      <c r="DS318" s="221"/>
      <c r="DT318" s="221"/>
      <c r="DU318" s="221"/>
      <c r="DV318" s="221"/>
      <c r="DW318" s="221"/>
      <c r="DX318" s="221"/>
      <c r="DY318" s="221"/>
      <c r="DZ318" s="221"/>
      <c r="EA318" s="221"/>
      <c r="EB318" s="221"/>
      <c r="EC318" s="221"/>
      <c r="ED318" s="221"/>
      <c r="EE318" s="221"/>
      <c r="EF318" s="221"/>
      <c r="EG318" s="221"/>
      <c r="EH318" s="221"/>
      <c r="EI318" s="221"/>
      <c r="EJ318" s="221"/>
      <c r="EK318" s="221"/>
      <c r="EL318" s="221"/>
      <c r="EM318" s="221"/>
      <c r="EN318" s="221"/>
      <c r="EO318" s="221"/>
      <c r="EP318" s="221"/>
      <c r="EQ318" s="221"/>
      <c r="ER318" s="221"/>
      <c r="ES318" s="221"/>
      <c r="ET318" s="221"/>
      <c r="EU318" s="221"/>
      <c r="EV318" s="221"/>
      <c r="EW318" s="221"/>
      <c r="EX318" s="221"/>
      <c r="EY318" s="221"/>
      <c r="EZ318" s="221"/>
      <c r="FA318" s="221"/>
      <c r="FB318" s="221"/>
      <c r="FC318" s="221"/>
      <c r="FD318" s="221"/>
      <c r="FE318" s="221"/>
      <c r="FF318" s="221"/>
      <c r="FG318" s="221"/>
      <c r="FH318" s="221"/>
      <c r="FI318" s="221"/>
      <c r="FJ318" s="221"/>
      <c r="FK318" s="221"/>
      <c r="FL318" s="221"/>
      <c r="FM318" s="221"/>
      <c r="FN318" s="221"/>
      <c r="FO318" s="221"/>
      <c r="FP318" s="221"/>
      <c r="FQ318" s="221"/>
      <c r="FR318" s="221"/>
      <c r="FS318" s="221"/>
      <c r="FT318" s="221"/>
      <c r="FU318" s="221"/>
      <c r="FV318" s="221"/>
      <c r="FW318" s="221"/>
      <c r="FX318" s="221"/>
      <c r="FY318" s="221"/>
      <c r="FZ318" s="221"/>
      <c r="GA318" s="221"/>
      <c r="GB318" s="221"/>
      <c r="GC318" s="221"/>
      <c r="GD318" s="221"/>
      <c r="GE318" s="221"/>
      <c r="GF318" s="221"/>
      <c r="GG318" s="221"/>
      <c r="GH318" s="221"/>
      <c r="GI318" s="221"/>
      <c r="GJ318" s="221"/>
      <c r="GK318" s="221"/>
      <c r="GL318" s="221"/>
      <c r="GM318" s="221"/>
      <c r="GN318" s="221"/>
      <c r="GO318" s="221"/>
      <c r="GP318" s="221"/>
      <c r="GQ318" s="221"/>
      <c r="GR318" s="221"/>
      <c r="GS318" s="221"/>
      <c r="GT318" s="221"/>
      <c r="GU318" s="221"/>
      <c r="GV318" s="221"/>
      <c r="GW318" s="221"/>
      <c r="GX318" s="221"/>
      <c r="GY318" s="221"/>
      <c r="GZ318" s="221"/>
      <c r="HA318" s="221"/>
      <c r="HB318" s="221"/>
      <c r="HC318" s="221"/>
      <c r="HD318" s="221"/>
      <c r="HE318" s="221"/>
      <c r="HF318" s="221"/>
      <c r="HG318" s="221"/>
      <c r="HH318" s="221"/>
      <c r="HI318" s="221"/>
      <c r="HJ318" s="221"/>
      <c r="HK318" s="221"/>
      <c r="HL318" s="221"/>
      <c r="HM318" s="221"/>
      <c r="HN318" s="221"/>
      <c r="HO318" s="221"/>
      <c r="HP318" s="221"/>
      <c r="HQ318" s="221"/>
      <c r="HR318" s="221"/>
      <c r="HS318" s="221"/>
      <c r="HT318" s="221"/>
      <c r="HU318" s="221"/>
      <c r="HV318" s="221"/>
      <c r="HW318" s="221"/>
      <c r="HX318" s="221"/>
      <c r="HY318" s="221"/>
      <c r="HZ318" s="221"/>
      <c r="IA318" s="221"/>
      <c r="IB318" s="221"/>
      <c r="IC318" s="221"/>
      <c r="ID318" s="221"/>
      <c r="IE318" s="221"/>
      <c r="IF318" s="221"/>
      <c r="IG318" s="221"/>
      <c r="IH318" s="221"/>
      <c r="II318" s="221"/>
      <c r="IJ318" s="221"/>
      <c r="IK318" s="221"/>
      <c r="IL318" s="221"/>
      <c r="IM318" s="221"/>
      <c r="IN318" s="221"/>
      <c r="IO318" s="221"/>
      <c r="IP318" s="221"/>
      <c r="IQ318" s="221"/>
      <c r="IR318" s="221"/>
      <c r="IS318" s="221"/>
      <c r="IT318" s="221"/>
      <c r="IU318" s="221"/>
      <c r="IV318" s="221"/>
      <c r="IW318" s="221"/>
      <c r="IX318" s="221"/>
      <c r="IY318" s="221"/>
      <c r="IZ318" s="221"/>
      <c r="JA318" s="221"/>
      <c r="JB318" s="221"/>
      <c r="JC318" s="221"/>
      <c r="JD318" s="221"/>
      <c r="JE318" s="221"/>
      <c r="JF318" s="221"/>
      <c r="JG318" s="221"/>
      <c r="JH318" s="221"/>
      <c r="JI318" s="221"/>
      <c r="JJ318" s="221"/>
      <c r="JK318" s="221"/>
      <c r="JL318" s="221"/>
      <c r="JM318" s="221"/>
      <c r="JN318" s="221"/>
      <c r="JO318" s="221"/>
      <c r="JP318" s="221"/>
      <c r="JQ318" s="221"/>
    </row>
    <row r="319" spans="1:277" ht="20" customHeight="1" outlineLevel="1">
      <c r="A319" s="482">
        <v>190718</v>
      </c>
      <c r="B319" s="439">
        <v>41471</v>
      </c>
      <c r="C319" s="514" t="s">
        <v>67</v>
      </c>
      <c r="D319" s="514" t="s">
        <v>1259</v>
      </c>
      <c r="E319" s="539" t="s">
        <v>60</v>
      </c>
      <c r="F319" s="531" t="s">
        <v>2223</v>
      </c>
      <c r="G319" s="448" t="s">
        <v>2210</v>
      </c>
      <c r="H319" s="439"/>
      <c r="I319" s="443" t="s">
        <v>155</v>
      </c>
      <c r="J319" s="838" t="s">
        <v>1269</v>
      </c>
      <c r="K319" s="514" t="s">
        <v>50</v>
      </c>
      <c r="L319" s="448"/>
      <c r="M319" s="439">
        <v>42201</v>
      </c>
      <c r="N319" s="514" t="s">
        <v>2222</v>
      </c>
      <c r="O319" s="514" t="s">
        <v>2221</v>
      </c>
      <c r="P319" s="516"/>
      <c r="Q319" s="629"/>
      <c r="R319" s="589">
        <v>0</v>
      </c>
      <c r="S319" s="604">
        <v>0</v>
      </c>
      <c r="T319" s="604">
        <v>0</v>
      </c>
      <c r="U319" s="596">
        <v>4</v>
      </c>
      <c r="V319" s="604">
        <v>0</v>
      </c>
      <c r="W319" s="604">
        <v>0</v>
      </c>
      <c r="X319" s="604">
        <v>0</v>
      </c>
      <c r="Y319" s="604">
        <v>0</v>
      </c>
      <c r="Z319" s="604">
        <v>0</v>
      </c>
      <c r="AA319" s="604">
        <v>0</v>
      </c>
      <c r="AB319" s="604">
        <v>0</v>
      </c>
      <c r="AC319" s="604">
        <v>0</v>
      </c>
      <c r="AD319" s="604">
        <v>0</v>
      </c>
      <c r="AE319" s="604">
        <v>0</v>
      </c>
      <c r="AF319" s="604">
        <v>0</v>
      </c>
      <c r="AG319" s="604">
        <v>0</v>
      </c>
      <c r="AH319" s="604">
        <v>0</v>
      </c>
      <c r="AI319" s="604">
        <v>0</v>
      </c>
      <c r="AJ319" s="604">
        <v>0</v>
      </c>
      <c r="AK319" s="629"/>
      <c r="AL319" s="531" t="s">
        <v>2224</v>
      </c>
      <c r="AM319" s="448"/>
      <c r="AN319" s="612"/>
      <c r="AO319" s="440" t="s">
        <v>2232</v>
      </c>
      <c r="AP319" s="37">
        <v>1552.95</v>
      </c>
      <c r="AQ319" s="795">
        <f t="shared" ref="AQ319:AQ321" si="33">AP319-AN319</f>
        <v>1552.95</v>
      </c>
      <c r="AR319" s="835">
        <f t="shared" si="32"/>
        <v>1</v>
      </c>
      <c r="AS319" s="821"/>
      <c r="AT319" s="448"/>
      <c r="AU319" s="448"/>
      <c r="AV319" s="448"/>
      <c r="AW319" s="448"/>
      <c r="AX319" s="612"/>
      <c r="AY319" s="448"/>
      <c r="AZ319" s="612"/>
      <c r="BA319" s="256"/>
      <c r="BB319" s="41"/>
      <c r="BC319" s="448"/>
      <c r="BD319" s="448"/>
      <c r="BE319" s="448"/>
      <c r="BF319" s="448"/>
      <c r="BG319" s="448"/>
      <c r="BH319" s="221"/>
      <c r="BI319" s="221"/>
      <c r="BJ319" s="221"/>
      <c r="BK319" s="221"/>
      <c r="BL319" s="221"/>
      <c r="BM319" s="221"/>
      <c r="BN319" s="221"/>
      <c r="BO319" s="221"/>
      <c r="BP319" s="221"/>
      <c r="BQ319" s="221"/>
      <c r="BR319" s="221"/>
      <c r="BS319" s="221"/>
      <c r="BT319" s="221"/>
      <c r="BU319" s="221"/>
      <c r="BV319" s="221"/>
      <c r="BW319" s="221"/>
      <c r="BX319" s="221"/>
      <c r="BY319" s="221"/>
      <c r="BZ319" s="221"/>
      <c r="CA319" s="221"/>
      <c r="CB319" s="221"/>
      <c r="CC319" s="221"/>
      <c r="CD319" s="221"/>
      <c r="CE319" s="221"/>
      <c r="CF319" s="221"/>
      <c r="CG319" s="221"/>
      <c r="CH319" s="221"/>
      <c r="CI319" s="221"/>
      <c r="CJ319" s="221"/>
      <c r="CK319" s="221"/>
      <c r="CL319" s="221"/>
      <c r="CM319" s="221"/>
      <c r="CN319" s="221"/>
      <c r="CO319" s="221"/>
      <c r="CP319" s="221"/>
      <c r="CQ319" s="221"/>
      <c r="CR319" s="221"/>
      <c r="CS319" s="221"/>
      <c r="CT319" s="221"/>
      <c r="CU319" s="221"/>
      <c r="CV319" s="221"/>
      <c r="CW319" s="221"/>
      <c r="CX319" s="221"/>
      <c r="CY319" s="221"/>
      <c r="CZ319" s="221"/>
      <c r="DA319" s="221"/>
      <c r="DB319" s="221"/>
      <c r="DC319" s="221"/>
      <c r="DD319" s="221"/>
      <c r="DE319" s="221"/>
      <c r="DF319" s="221"/>
      <c r="DG319" s="221"/>
      <c r="DH319" s="221"/>
      <c r="DI319" s="221"/>
      <c r="DJ319" s="221"/>
      <c r="DK319" s="221"/>
      <c r="DL319" s="221"/>
      <c r="DM319" s="221"/>
      <c r="DN319" s="221"/>
      <c r="DO319" s="221"/>
      <c r="DP319" s="221"/>
      <c r="DQ319" s="221"/>
      <c r="DR319" s="221"/>
      <c r="DS319" s="221"/>
      <c r="DT319" s="221"/>
      <c r="DU319" s="221"/>
      <c r="DV319" s="221"/>
      <c r="DW319" s="221"/>
      <c r="DX319" s="221"/>
      <c r="DY319" s="221"/>
      <c r="DZ319" s="221"/>
      <c r="EA319" s="221"/>
      <c r="EB319" s="221"/>
      <c r="EC319" s="221"/>
      <c r="ED319" s="221"/>
      <c r="EE319" s="221"/>
      <c r="EF319" s="221"/>
      <c r="EG319" s="221"/>
      <c r="EH319" s="221"/>
      <c r="EI319" s="221"/>
      <c r="EJ319" s="221"/>
      <c r="EK319" s="221"/>
      <c r="EL319" s="221"/>
      <c r="EM319" s="221"/>
      <c r="EN319" s="221"/>
      <c r="EO319" s="221"/>
      <c r="EP319" s="221"/>
      <c r="EQ319" s="221"/>
      <c r="ER319" s="221"/>
      <c r="ES319" s="221"/>
      <c r="ET319" s="221"/>
      <c r="EU319" s="221"/>
      <c r="EV319" s="221"/>
      <c r="EW319" s="221"/>
      <c r="EX319" s="221"/>
      <c r="EY319" s="221"/>
      <c r="EZ319" s="221"/>
      <c r="FA319" s="221"/>
      <c r="FB319" s="221"/>
      <c r="FC319" s="221"/>
      <c r="FD319" s="221"/>
      <c r="FE319" s="221"/>
      <c r="FF319" s="221"/>
      <c r="FG319" s="221"/>
      <c r="FH319" s="221"/>
      <c r="FI319" s="221"/>
      <c r="FJ319" s="221"/>
      <c r="FK319" s="221"/>
      <c r="FL319" s="221"/>
      <c r="FM319" s="221"/>
      <c r="FN319" s="221"/>
      <c r="FO319" s="221"/>
      <c r="FP319" s="221"/>
      <c r="FQ319" s="221"/>
      <c r="FR319" s="221"/>
      <c r="FS319" s="221"/>
      <c r="FT319" s="221"/>
      <c r="FU319" s="221"/>
      <c r="FV319" s="221"/>
      <c r="FW319" s="221"/>
      <c r="FX319" s="221"/>
      <c r="FY319" s="221"/>
      <c r="FZ319" s="221"/>
      <c r="GA319" s="221"/>
      <c r="GB319" s="221"/>
      <c r="GC319" s="221"/>
      <c r="GD319" s="221"/>
      <c r="GE319" s="221"/>
      <c r="GF319" s="221"/>
      <c r="GG319" s="221"/>
      <c r="GH319" s="221"/>
      <c r="GI319" s="221"/>
      <c r="GJ319" s="221"/>
      <c r="GK319" s="221"/>
      <c r="GL319" s="221"/>
      <c r="GM319" s="221"/>
      <c r="GN319" s="221"/>
      <c r="GO319" s="221"/>
      <c r="GP319" s="221"/>
      <c r="GQ319" s="221"/>
      <c r="GR319" s="221"/>
      <c r="GS319" s="221"/>
      <c r="GT319" s="221"/>
      <c r="GU319" s="221"/>
      <c r="GV319" s="221"/>
      <c r="GW319" s="221"/>
      <c r="GX319" s="221"/>
      <c r="GY319" s="221"/>
      <c r="GZ319" s="221"/>
      <c r="HA319" s="221"/>
      <c r="HB319" s="221"/>
      <c r="HC319" s="221"/>
      <c r="HD319" s="221"/>
      <c r="HE319" s="221"/>
      <c r="HF319" s="221"/>
      <c r="HG319" s="221"/>
      <c r="HH319" s="221"/>
      <c r="HI319" s="221"/>
      <c r="HJ319" s="221"/>
      <c r="HK319" s="221"/>
      <c r="HL319" s="221"/>
      <c r="HM319" s="221"/>
      <c r="HN319" s="221"/>
      <c r="HO319" s="221"/>
      <c r="HP319" s="221"/>
      <c r="HQ319" s="221"/>
      <c r="HR319" s="221"/>
      <c r="HS319" s="221"/>
      <c r="HT319" s="221"/>
      <c r="HU319" s="221"/>
      <c r="HV319" s="221"/>
      <c r="HW319" s="221"/>
      <c r="HX319" s="221"/>
      <c r="HY319" s="221"/>
      <c r="HZ319" s="221"/>
      <c r="IA319" s="221"/>
      <c r="IB319" s="221"/>
      <c r="IC319" s="221"/>
      <c r="ID319" s="221"/>
      <c r="IE319" s="221"/>
      <c r="IF319" s="221"/>
      <c r="IG319" s="221"/>
      <c r="IH319" s="221"/>
      <c r="II319" s="221"/>
      <c r="IJ319" s="221"/>
      <c r="IK319" s="221"/>
      <c r="IL319" s="221"/>
      <c r="IM319" s="221"/>
      <c r="IN319" s="221"/>
      <c r="IO319" s="221"/>
      <c r="IP319" s="221"/>
      <c r="IQ319" s="221"/>
      <c r="IR319" s="221"/>
      <c r="IS319" s="221"/>
      <c r="IT319" s="221"/>
      <c r="IU319" s="221"/>
      <c r="IV319" s="221"/>
      <c r="IW319" s="221"/>
      <c r="IX319" s="221"/>
      <c r="IY319" s="221"/>
      <c r="IZ319" s="221"/>
      <c r="JA319" s="221"/>
      <c r="JB319" s="221"/>
      <c r="JC319" s="221"/>
      <c r="JD319" s="221"/>
      <c r="JE319" s="221"/>
      <c r="JF319" s="221"/>
      <c r="JG319" s="221"/>
      <c r="JH319" s="221"/>
      <c r="JI319" s="221"/>
      <c r="JJ319" s="221"/>
      <c r="JK319" s="221"/>
      <c r="JL319" s="221"/>
      <c r="JM319" s="221"/>
      <c r="JN319" s="221"/>
      <c r="JO319" s="221"/>
      <c r="JP319" s="221"/>
      <c r="JQ319" s="221"/>
    </row>
    <row r="320" spans="1:277" ht="20" customHeight="1" outlineLevel="1">
      <c r="A320" s="482">
        <v>190719</v>
      </c>
      <c r="B320" s="439">
        <v>42200</v>
      </c>
      <c r="C320" s="514" t="s">
        <v>1675</v>
      </c>
      <c r="D320" s="514" t="s">
        <v>1259</v>
      </c>
      <c r="E320" s="539" t="s">
        <v>60</v>
      </c>
      <c r="F320" s="531"/>
      <c r="G320" s="448" t="s">
        <v>2211</v>
      </c>
      <c r="H320" s="439"/>
      <c r="I320" s="443"/>
      <c r="J320" s="837" t="s">
        <v>62</v>
      </c>
      <c r="K320" s="514" t="s">
        <v>50</v>
      </c>
      <c r="L320" s="448"/>
      <c r="M320" s="439">
        <v>42202</v>
      </c>
      <c r="N320" s="448"/>
      <c r="O320" s="514" t="s">
        <v>2225</v>
      </c>
      <c r="P320" s="516"/>
      <c r="Q320" s="629"/>
      <c r="R320" s="589">
        <v>0</v>
      </c>
      <c r="S320" s="604">
        <v>0</v>
      </c>
      <c r="T320" s="604">
        <v>0</v>
      </c>
      <c r="U320" s="604">
        <v>0</v>
      </c>
      <c r="V320" s="604">
        <v>0</v>
      </c>
      <c r="W320" s="604">
        <v>0</v>
      </c>
      <c r="X320" s="604">
        <v>0</v>
      </c>
      <c r="Y320" s="604">
        <v>0</v>
      </c>
      <c r="Z320" s="604">
        <v>0</v>
      </c>
      <c r="AA320" s="604">
        <v>0</v>
      </c>
      <c r="AB320" s="604">
        <v>0</v>
      </c>
      <c r="AC320" s="604">
        <v>0</v>
      </c>
      <c r="AD320" s="604">
        <v>0</v>
      </c>
      <c r="AE320" s="596">
        <v>1</v>
      </c>
      <c r="AF320" s="604">
        <v>0</v>
      </c>
      <c r="AG320" s="604">
        <v>0</v>
      </c>
      <c r="AH320" s="604">
        <v>0</v>
      </c>
      <c r="AI320" s="604">
        <v>0</v>
      </c>
      <c r="AJ320" s="604">
        <v>0</v>
      </c>
      <c r="AK320" s="629"/>
      <c r="AL320" s="531" t="s">
        <v>2226</v>
      </c>
      <c r="AM320" s="448"/>
      <c r="AN320" s="612">
        <v>16.25</v>
      </c>
      <c r="AO320" s="440" t="s">
        <v>47</v>
      </c>
      <c r="AP320" s="37">
        <v>0</v>
      </c>
      <c r="AQ320" s="795">
        <f t="shared" si="33"/>
        <v>-16.25</v>
      </c>
      <c r="AR320" s="835" t="e">
        <f t="shared" si="32"/>
        <v>#DIV/0!</v>
      </c>
      <c r="AS320" s="821"/>
      <c r="AT320" s="448"/>
      <c r="AU320" s="448"/>
      <c r="AV320" s="448"/>
      <c r="AW320" s="448"/>
      <c r="AX320" s="612"/>
      <c r="AY320" s="448"/>
      <c r="AZ320" s="612"/>
      <c r="BA320" s="256"/>
      <c r="BB320" s="41"/>
      <c r="BC320" s="448"/>
      <c r="BD320" s="448"/>
      <c r="BE320" s="448"/>
      <c r="BF320" s="448"/>
      <c r="BG320" s="448"/>
      <c r="BH320" s="221"/>
      <c r="BI320" s="221"/>
      <c r="BJ320" s="221"/>
      <c r="BK320" s="221"/>
      <c r="BL320" s="221"/>
      <c r="BM320" s="221"/>
      <c r="BN320" s="221"/>
      <c r="BO320" s="221"/>
      <c r="BP320" s="221"/>
      <c r="BQ320" s="221"/>
      <c r="BR320" s="221"/>
      <c r="BS320" s="221"/>
      <c r="BT320" s="221"/>
      <c r="BU320" s="221"/>
      <c r="BV320" s="221"/>
      <c r="BW320" s="221"/>
      <c r="BX320" s="221"/>
      <c r="BY320" s="221"/>
      <c r="BZ320" s="221"/>
      <c r="CA320" s="221"/>
      <c r="CB320" s="221"/>
      <c r="CC320" s="221"/>
      <c r="CD320" s="221"/>
      <c r="CE320" s="221"/>
      <c r="CF320" s="221"/>
      <c r="CG320" s="221"/>
      <c r="CH320" s="221"/>
      <c r="CI320" s="221"/>
      <c r="CJ320" s="221"/>
      <c r="CK320" s="221"/>
      <c r="CL320" s="221"/>
      <c r="CM320" s="221"/>
      <c r="CN320" s="221"/>
      <c r="CO320" s="221"/>
      <c r="CP320" s="221"/>
      <c r="CQ320" s="221"/>
      <c r="CR320" s="221"/>
      <c r="CS320" s="221"/>
      <c r="CT320" s="221"/>
      <c r="CU320" s="221"/>
      <c r="CV320" s="221"/>
      <c r="CW320" s="221"/>
      <c r="CX320" s="221"/>
      <c r="CY320" s="221"/>
      <c r="CZ320" s="221"/>
      <c r="DA320" s="221"/>
      <c r="DB320" s="221"/>
      <c r="DC320" s="221"/>
      <c r="DD320" s="221"/>
      <c r="DE320" s="221"/>
      <c r="DF320" s="221"/>
      <c r="DG320" s="221"/>
      <c r="DH320" s="221"/>
      <c r="DI320" s="221"/>
      <c r="DJ320" s="221"/>
      <c r="DK320" s="221"/>
      <c r="DL320" s="221"/>
      <c r="DM320" s="221"/>
      <c r="DN320" s="221"/>
      <c r="DO320" s="221"/>
      <c r="DP320" s="221"/>
      <c r="DQ320" s="221"/>
      <c r="DR320" s="221"/>
      <c r="DS320" s="221"/>
      <c r="DT320" s="221"/>
      <c r="DU320" s="221"/>
      <c r="DV320" s="221"/>
      <c r="DW320" s="221"/>
      <c r="DX320" s="221"/>
      <c r="DY320" s="221"/>
      <c r="DZ320" s="221"/>
      <c r="EA320" s="221"/>
      <c r="EB320" s="221"/>
      <c r="EC320" s="221"/>
      <c r="ED320" s="221"/>
      <c r="EE320" s="221"/>
      <c r="EF320" s="221"/>
      <c r="EG320" s="221"/>
      <c r="EH320" s="221"/>
      <c r="EI320" s="221"/>
      <c r="EJ320" s="221"/>
      <c r="EK320" s="221"/>
      <c r="EL320" s="221"/>
      <c r="EM320" s="221"/>
      <c r="EN320" s="221"/>
      <c r="EO320" s="221"/>
      <c r="EP320" s="221"/>
      <c r="EQ320" s="221"/>
      <c r="ER320" s="221"/>
      <c r="ES320" s="221"/>
      <c r="ET320" s="221"/>
      <c r="EU320" s="221"/>
      <c r="EV320" s="221"/>
      <c r="EW320" s="221"/>
      <c r="EX320" s="221"/>
      <c r="EY320" s="221"/>
      <c r="EZ320" s="221"/>
      <c r="FA320" s="221"/>
      <c r="FB320" s="221"/>
      <c r="FC320" s="221"/>
      <c r="FD320" s="221"/>
      <c r="FE320" s="221"/>
      <c r="FF320" s="221"/>
      <c r="FG320" s="221"/>
      <c r="FH320" s="221"/>
      <c r="FI320" s="221"/>
      <c r="FJ320" s="221"/>
      <c r="FK320" s="221"/>
      <c r="FL320" s="221"/>
      <c r="FM320" s="221"/>
      <c r="FN320" s="221"/>
      <c r="FO320" s="221"/>
      <c r="FP320" s="221"/>
      <c r="FQ320" s="221"/>
      <c r="FR320" s="221"/>
      <c r="FS320" s="221"/>
      <c r="FT320" s="221"/>
      <c r="FU320" s="221"/>
      <c r="FV320" s="221"/>
      <c r="FW320" s="221"/>
      <c r="FX320" s="221"/>
      <c r="FY320" s="221"/>
      <c r="FZ320" s="221"/>
      <c r="GA320" s="221"/>
      <c r="GB320" s="221"/>
      <c r="GC320" s="221"/>
      <c r="GD320" s="221"/>
      <c r="GE320" s="221"/>
      <c r="GF320" s="221"/>
      <c r="GG320" s="221"/>
      <c r="GH320" s="221"/>
      <c r="GI320" s="221"/>
      <c r="GJ320" s="221"/>
      <c r="GK320" s="221"/>
      <c r="GL320" s="221"/>
      <c r="GM320" s="221"/>
      <c r="GN320" s="221"/>
      <c r="GO320" s="221"/>
      <c r="GP320" s="221"/>
      <c r="GQ320" s="221"/>
      <c r="GR320" s="221"/>
      <c r="GS320" s="221"/>
      <c r="GT320" s="221"/>
      <c r="GU320" s="221"/>
      <c r="GV320" s="221"/>
      <c r="GW320" s="221"/>
      <c r="GX320" s="221"/>
      <c r="GY320" s="221"/>
      <c r="GZ320" s="221"/>
      <c r="HA320" s="221"/>
      <c r="HB320" s="221"/>
      <c r="HC320" s="221"/>
      <c r="HD320" s="221"/>
      <c r="HE320" s="221"/>
      <c r="HF320" s="221"/>
      <c r="HG320" s="221"/>
      <c r="HH320" s="221"/>
      <c r="HI320" s="221"/>
      <c r="HJ320" s="221"/>
      <c r="HK320" s="221"/>
      <c r="HL320" s="221"/>
      <c r="HM320" s="221"/>
      <c r="HN320" s="221"/>
      <c r="HO320" s="221"/>
      <c r="HP320" s="221"/>
      <c r="HQ320" s="221"/>
      <c r="HR320" s="221"/>
      <c r="HS320" s="221"/>
      <c r="HT320" s="221"/>
      <c r="HU320" s="221"/>
      <c r="HV320" s="221"/>
      <c r="HW320" s="221"/>
      <c r="HX320" s="221"/>
      <c r="HY320" s="221"/>
      <c r="HZ320" s="221"/>
      <c r="IA320" s="221"/>
      <c r="IB320" s="221"/>
      <c r="IC320" s="221"/>
      <c r="ID320" s="221"/>
      <c r="IE320" s="221"/>
      <c r="IF320" s="221"/>
      <c r="IG320" s="221"/>
      <c r="IH320" s="221"/>
      <c r="II320" s="221"/>
      <c r="IJ320" s="221"/>
      <c r="IK320" s="221"/>
      <c r="IL320" s="221"/>
      <c r="IM320" s="221"/>
      <c r="IN320" s="221"/>
      <c r="IO320" s="221"/>
      <c r="IP320" s="221"/>
      <c r="IQ320" s="221"/>
      <c r="IR320" s="221"/>
      <c r="IS320" s="221"/>
      <c r="IT320" s="221"/>
      <c r="IU320" s="221"/>
      <c r="IV320" s="221"/>
      <c r="IW320" s="221"/>
      <c r="IX320" s="221"/>
      <c r="IY320" s="221"/>
      <c r="IZ320" s="221"/>
      <c r="JA320" s="221"/>
      <c r="JB320" s="221"/>
      <c r="JC320" s="221"/>
      <c r="JD320" s="221"/>
      <c r="JE320" s="221"/>
      <c r="JF320" s="221"/>
      <c r="JG320" s="221"/>
      <c r="JH320" s="221"/>
      <c r="JI320" s="221"/>
      <c r="JJ320" s="221"/>
      <c r="JK320" s="221"/>
      <c r="JL320" s="221"/>
      <c r="JM320" s="221"/>
      <c r="JN320" s="221"/>
      <c r="JO320" s="221"/>
      <c r="JP320" s="221"/>
      <c r="JQ320" s="221"/>
    </row>
    <row r="321" spans="1:277" ht="20" customHeight="1" outlineLevel="1">
      <c r="A321" s="482">
        <v>190720</v>
      </c>
      <c r="B321" s="439">
        <v>42200</v>
      </c>
      <c r="C321" s="514" t="s">
        <v>72</v>
      </c>
      <c r="D321" s="514" t="s">
        <v>1259</v>
      </c>
      <c r="E321" s="539" t="s">
        <v>89</v>
      </c>
      <c r="F321" s="531" t="s">
        <v>47</v>
      </c>
      <c r="G321" s="448" t="s">
        <v>2212</v>
      </c>
      <c r="H321" s="531"/>
      <c r="I321" s="443">
        <v>192960</v>
      </c>
      <c r="J321" s="837" t="s">
        <v>62</v>
      </c>
      <c r="K321" s="514" t="s">
        <v>50</v>
      </c>
      <c r="L321" s="448"/>
      <c r="M321" s="439">
        <v>42203</v>
      </c>
      <c r="N321" s="448" t="s">
        <v>90</v>
      </c>
      <c r="O321" s="448" t="s">
        <v>99</v>
      </c>
      <c r="P321" s="801" t="s">
        <v>2214</v>
      </c>
      <c r="Q321" s="629"/>
      <c r="R321" s="589">
        <v>0</v>
      </c>
      <c r="S321" s="590">
        <v>0</v>
      </c>
      <c r="T321" s="604">
        <v>0</v>
      </c>
      <c r="U321" s="596">
        <v>0</v>
      </c>
      <c r="V321" s="590">
        <v>0</v>
      </c>
      <c r="W321" s="604">
        <v>0</v>
      </c>
      <c r="X321" s="596">
        <v>0</v>
      </c>
      <c r="Y321" s="590">
        <v>0</v>
      </c>
      <c r="Z321" s="604">
        <v>0</v>
      </c>
      <c r="AA321" s="596">
        <v>0</v>
      </c>
      <c r="AB321" s="590">
        <v>0</v>
      </c>
      <c r="AC321" s="604">
        <v>0</v>
      </c>
      <c r="AD321" s="596">
        <v>0</v>
      </c>
      <c r="AE321" s="596">
        <v>10</v>
      </c>
      <c r="AF321" s="596">
        <v>0</v>
      </c>
      <c r="AG321" s="590">
        <v>0</v>
      </c>
      <c r="AH321" s="604">
        <v>0</v>
      </c>
      <c r="AI321" s="610">
        <v>0</v>
      </c>
      <c r="AJ321" s="610">
        <v>0</v>
      </c>
      <c r="AK321" s="629"/>
      <c r="AL321" s="531" t="s">
        <v>1300</v>
      </c>
      <c r="AM321" s="448"/>
      <c r="AN321" s="612">
        <v>130</v>
      </c>
      <c r="AO321" s="444" t="s">
        <v>2206</v>
      </c>
      <c r="AP321" s="37">
        <v>273</v>
      </c>
      <c r="AQ321" s="795">
        <f t="shared" si="33"/>
        <v>143</v>
      </c>
      <c r="AR321" s="835">
        <f>AQ321/AP321</f>
        <v>0.52380952380952384</v>
      </c>
      <c r="AS321" s="821"/>
      <c r="AT321" s="514" t="s">
        <v>1254</v>
      </c>
      <c r="AU321" s="448"/>
      <c r="AV321" s="448"/>
      <c r="AW321" s="448"/>
      <c r="AX321" s="612"/>
      <c r="AY321" s="448"/>
      <c r="AZ321" s="612"/>
      <c r="BA321" s="256" t="s">
        <v>47</v>
      </c>
      <c r="BB321" s="41">
        <v>0</v>
      </c>
      <c r="BC321" s="448"/>
      <c r="BD321" s="448"/>
      <c r="BE321" s="448"/>
      <c r="BF321" s="448"/>
      <c r="BG321" s="448"/>
      <c r="BH321" s="221"/>
      <c r="BI321" s="221"/>
      <c r="BJ321" s="221"/>
      <c r="BK321" s="221"/>
      <c r="BL321" s="221"/>
      <c r="BM321" s="221"/>
      <c r="BN321" s="221"/>
      <c r="BO321" s="221"/>
      <c r="BP321" s="221"/>
      <c r="BQ321" s="221"/>
      <c r="BR321" s="221"/>
      <c r="BS321" s="221"/>
      <c r="BT321" s="221"/>
      <c r="BU321" s="221"/>
      <c r="BV321" s="221"/>
      <c r="BW321" s="221"/>
      <c r="BX321" s="221"/>
      <c r="BY321" s="221"/>
      <c r="BZ321" s="221"/>
      <c r="CA321" s="221"/>
      <c r="CB321" s="221"/>
      <c r="CC321" s="221"/>
      <c r="CD321" s="221"/>
      <c r="CE321" s="221"/>
      <c r="CF321" s="221"/>
      <c r="CG321" s="221"/>
      <c r="CH321" s="221"/>
      <c r="CI321" s="221"/>
      <c r="CJ321" s="221"/>
      <c r="CK321" s="221"/>
      <c r="CL321" s="221"/>
      <c r="CM321" s="221"/>
      <c r="CN321" s="221"/>
      <c r="CO321" s="221"/>
      <c r="CP321" s="221"/>
      <c r="CQ321" s="221"/>
      <c r="CR321" s="221"/>
      <c r="CS321" s="221"/>
      <c r="CT321" s="221"/>
      <c r="CU321" s="221"/>
      <c r="CV321" s="221"/>
      <c r="CW321" s="221"/>
      <c r="CX321" s="221"/>
      <c r="CY321" s="221"/>
      <c r="CZ321" s="221"/>
      <c r="DA321" s="221"/>
      <c r="DB321" s="221"/>
      <c r="DC321" s="221"/>
      <c r="DD321" s="221"/>
      <c r="DE321" s="221"/>
      <c r="DF321" s="221"/>
      <c r="DG321" s="221"/>
      <c r="DH321" s="221"/>
      <c r="DI321" s="221"/>
      <c r="DJ321" s="221"/>
      <c r="DK321" s="221"/>
      <c r="DL321" s="221"/>
      <c r="DM321" s="221"/>
      <c r="DN321" s="221"/>
      <c r="DO321" s="221"/>
      <c r="DP321" s="221"/>
      <c r="DQ321" s="221"/>
      <c r="DR321" s="221"/>
      <c r="DS321" s="221"/>
      <c r="DT321" s="221"/>
      <c r="DU321" s="221"/>
      <c r="DV321" s="221"/>
      <c r="DW321" s="221"/>
      <c r="DX321" s="221"/>
      <c r="DY321" s="221"/>
      <c r="DZ321" s="221"/>
      <c r="EA321" s="221"/>
      <c r="EB321" s="221"/>
      <c r="EC321" s="221"/>
      <c r="ED321" s="221"/>
      <c r="EE321" s="221"/>
      <c r="EF321" s="221"/>
      <c r="EG321" s="221"/>
      <c r="EH321" s="221"/>
      <c r="EI321" s="221"/>
      <c r="EJ321" s="221"/>
      <c r="EK321" s="221"/>
      <c r="EL321" s="221"/>
      <c r="EM321" s="221"/>
      <c r="EN321" s="221"/>
      <c r="EO321" s="221"/>
      <c r="EP321" s="221"/>
      <c r="EQ321" s="221"/>
      <c r="ER321" s="221"/>
      <c r="ES321" s="221"/>
      <c r="ET321" s="221"/>
      <c r="EU321" s="221"/>
      <c r="EV321" s="221"/>
      <c r="EW321" s="221"/>
      <c r="EX321" s="221"/>
      <c r="EY321" s="221"/>
      <c r="EZ321" s="221"/>
      <c r="FA321" s="221"/>
      <c r="FB321" s="221"/>
      <c r="FC321" s="221"/>
      <c r="FD321" s="221"/>
      <c r="FE321" s="221"/>
      <c r="FF321" s="221"/>
      <c r="FG321" s="221"/>
      <c r="FH321" s="221"/>
      <c r="FI321" s="221"/>
      <c r="FJ321" s="221"/>
      <c r="FK321" s="221"/>
      <c r="FL321" s="221"/>
      <c r="FM321" s="221"/>
      <c r="FN321" s="221"/>
      <c r="FO321" s="221"/>
      <c r="FP321" s="221"/>
      <c r="FQ321" s="221"/>
      <c r="FR321" s="221"/>
      <c r="FS321" s="221"/>
      <c r="FT321" s="221"/>
      <c r="FU321" s="221"/>
      <c r="FV321" s="221"/>
      <c r="FW321" s="221"/>
      <c r="FX321" s="221"/>
      <c r="FY321" s="221"/>
      <c r="FZ321" s="221"/>
      <c r="GA321" s="221"/>
      <c r="GB321" s="221"/>
      <c r="GC321" s="221"/>
      <c r="GD321" s="221"/>
      <c r="GE321" s="221"/>
      <c r="GF321" s="221"/>
      <c r="GG321" s="221"/>
      <c r="GH321" s="221"/>
      <c r="GI321" s="221"/>
      <c r="GJ321" s="221"/>
      <c r="GK321" s="221"/>
      <c r="GL321" s="221"/>
      <c r="GM321" s="221"/>
      <c r="GN321" s="221"/>
      <c r="GO321" s="221"/>
      <c r="GP321" s="221"/>
      <c r="GQ321" s="221"/>
      <c r="GR321" s="221"/>
      <c r="GS321" s="221"/>
      <c r="GT321" s="221"/>
      <c r="GU321" s="221"/>
      <c r="GV321" s="221"/>
      <c r="GW321" s="221"/>
      <c r="GX321" s="221"/>
      <c r="GY321" s="221"/>
      <c r="GZ321" s="221"/>
      <c r="HA321" s="221"/>
      <c r="HB321" s="221"/>
      <c r="HC321" s="221"/>
      <c r="HD321" s="221"/>
      <c r="HE321" s="221"/>
      <c r="HF321" s="221"/>
      <c r="HG321" s="221"/>
      <c r="HH321" s="221"/>
      <c r="HI321" s="221"/>
      <c r="HJ321" s="221"/>
      <c r="HK321" s="221"/>
      <c r="HL321" s="221"/>
      <c r="HM321" s="221"/>
      <c r="HN321" s="221"/>
      <c r="HO321" s="221"/>
      <c r="HP321" s="221"/>
      <c r="HQ321" s="221"/>
      <c r="HR321" s="221"/>
      <c r="HS321" s="221"/>
      <c r="HT321" s="221"/>
      <c r="HU321" s="221"/>
      <c r="HV321" s="221"/>
      <c r="HW321" s="221"/>
      <c r="HX321" s="221"/>
      <c r="HY321" s="221"/>
      <c r="HZ321" s="221"/>
      <c r="IA321" s="221"/>
      <c r="IB321" s="221"/>
      <c r="IC321" s="221"/>
      <c r="ID321" s="221"/>
      <c r="IE321" s="221"/>
      <c r="IF321" s="221"/>
      <c r="IG321" s="221"/>
      <c r="IH321" s="221"/>
      <c r="II321" s="221"/>
      <c r="IJ321" s="221"/>
      <c r="IK321" s="221"/>
      <c r="IL321" s="221"/>
      <c r="IM321" s="221"/>
      <c r="IN321" s="221"/>
      <c r="IO321" s="221"/>
      <c r="IP321" s="221"/>
      <c r="IQ321" s="221"/>
      <c r="IR321" s="221"/>
      <c r="IS321" s="221"/>
      <c r="IT321" s="221"/>
      <c r="IU321" s="221"/>
      <c r="IV321" s="221"/>
      <c r="IW321" s="221"/>
      <c r="IX321" s="221"/>
      <c r="IY321" s="221"/>
      <c r="IZ321" s="221"/>
      <c r="JA321" s="221"/>
      <c r="JB321" s="221"/>
      <c r="JC321" s="221"/>
      <c r="JD321" s="221"/>
      <c r="JE321" s="221"/>
      <c r="JF321" s="221"/>
      <c r="JG321" s="221"/>
      <c r="JH321" s="221"/>
      <c r="JI321" s="221"/>
      <c r="JJ321" s="221"/>
      <c r="JK321" s="221"/>
      <c r="JL321" s="221"/>
      <c r="JM321" s="221"/>
      <c r="JN321" s="221"/>
      <c r="JO321" s="221"/>
      <c r="JP321" s="221"/>
      <c r="JQ321" s="221"/>
    </row>
    <row r="322" spans="1:277" ht="20" customHeight="1" outlineLevel="1">
      <c r="A322" s="482">
        <v>190721</v>
      </c>
      <c r="B322" s="439">
        <v>42199</v>
      </c>
      <c r="C322" s="514" t="s">
        <v>72</v>
      </c>
      <c r="D322" s="514" t="s">
        <v>1998</v>
      </c>
      <c r="E322" s="539" t="s">
        <v>154</v>
      </c>
      <c r="F322" s="530"/>
      <c r="G322" s="514" t="s">
        <v>47</v>
      </c>
      <c r="H322" s="448"/>
      <c r="I322" s="443" t="s">
        <v>47</v>
      </c>
      <c r="J322" s="837" t="s">
        <v>62</v>
      </c>
      <c r="K322" s="439">
        <v>42199</v>
      </c>
      <c r="L322" s="514" t="s">
        <v>47</v>
      </c>
      <c r="M322" s="514" t="s">
        <v>2216</v>
      </c>
      <c r="N322" s="514" t="s">
        <v>2217</v>
      </c>
      <c r="O322" s="514" t="s">
        <v>2215</v>
      </c>
      <c r="P322" s="516"/>
      <c r="Q322" s="629"/>
      <c r="R322" s="589">
        <v>1</v>
      </c>
      <c r="S322" s="590">
        <v>0</v>
      </c>
      <c r="T322" s="604">
        <v>0</v>
      </c>
      <c r="U322" s="596">
        <v>0</v>
      </c>
      <c r="V322" s="590">
        <v>0</v>
      </c>
      <c r="W322" s="604">
        <v>0</v>
      </c>
      <c r="X322" s="596">
        <v>0</v>
      </c>
      <c r="Y322" s="590">
        <v>0</v>
      </c>
      <c r="Z322" s="604">
        <v>0</v>
      </c>
      <c r="AA322" s="596">
        <v>0</v>
      </c>
      <c r="AB322" s="590">
        <v>0</v>
      </c>
      <c r="AC322" s="604">
        <v>0</v>
      </c>
      <c r="AD322" s="596">
        <v>0</v>
      </c>
      <c r="AE322" s="596">
        <v>0</v>
      </c>
      <c r="AF322" s="596">
        <v>0</v>
      </c>
      <c r="AG322" s="590">
        <v>0</v>
      </c>
      <c r="AH322" s="604">
        <v>0</v>
      </c>
      <c r="AI322" s="610">
        <v>0</v>
      </c>
      <c r="AJ322" s="610">
        <v>0</v>
      </c>
      <c r="AK322" s="629"/>
      <c r="AL322" s="531" t="s">
        <v>1300</v>
      </c>
      <c r="AM322" s="448"/>
      <c r="AN322" s="612">
        <v>8</v>
      </c>
      <c r="AO322" s="440" t="s">
        <v>2218</v>
      </c>
      <c r="AP322" s="37">
        <v>15.6</v>
      </c>
      <c r="AQ322" s="795">
        <f>AP322-AN322</f>
        <v>7.6</v>
      </c>
      <c r="AR322" s="835">
        <f>AQ322/AP322</f>
        <v>0.48717948717948717</v>
      </c>
      <c r="AS322" s="821"/>
      <c r="AT322" s="514" t="s">
        <v>1254</v>
      </c>
      <c r="AU322" s="448"/>
      <c r="AV322" s="448"/>
      <c r="AW322" s="448"/>
      <c r="AX322" s="612"/>
      <c r="AY322" s="448"/>
      <c r="AZ322" s="612"/>
      <c r="BA322" s="256" t="s">
        <v>47</v>
      </c>
      <c r="BB322" s="41">
        <v>0</v>
      </c>
      <c r="BC322" s="448"/>
      <c r="BD322" s="448"/>
      <c r="BE322" s="448"/>
      <c r="BF322" s="448"/>
      <c r="BG322" s="448"/>
      <c r="BH322" s="221"/>
      <c r="BI322" s="221"/>
      <c r="BJ322" s="221"/>
      <c r="BK322" s="221"/>
      <c r="BL322" s="221"/>
      <c r="BM322" s="221"/>
      <c r="BN322" s="221"/>
      <c r="BO322" s="221"/>
      <c r="BP322" s="221"/>
      <c r="BQ322" s="221"/>
      <c r="BR322" s="221"/>
      <c r="BS322" s="221"/>
      <c r="BT322" s="221"/>
      <c r="BU322" s="221"/>
      <c r="BV322" s="221"/>
      <c r="BW322" s="221"/>
      <c r="BX322" s="221"/>
      <c r="BY322" s="221"/>
      <c r="BZ322" s="221"/>
      <c r="CA322" s="221"/>
      <c r="CB322" s="221"/>
      <c r="CC322" s="221"/>
      <c r="CD322" s="221"/>
      <c r="CE322" s="221"/>
      <c r="CF322" s="221"/>
      <c r="CG322" s="221"/>
      <c r="CH322" s="221"/>
      <c r="CI322" s="221"/>
      <c r="CJ322" s="221"/>
      <c r="CK322" s="221"/>
      <c r="CL322" s="221"/>
      <c r="CM322" s="221"/>
      <c r="CN322" s="221"/>
      <c r="CO322" s="221"/>
      <c r="CP322" s="221"/>
      <c r="CQ322" s="221"/>
      <c r="CR322" s="221"/>
      <c r="CS322" s="221"/>
      <c r="CT322" s="221"/>
      <c r="CU322" s="221"/>
      <c r="CV322" s="221"/>
      <c r="CW322" s="221"/>
      <c r="CX322" s="221"/>
      <c r="CY322" s="221"/>
      <c r="CZ322" s="221"/>
      <c r="DA322" s="221"/>
      <c r="DB322" s="221"/>
      <c r="DC322" s="221"/>
      <c r="DD322" s="221"/>
      <c r="DE322" s="221"/>
      <c r="DF322" s="221"/>
      <c r="DG322" s="221"/>
      <c r="DH322" s="221"/>
      <c r="DI322" s="221"/>
      <c r="DJ322" s="221"/>
      <c r="DK322" s="221"/>
      <c r="DL322" s="221"/>
      <c r="DM322" s="221"/>
      <c r="DN322" s="221"/>
      <c r="DO322" s="221"/>
      <c r="DP322" s="221"/>
      <c r="DQ322" s="221"/>
      <c r="DR322" s="221"/>
      <c r="DS322" s="221"/>
      <c r="DT322" s="221"/>
      <c r="DU322" s="221"/>
      <c r="DV322" s="221"/>
      <c r="DW322" s="221"/>
      <c r="DX322" s="221"/>
      <c r="DY322" s="221"/>
      <c r="DZ322" s="221"/>
      <c r="EA322" s="221"/>
      <c r="EB322" s="221"/>
      <c r="EC322" s="221"/>
      <c r="ED322" s="221"/>
      <c r="EE322" s="221"/>
      <c r="EF322" s="221"/>
      <c r="EG322" s="221"/>
      <c r="EH322" s="221"/>
      <c r="EI322" s="221"/>
      <c r="EJ322" s="221"/>
      <c r="EK322" s="221"/>
      <c r="EL322" s="221"/>
      <c r="EM322" s="221"/>
      <c r="EN322" s="221"/>
      <c r="EO322" s="221"/>
      <c r="EP322" s="221"/>
      <c r="EQ322" s="221"/>
      <c r="ER322" s="221"/>
      <c r="ES322" s="221"/>
      <c r="ET322" s="221"/>
      <c r="EU322" s="221"/>
      <c r="EV322" s="221"/>
      <c r="EW322" s="221"/>
      <c r="EX322" s="221"/>
      <c r="EY322" s="221"/>
      <c r="EZ322" s="221"/>
      <c r="FA322" s="221"/>
      <c r="FB322" s="221"/>
      <c r="FC322" s="221"/>
      <c r="FD322" s="221"/>
      <c r="FE322" s="221"/>
      <c r="FF322" s="221"/>
      <c r="FG322" s="221"/>
      <c r="FH322" s="221"/>
      <c r="FI322" s="221"/>
      <c r="FJ322" s="221"/>
      <c r="FK322" s="221"/>
      <c r="FL322" s="221"/>
      <c r="FM322" s="221"/>
      <c r="FN322" s="221"/>
      <c r="FO322" s="221"/>
      <c r="FP322" s="221"/>
      <c r="FQ322" s="221"/>
      <c r="FR322" s="221"/>
      <c r="FS322" s="221"/>
      <c r="FT322" s="221"/>
      <c r="FU322" s="221"/>
      <c r="FV322" s="221"/>
      <c r="FW322" s="221"/>
      <c r="FX322" s="221"/>
      <c r="FY322" s="221"/>
      <c r="FZ322" s="221"/>
      <c r="GA322" s="221"/>
      <c r="GB322" s="221"/>
      <c r="GC322" s="221"/>
      <c r="GD322" s="221"/>
      <c r="GE322" s="221"/>
      <c r="GF322" s="221"/>
      <c r="GG322" s="221"/>
      <c r="GH322" s="221"/>
      <c r="GI322" s="221"/>
      <c r="GJ322" s="221"/>
      <c r="GK322" s="221"/>
      <c r="GL322" s="221"/>
      <c r="GM322" s="221"/>
      <c r="GN322" s="221"/>
      <c r="GO322" s="221"/>
      <c r="GP322" s="221"/>
      <c r="GQ322" s="221"/>
      <c r="GR322" s="221"/>
      <c r="GS322" s="221"/>
      <c r="GT322" s="221"/>
      <c r="GU322" s="221"/>
      <c r="GV322" s="221"/>
      <c r="GW322" s="221"/>
      <c r="GX322" s="221"/>
      <c r="GY322" s="221"/>
      <c r="GZ322" s="221"/>
      <c r="HA322" s="221"/>
      <c r="HB322" s="221"/>
      <c r="HC322" s="221"/>
      <c r="HD322" s="221"/>
      <c r="HE322" s="221"/>
      <c r="HF322" s="221"/>
      <c r="HG322" s="221"/>
      <c r="HH322" s="221"/>
      <c r="HI322" s="221"/>
      <c r="HJ322" s="221"/>
      <c r="HK322" s="221"/>
      <c r="HL322" s="221"/>
      <c r="HM322" s="221"/>
      <c r="HN322" s="221"/>
      <c r="HO322" s="221"/>
      <c r="HP322" s="221"/>
      <c r="HQ322" s="221"/>
      <c r="HR322" s="221"/>
      <c r="HS322" s="221"/>
      <c r="HT322" s="221"/>
      <c r="HU322" s="221"/>
      <c r="HV322" s="221"/>
      <c r="HW322" s="221"/>
      <c r="HX322" s="221"/>
      <c r="HY322" s="221"/>
      <c r="HZ322" s="221"/>
      <c r="IA322" s="221"/>
      <c r="IB322" s="221"/>
      <c r="IC322" s="221"/>
      <c r="ID322" s="221"/>
      <c r="IE322" s="221"/>
      <c r="IF322" s="221"/>
      <c r="IG322" s="221"/>
      <c r="IH322" s="221"/>
      <c r="II322" s="221"/>
      <c r="IJ322" s="221"/>
      <c r="IK322" s="221"/>
      <c r="IL322" s="221"/>
      <c r="IM322" s="221"/>
      <c r="IN322" s="221"/>
      <c r="IO322" s="221"/>
      <c r="IP322" s="221"/>
      <c r="IQ322" s="221"/>
      <c r="IR322" s="221"/>
      <c r="IS322" s="221"/>
      <c r="IT322" s="221"/>
      <c r="IU322" s="221"/>
      <c r="IV322" s="221"/>
      <c r="IW322" s="221"/>
      <c r="IX322" s="221"/>
      <c r="IY322" s="221"/>
      <c r="IZ322" s="221"/>
      <c r="JA322" s="221"/>
      <c r="JB322" s="221"/>
      <c r="JC322" s="221"/>
      <c r="JD322" s="221"/>
      <c r="JE322" s="221"/>
      <c r="JF322" s="221"/>
      <c r="JG322" s="221"/>
      <c r="JH322" s="221"/>
      <c r="JI322" s="221"/>
      <c r="JJ322" s="221"/>
      <c r="JK322" s="221"/>
      <c r="JL322" s="221"/>
      <c r="JM322" s="221"/>
      <c r="JN322" s="221"/>
      <c r="JO322" s="221"/>
      <c r="JP322" s="221"/>
      <c r="JQ322" s="221"/>
    </row>
    <row r="323" spans="1:277" ht="20" customHeight="1" outlineLevel="1">
      <c r="A323" s="482"/>
      <c r="B323" s="439"/>
      <c r="C323" s="514"/>
      <c r="D323" s="514"/>
      <c r="E323" s="539"/>
      <c r="F323" s="530"/>
      <c r="G323" s="514"/>
      <c r="H323" s="530"/>
      <c r="I323" s="443"/>
      <c r="J323" s="837"/>
      <c r="K323" s="439"/>
      <c r="L323" s="514"/>
      <c r="M323" s="514"/>
      <c r="N323" s="514"/>
      <c r="O323" s="514"/>
      <c r="P323" s="516"/>
      <c r="Q323" s="629"/>
      <c r="R323" s="589"/>
      <c r="S323" s="590"/>
      <c r="T323" s="604"/>
      <c r="U323" s="596"/>
      <c r="V323" s="590"/>
      <c r="W323" s="604"/>
      <c r="X323" s="596"/>
      <c r="Y323" s="590"/>
      <c r="Z323" s="604"/>
      <c r="AA323" s="596"/>
      <c r="AB323" s="590"/>
      <c r="AC323" s="604"/>
      <c r="AD323" s="596"/>
      <c r="AE323" s="596"/>
      <c r="AF323" s="596"/>
      <c r="AG323" s="590"/>
      <c r="AH323" s="604"/>
      <c r="AI323" s="610"/>
      <c r="AJ323" s="610"/>
      <c r="AK323" s="629"/>
      <c r="AL323" s="531"/>
      <c r="AM323" s="448"/>
      <c r="AN323" s="612"/>
      <c r="AO323" s="440"/>
      <c r="AP323" s="37"/>
      <c r="AQ323" s="795"/>
      <c r="AR323" s="835"/>
      <c r="AS323" s="821"/>
      <c r="AT323" s="514"/>
      <c r="AU323" s="448"/>
      <c r="AV323" s="448"/>
      <c r="AW323" s="448"/>
      <c r="AX323" s="612"/>
      <c r="AY323" s="448"/>
      <c r="AZ323" s="612"/>
      <c r="BA323" s="256"/>
      <c r="BB323" s="41"/>
      <c r="BC323" s="448"/>
      <c r="BD323" s="448"/>
      <c r="BE323" s="448"/>
      <c r="BF323" s="448"/>
      <c r="BG323" s="448"/>
      <c r="BH323" s="221"/>
      <c r="BI323" s="221"/>
      <c r="BJ323" s="221"/>
      <c r="BK323" s="221"/>
      <c r="BL323" s="221"/>
      <c r="BM323" s="221"/>
      <c r="BN323" s="221"/>
      <c r="BO323" s="221"/>
      <c r="BP323" s="221"/>
      <c r="BQ323" s="221"/>
      <c r="BR323" s="221"/>
      <c r="BS323" s="221"/>
      <c r="BT323" s="221"/>
      <c r="BU323" s="221"/>
      <c r="BV323" s="221"/>
      <c r="BW323" s="221"/>
      <c r="BX323" s="221"/>
      <c r="BY323" s="221"/>
      <c r="BZ323" s="221"/>
      <c r="CA323" s="221"/>
      <c r="CB323" s="221"/>
      <c r="CC323" s="221"/>
      <c r="CD323" s="221"/>
      <c r="CE323" s="221"/>
      <c r="CF323" s="221"/>
      <c r="CG323" s="221"/>
      <c r="CH323" s="221"/>
      <c r="CI323" s="221"/>
      <c r="CJ323" s="221"/>
      <c r="CK323" s="221"/>
      <c r="CL323" s="221"/>
      <c r="CM323" s="221"/>
      <c r="CN323" s="221"/>
      <c r="CO323" s="221"/>
      <c r="CP323" s="221"/>
      <c r="CQ323" s="221"/>
      <c r="CR323" s="221"/>
      <c r="CS323" s="221"/>
      <c r="CT323" s="221"/>
      <c r="CU323" s="221"/>
      <c r="CV323" s="221"/>
      <c r="CW323" s="221"/>
      <c r="CX323" s="221"/>
      <c r="CY323" s="221"/>
      <c r="CZ323" s="221"/>
      <c r="DA323" s="221"/>
      <c r="DB323" s="221"/>
      <c r="DC323" s="221"/>
      <c r="DD323" s="221"/>
      <c r="DE323" s="221"/>
      <c r="DF323" s="221"/>
      <c r="DG323" s="221"/>
      <c r="DH323" s="221"/>
      <c r="DI323" s="221"/>
      <c r="DJ323" s="221"/>
      <c r="DK323" s="221"/>
      <c r="DL323" s="221"/>
      <c r="DM323" s="221"/>
      <c r="DN323" s="221"/>
      <c r="DO323" s="221"/>
      <c r="DP323" s="221"/>
      <c r="DQ323" s="221"/>
      <c r="DR323" s="221"/>
      <c r="DS323" s="221"/>
      <c r="DT323" s="221"/>
      <c r="DU323" s="221"/>
      <c r="DV323" s="221"/>
      <c r="DW323" s="221"/>
      <c r="DX323" s="221"/>
      <c r="DY323" s="221"/>
      <c r="DZ323" s="221"/>
      <c r="EA323" s="221"/>
      <c r="EB323" s="221"/>
      <c r="EC323" s="221"/>
      <c r="ED323" s="221"/>
      <c r="EE323" s="221"/>
      <c r="EF323" s="221"/>
      <c r="EG323" s="221"/>
      <c r="EH323" s="221"/>
      <c r="EI323" s="221"/>
      <c r="EJ323" s="221"/>
      <c r="EK323" s="221"/>
      <c r="EL323" s="221"/>
      <c r="EM323" s="221"/>
      <c r="EN323" s="221"/>
      <c r="EO323" s="221"/>
      <c r="EP323" s="221"/>
      <c r="EQ323" s="221"/>
      <c r="ER323" s="221"/>
      <c r="ES323" s="221"/>
      <c r="ET323" s="221"/>
      <c r="EU323" s="221"/>
      <c r="EV323" s="221"/>
      <c r="EW323" s="221"/>
      <c r="EX323" s="221"/>
      <c r="EY323" s="221"/>
      <c r="EZ323" s="221"/>
      <c r="FA323" s="221"/>
      <c r="FB323" s="221"/>
      <c r="FC323" s="221"/>
      <c r="FD323" s="221"/>
      <c r="FE323" s="221"/>
      <c r="FF323" s="221"/>
      <c r="FG323" s="221"/>
      <c r="FH323" s="221"/>
      <c r="FI323" s="221"/>
      <c r="FJ323" s="221"/>
      <c r="FK323" s="221"/>
      <c r="FL323" s="221"/>
      <c r="FM323" s="221"/>
      <c r="FN323" s="221"/>
      <c r="FO323" s="221"/>
      <c r="FP323" s="221"/>
      <c r="FQ323" s="221"/>
      <c r="FR323" s="221"/>
      <c r="FS323" s="221"/>
      <c r="FT323" s="221"/>
      <c r="FU323" s="221"/>
      <c r="FV323" s="221"/>
      <c r="FW323" s="221"/>
      <c r="FX323" s="221"/>
      <c r="FY323" s="221"/>
      <c r="FZ323" s="221"/>
      <c r="GA323" s="221"/>
      <c r="GB323" s="221"/>
      <c r="GC323" s="221"/>
      <c r="GD323" s="221"/>
      <c r="GE323" s="221"/>
      <c r="GF323" s="221"/>
      <c r="GG323" s="221"/>
      <c r="GH323" s="221"/>
      <c r="GI323" s="221"/>
      <c r="GJ323" s="221"/>
      <c r="GK323" s="221"/>
      <c r="GL323" s="221"/>
      <c r="GM323" s="221"/>
      <c r="GN323" s="221"/>
      <c r="GO323" s="221"/>
      <c r="GP323" s="221"/>
      <c r="GQ323" s="221"/>
      <c r="GR323" s="221"/>
      <c r="GS323" s="221"/>
      <c r="GT323" s="221"/>
      <c r="GU323" s="221"/>
      <c r="GV323" s="221"/>
      <c r="GW323" s="221"/>
      <c r="GX323" s="221"/>
      <c r="GY323" s="221"/>
      <c r="GZ323" s="221"/>
      <c r="HA323" s="221"/>
      <c r="HB323" s="221"/>
      <c r="HC323" s="221"/>
      <c r="HD323" s="221"/>
      <c r="HE323" s="221"/>
      <c r="HF323" s="221"/>
      <c r="HG323" s="221"/>
      <c r="HH323" s="221"/>
      <c r="HI323" s="221"/>
      <c r="HJ323" s="221"/>
      <c r="HK323" s="221"/>
      <c r="HL323" s="221"/>
      <c r="HM323" s="221"/>
      <c r="HN323" s="221"/>
      <c r="HO323" s="221"/>
      <c r="HP323" s="221"/>
      <c r="HQ323" s="221"/>
      <c r="HR323" s="221"/>
      <c r="HS323" s="221"/>
      <c r="HT323" s="221"/>
      <c r="HU323" s="221"/>
      <c r="HV323" s="221"/>
      <c r="HW323" s="221"/>
      <c r="HX323" s="221"/>
      <c r="HY323" s="221"/>
      <c r="HZ323" s="221"/>
      <c r="IA323" s="221"/>
      <c r="IB323" s="221"/>
      <c r="IC323" s="221"/>
      <c r="ID323" s="221"/>
      <c r="IE323" s="221"/>
      <c r="IF323" s="221"/>
      <c r="IG323" s="221"/>
      <c r="IH323" s="221"/>
      <c r="II323" s="221"/>
      <c r="IJ323" s="221"/>
      <c r="IK323" s="221"/>
      <c r="IL323" s="221"/>
      <c r="IM323" s="221"/>
      <c r="IN323" s="221"/>
      <c r="IO323" s="221"/>
      <c r="IP323" s="221"/>
      <c r="IQ323" s="221"/>
      <c r="IR323" s="221"/>
      <c r="IS323" s="221"/>
      <c r="IT323" s="221"/>
      <c r="IU323" s="221"/>
      <c r="IV323" s="221"/>
      <c r="IW323" s="221"/>
      <c r="IX323" s="221"/>
      <c r="IY323" s="221"/>
      <c r="IZ323" s="221"/>
      <c r="JA323" s="221"/>
      <c r="JB323" s="221"/>
      <c r="JC323" s="221"/>
      <c r="JD323" s="221"/>
      <c r="JE323" s="221"/>
      <c r="JF323" s="221"/>
      <c r="JG323" s="221"/>
      <c r="JH323" s="221"/>
      <c r="JI323" s="221"/>
      <c r="JJ323" s="221"/>
      <c r="JK323" s="221"/>
      <c r="JL323" s="221"/>
      <c r="JM323" s="221"/>
      <c r="JN323" s="221"/>
      <c r="JO323" s="221"/>
      <c r="JP323" s="221"/>
      <c r="JQ323" s="221"/>
    </row>
    <row r="324" spans="1:277" ht="20" customHeight="1" outlineLevel="1">
      <c r="A324" s="482"/>
      <c r="B324" s="439"/>
      <c r="C324" s="514"/>
      <c r="D324" s="514"/>
      <c r="E324" s="539"/>
      <c r="F324" s="530"/>
      <c r="G324" s="514"/>
      <c r="H324" s="530"/>
      <c r="I324" s="443"/>
      <c r="J324" s="837"/>
      <c r="K324" s="439"/>
      <c r="L324" s="514"/>
      <c r="M324" s="514"/>
      <c r="N324" s="514"/>
      <c r="O324" s="514"/>
      <c r="P324" s="516"/>
      <c r="Q324" s="629"/>
      <c r="R324" s="589"/>
      <c r="S324" s="590"/>
      <c r="T324" s="604"/>
      <c r="U324" s="596"/>
      <c r="V324" s="590"/>
      <c r="W324" s="604"/>
      <c r="X324" s="596"/>
      <c r="Y324" s="590"/>
      <c r="Z324" s="604"/>
      <c r="AA324" s="596"/>
      <c r="AB324" s="590"/>
      <c r="AC324" s="604"/>
      <c r="AD324" s="596"/>
      <c r="AE324" s="596"/>
      <c r="AF324" s="596"/>
      <c r="AG324" s="590"/>
      <c r="AH324" s="604"/>
      <c r="AI324" s="610"/>
      <c r="AJ324" s="610"/>
      <c r="AK324" s="629"/>
      <c r="AL324" s="531"/>
      <c r="AM324" s="448"/>
      <c r="AN324" s="612"/>
      <c r="AO324" s="440"/>
      <c r="AP324" s="37"/>
      <c r="AQ324" s="795"/>
      <c r="AR324" s="835"/>
      <c r="AS324" s="821"/>
      <c r="AT324" s="514"/>
      <c r="AU324" s="448"/>
      <c r="AV324" s="448"/>
      <c r="AW324" s="448"/>
      <c r="AX324" s="612"/>
      <c r="AY324" s="448"/>
      <c r="AZ324" s="612"/>
      <c r="BA324" s="256"/>
      <c r="BB324" s="41"/>
      <c r="BC324" s="448"/>
      <c r="BD324" s="448"/>
      <c r="BE324" s="448"/>
      <c r="BF324" s="448"/>
      <c r="BG324" s="448"/>
      <c r="BH324" s="221"/>
      <c r="BI324" s="221"/>
      <c r="BJ324" s="221"/>
      <c r="BK324" s="221"/>
      <c r="BL324" s="221"/>
      <c r="BM324" s="221"/>
      <c r="BN324" s="221"/>
      <c r="BO324" s="221"/>
      <c r="BP324" s="221"/>
      <c r="BQ324" s="221"/>
      <c r="BR324" s="221"/>
      <c r="BS324" s="221"/>
      <c r="BT324" s="221"/>
      <c r="BU324" s="221"/>
      <c r="BV324" s="221"/>
      <c r="BW324" s="221"/>
      <c r="BX324" s="221"/>
      <c r="BY324" s="221"/>
      <c r="BZ324" s="221"/>
      <c r="CA324" s="221"/>
      <c r="CB324" s="221"/>
      <c r="CC324" s="221"/>
      <c r="CD324" s="221"/>
      <c r="CE324" s="221"/>
      <c r="CF324" s="221"/>
      <c r="CG324" s="221"/>
      <c r="CH324" s="221"/>
      <c r="CI324" s="221"/>
      <c r="CJ324" s="221"/>
      <c r="CK324" s="221"/>
      <c r="CL324" s="221"/>
      <c r="CM324" s="221"/>
      <c r="CN324" s="221"/>
      <c r="CO324" s="221"/>
      <c r="CP324" s="221"/>
      <c r="CQ324" s="221"/>
      <c r="CR324" s="221"/>
      <c r="CS324" s="221"/>
      <c r="CT324" s="221"/>
      <c r="CU324" s="221"/>
      <c r="CV324" s="221"/>
      <c r="CW324" s="221"/>
      <c r="CX324" s="221"/>
      <c r="CY324" s="221"/>
      <c r="CZ324" s="221"/>
      <c r="DA324" s="221"/>
      <c r="DB324" s="221"/>
      <c r="DC324" s="221"/>
      <c r="DD324" s="221"/>
      <c r="DE324" s="221"/>
      <c r="DF324" s="221"/>
      <c r="DG324" s="221"/>
      <c r="DH324" s="221"/>
      <c r="DI324" s="221"/>
      <c r="DJ324" s="221"/>
      <c r="DK324" s="221"/>
      <c r="DL324" s="221"/>
      <c r="DM324" s="221"/>
      <c r="DN324" s="221"/>
      <c r="DO324" s="221"/>
      <c r="DP324" s="221"/>
      <c r="DQ324" s="221"/>
      <c r="DR324" s="221"/>
      <c r="DS324" s="221"/>
      <c r="DT324" s="221"/>
      <c r="DU324" s="221"/>
      <c r="DV324" s="221"/>
      <c r="DW324" s="221"/>
      <c r="DX324" s="221"/>
      <c r="DY324" s="221"/>
      <c r="DZ324" s="221"/>
      <c r="EA324" s="221"/>
      <c r="EB324" s="221"/>
      <c r="EC324" s="221"/>
      <c r="ED324" s="221"/>
      <c r="EE324" s="221"/>
      <c r="EF324" s="221"/>
      <c r="EG324" s="221"/>
      <c r="EH324" s="221"/>
      <c r="EI324" s="221"/>
      <c r="EJ324" s="221"/>
      <c r="EK324" s="221"/>
      <c r="EL324" s="221"/>
      <c r="EM324" s="221"/>
      <c r="EN324" s="221"/>
      <c r="EO324" s="221"/>
      <c r="EP324" s="221"/>
      <c r="EQ324" s="221"/>
      <c r="ER324" s="221"/>
      <c r="ES324" s="221"/>
      <c r="ET324" s="221"/>
      <c r="EU324" s="221"/>
      <c r="EV324" s="221"/>
      <c r="EW324" s="221"/>
      <c r="EX324" s="221"/>
      <c r="EY324" s="221"/>
      <c r="EZ324" s="221"/>
      <c r="FA324" s="221"/>
      <c r="FB324" s="221"/>
      <c r="FC324" s="221"/>
      <c r="FD324" s="221"/>
      <c r="FE324" s="221"/>
      <c r="FF324" s="221"/>
      <c r="FG324" s="221"/>
      <c r="FH324" s="221"/>
      <c r="FI324" s="221"/>
      <c r="FJ324" s="221"/>
      <c r="FK324" s="221"/>
      <c r="FL324" s="221"/>
      <c r="FM324" s="221"/>
      <c r="FN324" s="221"/>
      <c r="FO324" s="221"/>
      <c r="FP324" s="221"/>
      <c r="FQ324" s="221"/>
      <c r="FR324" s="221"/>
      <c r="FS324" s="221"/>
      <c r="FT324" s="221"/>
      <c r="FU324" s="221"/>
      <c r="FV324" s="221"/>
      <c r="FW324" s="221"/>
      <c r="FX324" s="221"/>
      <c r="FY324" s="221"/>
      <c r="FZ324" s="221"/>
      <c r="GA324" s="221"/>
      <c r="GB324" s="221"/>
      <c r="GC324" s="221"/>
      <c r="GD324" s="221"/>
      <c r="GE324" s="221"/>
      <c r="GF324" s="221"/>
      <c r="GG324" s="221"/>
      <c r="GH324" s="221"/>
      <c r="GI324" s="221"/>
      <c r="GJ324" s="221"/>
      <c r="GK324" s="221"/>
      <c r="GL324" s="221"/>
      <c r="GM324" s="221"/>
      <c r="GN324" s="221"/>
      <c r="GO324" s="221"/>
      <c r="GP324" s="221"/>
      <c r="GQ324" s="221"/>
      <c r="GR324" s="221"/>
      <c r="GS324" s="221"/>
      <c r="GT324" s="221"/>
      <c r="GU324" s="221"/>
      <c r="GV324" s="221"/>
      <c r="GW324" s="221"/>
      <c r="GX324" s="221"/>
      <c r="GY324" s="221"/>
      <c r="GZ324" s="221"/>
      <c r="HA324" s="221"/>
      <c r="HB324" s="221"/>
      <c r="HC324" s="221"/>
      <c r="HD324" s="221"/>
      <c r="HE324" s="221"/>
      <c r="HF324" s="221"/>
      <c r="HG324" s="221"/>
      <c r="HH324" s="221"/>
      <c r="HI324" s="221"/>
      <c r="HJ324" s="221"/>
      <c r="HK324" s="221"/>
      <c r="HL324" s="221"/>
      <c r="HM324" s="221"/>
      <c r="HN324" s="221"/>
      <c r="HO324" s="221"/>
      <c r="HP324" s="221"/>
      <c r="HQ324" s="221"/>
      <c r="HR324" s="221"/>
      <c r="HS324" s="221"/>
      <c r="HT324" s="221"/>
      <c r="HU324" s="221"/>
      <c r="HV324" s="221"/>
      <c r="HW324" s="221"/>
      <c r="HX324" s="221"/>
      <c r="HY324" s="221"/>
      <c r="HZ324" s="221"/>
      <c r="IA324" s="221"/>
      <c r="IB324" s="221"/>
      <c r="IC324" s="221"/>
      <c r="ID324" s="221"/>
      <c r="IE324" s="221"/>
      <c r="IF324" s="221"/>
      <c r="IG324" s="221"/>
      <c r="IH324" s="221"/>
      <c r="II324" s="221"/>
      <c r="IJ324" s="221"/>
      <c r="IK324" s="221"/>
      <c r="IL324" s="221"/>
      <c r="IM324" s="221"/>
      <c r="IN324" s="221"/>
      <c r="IO324" s="221"/>
      <c r="IP324" s="221"/>
      <c r="IQ324" s="221"/>
      <c r="IR324" s="221"/>
      <c r="IS324" s="221"/>
      <c r="IT324" s="221"/>
      <c r="IU324" s="221"/>
      <c r="IV324" s="221"/>
      <c r="IW324" s="221"/>
      <c r="IX324" s="221"/>
      <c r="IY324" s="221"/>
      <c r="IZ324" s="221"/>
      <c r="JA324" s="221"/>
      <c r="JB324" s="221"/>
      <c r="JC324" s="221"/>
      <c r="JD324" s="221"/>
      <c r="JE324" s="221"/>
      <c r="JF324" s="221"/>
      <c r="JG324" s="221"/>
      <c r="JH324" s="221"/>
      <c r="JI324" s="221"/>
      <c r="JJ324" s="221"/>
      <c r="JK324" s="221"/>
      <c r="JL324" s="221"/>
      <c r="JM324" s="221"/>
      <c r="JN324" s="221"/>
      <c r="JO324" s="221"/>
      <c r="JP324" s="221"/>
      <c r="JQ324" s="221"/>
    </row>
    <row r="325" spans="1:277" ht="20" customHeight="1" outlineLevel="1">
      <c r="A325" s="482"/>
      <c r="B325" s="439"/>
      <c r="C325" s="514"/>
      <c r="D325" s="514"/>
      <c r="E325" s="539"/>
      <c r="F325" s="530"/>
      <c r="G325" s="514"/>
      <c r="H325" s="530"/>
      <c r="I325" s="443"/>
      <c r="J325" s="837"/>
      <c r="K325" s="439"/>
      <c r="L325" s="514"/>
      <c r="M325" s="514"/>
      <c r="N325" s="514"/>
      <c r="O325" s="514"/>
      <c r="P325" s="516"/>
      <c r="Q325" s="629"/>
      <c r="R325" s="589"/>
      <c r="S325" s="590"/>
      <c r="T325" s="604"/>
      <c r="U325" s="596"/>
      <c r="V325" s="590"/>
      <c r="W325" s="604"/>
      <c r="X325" s="596"/>
      <c r="Y325" s="590"/>
      <c r="Z325" s="604"/>
      <c r="AA325" s="596"/>
      <c r="AB325" s="590"/>
      <c r="AC325" s="604"/>
      <c r="AD325" s="596"/>
      <c r="AE325" s="596"/>
      <c r="AF325" s="596"/>
      <c r="AG325" s="590"/>
      <c r="AH325" s="604"/>
      <c r="AI325" s="610"/>
      <c r="AJ325" s="610"/>
      <c r="AK325" s="629"/>
      <c r="AL325" s="531"/>
      <c r="AM325" s="448"/>
      <c r="AN325" s="612"/>
      <c r="AO325" s="440"/>
      <c r="AP325" s="37"/>
      <c r="AQ325" s="795"/>
      <c r="AR325" s="835"/>
      <c r="AS325" s="821"/>
      <c r="AT325" s="514"/>
      <c r="AU325" s="448"/>
      <c r="AV325" s="448"/>
      <c r="AW325" s="448"/>
      <c r="AX325" s="612"/>
      <c r="AY325" s="448"/>
      <c r="AZ325" s="612"/>
      <c r="BA325" s="256"/>
      <c r="BB325" s="41"/>
      <c r="BC325" s="448"/>
      <c r="BD325" s="448"/>
      <c r="BE325" s="448"/>
      <c r="BF325" s="448"/>
      <c r="BG325" s="448"/>
      <c r="BH325" s="221"/>
      <c r="BI325" s="221"/>
      <c r="BJ325" s="221"/>
      <c r="BK325" s="221"/>
      <c r="BL325" s="221"/>
      <c r="BM325" s="221"/>
      <c r="BN325" s="221"/>
      <c r="BO325" s="221"/>
      <c r="BP325" s="221"/>
      <c r="BQ325" s="221"/>
      <c r="BR325" s="221"/>
      <c r="BS325" s="221"/>
      <c r="BT325" s="221"/>
      <c r="BU325" s="221"/>
      <c r="BV325" s="221"/>
      <c r="BW325" s="221"/>
      <c r="BX325" s="221"/>
      <c r="BY325" s="221"/>
      <c r="BZ325" s="221"/>
      <c r="CA325" s="221"/>
      <c r="CB325" s="221"/>
      <c r="CC325" s="221"/>
      <c r="CD325" s="221"/>
      <c r="CE325" s="221"/>
      <c r="CF325" s="221"/>
      <c r="CG325" s="221"/>
      <c r="CH325" s="221"/>
      <c r="CI325" s="221"/>
      <c r="CJ325" s="221"/>
      <c r="CK325" s="221"/>
      <c r="CL325" s="221"/>
      <c r="CM325" s="221"/>
      <c r="CN325" s="221"/>
      <c r="CO325" s="221"/>
      <c r="CP325" s="221"/>
      <c r="CQ325" s="221"/>
      <c r="CR325" s="221"/>
      <c r="CS325" s="221"/>
      <c r="CT325" s="221"/>
      <c r="CU325" s="221"/>
      <c r="CV325" s="221"/>
      <c r="CW325" s="221"/>
      <c r="CX325" s="221"/>
      <c r="CY325" s="221"/>
      <c r="CZ325" s="221"/>
      <c r="DA325" s="221"/>
      <c r="DB325" s="221"/>
      <c r="DC325" s="221"/>
      <c r="DD325" s="221"/>
      <c r="DE325" s="221"/>
      <c r="DF325" s="221"/>
      <c r="DG325" s="221"/>
      <c r="DH325" s="221"/>
      <c r="DI325" s="221"/>
      <c r="DJ325" s="221"/>
      <c r="DK325" s="221"/>
      <c r="DL325" s="221"/>
      <c r="DM325" s="221"/>
      <c r="DN325" s="221"/>
      <c r="DO325" s="221"/>
      <c r="DP325" s="221"/>
      <c r="DQ325" s="221"/>
      <c r="DR325" s="221"/>
      <c r="DS325" s="221"/>
      <c r="DT325" s="221"/>
      <c r="DU325" s="221"/>
      <c r="DV325" s="221"/>
      <c r="DW325" s="221"/>
      <c r="DX325" s="221"/>
      <c r="DY325" s="221"/>
      <c r="DZ325" s="221"/>
      <c r="EA325" s="221"/>
      <c r="EB325" s="221"/>
      <c r="EC325" s="221"/>
      <c r="ED325" s="221"/>
      <c r="EE325" s="221"/>
      <c r="EF325" s="221"/>
      <c r="EG325" s="221"/>
      <c r="EH325" s="221"/>
      <c r="EI325" s="221"/>
      <c r="EJ325" s="221"/>
      <c r="EK325" s="221"/>
      <c r="EL325" s="221"/>
      <c r="EM325" s="221"/>
      <c r="EN325" s="221"/>
      <c r="EO325" s="221"/>
      <c r="EP325" s="221"/>
      <c r="EQ325" s="221"/>
      <c r="ER325" s="221"/>
      <c r="ES325" s="221"/>
      <c r="ET325" s="221"/>
      <c r="EU325" s="221"/>
      <c r="EV325" s="221"/>
      <c r="EW325" s="221"/>
      <c r="EX325" s="221"/>
      <c r="EY325" s="221"/>
      <c r="EZ325" s="221"/>
      <c r="FA325" s="221"/>
      <c r="FB325" s="221"/>
      <c r="FC325" s="221"/>
      <c r="FD325" s="221"/>
      <c r="FE325" s="221"/>
      <c r="FF325" s="221"/>
      <c r="FG325" s="221"/>
      <c r="FH325" s="221"/>
      <c r="FI325" s="221"/>
      <c r="FJ325" s="221"/>
      <c r="FK325" s="221"/>
      <c r="FL325" s="221"/>
      <c r="FM325" s="221"/>
      <c r="FN325" s="221"/>
      <c r="FO325" s="221"/>
      <c r="FP325" s="221"/>
      <c r="FQ325" s="221"/>
      <c r="FR325" s="221"/>
      <c r="FS325" s="221"/>
      <c r="FT325" s="221"/>
      <c r="FU325" s="221"/>
      <c r="FV325" s="221"/>
      <c r="FW325" s="221"/>
      <c r="FX325" s="221"/>
      <c r="FY325" s="221"/>
      <c r="FZ325" s="221"/>
      <c r="GA325" s="221"/>
      <c r="GB325" s="221"/>
      <c r="GC325" s="221"/>
      <c r="GD325" s="221"/>
      <c r="GE325" s="221"/>
      <c r="GF325" s="221"/>
      <c r="GG325" s="221"/>
      <c r="GH325" s="221"/>
      <c r="GI325" s="221"/>
      <c r="GJ325" s="221"/>
      <c r="GK325" s="221"/>
      <c r="GL325" s="221"/>
      <c r="GM325" s="221"/>
      <c r="GN325" s="221"/>
      <c r="GO325" s="221"/>
      <c r="GP325" s="221"/>
      <c r="GQ325" s="221"/>
      <c r="GR325" s="221"/>
      <c r="GS325" s="221"/>
      <c r="GT325" s="221"/>
      <c r="GU325" s="221"/>
      <c r="GV325" s="221"/>
      <c r="GW325" s="221"/>
      <c r="GX325" s="221"/>
      <c r="GY325" s="221"/>
      <c r="GZ325" s="221"/>
      <c r="HA325" s="221"/>
      <c r="HB325" s="221"/>
      <c r="HC325" s="221"/>
      <c r="HD325" s="221"/>
      <c r="HE325" s="221"/>
      <c r="HF325" s="221"/>
      <c r="HG325" s="221"/>
      <c r="HH325" s="221"/>
      <c r="HI325" s="221"/>
      <c r="HJ325" s="221"/>
      <c r="HK325" s="221"/>
      <c r="HL325" s="221"/>
      <c r="HM325" s="221"/>
      <c r="HN325" s="221"/>
      <c r="HO325" s="221"/>
      <c r="HP325" s="221"/>
      <c r="HQ325" s="221"/>
      <c r="HR325" s="221"/>
      <c r="HS325" s="221"/>
      <c r="HT325" s="221"/>
      <c r="HU325" s="221"/>
      <c r="HV325" s="221"/>
      <c r="HW325" s="221"/>
      <c r="HX325" s="221"/>
      <c r="HY325" s="221"/>
      <c r="HZ325" s="221"/>
      <c r="IA325" s="221"/>
      <c r="IB325" s="221"/>
      <c r="IC325" s="221"/>
      <c r="ID325" s="221"/>
      <c r="IE325" s="221"/>
      <c r="IF325" s="221"/>
      <c r="IG325" s="221"/>
      <c r="IH325" s="221"/>
      <c r="II325" s="221"/>
      <c r="IJ325" s="221"/>
      <c r="IK325" s="221"/>
      <c r="IL325" s="221"/>
      <c r="IM325" s="221"/>
      <c r="IN325" s="221"/>
      <c r="IO325" s="221"/>
      <c r="IP325" s="221"/>
      <c r="IQ325" s="221"/>
      <c r="IR325" s="221"/>
      <c r="IS325" s="221"/>
      <c r="IT325" s="221"/>
      <c r="IU325" s="221"/>
      <c r="IV325" s="221"/>
      <c r="IW325" s="221"/>
      <c r="IX325" s="221"/>
      <c r="IY325" s="221"/>
      <c r="IZ325" s="221"/>
      <c r="JA325" s="221"/>
      <c r="JB325" s="221"/>
      <c r="JC325" s="221"/>
      <c r="JD325" s="221"/>
      <c r="JE325" s="221"/>
      <c r="JF325" s="221"/>
      <c r="JG325" s="221"/>
      <c r="JH325" s="221"/>
      <c r="JI325" s="221"/>
      <c r="JJ325" s="221"/>
      <c r="JK325" s="221"/>
      <c r="JL325" s="221"/>
      <c r="JM325" s="221"/>
      <c r="JN325" s="221"/>
      <c r="JO325" s="221"/>
      <c r="JP325" s="221"/>
      <c r="JQ325" s="221"/>
    </row>
    <row r="326" spans="1:277" ht="20" customHeight="1" outlineLevel="1">
      <c r="A326" s="482"/>
      <c r="B326" s="439"/>
      <c r="C326" s="514"/>
      <c r="D326" s="514"/>
      <c r="E326" s="539"/>
      <c r="F326" s="530"/>
      <c r="G326" s="514"/>
      <c r="H326" s="530"/>
      <c r="I326" s="443"/>
      <c r="J326" s="837"/>
      <c r="K326" s="439"/>
      <c r="L326" s="514"/>
      <c r="M326" s="514"/>
      <c r="N326" s="514"/>
      <c r="O326" s="514"/>
      <c r="P326" s="516"/>
      <c r="Q326" s="629"/>
      <c r="R326" s="589"/>
      <c r="S326" s="590"/>
      <c r="T326" s="604"/>
      <c r="U326" s="596"/>
      <c r="V326" s="590"/>
      <c r="W326" s="604"/>
      <c r="X326" s="596"/>
      <c r="Y326" s="590"/>
      <c r="Z326" s="604"/>
      <c r="AA326" s="596"/>
      <c r="AB326" s="590"/>
      <c r="AC326" s="604"/>
      <c r="AD326" s="596"/>
      <c r="AE326" s="596"/>
      <c r="AF326" s="596"/>
      <c r="AG326" s="590"/>
      <c r="AH326" s="604"/>
      <c r="AI326" s="610"/>
      <c r="AJ326" s="610"/>
      <c r="AK326" s="629"/>
      <c r="AL326" s="531"/>
      <c r="AM326" s="448"/>
      <c r="AN326" s="612"/>
      <c r="AO326" s="440"/>
      <c r="AP326" s="37"/>
      <c r="AQ326" s="795"/>
      <c r="AR326" s="835"/>
      <c r="AS326" s="821"/>
      <c r="AT326" s="514"/>
      <c r="AU326" s="448"/>
      <c r="AV326" s="448"/>
      <c r="AW326" s="448"/>
      <c r="AX326" s="612"/>
      <c r="AY326" s="448"/>
      <c r="AZ326" s="612"/>
      <c r="BA326" s="256"/>
      <c r="BB326" s="41"/>
      <c r="BC326" s="448"/>
      <c r="BD326" s="448"/>
      <c r="BE326" s="448"/>
      <c r="BF326" s="448"/>
      <c r="BG326" s="448"/>
      <c r="BH326" s="221"/>
      <c r="BI326" s="221"/>
      <c r="BJ326" s="221"/>
      <c r="BK326" s="221"/>
      <c r="BL326" s="221"/>
      <c r="BM326" s="221"/>
      <c r="BN326" s="221"/>
      <c r="BO326" s="221"/>
      <c r="BP326" s="221"/>
      <c r="BQ326" s="221"/>
      <c r="BR326" s="221"/>
      <c r="BS326" s="221"/>
      <c r="BT326" s="221"/>
      <c r="BU326" s="221"/>
      <c r="BV326" s="221"/>
      <c r="BW326" s="221"/>
      <c r="BX326" s="221"/>
      <c r="BY326" s="221"/>
      <c r="BZ326" s="221"/>
      <c r="CA326" s="221"/>
      <c r="CB326" s="221"/>
      <c r="CC326" s="221"/>
      <c r="CD326" s="221"/>
      <c r="CE326" s="221"/>
      <c r="CF326" s="221"/>
      <c r="CG326" s="221"/>
      <c r="CH326" s="221"/>
      <c r="CI326" s="221"/>
      <c r="CJ326" s="221"/>
      <c r="CK326" s="221"/>
      <c r="CL326" s="221"/>
      <c r="CM326" s="221"/>
      <c r="CN326" s="221"/>
      <c r="CO326" s="221"/>
      <c r="CP326" s="221"/>
      <c r="CQ326" s="221"/>
      <c r="CR326" s="221"/>
      <c r="CS326" s="221"/>
      <c r="CT326" s="221"/>
      <c r="CU326" s="221"/>
      <c r="CV326" s="221"/>
      <c r="CW326" s="221"/>
      <c r="CX326" s="221"/>
      <c r="CY326" s="221"/>
      <c r="CZ326" s="221"/>
      <c r="DA326" s="221"/>
      <c r="DB326" s="221"/>
      <c r="DC326" s="221"/>
      <c r="DD326" s="221"/>
      <c r="DE326" s="221"/>
      <c r="DF326" s="221"/>
      <c r="DG326" s="221"/>
      <c r="DH326" s="221"/>
      <c r="DI326" s="221"/>
      <c r="DJ326" s="221"/>
      <c r="DK326" s="221"/>
      <c r="DL326" s="221"/>
      <c r="DM326" s="221"/>
      <c r="DN326" s="221"/>
      <c r="DO326" s="221"/>
      <c r="DP326" s="221"/>
      <c r="DQ326" s="221"/>
      <c r="DR326" s="221"/>
      <c r="DS326" s="221"/>
      <c r="DT326" s="221"/>
      <c r="DU326" s="221"/>
      <c r="DV326" s="221"/>
      <c r="DW326" s="221"/>
      <c r="DX326" s="221"/>
      <c r="DY326" s="221"/>
      <c r="DZ326" s="221"/>
      <c r="EA326" s="221"/>
      <c r="EB326" s="221"/>
      <c r="EC326" s="221"/>
      <c r="ED326" s="221"/>
      <c r="EE326" s="221"/>
      <c r="EF326" s="221"/>
      <c r="EG326" s="221"/>
      <c r="EH326" s="221"/>
      <c r="EI326" s="221"/>
      <c r="EJ326" s="221"/>
      <c r="EK326" s="221"/>
      <c r="EL326" s="221"/>
      <c r="EM326" s="221"/>
      <c r="EN326" s="221"/>
      <c r="EO326" s="221"/>
      <c r="EP326" s="221"/>
      <c r="EQ326" s="221"/>
      <c r="ER326" s="221"/>
      <c r="ES326" s="221"/>
      <c r="ET326" s="221"/>
      <c r="EU326" s="221"/>
      <c r="EV326" s="221"/>
      <c r="EW326" s="221"/>
      <c r="EX326" s="221"/>
      <c r="EY326" s="221"/>
      <c r="EZ326" s="221"/>
      <c r="FA326" s="221"/>
      <c r="FB326" s="221"/>
      <c r="FC326" s="221"/>
      <c r="FD326" s="221"/>
      <c r="FE326" s="221"/>
      <c r="FF326" s="221"/>
      <c r="FG326" s="221"/>
      <c r="FH326" s="221"/>
      <c r="FI326" s="221"/>
      <c r="FJ326" s="221"/>
      <c r="FK326" s="221"/>
      <c r="FL326" s="221"/>
      <c r="FM326" s="221"/>
      <c r="FN326" s="221"/>
      <c r="FO326" s="221"/>
      <c r="FP326" s="221"/>
      <c r="FQ326" s="221"/>
      <c r="FR326" s="221"/>
      <c r="FS326" s="221"/>
      <c r="FT326" s="221"/>
      <c r="FU326" s="221"/>
      <c r="FV326" s="221"/>
      <c r="FW326" s="221"/>
      <c r="FX326" s="221"/>
      <c r="FY326" s="221"/>
      <c r="FZ326" s="221"/>
      <c r="GA326" s="221"/>
      <c r="GB326" s="221"/>
      <c r="GC326" s="221"/>
      <c r="GD326" s="221"/>
      <c r="GE326" s="221"/>
      <c r="GF326" s="221"/>
      <c r="GG326" s="221"/>
      <c r="GH326" s="221"/>
      <c r="GI326" s="221"/>
      <c r="GJ326" s="221"/>
      <c r="GK326" s="221"/>
      <c r="GL326" s="221"/>
      <c r="GM326" s="221"/>
      <c r="GN326" s="221"/>
      <c r="GO326" s="221"/>
      <c r="GP326" s="221"/>
      <c r="GQ326" s="221"/>
      <c r="GR326" s="221"/>
      <c r="GS326" s="221"/>
      <c r="GT326" s="221"/>
      <c r="GU326" s="221"/>
      <c r="GV326" s="221"/>
      <c r="GW326" s="221"/>
      <c r="GX326" s="221"/>
      <c r="GY326" s="221"/>
      <c r="GZ326" s="221"/>
      <c r="HA326" s="221"/>
      <c r="HB326" s="221"/>
      <c r="HC326" s="221"/>
      <c r="HD326" s="221"/>
      <c r="HE326" s="221"/>
      <c r="HF326" s="221"/>
      <c r="HG326" s="221"/>
      <c r="HH326" s="221"/>
      <c r="HI326" s="221"/>
      <c r="HJ326" s="221"/>
      <c r="HK326" s="221"/>
      <c r="HL326" s="221"/>
      <c r="HM326" s="221"/>
      <c r="HN326" s="221"/>
      <c r="HO326" s="221"/>
      <c r="HP326" s="221"/>
      <c r="HQ326" s="221"/>
      <c r="HR326" s="221"/>
      <c r="HS326" s="221"/>
      <c r="HT326" s="221"/>
      <c r="HU326" s="221"/>
      <c r="HV326" s="221"/>
      <c r="HW326" s="221"/>
      <c r="HX326" s="221"/>
      <c r="HY326" s="221"/>
      <c r="HZ326" s="221"/>
      <c r="IA326" s="221"/>
      <c r="IB326" s="221"/>
      <c r="IC326" s="221"/>
      <c r="ID326" s="221"/>
      <c r="IE326" s="221"/>
      <c r="IF326" s="221"/>
      <c r="IG326" s="221"/>
      <c r="IH326" s="221"/>
      <c r="II326" s="221"/>
      <c r="IJ326" s="221"/>
      <c r="IK326" s="221"/>
      <c r="IL326" s="221"/>
      <c r="IM326" s="221"/>
      <c r="IN326" s="221"/>
      <c r="IO326" s="221"/>
      <c r="IP326" s="221"/>
      <c r="IQ326" s="221"/>
      <c r="IR326" s="221"/>
      <c r="IS326" s="221"/>
      <c r="IT326" s="221"/>
      <c r="IU326" s="221"/>
      <c r="IV326" s="221"/>
      <c r="IW326" s="221"/>
      <c r="IX326" s="221"/>
      <c r="IY326" s="221"/>
      <c r="IZ326" s="221"/>
      <c r="JA326" s="221"/>
      <c r="JB326" s="221"/>
      <c r="JC326" s="221"/>
      <c r="JD326" s="221"/>
      <c r="JE326" s="221"/>
      <c r="JF326" s="221"/>
      <c r="JG326" s="221"/>
      <c r="JH326" s="221"/>
      <c r="JI326" s="221"/>
      <c r="JJ326" s="221"/>
      <c r="JK326" s="221"/>
      <c r="JL326" s="221"/>
      <c r="JM326" s="221"/>
      <c r="JN326" s="221"/>
      <c r="JO326" s="221"/>
      <c r="JP326" s="221"/>
      <c r="JQ326" s="221"/>
    </row>
    <row r="327" spans="1:277" ht="20" customHeight="1" outlineLevel="1">
      <c r="A327" s="482"/>
      <c r="B327" s="439"/>
      <c r="C327" s="514"/>
      <c r="D327" s="514"/>
      <c r="E327" s="539"/>
      <c r="F327" s="530"/>
      <c r="G327" s="514"/>
      <c r="H327" s="530"/>
      <c r="I327" s="443"/>
      <c r="J327" s="837"/>
      <c r="K327" s="439"/>
      <c r="L327" s="514"/>
      <c r="M327" s="514"/>
      <c r="N327" s="514"/>
      <c r="O327" s="514"/>
      <c r="P327" s="516"/>
      <c r="Q327" s="629"/>
      <c r="R327" s="589"/>
      <c r="S327" s="590"/>
      <c r="T327" s="604"/>
      <c r="U327" s="596"/>
      <c r="V327" s="590"/>
      <c r="W327" s="604"/>
      <c r="X327" s="596"/>
      <c r="Y327" s="590"/>
      <c r="Z327" s="604"/>
      <c r="AA327" s="596"/>
      <c r="AB327" s="590"/>
      <c r="AC327" s="604"/>
      <c r="AD327" s="596"/>
      <c r="AE327" s="596"/>
      <c r="AF327" s="596"/>
      <c r="AG327" s="590"/>
      <c r="AH327" s="604"/>
      <c r="AI327" s="610"/>
      <c r="AJ327" s="610"/>
      <c r="AK327" s="629"/>
      <c r="AL327" s="531"/>
      <c r="AM327" s="448"/>
      <c r="AN327" s="612"/>
      <c r="AO327" s="440"/>
      <c r="AP327" s="37"/>
      <c r="AQ327" s="795"/>
      <c r="AR327" s="835"/>
      <c r="AS327" s="821"/>
      <c r="AT327" s="514"/>
      <c r="AU327" s="448"/>
      <c r="AV327" s="448"/>
      <c r="AW327" s="448"/>
      <c r="AX327" s="612"/>
      <c r="AY327" s="448"/>
      <c r="AZ327" s="612"/>
      <c r="BA327" s="256"/>
      <c r="BB327" s="41"/>
      <c r="BC327" s="448"/>
      <c r="BD327" s="448"/>
      <c r="BE327" s="448"/>
      <c r="BF327" s="448"/>
      <c r="BG327" s="448"/>
      <c r="BH327" s="221"/>
      <c r="BI327" s="221"/>
      <c r="BJ327" s="221"/>
      <c r="BK327" s="221"/>
      <c r="BL327" s="221"/>
      <c r="BM327" s="221"/>
      <c r="BN327" s="221"/>
      <c r="BO327" s="221"/>
      <c r="BP327" s="221"/>
      <c r="BQ327" s="221"/>
      <c r="BR327" s="221"/>
      <c r="BS327" s="221"/>
      <c r="BT327" s="221"/>
      <c r="BU327" s="221"/>
      <c r="BV327" s="221"/>
      <c r="BW327" s="221"/>
      <c r="BX327" s="221"/>
      <c r="BY327" s="221"/>
      <c r="BZ327" s="221"/>
      <c r="CA327" s="221"/>
      <c r="CB327" s="221"/>
      <c r="CC327" s="221"/>
      <c r="CD327" s="221"/>
      <c r="CE327" s="221"/>
      <c r="CF327" s="221"/>
      <c r="CG327" s="221"/>
      <c r="CH327" s="221"/>
      <c r="CI327" s="221"/>
      <c r="CJ327" s="221"/>
      <c r="CK327" s="221"/>
      <c r="CL327" s="221"/>
      <c r="CM327" s="221"/>
      <c r="CN327" s="221"/>
      <c r="CO327" s="221"/>
      <c r="CP327" s="221"/>
      <c r="CQ327" s="221"/>
      <c r="CR327" s="221"/>
      <c r="CS327" s="221"/>
      <c r="CT327" s="221"/>
      <c r="CU327" s="221"/>
      <c r="CV327" s="221"/>
      <c r="CW327" s="221"/>
      <c r="CX327" s="221"/>
      <c r="CY327" s="221"/>
      <c r="CZ327" s="221"/>
      <c r="DA327" s="221"/>
      <c r="DB327" s="221"/>
      <c r="DC327" s="221"/>
      <c r="DD327" s="221"/>
      <c r="DE327" s="221"/>
      <c r="DF327" s="221"/>
      <c r="DG327" s="221"/>
      <c r="DH327" s="221"/>
      <c r="DI327" s="221"/>
      <c r="DJ327" s="221"/>
      <c r="DK327" s="221"/>
      <c r="DL327" s="221"/>
      <c r="DM327" s="221"/>
      <c r="DN327" s="221"/>
      <c r="DO327" s="221"/>
      <c r="DP327" s="221"/>
      <c r="DQ327" s="221"/>
      <c r="DR327" s="221"/>
      <c r="DS327" s="221"/>
      <c r="DT327" s="221"/>
      <c r="DU327" s="221"/>
      <c r="DV327" s="221"/>
      <c r="DW327" s="221"/>
      <c r="DX327" s="221"/>
      <c r="DY327" s="221"/>
      <c r="DZ327" s="221"/>
      <c r="EA327" s="221"/>
      <c r="EB327" s="221"/>
      <c r="EC327" s="221"/>
      <c r="ED327" s="221"/>
      <c r="EE327" s="221"/>
      <c r="EF327" s="221"/>
      <c r="EG327" s="221"/>
      <c r="EH327" s="221"/>
      <c r="EI327" s="221"/>
      <c r="EJ327" s="221"/>
      <c r="EK327" s="221"/>
      <c r="EL327" s="221"/>
      <c r="EM327" s="221"/>
      <c r="EN327" s="221"/>
      <c r="EO327" s="221"/>
      <c r="EP327" s="221"/>
      <c r="EQ327" s="221"/>
      <c r="ER327" s="221"/>
      <c r="ES327" s="221"/>
      <c r="ET327" s="221"/>
      <c r="EU327" s="221"/>
      <c r="EV327" s="221"/>
      <c r="EW327" s="221"/>
      <c r="EX327" s="221"/>
      <c r="EY327" s="221"/>
      <c r="EZ327" s="221"/>
      <c r="FA327" s="221"/>
      <c r="FB327" s="221"/>
      <c r="FC327" s="221"/>
      <c r="FD327" s="221"/>
      <c r="FE327" s="221"/>
      <c r="FF327" s="221"/>
      <c r="FG327" s="221"/>
      <c r="FH327" s="221"/>
      <c r="FI327" s="221"/>
      <c r="FJ327" s="221"/>
      <c r="FK327" s="221"/>
      <c r="FL327" s="221"/>
      <c r="FM327" s="221"/>
      <c r="FN327" s="221"/>
      <c r="FO327" s="221"/>
      <c r="FP327" s="221"/>
      <c r="FQ327" s="221"/>
      <c r="FR327" s="221"/>
      <c r="FS327" s="221"/>
      <c r="FT327" s="221"/>
      <c r="FU327" s="221"/>
      <c r="FV327" s="221"/>
      <c r="FW327" s="221"/>
      <c r="FX327" s="221"/>
      <c r="FY327" s="221"/>
      <c r="FZ327" s="221"/>
      <c r="GA327" s="221"/>
      <c r="GB327" s="221"/>
      <c r="GC327" s="221"/>
      <c r="GD327" s="221"/>
      <c r="GE327" s="221"/>
      <c r="GF327" s="221"/>
      <c r="GG327" s="221"/>
      <c r="GH327" s="221"/>
      <c r="GI327" s="221"/>
      <c r="GJ327" s="221"/>
      <c r="GK327" s="221"/>
      <c r="GL327" s="221"/>
      <c r="GM327" s="221"/>
      <c r="GN327" s="221"/>
      <c r="GO327" s="221"/>
      <c r="GP327" s="221"/>
      <c r="GQ327" s="221"/>
      <c r="GR327" s="221"/>
      <c r="GS327" s="221"/>
      <c r="GT327" s="221"/>
      <c r="GU327" s="221"/>
      <c r="GV327" s="221"/>
      <c r="GW327" s="221"/>
      <c r="GX327" s="221"/>
      <c r="GY327" s="221"/>
      <c r="GZ327" s="221"/>
      <c r="HA327" s="221"/>
      <c r="HB327" s="221"/>
      <c r="HC327" s="221"/>
      <c r="HD327" s="221"/>
      <c r="HE327" s="221"/>
      <c r="HF327" s="221"/>
      <c r="HG327" s="221"/>
      <c r="HH327" s="221"/>
      <c r="HI327" s="221"/>
      <c r="HJ327" s="221"/>
      <c r="HK327" s="221"/>
      <c r="HL327" s="221"/>
      <c r="HM327" s="221"/>
      <c r="HN327" s="221"/>
      <c r="HO327" s="221"/>
      <c r="HP327" s="221"/>
      <c r="HQ327" s="221"/>
      <c r="HR327" s="221"/>
      <c r="HS327" s="221"/>
      <c r="HT327" s="221"/>
      <c r="HU327" s="221"/>
      <c r="HV327" s="221"/>
      <c r="HW327" s="221"/>
      <c r="HX327" s="221"/>
      <c r="HY327" s="221"/>
      <c r="HZ327" s="221"/>
      <c r="IA327" s="221"/>
      <c r="IB327" s="221"/>
      <c r="IC327" s="221"/>
      <c r="ID327" s="221"/>
      <c r="IE327" s="221"/>
      <c r="IF327" s="221"/>
      <c r="IG327" s="221"/>
      <c r="IH327" s="221"/>
      <c r="II327" s="221"/>
      <c r="IJ327" s="221"/>
      <c r="IK327" s="221"/>
      <c r="IL327" s="221"/>
      <c r="IM327" s="221"/>
      <c r="IN327" s="221"/>
      <c r="IO327" s="221"/>
      <c r="IP327" s="221"/>
      <c r="IQ327" s="221"/>
      <c r="IR327" s="221"/>
      <c r="IS327" s="221"/>
      <c r="IT327" s="221"/>
      <c r="IU327" s="221"/>
      <c r="IV327" s="221"/>
      <c r="IW327" s="221"/>
      <c r="IX327" s="221"/>
      <c r="IY327" s="221"/>
      <c r="IZ327" s="221"/>
      <c r="JA327" s="221"/>
      <c r="JB327" s="221"/>
      <c r="JC327" s="221"/>
      <c r="JD327" s="221"/>
      <c r="JE327" s="221"/>
      <c r="JF327" s="221"/>
      <c r="JG327" s="221"/>
      <c r="JH327" s="221"/>
      <c r="JI327" s="221"/>
      <c r="JJ327" s="221"/>
      <c r="JK327" s="221"/>
      <c r="JL327" s="221"/>
      <c r="JM327" s="221"/>
      <c r="JN327" s="221"/>
      <c r="JO327" s="221"/>
      <c r="JP327" s="221"/>
      <c r="JQ327" s="221"/>
    </row>
    <row r="328" spans="1:277" ht="20" customHeight="1" outlineLevel="1">
      <c r="A328" s="482"/>
      <c r="B328" s="439"/>
      <c r="C328" s="514"/>
      <c r="D328" s="514"/>
      <c r="E328" s="539"/>
      <c r="F328" s="530"/>
      <c r="G328" s="514"/>
      <c r="H328" s="530"/>
      <c r="I328" s="443"/>
      <c r="J328" s="837"/>
      <c r="K328" s="439"/>
      <c r="L328" s="514"/>
      <c r="M328" s="514"/>
      <c r="N328" s="514"/>
      <c r="O328" s="514"/>
      <c r="P328" s="516"/>
      <c r="Q328" s="629"/>
      <c r="R328" s="589"/>
      <c r="S328" s="590"/>
      <c r="T328" s="604"/>
      <c r="U328" s="596"/>
      <c r="V328" s="590"/>
      <c r="W328" s="604"/>
      <c r="X328" s="596"/>
      <c r="Y328" s="590"/>
      <c r="Z328" s="604"/>
      <c r="AA328" s="596"/>
      <c r="AB328" s="590"/>
      <c r="AC328" s="604"/>
      <c r="AD328" s="596"/>
      <c r="AE328" s="596"/>
      <c r="AF328" s="596"/>
      <c r="AG328" s="590"/>
      <c r="AH328" s="604"/>
      <c r="AI328" s="610"/>
      <c r="AJ328" s="610"/>
      <c r="AK328" s="629"/>
      <c r="AL328" s="531"/>
      <c r="AM328" s="448"/>
      <c r="AN328" s="612"/>
      <c r="AO328" s="440"/>
      <c r="AP328" s="37"/>
      <c r="AQ328" s="795"/>
      <c r="AR328" s="835"/>
      <c r="AS328" s="821"/>
      <c r="AT328" s="514"/>
      <c r="AU328" s="448"/>
      <c r="AV328" s="448"/>
      <c r="AW328" s="448"/>
      <c r="AX328" s="612"/>
      <c r="AY328" s="448"/>
      <c r="AZ328" s="612"/>
      <c r="BA328" s="256"/>
      <c r="BB328" s="41"/>
      <c r="BC328" s="448"/>
      <c r="BD328" s="448"/>
      <c r="BE328" s="448"/>
      <c r="BF328" s="448"/>
      <c r="BG328" s="448"/>
      <c r="BH328" s="221"/>
      <c r="BI328" s="221"/>
      <c r="BJ328" s="221"/>
      <c r="BK328" s="221"/>
      <c r="BL328" s="221"/>
      <c r="BM328" s="221"/>
      <c r="BN328" s="221"/>
      <c r="BO328" s="221"/>
      <c r="BP328" s="221"/>
      <c r="BQ328" s="221"/>
      <c r="BR328" s="221"/>
      <c r="BS328" s="221"/>
      <c r="BT328" s="221"/>
      <c r="BU328" s="221"/>
      <c r="BV328" s="221"/>
      <c r="BW328" s="221"/>
      <c r="BX328" s="221"/>
      <c r="BY328" s="221"/>
      <c r="BZ328" s="221"/>
      <c r="CA328" s="221"/>
      <c r="CB328" s="221"/>
      <c r="CC328" s="221"/>
      <c r="CD328" s="221"/>
      <c r="CE328" s="221"/>
      <c r="CF328" s="221"/>
      <c r="CG328" s="221"/>
      <c r="CH328" s="221"/>
      <c r="CI328" s="221"/>
      <c r="CJ328" s="221"/>
      <c r="CK328" s="221"/>
      <c r="CL328" s="221"/>
      <c r="CM328" s="221"/>
      <c r="CN328" s="221"/>
      <c r="CO328" s="221"/>
      <c r="CP328" s="221"/>
      <c r="CQ328" s="221"/>
      <c r="CR328" s="221"/>
      <c r="CS328" s="221"/>
      <c r="CT328" s="221"/>
      <c r="CU328" s="221"/>
      <c r="CV328" s="221"/>
      <c r="CW328" s="221"/>
      <c r="CX328" s="221"/>
      <c r="CY328" s="221"/>
      <c r="CZ328" s="221"/>
      <c r="DA328" s="221"/>
      <c r="DB328" s="221"/>
      <c r="DC328" s="221"/>
      <c r="DD328" s="221"/>
      <c r="DE328" s="221"/>
      <c r="DF328" s="221"/>
      <c r="DG328" s="221"/>
      <c r="DH328" s="221"/>
      <c r="DI328" s="221"/>
      <c r="DJ328" s="221"/>
      <c r="DK328" s="221"/>
      <c r="DL328" s="221"/>
      <c r="DM328" s="221"/>
      <c r="DN328" s="221"/>
      <c r="DO328" s="221"/>
      <c r="DP328" s="221"/>
      <c r="DQ328" s="221"/>
      <c r="DR328" s="221"/>
      <c r="DS328" s="221"/>
      <c r="DT328" s="221"/>
      <c r="DU328" s="221"/>
      <c r="DV328" s="221"/>
      <c r="DW328" s="221"/>
      <c r="DX328" s="221"/>
      <c r="DY328" s="221"/>
      <c r="DZ328" s="221"/>
      <c r="EA328" s="221"/>
      <c r="EB328" s="221"/>
      <c r="EC328" s="221"/>
      <c r="ED328" s="221"/>
      <c r="EE328" s="221"/>
      <c r="EF328" s="221"/>
      <c r="EG328" s="221"/>
      <c r="EH328" s="221"/>
      <c r="EI328" s="221"/>
      <c r="EJ328" s="221"/>
      <c r="EK328" s="221"/>
      <c r="EL328" s="221"/>
      <c r="EM328" s="221"/>
      <c r="EN328" s="221"/>
      <c r="EO328" s="221"/>
      <c r="EP328" s="221"/>
      <c r="EQ328" s="221"/>
      <c r="ER328" s="221"/>
      <c r="ES328" s="221"/>
      <c r="ET328" s="221"/>
      <c r="EU328" s="221"/>
      <c r="EV328" s="221"/>
      <c r="EW328" s="221"/>
      <c r="EX328" s="221"/>
      <c r="EY328" s="221"/>
      <c r="EZ328" s="221"/>
      <c r="FA328" s="221"/>
      <c r="FB328" s="221"/>
      <c r="FC328" s="221"/>
      <c r="FD328" s="221"/>
      <c r="FE328" s="221"/>
      <c r="FF328" s="221"/>
      <c r="FG328" s="221"/>
      <c r="FH328" s="221"/>
      <c r="FI328" s="221"/>
      <c r="FJ328" s="221"/>
      <c r="FK328" s="221"/>
      <c r="FL328" s="221"/>
      <c r="FM328" s="221"/>
      <c r="FN328" s="221"/>
      <c r="FO328" s="221"/>
      <c r="FP328" s="221"/>
      <c r="FQ328" s="221"/>
      <c r="FR328" s="221"/>
      <c r="FS328" s="221"/>
      <c r="FT328" s="221"/>
      <c r="FU328" s="221"/>
      <c r="FV328" s="221"/>
      <c r="FW328" s="221"/>
      <c r="FX328" s="221"/>
      <c r="FY328" s="221"/>
      <c r="FZ328" s="221"/>
      <c r="GA328" s="221"/>
      <c r="GB328" s="221"/>
      <c r="GC328" s="221"/>
      <c r="GD328" s="221"/>
      <c r="GE328" s="221"/>
      <c r="GF328" s="221"/>
      <c r="GG328" s="221"/>
      <c r="GH328" s="221"/>
      <c r="GI328" s="221"/>
      <c r="GJ328" s="221"/>
      <c r="GK328" s="221"/>
      <c r="GL328" s="221"/>
      <c r="GM328" s="221"/>
      <c r="GN328" s="221"/>
      <c r="GO328" s="221"/>
      <c r="GP328" s="221"/>
      <c r="GQ328" s="221"/>
      <c r="GR328" s="221"/>
      <c r="GS328" s="221"/>
      <c r="GT328" s="221"/>
      <c r="GU328" s="221"/>
      <c r="GV328" s="221"/>
      <c r="GW328" s="221"/>
      <c r="GX328" s="221"/>
      <c r="GY328" s="221"/>
      <c r="GZ328" s="221"/>
      <c r="HA328" s="221"/>
      <c r="HB328" s="221"/>
      <c r="HC328" s="221"/>
      <c r="HD328" s="221"/>
      <c r="HE328" s="221"/>
      <c r="HF328" s="221"/>
      <c r="HG328" s="221"/>
      <c r="HH328" s="221"/>
      <c r="HI328" s="221"/>
      <c r="HJ328" s="221"/>
      <c r="HK328" s="221"/>
      <c r="HL328" s="221"/>
      <c r="HM328" s="221"/>
      <c r="HN328" s="221"/>
      <c r="HO328" s="221"/>
      <c r="HP328" s="221"/>
      <c r="HQ328" s="221"/>
      <c r="HR328" s="221"/>
      <c r="HS328" s="221"/>
      <c r="HT328" s="221"/>
      <c r="HU328" s="221"/>
      <c r="HV328" s="221"/>
      <c r="HW328" s="221"/>
      <c r="HX328" s="221"/>
      <c r="HY328" s="221"/>
      <c r="HZ328" s="221"/>
      <c r="IA328" s="221"/>
      <c r="IB328" s="221"/>
      <c r="IC328" s="221"/>
      <c r="ID328" s="221"/>
      <c r="IE328" s="221"/>
      <c r="IF328" s="221"/>
      <c r="IG328" s="221"/>
      <c r="IH328" s="221"/>
      <c r="II328" s="221"/>
      <c r="IJ328" s="221"/>
      <c r="IK328" s="221"/>
      <c r="IL328" s="221"/>
      <c r="IM328" s="221"/>
      <c r="IN328" s="221"/>
      <c r="IO328" s="221"/>
      <c r="IP328" s="221"/>
      <c r="IQ328" s="221"/>
      <c r="IR328" s="221"/>
      <c r="IS328" s="221"/>
      <c r="IT328" s="221"/>
      <c r="IU328" s="221"/>
      <c r="IV328" s="221"/>
      <c r="IW328" s="221"/>
      <c r="IX328" s="221"/>
      <c r="IY328" s="221"/>
      <c r="IZ328" s="221"/>
      <c r="JA328" s="221"/>
      <c r="JB328" s="221"/>
      <c r="JC328" s="221"/>
      <c r="JD328" s="221"/>
      <c r="JE328" s="221"/>
      <c r="JF328" s="221"/>
      <c r="JG328" s="221"/>
      <c r="JH328" s="221"/>
      <c r="JI328" s="221"/>
      <c r="JJ328" s="221"/>
      <c r="JK328" s="221"/>
      <c r="JL328" s="221"/>
      <c r="JM328" s="221"/>
      <c r="JN328" s="221"/>
      <c r="JO328" s="221"/>
      <c r="JP328" s="221"/>
      <c r="JQ328" s="221"/>
    </row>
    <row r="329" spans="1:277" ht="20" customHeight="1" outlineLevel="1">
      <c r="A329" s="482"/>
      <c r="B329" s="439"/>
      <c r="C329" s="514"/>
      <c r="D329" s="514"/>
      <c r="E329" s="539"/>
      <c r="F329" s="531"/>
      <c r="G329" s="448"/>
      <c r="H329" s="531"/>
      <c r="I329" s="443"/>
      <c r="J329" s="837"/>
      <c r="K329" s="514"/>
      <c r="L329" s="448"/>
      <c r="M329" s="439"/>
      <c r="N329" s="448"/>
      <c r="O329" s="448"/>
      <c r="P329" s="801"/>
      <c r="Q329" s="629"/>
      <c r="R329" s="589"/>
      <c r="S329" s="590"/>
      <c r="T329" s="604"/>
      <c r="U329" s="596"/>
      <c r="V329" s="590"/>
      <c r="W329" s="604"/>
      <c r="X329" s="596"/>
      <c r="Y329" s="590"/>
      <c r="Z329" s="604"/>
      <c r="AA329" s="596"/>
      <c r="AB329" s="590"/>
      <c r="AC329" s="604"/>
      <c r="AD329" s="596"/>
      <c r="AE329" s="596"/>
      <c r="AF329" s="596"/>
      <c r="AG329" s="590"/>
      <c r="AH329" s="604"/>
      <c r="AI329" s="610"/>
      <c r="AJ329" s="610"/>
      <c r="AK329" s="629"/>
      <c r="AL329" s="531"/>
      <c r="AM329" s="448"/>
      <c r="AN329" s="612"/>
      <c r="AO329" s="444"/>
      <c r="AP329" s="37"/>
      <c r="AQ329" s="795"/>
      <c r="AR329" s="835"/>
      <c r="AS329" s="821"/>
      <c r="AT329" s="514"/>
      <c r="AU329" s="448"/>
      <c r="AV329" s="448"/>
      <c r="AW329" s="448"/>
      <c r="AX329" s="612"/>
      <c r="AY329" s="448"/>
      <c r="AZ329" s="612"/>
      <c r="BA329" s="256"/>
      <c r="BB329" s="41"/>
      <c r="BC329" s="448"/>
      <c r="BD329" s="448"/>
      <c r="BE329" s="448"/>
      <c r="BF329" s="448"/>
      <c r="BG329" s="448"/>
      <c r="BH329" s="221"/>
      <c r="BI329" s="221"/>
      <c r="BJ329" s="221"/>
      <c r="BK329" s="221"/>
      <c r="BL329" s="221"/>
      <c r="BM329" s="221"/>
      <c r="BN329" s="221"/>
      <c r="BO329" s="221"/>
      <c r="BP329" s="221"/>
      <c r="BQ329" s="221"/>
      <c r="BR329" s="221"/>
      <c r="BS329" s="221"/>
      <c r="BT329" s="221"/>
      <c r="BU329" s="221"/>
      <c r="BV329" s="221"/>
      <c r="BW329" s="221"/>
      <c r="BX329" s="221"/>
      <c r="BY329" s="221"/>
      <c r="BZ329" s="221"/>
      <c r="CA329" s="221"/>
      <c r="CB329" s="221"/>
      <c r="CC329" s="221"/>
      <c r="CD329" s="221"/>
      <c r="CE329" s="221"/>
      <c r="CF329" s="221"/>
      <c r="CG329" s="221"/>
      <c r="CH329" s="221"/>
      <c r="CI329" s="221"/>
      <c r="CJ329" s="221"/>
      <c r="CK329" s="221"/>
      <c r="CL329" s="221"/>
      <c r="CM329" s="221"/>
      <c r="CN329" s="221"/>
      <c r="CO329" s="221"/>
      <c r="CP329" s="221"/>
      <c r="CQ329" s="221"/>
      <c r="CR329" s="221"/>
      <c r="CS329" s="221"/>
      <c r="CT329" s="221"/>
      <c r="CU329" s="221"/>
      <c r="CV329" s="221"/>
      <c r="CW329" s="221"/>
      <c r="CX329" s="221"/>
      <c r="CY329" s="221"/>
      <c r="CZ329" s="221"/>
      <c r="DA329" s="221"/>
      <c r="DB329" s="221"/>
      <c r="DC329" s="221"/>
      <c r="DD329" s="221"/>
      <c r="DE329" s="221"/>
      <c r="DF329" s="221"/>
      <c r="DG329" s="221"/>
      <c r="DH329" s="221"/>
      <c r="DI329" s="221"/>
      <c r="DJ329" s="221"/>
      <c r="DK329" s="221"/>
      <c r="DL329" s="221"/>
      <c r="DM329" s="221"/>
      <c r="DN329" s="221"/>
      <c r="DO329" s="221"/>
      <c r="DP329" s="221"/>
      <c r="DQ329" s="221"/>
      <c r="DR329" s="221"/>
      <c r="DS329" s="221"/>
      <c r="DT329" s="221"/>
      <c r="DU329" s="221"/>
      <c r="DV329" s="221"/>
      <c r="DW329" s="221"/>
      <c r="DX329" s="221"/>
      <c r="DY329" s="221"/>
      <c r="DZ329" s="221"/>
      <c r="EA329" s="221"/>
      <c r="EB329" s="221"/>
      <c r="EC329" s="221"/>
      <c r="ED329" s="221"/>
      <c r="EE329" s="221"/>
      <c r="EF329" s="221"/>
      <c r="EG329" s="221"/>
      <c r="EH329" s="221"/>
      <c r="EI329" s="221"/>
      <c r="EJ329" s="221"/>
      <c r="EK329" s="221"/>
      <c r="EL329" s="221"/>
      <c r="EM329" s="221"/>
      <c r="EN329" s="221"/>
      <c r="EO329" s="221"/>
      <c r="EP329" s="221"/>
      <c r="EQ329" s="221"/>
      <c r="ER329" s="221"/>
      <c r="ES329" s="221"/>
      <c r="ET329" s="221"/>
      <c r="EU329" s="221"/>
      <c r="EV329" s="221"/>
      <c r="EW329" s="221"/>
      <c r="EX329" s="221"/>
      <c r="EY329" s="221"/>
      <c r="EZ329" s="221"/>
      <c r="FA329" s="221"/>
      <c r="FB329" s="221"/>
      <c r="FC329" s="221"/>
      <c r="FD329" s="221"/>
      <c r="FE329" s="221"/>
      <c r="FF329" s="221"/>
      <c r="FG329" s="221"/>
      <c r="FH329" s="221"/>
      <c r="FI329" s="221"/>
      <c r="FJ329" s="221"/>
      <c r="FK329" s="221"/>
      <c r="FL329" s="221"/>
      <c r="FM329" s="221"/>
      <c r="FN329" s="221"/>
      <c r="FO329" s="221"/>
      <c r="FP329" s="221"/>
      <c r="FQ329" s="221"/>
      <c r="FR329" s="221"/>
      <c r="FS329" s="221"/>
      <c r="FT329" s="221"/>
      <c r="FU329" s="221"/>
      <c r="FV329" s="221"/>
      <c r="FW329" s="221"/>
      <c r="FX329" s="221"/>
      <c r="FY329" s="221"/>
      <c r="FZ329" s="221"/>
      <c r="GA329" s="221"/>
      <c r="GB329" s="221"/>
      <c r="GC329" s="221"/>
      <c r="GD329" s="221"/>
      <c r="GE329" s="221"/>
      <c r="GF329" s="221"/>
      <c r="GG329" s="221"/>
      <c r="GH329" s="221"/>
      <c r="GI329" s="221"/>
      <c r="GJ329" s="221"/>
      <c r="GK329" s="221"/>
      <c r="GL329" s="221"/>
      <c r="GM329" s="221"/>
      <c r="GN329" s="221"/>
      <c r="GO329" s="221"/>
      <c r="GP329" s="221"/>
      <c r="GQ329" s="221"/>
      <c r="GR329" s="221"/>
      <c r="GS329" s="221"/>
      <c r="GT329" s="221"/>
      <c r="GU329" s="221"/>
      <c r="GV329" s="221"/>
      <c r="GW329" s="221"/>
      <c r="GX329" s="221"/>
      <c r="GY329" s="221"/>
      <c r="GZ329" s="221"/>
      <c r="HA329" s="221"/>
      <c r="HB329" s="221"/>
      <c r="HC329" s="221"/>
      <c r="HD329" s="221"/>
      <c r="HE329" s="221"/>
      <c r="HF329" s="221"/>
      <c r="HG329" s="221"/>
      <c r="HH329" s="221"/>
      <c r="HI329" s="221"/>
      <c r="HJ329" s="221"/>
      <c r="HK329" s="221"/>
      <c r="HL329" s="221"/>
      <c r="HM329" s="221"/>
      <c r="HN329" s="221"/>
      <c r="HO329" s="221"/>
      <c r="HP329" s="221"/>
      <c r="HQ329" s="221"/>
      <c r="HR329" s="221"/>
      <c r="HS329" s="221"/>
      <c r="HT329" s="221"/>
      <c r="HU329" s="221"/>
      <c r="HV329" s="221"/>
      <c r="HW329" s="221"/>
      <c r="HX329" s="221"/>
      <c r="HY329" s="221"/>
      <c r="HZ329" s="221"/>
      <c r="IA329" s="221"/>
      <c r="IB329" s="221"/>
      <c r="IC329" s="221"/>
      <c r="ID329" s="221"/>
      <c r="IE329" s="221"/>
      <c r="IF329" s="221"/>
      <c r="IG329" s="221"/>
      <c r="IH329" s="221"/>
      <c r="II329" s="221"/>
      <c r="IJ329" s="221"/>
      <c r="IK329" s="221"/>
      <c r="IL329" s="221"/>
      <c r="IM329" s="221"/>
      <c r="IN329" s="221"/>
      <c r="IO329" s="221"/>
      <c r="IP329" s="221"/>
      <c r="IQ329" s="221"/>
      <c r="IR329" s="221"/>
      <c r="IS329" s="221"/>
      <c r="IT329" s="221"/>
      <c r="IU329" s="221"/>
      <c r="IV329" s="221"/>
      <c r="IW329" s="221"/>
      <c r="IX329" s="221"/>
      <c r="IY329" s="221"/>
      <c r="IZ329" s="221"/>
      <c r="JA329" s="221"/>
      <c r="JB329" s="221"/>
      <c r="JC329" s="221"/>
      <c r="JD329" s="221"/>
      <c r="JE329" s="221"/>
      <c r="JF329" s="221"/>
      <c r="JG329" s="221"/>
      <c r="JH329" s="221"/>
      <c r="JI329" s="221"/>
      <c r="JJ329" s="221"/>
      <c r="JK329" s="221"/>
      <c r="JL329" s="221"/>
      <c r="JM329" s="221"/>
      <c r="JN329" s="221"/>
      <c r="JO329" s="221"/>
      <c r="JP329" s="221"/>
      <c r="JQ329" s="221"/>
    </row>
    <row r="330" spans="1:277" ht="20" customHeight="1" outlineLevel="1">
      <c r="A330" s="482"/>
      <c r="B330" s="439"/>
      <c r="C330" s="514"/>
      <c r="D330" s="514"/>
      <c r="E330" s="539"/>
      <c r="F330" s="531"/>
      <c r="G330" s="448"/>
      <c r="H330" s="531"/>
      <c r="I330" s="443"/>
      <c r="J330" s="837"/>
      <c r="K330" s="514"/>
      <c r="L330" s="448"/>
      <c r="M330" s="439"/>
      <c r="N330" s="448"/>
      <c r="O330" s="448"/>
      <c r="P330" s="801"/>
      <c r="Q330" s="629"/>
      <c r="R330" s="589"/>
      <c r="S330" s="590"/>
      <c r="T330" s="604"/>
      <c r="U330" s="596"/>
      <c r="V330" s="590"/>
      <c r="W330" s="604"/>
      <c r="X330" s="596"/>
      <c r="Y330" s="590"/>
      <c r="Z330" s="604"/>
      <c r="AA330" s="596"/>
      <c r="AB330" s="590"/>
      <c r="AC330" s="604"/>
      <c r="AD330" s="596"/>
      <c r="AE330" s="596"/>
      <c r="AF330" s="596"/>
      <c r="AG330" s="590"/>
      <c r="AH330" s="604"/>
      <c r="AI330" s="610"/>
      <c r="AJ330" s="610"/>
      <c r="AK330" s="629"/>
      <c r="AL330" s="531"/>
      <c r="AM330" s="448"/>
      <c r="AN330" s="612"/>
      <c r="AO330" s="444"/>
      <c r="AP330" s="37"/>
      <c r="AQ330" s="795"/>
      <c r="AR330" s="835"/>
      <c r="AS330" s="821"/>
      <c r="AT330" s="514"/>
      <c r="AU330" s="448"/>
      <c r="AV330" s="448"/>
      <c r="AW330" s="448"/>
      <c r="AX330" s="612"/>
      <c r="AY330" s="448"/>
      <c r="AZ330" s="612"/>
      <c r="BA330" s="256"/>
      <c r="BB330" s="41"/>
      <c r="BC330" s="448"/>
      <c r="BD330" s="448"/>
      <c r="BE330" s="448"/>
      <c r="BF330" s="448"/>
      <c r="BG330" s="448"/>
      <c r="BH330" s="221"/>
      <c r="BI330" s="221"/>
      <c r="BJ330" s="221"/>
      <c r="BK330" s="221"/>
      <c r="BL330" s="221"/>
      <c r="BM330" s="221"/>
      <c r="BN330" s="221"/>
      <c r="BO330" s="221"/>
      <c r="BP330" s="221"/>
      <c r="BQ330" s="221"/>
      <c r="BR330" s="221"/>
      <c r="BS330" s="221"/>
      <c r="BT330" s="221"/>
      <c r="BU330" s="221"/>
      <c r="BV330" s="221"/>
      <c r="BW330" s="221"/>
      <c r="BX330" s="221"/>
      <c r="BY330" s="221"/>
      <c r="BZ330" s="221"/>
      <c r="CA330" s="221"/>
      <c r="CB330" s="221"/>
      <c r="CC330" s="221"/>
      <c r="CD330" s="221"/>
      <c r="CE330" s="221"/>
      <c r="CF330" s="221"/>
      <c r="CG330" s="221"/>
      <c r="CH330" s="221"/>
      <c r="CI330" s="221"/>
      <c r="CJ330" s="221"/>
      <c r="CK330" s="221"/>
      <c r="CL330" s="221"/>
      <c r="CM330" s="221"/>
      <c r="CN330" s="221"/>
      <c r="CO330" s="221"/>
      <c r="CP330" s="221"/>
      <c r="CQ330" s="221"/>
      <c r="CR330" s="221"/>
      <c r="CS330" s="221"/>
      <c r="CT330" s="221"/>
      <c r="CU330" s="221"/>
      <c r="CV330" s="221"/>
      <c r="CW330" s="221"/>
      <c r="CX330" s="221"/>
      <c r="CY330" s="221"/>
      <c r="CZ330" s="221"/>
      <c r="DA330" s="221"/>
      <c r="DB330" s="221"/>
      <c r="DC330" s="221"/>
      <c r="DD330" s="221"/>
      <c r="DE330" s="221"/>
      <c r="DF330" s="221"/>
      <c r="DG330" s="221"/>
      <c r="DH330" s="221"/>
      <c r="DI330" s="221"/>
      <c r="DJ330" s="221"/>
      <c r="DK330" s="221"/>
      <c r="DL330" s="221"/>
      <c r="DM330" s="221"/>
      <c r="DN330" s="221"/>
      <c r="DO330" s="221"/>
      <c r="DP330" s="221"/>
      <c r="DQ330" s="221"/>
      <c r="DR330" s="221"/>
      <c r="DS330" s="221"/>
      <c r="DT330" s="221"/>
      <c r="DU330" s="221"/>
      <c r="DV330" s="221"/>
      <c r="DW330" s="221"/>
      <c r="DX330" s="221"/>
      <c r="DY330" s="221"/>
      <c r="DZ330" s="221"/>
      <c r="EA330" s="221"/>
      <c r="EB330" s="221"/>
      <c r="EC330" s="221"/>
      <c r="ED330" s="221"/>
      <c r="EE330" s="221"/>
      <c r="EF330" s="221"/>
      <c r="EG330" s="221"/>
      <c r="EH330" s="221"/>
      <c r="EI330" s="221"/>
      <c r="EJ330" s="221"/>
      <c r="EK330" s="221"/>
      <c r="EL330" s="221"/>
      <c r="EM330" s="221"/>
      <c r="EN330" s="221"/>
      <c r="EO330" s="221"/>
      <c r="EP330" s="221"/>
      <c r="EQ330" s="221"/>
      <c r="ER330" s="221"/>
      <c r="ES330" s="221"/>
      <c r="ET330" s="221"/>
      <c r="EU330" s="221"/>
      <c r="EV330" s="221"/>
      <c r="EW330" s="221"/>
      <c r="EX330" s="221"/>
      <c r="EY330" s="221"/>
      <c r="EZ330" s="221"/>
      <c r="FA330" s="221"/>
      <c r="FB330" s="221"/>
      <c r="FC330" s="221"/>
      <c r="FD330" s="221"/>
      <c r="FE330" s="221"/>
      <c r="FF330" s="221"/>
      <c r="FG330" s="221"/>
      <c r="FH330" s="221"/>
      <c r="FI330" s="221"/>
      <c r="FJ330" s="221"/>
      <c r="FK330" s="221"/>
      <c r="FL330" s="221"/>
      <c r="FM330" s="221"/>
      <c r="FN330" s="221"/>
      <c r="FO330" s="221"/>
      <c r="FP330" s="221"/>
      <c r="FQ330" s="221"/>
      <c r="FR330" s="221"/>
      <c r="FS330" s="221"/>
      <c r="FT330" s="221"/>
      <c r="FU330" s="221"/>
      <c r="FV330" s="221"/>
      <c r="FW330" s="221"/>
      <c r="FX330" s="221"/>
      <c r="FY330" s="221"/>
      <c r="FZ330" s="221"/>
      <c r="GA330" s="221"/>
      <c r="GB330" s="221"/>
      <c r="GC330" s="221"/>
      <c r="GD330" s="221"/>
      <c r="GE330" s="221"/>
      <c r="GF330" s="221"/>
      <c r="GG330" s="221"/>
      <c r="GH330" s="221"/>
      <c r="GI330" s="221"/>
      <c r="GJ330" s="221"/>
      <c r="GK330" s="221"/>
      <c r="GL330" s="221"/>
      <c r="GM330" s="221"/>
      <c r="GN330" s="221"/>
      <c r="GO330" s="221"/>
      <c r="GP330" s="221"/>
      <c r="GQ330" s="221"/>
      <c r="GR330" s="221"/>
      <c r="GS330" s="221"/>
      <c r="GT330" s="221"/>
      <c r="GU330" s="221"/>
      <c r="GV330" s="221"/>
      <c r="GW330" s="221"/>
      <c r="GX330" s="221"/>
      <c r="GY330" s="221"/>
      <c r="GZ330" s="221"/>
      <c r="HA330" s="221"/>
      <c r="HB330" s="221"/>
      <c r="HC330" s="221"/>
      <c r="HD330" s="221"/>
      <c r="HE330" s="221"/>
      <c r="HF330" s="221"/>
      <c r="HG330" s="221"/>
      <c r="HH330" s="221"/>
      <c r="HI330" s="221"/>
      <c r="HJ330" s="221"/>
      <c r="HK330" s="221"/>
      <c r="HL330" s="221"/>
      <c r="HM330" s="221"/>
      <c r="HN330" s="221"/>
      <c r="HO330" s="221"/>
      <c r="HP330" s="221"/>
      <c r="HQ330" s="221"/>
      <c r="HR330" s="221"/>
      <c r="HS330" s="221"/>
      <c r="HT330" s="221"/>
      <c r="HU330" s="221"/>
      <c r="HV330" s="221"/>
      <c r="HW330" s="221"/>
      <c r="HX330" s="221"/>
      <c r="HY330" s="221"/>
      <c r="HZ330" s="221"/>
      <c r="IA330" s="221"/>
      <c r="IB330" s="221"/>
      <c r="IC330" s="221"/>
      <c r="ID330" s="221"/>
      <c r="IE330" s="221"/>
      <c r="IF330" s="221"/>
      <c r="IG330" s="221"/>
      <c r="IH330" s="221"/>
      <c r="II330" s="221"/>
      <c r="IJ330" s="221"/>
      <c r="IK330" s="221"/>
      <c r="IL330" s="221"/>
      <c r="IM330" s="221"/>
      <c r="IN330" s="221"/>
      <c r="IO330" s="221"/>
      <c r="IP330" s="221"/>
      <c r="IQ330" s="221"/>
      <c r="IR330" s="221"/>
      <c r="IS330" s="221"/>
      <c r="IT330" s="221"/>
      <c r="IU330" s="221"/>
      <c r="IV330" s="221"/>
      <c r="IW330" s="221"/>
      <c r="IX330" s="221"/>
      <c r="IY330" s="221"/>
      <c r="IZ330" s="221"/>
      <c r="JA330" s="221"/>
      <c r="JB330" s="221"/>
      <c r="JC330" s="221"/>
      <c r="JD330" s="221"/>
      <c r="JE330" s="221"/>
      <c r="JF330" s="221"/>
      <c r="JG330" s="221"/>
      <c r="JH330" s="221"/>
      <c r="JI330" s="221"/>
      <c r="JJ330" s="221"/>
      <c r="JK330" s="221"/>
      <c r="JL330" s="221"/>
      <c r="JM330" s="221"/>
      <c r="JN330" s="221"/>
      <c r="JO330" s="221"/>
      <c r="JP330" s="221"/>
      <c r="JQ330" s="221"/>
    </row>
    <row r="331" spans="1:277" ht="20" customHeight="1" outlineLevel="1" thickBot="1">
      <c r="A331" s="482"/>
      <c r="B331" s="439"/>
      <c r="C331" s="514"/>
      <c r="D331" s="514"/>
      <c r="E331" s="539"/>
      <c r="F331" s="531"/>
      <c r="G331" s="448"/>
      <c r="H331" s="531"/>
      <c r="I331" s="443"/>
      <c r="J331" s="837"/>
      <c r="K331" s="514"/>
      <c r="L331" s="448"/>
      <c r="M331" s="439"/>
      <c r="N331" s="448"/>
      <c r="O331" s="448"/>
      <c r="P331" s="801"/>
      <c r="Q331" s="629"/>
      <c r="R331" s="589"/>
      <c r="S331" s="590"/>
      <c r="T331" s="604"/>
      <c r="U331" s="596"/>
      <c r="V331" s="590"/>
      <c r="W331" s="604"/>
      <c r="X331" s="596"/>
      <c r="Y331" s="590"/>
      <c r="Z331" s="604"/>
      <c r="AA331" s="596"/>
      <c r="AB331" s="590"/>
      <c r="AC331" s="604"/>
      <c r="AD331" s="596"/>
      <c r="AE331" s="596"/>
      <c r="AF331" s="596"/>
      <c r="AG331" s="590"/>
      <c r="AH331" s="604"/>
      <c r="AI331" s="610"/>
      <c r="AJ331" s="610"/>
      <c r="AK331" s="629"/>
      <c r="AL331" s="531"/>
      <c r="AM331" s="448"/>
      <c r="AN331" s="612"/>
      <c r="AO331" s="444"/>
      <c r="AP331" s="37"/>
      <c r="AQ331" s="795"/>
      <c r="AR331" s="835"/>
      <c r="AS331" s="821"/>
      <c r="AT331" s="514"/>
      <c r="AU331" s="448"/>
      <c r="AV331" s="448"/>
      <c r="AW331" s="448"/>
      <c r="AX331" s="612"/>
      <c r="AY331" s="448"/>
      <c r="AZ331" s="612"/>
      <c r="BA331" s="256"/>
      <c r="BB331" s="41"/>
      <c r="BC331" s="448"/>
      <c r="BD331" s="448"/>
      <c r="BE331" s="448"/>
      <c r="BF331" s="448"/>
      <c r="BG331" s="448"/>
      <c r="BH331" s="221"/>
      <c r="BI331" s="221"/>
      <c r="BJ331" s="221"/>
      <c r="BK331" s="221"/>
      <c r="BL331" s="221"/>
      <c r="BM331" s="221"/>
      <c r="BN331" s="221"/>
      <c r="BO331" s="221"/>
      <c r="BP331" s="221"/>
      <c r="BQ331" s="221"/>
      <c r="BR331" s="221"/>
      <c r="BS331" s="221"/>
      <c r="BT331" s="221"/>
      <c r="BU331" s="221"/>
      <c r="BV331" s="221"/>
      <c r="BW331" s="221"/>
      <c r="BX331" s="221"/>
      <c r="BY331" s="221"/>
      <c r="BZ331" s="221"/>
      <c r="CA331" s="221"/>
      <c r="CB331" s="221"/>
      <c r="CC331" s="221"/>
      <c r="CD331" s="221"/>
      <c r="CE331" s="221"/>
      <c r="CF331" s="221"/>
      <c r="CG331" s="221"/>
      <c r="CH331" s="221"/>
      <c r="CI331" s="221"/>
      <c r="CJ331" s="221"/>
      <c r="CK331" s="221"/>
      <c r="CL331" s="221"/>
      <c r="CM331" s="221"/>
      <c r="CN331" s="221"/>
      <c r="CO331" s="221"/>
      <c r="CP331" s="221"/>
      <c r="CQ331" s="221"/>
      <c r="CR331" s="221"/>
      <c r="CS331" s="221"/>
      <c r="CT331" s="221"/>
      <c r="CU331" s="221"/>
      <c r="CV331" s="221"/>
      <c r="CW331" s="221"/>
      <c r="CX331" s="221"/>
      <c r="CY331" s="221"/>
      <c r="CZ331" s="221"/>
      <c r="DA331" s="221"/>
      <c r="DB331" s="221"/>
      <c r="DC331" s="221"/>
      <c r="DD331" s="221"/>
      <c r="DE331" s="221"/>
      <c r="DF331" s="221"/>
      <c r="DG331" s="221"/>
      <c r="DH331" s="221"/>
      <c r="DI331" s="221"/>
      <c r="DJ331" s="221"/>
      <c r="DK331" s="221"/>
      <c r="DL331" s="221"/>
      <c r="DM331" s="221"/>
      <c r="DN331" s="221"/>
      <c r="DO331" s="221"/>
      <c r="DP331" s="221"/>
      <c r="DQ331" s="221"/>
      <c r="DR331" s="221"/>
      <c r="DS331" s="221"/>
      <c r="DT331" s="221"/>
      <c r="DU331" s="221"/>
      <c r="DV331" s="221"/>
      <c r="DW331" s="221"/>
      <c r="DX331" s="221"/>
      <c r="DY331" s="221"/>
      <c r="DZ331" s="221"/>
      <c r="EA331" s="221"/>
      <c r="EB331" s="221"/>
      <c r="EC331" s="221"/>
      <c r="ED331" s="221"/>
      <c r="EE331" s="221"/>
      <c r="EF331" s="221"/>
      <c r="EG331" s="221"/>
      <c r="EH331" s="221"/>
      <c r="EI331" s="221"/>
      <c r="EJ331" s="221"/>
      <c r="EK331" s="221"/>
      <c r="EL331" s="221"/>
      <c r="EM331" s="221"/>
      <c r="EN331" s="221"/>
      <c r="EO331" s="221"/>
      <c r="EP331" s="221"/>
      <c r="EQ331" s="221"/>
      <c r="ER331" s="221"/>
      <c r="ES331" s="221"/>
      <c r="ET331" s="221"/>
      <c r="EU331" s="221"/>
      <c r="EV331" s="221"/>
      <c r="EW331" s="221"/>
      <c r="EX331" s="221"/>
      <c r="EY331" s="221"/>
      <c r="EZ331" s="221"/>
      <c r="FA331" s="221"/>
      <c r="FB331" s="221"/>
      <c r="FC331" s="221"/>
      <c r="FD331" s="221"/>
      <c r="FE331" s="221"/>
      <c r="FF331" s="221"/>
      <c r="FG331" s="221"/>
      <c r="FH331" s="221"/>
      <c r="FI331" s="221"/>
      <c r="FJ331" s="221"/>
      <c r="FK331" s="221"/>
      <c r="FL331" s="221"/>
      <c r="FM331" s="221"/>
      <c r="FN331" s="221"/>
      <c r="FO331" s="221"/>
      <c r="FP331" s="221"/>
      <c r="FQ331" s="221"/>
      <c r="FR331" s="221"/>
      <c r="FS331" s="221"/>
      <c r="FT331" s="221"/>
      <c r="FU331" s="221"/>
      <c r="FV331" s="221"/>
      <c r="FW331" s="221"/>
      <c r="FX331" s="221"/>
      <c r="FY331" s="221"/>
      <c r="FZ331" s="221"/>
      <c r="GA331" s="221"/>
      <c r="GB331" s="221"/>
      <c r="GC331" s="221"/>
      <c r="GD331" s="221"/>
      <c r="GE331" s="221"/>
      <c r="GF331" s="221"/>
      <c r="GG331" s="221"/>
      <c r="GH331" s="221"/>
      <c r="GI331" s="221"/>
      <c r="GJ331" s="221"/>
      <c r="GK331" s="221"/>
      <c r="GL331" s="221"/>
      <c r="GM331" s="221"/>
      <c r="GN331" s="221"/>
      <c r="GO331" s="221"/>
      <c r="GP331" s="221"/>
      <c r="GQ331" s="221"/>
      <c r="GR331" s="221"/>
      <c r="GS331" s="221"/>
      <c r="GT331" s="221"/>
      <c r="GU331" s="221"/>
      <c r="GV331" s="221"/>
      <c r="GW331" s="221"/>
      <c r="GX331" s="221"/>
      <c r="GY331" s="221"/>
      <c r="GZ331" s="221"/>
      <c r="HA331" s="221"/>
      <c r="HB331" s="221"/>
      <c r="HC331" s="221"/>
      <c r="HD331" s="221"/>
      <c r="HE331" s="221"/>
      <c r="HF331" s="221"/>
      <c r="HG331" s="221"/>
      <c r="HH331" s="221"/>
      <c r="HI331" s="221"/>
      <c r="HJ331" s="221"/>
      <c r="HK331" s="221"/>
      <c r="HL331" s="221"/>
      <c r="HM331" s="221"/>
      <c r="HN331" s="221"/>
      <c r="HO331" s="221"/>
      <c r="HP331" s="221"/>
      <c r="HQ331" s="221"/>
      <c r="HR331" s="221"/>
      <c r="HS331" s="221"/>
      <c r="HT331" s="221"/>
      <c r="HU331" s="221"/>
      <c r="HV331" s="221"/>
      <c r="HW331" s="221"/>
      <c r="HX331" s="221"/>
      <c r="HY331" s="221"/>
      <c r="HZ331" s="221"/>
      <c r="IA331" s="221"/>
      <c r="IB331" s="221"/>
      <c r="IC331" s="221"/>
      <c r="ID331" s="221"/>
      <c r="IE331" s="221"/>
      <c r="IF331" s="221"/>
      <c r="IG331" s="221"/>
      <c r="IH331" s="221"/>
      <c r="II331" s="221"/>
      <c r="IJ331" s="221"/>
      <c r="IK331" s="221"/>
      <c r="IL331" s="221"/>
      <c r="IM331" s="221"/>
      <c r="IN331" s="221"/>
      <c r="IO331" s="221"/>
      <c r="IP331" s="221"/>
      <c r="IQ331" s="221"/>
      <c r="IR331" s="221"/>
      <c r="IS331" s="221"/>
      <c r="IT331" s="221"/>
      <c r="IU331" s="221"/>
      <c r="IV331" s="221"/>
      <c r="IW331" s="221"/>
      <c r="IX331" s="221"/>
      <c r="IY331" s="221"/>
      <c r="IZ331" s="221"/>
      <c r="JA331" s="221"/>
      <c r="JB331" s="221"/>
      <c r="JC331" s="221"/>
      <c r="JD331" s="221"/>
      <c r="JE331" s="221"/>
      <c r="JF331" s="221"/>
      <c r="JG331" s="221"/>
      <c r="JH331" s="221"/>
      <c r="JI331" s="221"/>
      <c r="JJ331" s="221"/>
      <c r="JK331" s="221"/>
      <c r="JL331" s="221"/>
      <c r="JM331" s="221"/>
      <c r="JN331" s="221"/>
      <c r="JO331" s="221"/>
      <c r="JP331" s="221"/>
      <c r="JQ331" s="221"/>
    </row>
    <row r="332" spans="1:277" s="654" customFormat="1" ht="19" customHeight="1" thickBot="1">
      <c r="A332" s="630" t="s">
        <v>2155</v>
      </c>
      <c r="B332" s="631" t="s">
        <v>1844</v>
      </c>
      <c r="C332" s="632">
        <f>AP332-AN332-(AX332-AZ332)</f>
        <v>3203.3399999999997</v>
      </c>
      <c r="D332" s="633" t="s">
        <v>2025</v>
      </c>
      <c r="E332" s="634">
        <f>R332+U332+Y332+AA332+AD332+AE332+AF332+AJ332</f>
        <v>43</v>
      </c>
      <c r="F332" s="635"/>
      <c r="G332" s="636"/>
      <c r="H332" s="636"/>
      <c r="I332" s="637"/>
      <c r="J332" s="638"/>
      <c r="K332" s="633"/>
      <c r="L332" s="639"/>
      <c r="M332" s="640"/>
      <c r="N332" s="641"/>
      <c r="O332" s="641"/>
      <c r="P332" s="642"/>
      <c r="Q332" s="643"/>
      <c r="R332" s="678">
        <f t="shared" ref="R332:AJ332" si="34">SUM(R301:R331)</f>
        <v>13</v>
      </c>
      <c r="S332" s="678">
        <f t="shared" si="34"/>
        <v>0</v>
      </c>
      <c r="T332" s="678">
        <f t="shared" si="34"/>
        <v>3</v>
      </c>
      <c r="U332" s="678">
        <f t="shared" si="34"/>
        <v>6</v>
      </c>
      <c r="V332" s="678">
        <f t="shared" si="34"/>
        <v>0</v>
      </c>
      <c r="W332" s="678">
        <f t="shared" si="34"/>
        <v>0</v>
      </c>
      <c r="X332" s="678">
        <f t="shared" si="34"/>
        <v>6</v>
      </c>
      <c r="Y332" s="678">
        <f t="shared" si="34"/>
        <v>0</v>
      </c>
      <c r="Z332" s="678">
        <f t="shared" si="34"/>
        <v>8</v>
      </c>
      <c r="AA332" s="678">
        <f t="shared" si="34"/>
        <v>2</v>
      </c>
      <c r="AB332" s="678">
        <f t="shared" si="34"/>
        <v>0</v>
      </c>
      <c r="AC332" s="678">
        <f t="shared" si="34"/>
        <v>8</v>
      </c>
      <c r="AD332" s="678">
        <f t="shared" si="34"/>
        <v>5</v>
      </c>
      <c r="AE332" s="678">
        <f t="shared" si="34"/>
        <v>13</v>
      </c>
      <c r="AF332" s="678">
        <f t="shared" si="34"/>
        <v>4</v>
      </c>
      <c r="AG332" s="678">
        <f t="shared" si="34"/>
        <v>7</v>
      </c>
      <c r="AH332" s="678">
        <f t="shared" si="34"/>
        <v>26</v>
      </c>
      <c r="AI332" s="678">
        <f t="shared" si="34"/>
        <v>0</v>
      </c>
      <c r="AJ332" s="678">
        <f t="shared" si="34"/>
        <v>0</v>
      </c>
      <c r="AK332" s="678">
        <f>SUM(AK261:AK331)</f>
        <v>0</v>
      </c>
      <c r="AL332" s="644"/>
      <c r="AM332" s="645"/>
      <c r="AN332" s="646">
        <f>SUM(AN301:AN331)</f>
        <v>642.52</v>
      </c>
      <c r="AO332" s="645"/>
      <c r="AP332" s="648">
        <f>SUM(AP301:AP331)</f>
        <v>3806.2799999999997</v>
      </c>
      <c r="AQ332" s="810">
        <f>SUM(AQ301:AQ331)</f>
        <v>3083.66</v>
      </c>
      <c r="AR332" s="834"/>
      <c r="AS332" s="823"/>
      <c r="AT332" s="645" t="s">
        <v>1845</v>
      </c>
      <c r="AU332" s="647"/>
      <c r="AV332" s="648">
        <f>AX332-AZ332</f>
        <v>-39.58</v>
      </c>
      <c r="AW332" s="649"/>
      <c r="AX332" s="646">
        <f>SUM(AX301:AX331)</f>
        <v>55</v>
      </c>
      <c r="AY332" s="647"/>
      <c r="AZ332" s="646">
        <f>SUM(AZ301:AZ331)</f>
        <v>94.58</v>
      </c>
      <c r="BA332" s="650" t="s">
        <v>1867</v>
      </c>
      <c r="BB332" s="651">
        <f>SUM(BB301:BB331)</f>
        <v>0</v>
      </c>
      <c r="BC332" s="646"/>
      <c r="BD332" s="646"/>
      <c r="BE332" s="646"/>
      <c r="BF332" s="646"/>
      <c r="BG332" s="652"/>
      <c r="BH332" s="653"/>
      <c r="BI332" s="653"/>
      <c r="BJ332" s="653"/>
      <c r="BK332" s="653"/>
      <c r="BL332" s="653"/>
      <c r="BM332" s="653"/>
      <c r="BN332" s="653"/>
      <c r="BO332" s="653"/>
      <c r="BP332" s="653"/>
      <c r="BQ332" s="653"/>
      <c r="BR332" s="653"/>
      <c r="BS332" s="653"/>
      <c r="BT332" s="653"/>
      <c r="BU332" s="653"/>
      <c r="BV332" s="653"/>
      <c r="BW332" s="653"/>
      <c r="BX332" s="653"/>
      <c r="BY332" s="653"/>
      <c r="BZ332" s="653"/>
      <c r="CA332" s="653"/>
      <c r="CB332" s="653"/>
      <c r="CC332" s="653"/>
      <c r="CD332" s="653"/>
      <c r="CE332" s="653"/>
      <c r="CF332" s="653"/>
      <c r="CG332" s="653"/>
      <c r="CH332" s="653"/>
      <c r="CI332" s="653"/>
      <c r="CJ332" s="653"/>
      <c r="CK332" s="653"/>
      <c r="CL332" s="653"/>
      <c r="CM332" s="653"/>
      <c r="CN332" s="653"/>
      <c r="CO332" s="653"/>
      <c r="CP332" s="653"/>
      <c r="CQ332" s="653"/>
      <c r="CR332" s="653"/>
      <c r="CS332" s="653"/>
      <c r="CT332" s="653"/>
      <c r="CU332" s="653"/>
      <c r="CV332" s="653"/>
      <c r="CW332" s="653"/>
      <c r="CX332" s="653"/>
      <c r="CY332" s="653"/>
      <c r="CZ332" s="653"/>
      <c r="DA332" s="653"/>
      <c r="DB332" s="653"/>
      <c r="DC332" s="653"/>
      <c r="DD332" s="653"/>
      <c r="DE332" s="653"/>
      <c r="DF332" s="653"/>
      <c r="DG332" s="653"/>
      <c r="DH332" s="653"/>
      <c r="DI332" s="653"/>
      <c r="DJ332" s="653"/>
      <c r="DK332" s="653"/>
      <c r="DL332" s="653"/>
      <c r="DM332" s="653"/>
      <c r="DN332" s="653"/>
      <c r="DO332" s="653"/>
      <c r="DP332" s="653"/>
      <c r="DQ332" s="653"/>
      <c r="DR332" s="653"/>
      <c r="DS332" s="653"/>
      <c r="DT332" s="653"/>
      <c r="DU332" s="653"/>
      <c r="DV332" s="653"/>
      <c r="DW332" s="653"/>
      <c r="DX332" s="653"/>
      <c r="DY332" s="653"/>
      <c r="DZ332" s="653"/>
      <c r="EA332" s="653"/>
      <c r="EB332" s="653"/>
      <c r="EC332" s="653"/>
      <c r="ED332" s="653"/>
      <c r="EE332" s="653"/>
      <c r="EF332" s="653"/>
      <c r="EG332" s="653"/>
      <c r="EH332" s="653"/>
      <c r="EI332" s="653"/>
      <c r="EJ332" s="653"/>
      <c r="EK332" s="653"/>
      <c r="EL332" s="653"/>
      <c r="EM332" s="653"/>
      <c r="EN332" s="653"/>
      <c r="EO332" s="653"/>
      <c r="EP332" s="653"/>
      <c r="EQ332" s="653"/>
      <c r="ER332" s="653"/>
      <c r="ES332" s="653"/>
      <c r="ET332" s="653"/>
      <c r="EU332" s="653"/>
      <c r="EV332" s="653"/>
      <c r="EW332" s="653"/>
      <c r="EX332" s="653"/>
      <c r="EY332" s="653"/>
      <c r="EZ332" s="653"/>
      <c r="FA332" s="653"/>
      <c r="FB332" s="653"/>
      <c r="FC332" s="653"/>
      <c r="FD332" s="653"/>
      <c r="FE332" s="653"/>
      <c r="FF332" s="653"/>
      <c r="FG332" s="653"/>
      <c r="FH332" s="653"/>
      <c r="FI332" s="653"/>
      <c r="FJ332" s="653"/>
      <c r="FK332" s="653"/>
      <c r="FL332" s="653"/>
      <c r="FM332" s="653"/>
      <c r="FN332" s="653"/>
      <c r="FO332" s="653"/>
      <c r="FP332" s="653"/>
      <c r="FQ332" s="653"/>
      <c r="FR332" s="653"/>
      <c r="FS332" s="653"/>
      <c r="FT332" s="653"/>
      <c r="FU332" s="653"/>
      <c r="FV332" s="653"/>
      <c r="FW332" s="653"/>
      <c r="FX332" s="653"/>
      <c r="FY332" s="653"/>
      <c r="FZ332" s="653"/>
      <c r="GA332" s="653"/>
      <c r="GB332" s="653"/>
      <c r="GC332" s="653"/>
      <c r="GD332" s="653"/>
      <c r="GE332" s="653"/>
      <c r="GF332" s="653"/>
      <c r="GG332" s="653"/>
      <c r="GH332" s="653"/>
      <c r="GI332" s="653"/>
      <c r="GJ332" s="653"/>
      <c r="GK332" s="653"/>
      <c r="GL332" s="653"/>
      <c r="GM332" s="653"/>
      <c r="GN332" s="653"/>
      <c r="GO332" s="653"/>
      <c r="GP332" s="653"/>
      <c r="GQ332" s="653"/>
      <c r="GR332" s="653"/>
      <c r="GS332" s="653"/>
      <c r="GT332" s="653"/>
      <c r="GU332" s="653"/>
      <c r="GV332" s="653"/>
      <c r="GW332" s="653"/>
      <c r="GX332" s="653"/>
      <c r="GY332" s="653"/>
      <c r="GZ332" s="653"/>
      <c r="HA332" s="653"/>
      <c r="HB332" s="653"/>
      <c r="HC332" s="653"/>
      <c r="HD332" s="653"/>
      <c r="HE332" s="653"/>
      <c r="HF332" s="653"/>
      <c r="HG332" s="653"/>
      <c r="HH332" s="653"/>
      <c r="HI332" s="653"/>
      <c r="HJ332" s="653"/>
      <c r="HK332" s="653"/>
      <c r="HL332" s="653"/>
      <c r="HM332" s="653"/>
      <c r="HN332" s="653"/>
      <c r="HO332" s="653"/>
      <c r="HP332" s="653"/>
      <c r="HQ332" s="653"/>
      <c r="HR332" s="653"/>
      <c r="HS332" s="653"/>
      <c r="HT332" s="653"/>
      <c r="HU332" s="653"/>
      <c r="HV332" s="653"/>
      <c r="HW332" s="653"/>
      <c r="HX332" s="653"/>
      <c r="HY332" s="653"/>
      <c r="HZ332" s="653"/>
      <c r="IA332" s="653"/>
      <c r="IB332" s="653"/>
      <c r="IC332" s="653"/>
      <c r="ID332" s="653"/>
      <c r="IE332" s="653"/>
      <c r="IF332" s="653"/>
      <c r="IG332" s="653"/>
      <c r="IH332" s="653"/>
      <c r="II332" s="653"/>
      <c r="IJ332" s="653"/>
      <c r="IK332" s="653"/>
      <c r="IL332" s="653"/>
      <c r="IM332" s="653"/>
      <c r="IN332" s="653"/>
      <c r="IO332" s="653"/>
      <c r="IP332" s="653"/>
      <c r="IQ332" s="653"/>
      <c r="IR332" s="653"/>
      <c r="IS332" s="653"/>
      <c r="IT332" s="653"/>
      <c r="IU332" s="653"/>
      <c r="IV332" s="653"/>
      <c r="IW332" s="653"/>
      <c r="IX332" s="653"/>
      <c r="IY332" s="653"/>
      <c r="IZ332" s="653"/>
      <c r="JA332" s="653"/>
      <c r="JB332" s="653"/>
      <c r="JC332" s="653"/>
      <c r="JD332" s="653"/>
      <c r="JE332" s="653"/>
      <c r="JF332" s="653"/>
      <c r="JG332" s="653"/>
      <c r="JH332" s="653"/>
      <c r="JI332" s="653"/>
      <c r="JJ332" s="653"/>
      <c r="JK332" s="653"/>
      <c r="JL332" s="653"/>
      <c r="JM332" s="653"/>
      <c r="JN332" s="653"/>
      <c r="JO332" s="653"/>
      <c r="JP332" s="653"/>
      <c r="JQ332" s="653"/>
    </row>
    <row r="333" spans="1:277" ht="20" customHeight="1">
      <c r="A333" s="221"/>
      <c r="B333" s="221"/>
      <c r="C333" s="221"/>
      <c r="D333" s="221"/>
      <c r="E333" s="736"/>
      <c r="F333" s="221"/>
      <c r="G333" s="221"/>
      <c r="I333" s="221"/>
      <c r="J333" s="221"/>
      <c r="K333" s="221"/>
      <c r="L333" s="221"/>
      <c r="M333" s="221"/>
      <c r="N333" s="221"/>
      <c r="O333" s="221"/>
      <c r="P333" s="221"/>
      <c r="R333" s="592"/>
      <c r="S333" s="592"/>
      <c r="T333" s="736"/>
      <c r="U333" s="736"/>
      <c r="V333" s="736"/>
      <c r="W333" s="607"/>
      <c r="X333" s="736"/>
      <c r="Y333" s="736"/>
      <c r="Z333" s="607"/>
      <c r="AA333" s="736"/>
      <c r="AB333" s="736"/>
      <c r="AC333" s="607"/>
      <c r="AD333" s="736"/>
      <c r="AE333" s="736"/>
      <c r="AF333" s="736"/>
      <c r="AG333" s="736"/>
      <c r="AH333" s="607"/>
      <c r="AL333" s="221"/>
      <c r="AM333" s="221"/>
      <c r="AN333" s="221"/>
      <c r="AO333" s="221"/>
      <c r="AP333" s="221"/>
      <c r="AQ333" s="221"/>
      <c r="AS333" s="221"/>
      <c r="AT333" s="221"/>
      <c r="AU333" s="221"/>
      <c r="AV333" s="221"/>
      <c r="AW333" s="221"/>
      <c r="AX333" s="221"/>
      <c r="AY333" s="221"/>
      <c r="AZ333" s="221"/>
      <c r="BA333" s="221"/>
      <c r="BB333" s="221"/>
      <c r="BC333" s="221"/>
      <c r="BD333" s="221"/>
      <c r="BE333" s="221"/>
      <c r="BF333" s="221"/>
      <c r="BG333" s="221"/>
      <c r="BH333" s="221"/>
      <c r="BI333" s="221"/>
      <c r="BJ333" s="221"/>
      <c r="BK333" s="221"/>
      <c r="BL333" s="221"/>
      <c r="BM333" s="221"/>
      <c r="BN333" s="221"/>
      <c r="BO333" s="221"/>
      <c r="BP333" s="221"/>
      <c r="BQ333" s="221"/>
      <c r="BR333" s="221"/>
      <c r="BS333" s="221"/>
      <c r="BT333" s="221"/>
      <c r="BU333" s="221"/>
      <c r="BV333" s="221"/>
      <c r="BW333" s="221"/>
      <c r="BX333" s="221"/>
      <c r="BY333" s="221"/>
      <c r="BZ333" s="221"/>
      <c r="CA333" s="221"/>
      <c r="CB333" s="221"/>
      <c r="CC333" s="221"/>
      <c r="CD333" s="221"/>
      <c r="CE333" s="221"/>
      <c r="CF333" s="221"/>
      <c r="CG333" s="221"/>
      <c r="CH333" s="221"/>
      <c r="CI333" s="221"/>
      <c r="CJ333" s="221"/>
      <c r="CK333" s="221"/>
      <c r="CL333" s="221"/>
      <c r="CM333" s="221"/>
      <c r="CN333" s="221"/>
      <c r="CO333" s="221"/>
      <c r="CP333" s="221"/>
      <c r="CQ333" s="221"/>
      <c r="CR333" s="221"/>
      <c r="CS333" s="221"/>
      <c r="CT333" s="221"/>
      <c r="CU333" s="221"/>
      <c r="CV333" s="221"/>
      <c r="CW333" s="221"/>
      <c r="CX333" s="221"/>
      <c r="CY333" s="221"/>
      <c r="CZ333" s="221"/>
      <c r="DA333" s="221"/>
      <c r="DB333" s="221"/>
      <c r="DC333" s="221"/>
      <c r="DD333" s="221"/>
      <c r="DE333" s="221"/>
      <c r="DF333" s="221"/>
      <c r="DG333" s="221"/>
      <c r="DH333" s="221"/>
      <c r="DI333" s="221"/>
      <c r="DJ333" s="221"/>
      <c r="DK333" s="221"/>
      <c r="DL333" s="221"/>
      <c r="DM333" s="221"/>
      <c r="DN333" s="221"/>
      <c r="DO333" s="221"/>
      <c r="DP333" s="221"/>
      <c r="DQ333" s="221"/>
      <c r="DR333" s="221"/>
      <c r="DS333" s="221"/>
      <c r="DT333" s="221"/>
      <c r="DU333" s="221"/>
      <c r="DV333" s="221"/>
      <c r="DW333" s="221"/>
      <c r="DX333" s="221"/>
      <c r="DY333" s="221"/>
      <c r="DZ333" s="221"/>
      <c r="EA333" s="221"/>
      <c r="EB333" s="221"/>
      <c r="EC333" s="221"/>
      <c r="ED333" s="221"/>
      <c r="EE333" s="221"/>
      <c r="EF333" s="221"/>
      <c r="EG333" s="221"/>
      <c r="EH333" s="221"/>
      <c r="EI333" s="221"/>
      <c r="EJ333" s="221"/>
      <c r="EK333" s="221"/>
      <c r="EL333" s="221"/>
      <c r="EM333" s="221"/>
      <c r="EN333" s="221"/>
      <c r="EO333" s="221"/>
      <c r="EP333" s="221"/>
      <c r="EQ333" s="221"/>
      <c r="ER333" s="221"/>
      <c r="ES333" s="221"/>
      <c r="ET333" s="221"/>
      <c r="EU333" s="221"/>
      <c r="EV333" s="221"/>
      <c r="EW333" s="221"/>
      <c r="EX333" s="221"/>
      <c r="EY333" s="221"/>
      <c r="EZ333" s="221"/>
      <c r="FA333" s="221"/>
      <c r="FB333" s="221"/>
      <c r="FC333" s="221"/>
      <c r="FD333" s="221"/>
      <c r="FE333" s="221"/>
      <c r="FF333" s="221"/>
      <c r="FG333" s="221"/>
      <c r="FH333" s="221"/>
      <c r="FI333" s="221"/>
      <c r="FJ333" s="221"/>
      <c r="FK333" s="221"/>
      <c r="FL333" s="221"/>
      <c r="FM333" s="221"/>
      <c r="FN333" s="221"/>
      <c r="FO333" s="221"/>
      <c r="FP333" s="221"/>
      <c r="FQ333" s="221"/>
      <c r="FR333" s="221"/>
      <c r="FS333" s="221"/>
      <c r="FT333" s="221"/>
      <c r="FU333" s="221"/>
      <c r="FV333" s="221"/>
      <c r="FW333" s="221"/>
      <c r="FX333" s="221"/>
      <c r="FY333" s="221"/>
      <c r="FZ333" s="221"/>
      <c r="GA333" s="221"/>
      <c r="GB333" s="221"/>
      <c r="GC333" s="221"/>
      <c r="GD333" s="221"/>
      <c r="GE333" s="221"/>
      <c r="GF333" s="221"/>
      <c r="GG333" s="221"/>
      <c r="GH333" s="221"/>
      <c r="GI333" s="221"/>
      <c r="GJ333" s="221"/>
      <c r="GK333" s="221"/>
      <c r="GL333" s="221"/>
      <c r="GM333" s="221"/>
      <c r="GN333" s="221"/>
      <c r="GO333" s="221"/>
      <c r="GP333" s="221"/>
      <c r="GQ333" s="221"/>
      <c r="GR333" s="221"/>
      <c r="GS333" s="221"/>
      <c r="GT333" s="221"/>
      <c r="GU333" s="221"/>
      <c r="GV333" s="221"/>
      <c r="GW333" s="221"/>
      <c r="GX333" s="221"/>
      <c r="GY333" s="221"/>
      <c r="GZ333" s="221"/>
      <c r="HA333" s="221"/>
      <c r="HB333" s="221"/>
      <c r="HC333" s="221"/>
      <c r="HD333" s="221"/>
      <c r="HE333" s="221"/>
      <c r="HF333" s="221"/>
      <c r="HG333" s="221"/>
      <c r="HH333" s="221"/>
      <c r="HI333" s="221"/>
      <c r="HJ333" s="221"/>
      <c r="HK333" s="221"/>
      <c r="HL333" s="221"/>
      <c r="HM333" s="221"/>
      <c r="HN333" s="221"/>
      <c r="HO333" s="221"/>
      <c r="HP333" s="221"/>
      <c r="HQ333" s="221"/>
      <c r="HR333" s="221"/>
      <c r="HS333" s="221"/>
      <c r="HT333" s="221"/>
      <c r="HU333" s="221"/>
      <c r="HV333" s="221"/>
      <c r="HW333" s="221"/>
      <c r="HX333" s="221"/>
      <c r="HY333" s="221"/>
      <c r="HZ333" s="221"/>
      <c r="IA333" s="221"/>
      <c r="IB333" s="221"/>
      <c r="IC333" s="221"/>
      <c r="ID333" s="221"/>
      <c r="IE333" s="221"/>
      <c r="IF333" s="221"/>
      <c r="IG333" s="221"/>
      <c r="IH333" s="221"/>
      <c r="II333" s="221"/>
      <c r="IJ333" s="221"/>
      <c r="IK333" s="221"/>
      <c r="IL333" s="221"/>
      <c r="IM333" s="221"/>
      <c r="IN333" s="221"/>
      <c r="IO333" s="221"/>
      <c r="IP333" s="221"/>
      <c r="IQ333" s="221"/>
      <c r="IR333" s="221"/>
      <c r="IS333" s="221"/>
      <c r="IT333" s="221"/>
      <c r="IU333" s="221"/>
      <c r="IV333" s="221"/>
      <c r="IW333" s="221"/>
      <c r="IX333" s="221"/>
      <c r="IY333" s="221"/>
      <c r="IZ333" s="221"/>
      <c r="JA333" s="221"/>
      <c r="JB333" s="221"/>
      <c r="JC333" s="221"/>
      <c r="JD333" s="221"/>
      <c r="JE333" s="221"/>
      <c r="JF333" s="221"/>
      <c r="JG333" s="221"/>
      <c r="JH333" s="221"/>
      <c r="JI333" s="221"/>
      <c r="JJ333" s="221"/>
      <c r="JK333" s="221"/>
      <c r="JL333" s="221"/>
      <c r="JM333" s="221"/>
      <c r="JN333" s="221"/>
      <c r="JO333" s="221"/>
      <c r="JP333" s="221"/>
      <c r="JQ333" s="221"/>
    </row>
    <row r="334" spans="1:277" ht="20" customHeight="1">
      <c r="A334" s="221"/>
      <c r="B334" s="221"/>
      <c r="C334" s="221"/>
      <c r="D334" s="221"/>
      <c r="E334" s="736"/>
      <c r="F334" s="221"/>
      <c r="G334" s="221"/>
      <c r="I334" s="221"/>
      <c r="J334" s="221"/>
      <c r="K334" s="221"/>
      <c r="L334" s="221"/>
      <c r="M334" s="221"/>
      <c r="N334" s="221"/>
      <c r="O334" s="221"/>
      <c r="P334" s="221"/>
      <c r="R334" s="592"/>
      <c r="S334" s="592"/>
      <c r="T334" s="736"/>
      <c r="U334" s="736"/>
      <c r="V334" s="736"/>
      <c r="W334" s="607"/>
      <c r="X334" s="736"/>
      <c r="Y334" s="736"/>
      <c r="Z334" s="607"/>
      <c r="AA334" s="736"/>
      <c r="AB334" s="736"/>
      <c r="AC334" s="607"/>
      <c r="AD334" s="736"/>
      <c r="AE334" s="736"/>
      <c r="AF334" s="736"/>
      <c r="AG334" s="736"/>
      <c r="AH334" s="607"/>
      <c r="AL334" s="221"/>
      <c r="AM334" s="221"/>
      <c r="AN334" s="221"/>
      <c r="AO334" s="221"/>
      <c r="AP334" s="221"/>
      <c r="AQ334" s="221"/>
      <c r="AS334" s="221"/>
      <c r="AT334" s="221"/>
      <c r="AU334" s="221"/>
      <c r="AV334" s="221"/>
      <c r="AW334" s="221"/>
      <c r="AX334" s="221"/>
      <c r="AY334" s="221"/>
      <c r="AZ334" s="221"/>
      <c r="BA334" s="221"/>
      <c r="BB334" s="221"/>
      <c r="BC334" s="221"/>
      <c r="BD334" s="221"/>
      <c r="BE334" s="221"/>
      <c r="BF334" s="221"/>
      <c r="BG334" s="221"/>
      <c r="BH334" s="221"/>
      <c r="BI334" s="221"/>
      <c r="BJ334" s="221"/>
      <c r="BK334" s="221"/>
      <c r="BL334" s="221"/>
      <c r="BM334" s="221"/>
      <c r="BN334" s="221"/>
      <c r="BO334" s="221"/>
      <c r="BP334" s="221"/>
      <c r="BQ334" s="221"/>
      <c r="BR334" s="221"/>
      <c r="BS334" s="221"/>
      <c r="BT334" s="221"/>
      <c r="BU334" s="221"/>
      <c r="BV334" s="221"/>
      <c r="BW334" s="221"/>
      <c r="BX334" s="221"/>
      <c r="BY334" s="221"/>
      <c r="BZ334" s="221"/>
      <c r="CA334" s="221"/>
      <c r="CB334" s="221"/>
      <c r="CC334" s="221"/>
      <c r="CD334" s="221"/>
      <c r="CE334" s="221"/>
      <c r="CF334" s="221"/>
      <c r="CG334" s="221"/>
      <c r="CH334" s="221"/>
      <c r="CI334" s="221"/>
      <c r="CJ334" s="221"/>
      <c r="CK334" s="221"/>
      <c r="CL334" s="221"/>
      <c r="CM334" s="221"/>
      <c r="CN334" s="221"/>
      <c r="CO334" s="221"/>
      <c r="CP334" s="221"/>
      <c r="CQ334" s="221"/>
      <c r="CR334" s="221"/>
      <c r="CS334" s="221"/>
      <c r="CT334" s="221"/>
      <c r="CU334" s="221"/>
      <c r="CV334" s="221"/>
      <c r="CW334" s="221"/>
      <c r="CX334" s="221"/>
      <c r="CY334" s="221"/>
      <c r="CZ334" s="221"/>
      <c r="DA334" s="221"/>
      <c r="DB334" s="221"/>
      <c r="DC334" s="221"/>
      <c r="DD334" s="221"/>
      <c r="DE334" s="221"/>
      <c r="DF334" s="221"/>
      <c r="DG334" s="221"/>
      <c r="DH334" s="221"/>
      <c r="DI334" s="221"/>
      <c r="DJ334" s="221"/>
      <c r="DK334" s="221"/>
      <c r="DL334" s="221"/>
      <c r="DM334" s="221"/>
      <c r="DN334" s="221"/>
      <c r="DO334" s="221"/>
      <c r="DP334" s="221"/>
      <c r="DQ334" s="221"/>
      <c r="DR334" s="221"/>
      <c r="DS334" s="221"/>
      <c r="DT334" s="221"/>
      <c r="DU334" s="221"/>
      <c r="DV334" s="221"/>
      <c r="DW334" s="221"/>
      <c r="DX334" s="221"/>
      <c r="DY334" s="221"/>
      <c r="DZ334" s="221"/>
      <c r="EA334" s="221"/>
      <c r="EB334" s="221"/>
      <c r="EC334" s="221"/>
      <c r="ED334" s="221"/>
      <c r="EE334" s="221"/>
      <c r="EF334" s="221"/>
      <c r="EG334" s="221"/>
      <c r="EH334" s="221"/>
      <c r="EI334" s="221"/>
      <c r="EJ334" s="221"/>
      <c r="EK334" s="221"/>
      <c r="EL334" s="221"/>
      <c r="EM334" s="221"/>
      <c r="EN334" s="221"/>
      <c r="EO334" s="221"/>
      <c r="EP334" s="221"/>
      <c r="EQ334" s="221"/>
      <c r="ER334" s="221"/>
      <c r="ES334" s="221"/>
      <c r="ET334" s="221"/>
      <c r="EU334" s="221"/>
      <c r="EV334" s="221"/>
      <c r="EW334" s="221"/>
      <c r="EX334" s="221"/>
      <c r="EY334" s="221"/>
      <c r="EZ334" s="221"/>
      <c r="FA334" s="221"/>
      <c r="FB334" s="221"/>
      <c r="FC334" s="221"/>
      <c r="FD334" s="221"/>
      <c r="FE334" s="221"/>
      <c r="FF334" s="221"/>
      <c r="FG334" s="221"/>
      <c r="FH334" s="221"/>
      <c r="FI334" s="221"/>
      <c r="FJ334" s="221"/>
      <c r="FK334" s="221"/>
      <c r="FL334" s="221"/>
      <c r="FM334" s="221"/>
      <c r="FN334" s="221"/>
      <c r="FO334" s="221"/>
      <c r="FP334" s="221"/>
      <c r="FQ334" s="221"/>
      <c r="FR334" s="221"/>
      <c r="FS334" s="221"/>
      <c r="FT334" s="221"/>
      <c r="FU334" s="221"/>
      <c r="FV334" s="221"/>
      <c r="FW334" s="221"/>
      <c r="FX334" s="221"/>
      <c r="FY334" s="221"/>
      <c r="FZ334" s="221"/>
      <c r="GA334" s="221"/>
      <c r="GB334" s="221"/>
      <c r="GC334" s="221"/>
      <c r="GD334" s="221"/>
      <c r="GE334" s="221"/>
      <c r="GF334" s="221"/>
      <c r="GG334" s="221"/>
      <c r="GH334" s="221"/>
      <c r="GI334" s="221"/>
      <c r="GJ334" s="221"/>
      <c r="GK334" s="221"/>
      <c r="GL334" s="221"/>
      <c r="GM334" s="221"/>
      <c r="GN334" s="221"/>
      <c r="GO334" s="221"/>
      <c r="GP334" s="221"/>
      <c r="GQ334" s="221"/>
      <c r="GR334" s="221"/>
      <c r="GS334" s="221"/>
      <c r="GT334" s="221"/>
      <c r="GU334" s="221"/>
      <c r="GV334" s="221"/>
      <c r="GW334" s="221"/>
      <c r="GX334" s="221"/>
      <c r="GY334" s="221"/>
      <c r="GZ334" s="221"/>
      <c r="HA334" s="221"/>
      <c r="HB334" s="221"/>
      <c r="HC334" s="221"/>
      <c r="HD334" s="221"/>
      <c r="HE334" s="221"/>
      <c r="HF334" s="221"/>
      <c r="HG334" s="221"/>
      <c r="HH334" s="221"/>
      <c r="HI334" s="221"/>
      <c r="HJ334" s="221"/>
      <c r="HK334" s="221"/>
      <c r="HL334" s="221"/>
      <c r="HM334" s="221"/>
      <c r="HN334" s="221"/>
      <c r="HO334" s="221"/>
      <c r="HP334" s="221"/>
      <c r="HQ334" s="221"/>
      <c r="HR334" s="221"/>
      <c r="HS334" s="221"/>
      <c r="HT334" s="221"/>
      <c r="HU334" s="221"/>
      <c r="HV334" s="221"/>
      <c r="HW334" s="221"/>
      <c r="HX334" s="221"/>
      <c r="HY334" s="221"/>
      <c r="HZ334" s="221"/>
      <c r="IA334" s="221"/>
      <c r="IB334" s="221"/>
      <c r="IC334" s="221"/>
      <c r="ID334" s="221"/>
      <c r="IE334" s="221"/>
      <c r="IF334" s="221"/>
      <c r="IG334" s="221"/>
      <c r="IH334" s="221"/>
      <c r="II334" s="221"/>
      <c r="IJ334" s="221"/>
      <c r="IK334" s="221"/>
      <c r="IL334" s="221"/>
      <c r="IM334" s="221"/>
      <c r="IN334" s="221"/>
      <c r="IO334" s="221"/>
      <c r="IP334" s="221"/>
      <c r="IQ334" s="221"/>
      <c r="IR334" s="221"/>
      <c r="IS334" s="221"/>
      <c r="IT334" s="221"/>
      <c r="IU334" s="221"/>
      <c r="IV334" s="221"/>
      <c r="IW334" s="221"/>
      <c r="IX334" s="221"/>
      <c r="IY334" s="221"/>
      <c r="IZ334" s="221"/>
      <c r="JA334" s="221"/>
      <c r="JB334" s="221"/>
      <c r="JC334" s="221"/>
      <c r="JD334" s="221"/>
      <c r="JE334" s="221"/>
      <c r="JF334" s="221"/>
      <c r="JG334" s="221"/>
      <c r="JH334" s="221"/>
      <c r="JI334" s="221"/>
      <c r="JJ334" s="221"/>
      <c r="JK334" s="221"/>
      <c r="JL334" s="221"/>
      <c r="JM334" s="221"/>
      <c r="JN334" s="221"/>
      <c r="JO334" s="221"/>
      <c r="JP334" s="221"/>
      <c r="JQ334" s="221"/>
    </row>
    <row r="335" spans="1:277" ht="20" customHeight="1">
      <c r="A335" s="221"/>
      <c r="B335" s="221"/>
      <c r="C335" s="221"/>
      <c r="D335" s="221"/>
      <c r="E335" s="736"/>
      <c r="F335" s="221"/>
      <c r="G335" s="221"/>
      <c r="I335" s="221"/>
      <c r="J335" s="221"/>
      <c r="K335" s="221"/>
      <c r="L335" s="221"/>
      <c r="M335" s="221"/>
      <c r="N335" s="221"/>
      <c r="O335" s="221"/>
      <c r="P335" s="221"/>
      <c r="R335" s="592"/>
      <c r="S335" s="592"/>
      <c r="T335" s="736"/>
      <c r="U335" s="736"/>
      <c r="V335" s="736"/>
      <c r="W335" s="607"/>
      <c r="X335" s="736"/>
      <c r="Y335" s="736"/>
      <c r="Z335" s="607"/>
      <c r="AA335" s="736"/>
      <c r="AB335" s="736"/>
      <c r="AC335" s="607"/>
      <c r="AD335" s="736"/>
      <c r="AE335" s="736"/>
      <c r="AF335" s="736"/>
      <c r="AG335" s="736"/>
      <c r="AH335" s="607"/>
      <c r="AL335" s="221"/>
      <c r="AM335" s="221"/>
      <c r="AN335" s="221"/>
      <c r="AO335" s="221"/>
      <c r="AP335" s="221"/>
      <c r="AQ335" s="221"/>
      <c r="AS335" s="221"/>
      <c r="AT335" s="221"/>
      <c r="AU335" s="221"/>
      <c r="AV335" s="221"/>
      <c r="AW335" s="221"/>
      <c r="AX335" s="221"/>
      <c r="AY335" s="221"/>
      <c r="AZ335" s="221"/>
      <c r="BA335" s="221"/>
      <c r="BB335" s="221"/>
      <c r="BC335" s="221"/>
      <c r="BD335" s="221"/>
      <c r="BE335" s="221"/>
      <c r="BF335" s="221"/>
      <c r="BG335" s="221"/>
      <c r="BH335" s="221"/>
      <c r="BI335" s="221"/>
      <c r="BJ335" s="221"/>
      <c r="BK335" s="221"/>
      <c r="BL335" s="221"/>
      <c r="BM335" s="221"/>
      <c r="BN335" s="221"/>
      <c r="BO335" s="221"/>
      <c r="BP335" s="221"/>
      <c r="BQ335" s="221"/>
      <c r="BR335" s="221"/>
      <c r="BS335" s="221"/>
      <c r="BT335" s="221"/>
      <c r="BU335" s="221"/>
      <c r="BV335" s="221"/>
      <c r="BW335" s="221"/>
      <c r="BX335" s="221"/>
      <c r="BY335" s="221"/>
      <c r="BZ335" s="221"/>
      <c r="CA335" s="221"/>
      <c r="CB335" s="221"/>
      <c r="CC335" s="221"/>
      <c r="CD335" s="221"/>
      <c r="CE335" s="221"/>
      <c r="CF335" s="221"/>
      <c r="CG335" s="221"/>
      <c r="CH335" s="221"/>
      <c r="CI335" s="221"/>
      <c r="CJ335" s="221"/>
      <c r="CK335" s="221"/>
      <c r="CL335" s="221"/>
      <c r="CM335" s="221"/>
      <c r="CN335" s="221"/>
      <c r="CO335" s="221"/>
      <c r="CP335" s="221"/>
      <c r="CQ335" s="221"/>
      <c r="CR335" s="221"/>
      <c r="CS335" s="221"/>
      <c r="CT335" s="221"/>
      <c r="CU335" s="221"/>
      <c r="CV335" s="221"/>
      <c r="CW335" s="221"/>
      <c r="CX335" s="221"/>
      <c r="CY335" s="221"/>
      <c r="CZ335" s="221"/>
      <c r="DA335" s="221"/>
      <c r="DB335" s="221"/>
      <c r="DC335" s="221"/>
      <c r="DD335" s="221"/>
      <c r="DE335" s="221"/>
      <c r="DF335" s="221"/>
      <c r="DG335" s="221"/>
      <c r="DH335" s="221"/>
      <c r="DI335" s="221"/>
      <c r="DJ335" s="221"/>
      <c r="DK335" s="221"/>
      <c r="DL335" s="221"/>
      <c r="DM335" s="221"/>
      <c r="DN335" s="221"/>
      <c r="DO335" s="221"/>
      <c r="DP335" s="221"/>
      <c r="DQ335" s="221"/>
      <c r="DR335" s="221"/>
      <c r="DS335" s="221"/>
      <c r="DT335" s="221"/>
      <c r="DU335" s="221"/>
      <c r="DV335" s="221"/>
      <c r="DW335" s="221"/>
      <c r="DX335" s="221"/>
      <c r="DY335" s="221"/>
      <c r="DZ335" s="221"/>
      <c r="EA335" s="221"/>
      <c r="EB335" s="221"/>
      <c r="EC335" s="221"/>
      <c r="ED335" s="221"/>
      <c r="EE335" s="221"/>
      <c r="EF335" s="221"/>
      <c r="EG335" s="221"/>
      <c r="EH335" s="221"/>
      <c r="EI335" s="221"/>
      <c r="EJ335" s="221"/>
      <c r="EK335" s="221"/>
      <c r="EL335" s="221"/>
      <c r="EM335" s="221"/>
      <c r="EN335" s="221"/>
      <c r="EO335" s="221"/>
      <c r="EP335" s="221"/>
      <c r="EQ335" s="221"/>
      <c r="ER335" s="221"/>
      <c r="ES335" s="221"/>
      <c r="ET335" s="221"/>
      <c r="EU335" s="221"/>
      <c r="EV335" s="221"/>
      <c r="EW335" s="221"/>
      <c r="EX335" s="221"/>
      <c r="EY335" s="221"/>
      <c r="EZ335" s="221"/>
      <c r="FA335" s="221"/>
      <c r="FB335" s="221"/>
      <c r="FC335" s="221"/>
      <c r="FD335" s="221"/>
      <c r="FE335" s="221"/>
      <c r="FF335" s="221"/>
      <c r="FG335" s="221"/>
      <c r="FH335" s="221"/>
      <c r="FI335" s="221"/>
      <c r="FJ335" s="221"/>
      <c r="FK335" s="221"/>
      <c r="FL335" s="221"/>
      <c r="FM335" s="221"/>
      <c r="FN335" s="221"/>
      <c r="FO335" s="221"/>
      <c r="FP335" s="221"/>
      <c r="FQ335" s="221"/>
      <c r="FR335" s="221"/>
      <c r="FS335" s="221"/>
      <c r="FT335" s="221"/>
      <c r="FU335" s="221"/>
      <c r="FV335" s="221"/>
      <c r="FW335" s="221"/>
      <c r="FX335" s="221"/>
      <c r="FY335" s="221"/>
      <c r="FZ335" s="221"/>
      <c r="GA335" s="221"/>
      <c r="GB335" s="221"/>
      <c r="GC335" s="221"/>
      <c r="GD335" s="221"/>
      <c r="GE335" s="221"/>
      <c r="GF335" s="221"/>
      <c r="GG335" s="221"/>
      <c r="GH335" s="221"/>
      <c r="GI335" s="221"/>
      <c r="GJ335" s="221"/>
      <c r="GK335" s="221"/>
      <c r="GL335" s="221"/>
      <c r="GM335" s="221"/>
      <c r="GN335" s="221"/>
      <c r="GO335" s="221"/>
      <c r="GP335" s="221"/>
      <c r="GQ335" s="221"/>
      <c r="GR335" s="221"/>
      <c r="GS335" s="221"/>
      <c r="GT335" s="221"/>
      <c r="GU335" s="221"/>
      <c r="GV335" s="221"/>
      <c r="GW335" s="221"/>
      <c r="GX335" s="221"/>
      <c r="GY335" s="221"/>
      <c r="GZ335" s="221"/>
      <c r="HA335" s="221"/>
      <c r="HB335" s="221"/>
      <c r="HC335" s="221"/>
      <c r="HD335" s="221"/>
      <c r="HE335" s="221"/>
      <c r="HF335" s="221"/>
      <c r="HG335" s="221"/>
      <c r="HH335" s="221"/>
      <c r="HI335" s="221"/>
      <c r="HJ335" s="221"/>
      <c r="HK335" s="221"/>
      <c r="HL335" s="221"/>
      <c r="HM335" s="221"/>
      <c r="HN335" s="221"/>
      <c r="HO335" s="221"/>
      <c r="HP335" s="221"/>
      <c r="HQ335" s="221"/>
      <c r="HR335" s="221"/>
      <c r="HS335" s="221"/>
      <c r="HT335" s="221"/>
      <c r="HU335" s="221"/>
      <c r="HV335" s="221"/>
      <c r="HW335" s="221"/>
      <c r="HX335" s="221"/>
      <c r="HY335" s="221"/>
      <c r="HZ335" s="221"/>
      <c r="IA335" s="221"/>
      <c r="IB335" s="221"/>
      <c r="IC335" s="221"/>
      <c r="ID335" s="221"/>
      <c r="IE335" s="221"/>
      <c r="IF335" s="221"/>
      <c r="IG335" s="221"/>
      <c r="IH335" s="221"/>
      <c r="II335" s="221"/>
      <c r="IJ335" s="221"/>
      <c r="IK335" s="221"/>
      <c r="IL335" s="221"/>
      <c r="IM335" s="221"/>
      <c r="IN335" s="221"/>
      <c r="IO335" s="221"/>
      <c r="IP335" s="221"/>
      <c r="IQ335" s="221"/>
      <c r="IR335" s="221"/>
      <c r="IS335" s="221"/>
      <c r="IT335" s="221"/>
      <c r="IU335" s="221"/>
      <c r="IV335" s="221"/>
      <c r="IW335" s="221"/>
      <c r="IX335" s="221"/>
      <c r="IY335" s="221"/>
      <c r="IZ335" s="221"/>
      <c r="JA335" s="221"/>
      <c r="JB335" s="221"/>
      <c r="JC335" s="221"/>
      <c r="JD335" s="221"/>
      <c r="JE335" s="221"/>
      <c r="JF335" s="221"/>
      <c r="JG335" s="221"/>
      <c r="JH335" s="221"/>
      <c r="JI335" s="221"/>
      <c r="JJ335" s="221"/>
      <c r="JK335" s="221"/>
      <c r="JL335" s="221"/>
      <c r="JM335" s="221"/>
      <c r="JN335" s="221"/>
      <c r="JO335" s="221"/>
      <c r="JP335" s="221"/>
      <c r="JQ335" s="221"/>
    </row>
    <row r="336" spans="1:277" ht="20" customHeight="1" thickBot="1">
      <c r="A336" s="221"/>
      <c r="B336" s="221"/>
      <c r="C336" s="221"/>
      <c r="D336" s="221"/>
      <c r="E336" s="736"/>
      <c r="F336" s="221"/>
      <c r="G336" s="221"/>
      <c r="I336" s="221"/>
      <c r="J336" s="221"/>
      <c r="K336" s="221"/>
      <c r="L336" s="221"/>
      <c r="M336" s="221"/>
      <c r="N336" s="221"/>
      <c r="O336" s="221"/>
      <c r="P336" s="221"/>
      <c r="R336" s="592"/>
      <c r="S336" s="592"/>
      <c r="T336" s="736"/>
      <c r="U336" s="736"/>
      <c r="V336" s="736"/>
      <c r="W336" s="607"/>
      <c r="X336" s="736"/>
      <c r="Y336" s="736"/>
      <c r="Z336" s="607"/>
      <c r="AA336" s="736"/>
      <c r="AB336" s="736"/>
      <c r="AC336" s="607"/>
      <c r="AD336" s="736"/>
      <c r="AE336" s="736"/>
      <c r="AF336" s="736"/>
      <c r="AG336" s="736"/>
      <c r="AH336" s="607"/>
      <c r="AL336" s="221"/>
      <c r="AM336" s="221"/>
      <c r="AN336" s="221"/>
      <c r="AO336" s="221"/>
      <c r="AP336" s="221"/>
      <c r="AQ336" s="221"/>
      <c r="AS336" s="221"/>
      <c r="AT336" s="221"/>
      <c r="AU336" s="221"/>
      <c r="AV336" s="221"/>
      <c r="AW336" s="221"/>
      <c r="AX336" s="221"/>
      <c r="AY336" s="221"/>
      <c r="AZ336" s="221"/>
      <c r="BA336" s="221"/>
      <c r="BB336" s="221"/>
      <c r="BC336" s="221"/>
      <c r="BD336" s="221"/>
      <c r="BE336" s="221"/>
      <c r="BF336" s="221"/>
      <c r="BG336" s="221"/>
      <c r="BH336" s="221"/>
      <c r="BI336" s="221"/>
      <c r="BJ336" s="221"/>
      <c r="BK336" s="221"/>
      <c r="BL336" s="221"/>
      <c r="BM336" s="221"/>
      <c r="BN336" s="221"/>
      <c r="BO336" s="221"/>
      <c r="BP336" s="221"/>
      <c r="BQ336" s="221"/>
      <c r="BR336" s="221"/>
      <c r="BS336" s="221"/>
      <c r="BT336" s="221"/>
      <c r="BU336" s="221"/>
      <c r="BV336" s="221"/>
      <c r="BW336" s="221"/>
      <c r="BX336" s="221"/>
      <c r="BY336" s="221"/>
      <c r="BZ336" s="221"/>
      <c r="CA336" s="221"/>
      <c r="CB336" s="221"/>
      <c r="CC336" s="221"/>
      <c r="CD336" s="221"/>
      <c r="CE336" s="221"/>
      <c r="CF336" s="221"/>
      <c r="CG336" s="221"/>
      <c r="CH336" s="221"/>
      <c r="CI336" s="221"/>
      <c r="CJ336" s="221"/>
      <c r="CK336" s="221"/>
      <c r="CL336" s="221"/>
      <c r="CM336" s="221"/>
      <c r="CN336" s="221"/>
      <c r="CO336" s="221"/>
      <c r="CP336" s="221"/>
      <c r="CQ336" s="221"/>
      <c r="CR336" s="221"/>
      <c r="CS336" s="221"/>
      <c r="CT336" s="221"/>
      <c r="CU336" s="221"/>
      <c r="CV336" s="221"/>
      <c r="CW336" s="221"/>
      <c r="CX336" s="221"/>
      <c r="CY336" s="221"/>
      <c r="CZ336" s="221"/>
      <c r="DA336" s="221"/>
      <c r="DB336" s="221"/>
      <c r="DC336" s="221"/>
      <c r="DD336" s="221"/>
      <c r="DE336" s="221"/>
      <c r="DF336" s="221"/>
      <c r="DG336" s="221"/>
      <c r="DH336" s="221"/>
      <c r="DI336" s="221"/>
      <c r="DJ336" s="221"/>
      <c r="DK336" s="221"/>
      <c r="DL336" s="221"/>
      <c r="DM336" s="221"/>
      <c r="DN336" s="221"/>
      <c r="DO336" s="221"/>
      <c r="DP336" s="221"/>
      <c r="DQ336" s="221"/>
      <c r="DR336" s="221"/>
      <c r="DS336" s="221"/>
      <c r="DT336" s="221"/>
      <c r="DU336" s="221"/>
      <c r="DV336" s="221"/>
      <c r="DW336" s="221"/>
      <c r="DX336" s="221"/>
      <c r="DY336" s="221"/>
      <c r="DZ336" s="221"/>
      <c r="EA336" s="221"/>
      <c r="EB336" s="221"/>
      <c r="EC336" s="221"/>
      <c r="ED336" s="221"/>
      <c r="EE336" s="221"/>
      <c r="EF336" s="221"/>
      <c r="EG336" s="221"/>
      <c r="EH336" s="221"/>
      <c r="EI336" s="221"/>
      <c r="EJ336" s="221"/>
      <c r="EK336" s="221"/>
      <c r="EL336" s="221"/>
      <c r="EM336" s="221"/>
      <c r="EN336" s="221"/>
      <c r="EO336" s="221"/>
      <c r="EP336" s="221"/>
      <c r="EQ336" s="221"/>
      <c r="ER336" s="221"/>
      <c r="ES336" s="221"/>
      <c r="ET336" s="221"/>
      <c r="EU336" s="221"/>
      <c r="EV336" s="221"/>
      <c r="EW336" s="221"/>
      <c r="EX336" s="221"/>
      <c r="EY336" s="221"/>
      <c r="EZ336" s="221"/>
      <c r="FA336" s="221"/>
      <c r="FB336" s="221"/>
      <c r="FC336" s="221"/>
      <c r="FD336" s="221"/>
      <c r="FE336" s="221"/>
      <c r="FF336" s="221"/>
      <c r="FG336" s="221"/>
      <c r="FH336" s="221"/>
      <c r="FI336" s="221"/>
      <c r="FJ336" s="221"/>
      <c r="FK336" s="221"/>
      <c r="FL336" s="221"/>
      <c r="FM336" s="221"/>
      <c r="FN336" s="221"/>
      <c r="FO336" s="221"/>
      <c r="FP336" s="221"/>
      <c r="FQ336" s="221"/>
      <c r="FR336" s="221"/>
      <c r="FS336" s="221"/>
      <c r="FT336" s="221"/>
      <c r="FU336" s="221"/>
      <c r="FV336" s="221"/>
      <c r="FW336" s="221"/>
      <c r="FX336" s="221"/>
      <c r="FY336" s="221"/>
      <c r="FZ336" s="221"/>
      <c r="GA336" s="221"/>
      <c r="GB336" s="221"/>
      <c r="GC336" s="221"/>
      <c r="GD336" s="221"/>
      <c r="GE336" s="221"/>
      <c r="GF336" s="221"/>
      <c r="GG336" s="221"/>
      <c r="GH336" s="221"/>
      <c r="GI336" s="221"/>
      <c r="GJ336" s="221"/>
      <c r="GK336" s="221"/>
      <c r="GL336" s="221"/>
      <c r="GM336" s="221"/>
      <c r="GN336" s="221"/>
      <c r="GO336" s="221"/>
      <c r="GP336" s="221"/>
      <c r="GQ336" s="221"/>
      <c r="GR336" s="221"/>
      <c r="GS336" s="221"/>
      <c r="GT336" s="221"/>
      <c r="GU336" s="221"/>
      <c r="GV336" s="221"/>
      <c r="GW336" s="221"/>
      <c r="GX336" s="221"/>
      <c r="GY336" s="221"/>
      <c r="GZ336" s="221"/>
      <c r="HA336" s="221"/>
      <c r="HB336" s="221"/>
      <c r="HC336" s="221"/>
      <c r="HD336" s="221"/>
      <c r="HE336" s="221"/>
      <c r="HF336" s="221"/>
      <c r="HG336" s="221"/>
      <c r="HH336" s="221"/>
      <c r="HI336" s="221"/>
      <c r="HJ336" s="221"/>
      <c r="HK336" s="221"/>
      <c r="HL336" s="221"/>
      <c r="HM336" s="221"/>
      <c r="HN336" s="221"/>
      <c r="HO336" s="221"/>
      <c r="HP336" s="221"/>
      <c r="HQ336" s="221"/>
      <c r="HR336" s="221"/>
      <c r="HS336" s="221"/>
      <c r="HT336" s="221"/>
      <c r="HU336" s="221"/>
      <c r="HV336" s="221"/>
      <c r="HW336" s="221"/>
      <c r="HX336" s="221"/>
      <c r="HY336" s="221"/>
      <c r="HZ336" s="221"/>
      <c r="IA336" s="221"/>
      <c r="IB336" s="221"/>
      <c r="IC336" s="221"/>
      <c r="ID336" s="221"/>
      <c r="IE336" s="221"/>
      <c r="IF336" s="221"/>
      <c r="IG336" s="221"/>
      <c r="IH336" s="221"/>
      <c r="II336" s="221"/>
      <c r="IJ336" s="221"/>
      <c r="IK336" s="221"/>
      <c r="IL336" s="221"/>
      <c r="IM336" s="221"/>
      <c r="IN336" s="221"/>
      <c r="IO336" s="221"/>
      <c r="IP336" s="221"/>
      <c r="IQ336" s="221"/>
      <c r="IR336" s="221"/>
      <c r="IS336" s="221"/>
      <c r="IT336" s="221"/>
      <c r="IU336" s="221"/>
      <c r="IV336" s="221"/>
      <c r="IW336" s="221"/>
      <c r="IX336" s="221"/>
      <c r="IY336" s="221"/>
      <c r="IZ336" s="221"/>
      <c r="JA336" s="221"/>
      <c r="JB336" s="221"/>
      <c r="JC336" s="221"/>
      <c r="JD336" s="221"/>
      <c r="JE336" s="221"/>
      <c r="JF336" s="221"/>
      <c r="JG336" s="221"/>
      <c r="JH336" s="221"/>
      <c r="JI336" s="221"/>
      <c r="JJ336" s="221"/>
      <c r="JK336" s="221"/>
      <c r="JL336" s="221"/>
      <c r="JM336" s="221"/>
      <c r="JN336" s="221"/>
      <c r="JO336" s="221"/>
      <c r="JP336" s="221"/>
      <c r="JQ336" s="221"/>
    </row>
    <row r="337" spans="1:277" s="658" customFormat="1" ht="22" customHeight="1" collapsed="1" thickBot="1">
      <c r="A337" s="764" t="s">
        <v>1873</v>
      </c>
      <c r="B337" s="765" t="s">
        <v>1871</v>
      </c>
      <c r="C337" s="805">
        <f>SUM(C48:C332)</f>
        <v>29736.365853283609</v>
      </c>
      <c r="D337" s="804" t="s">
        <v>2025</v>
      </c>
      <c r="E337" s="767">
        <f>E299+E251+E210+E151+E104+E48</f>
        <v>1582</v>
      </c>
      <c r="F337" s="767"/>
      <c r="G337" s="767"/>
      <c r="H337" s="767"/>
      <c r="I337" s="767"/>
      <c r="J337" s="767"/>
      <c r="K337" s="767"/>
      <c r="L337" s="767"/>
      <c r="M337" s="767"/>
      <c r="N337" s="767"/>
      <c r="O337" s="767"/>
      <c r="P337" s="768"/>
      <c r="Q337" s="655"/>
      <c r="R337" s="678">
        <f>R48+R104+R210+R251+R299</f>
        <v>91</v>
      </c>
      <c r="S337" s="678">
        <f>S48+S104+S210+S251+S299</f>
        <v>9</v>
      </c>
      <c r="T337" s="678">
        <f>T48+T104+T210+T251+T299</f>
        <v>39</v>
      </c>
      <c r="U337" s="673">
        <f t="shared" ref="U337:Z337" si="35">U48+U104+U151+U210+U251+U299</f>
        <v>98</v>
      </c>
      <c r="V337" s="673">
        <f t="shared" si="35"/>
        <v>11</v>
      </c>
      <c r="W337" s="673">
        <f t="shared" si="35"/>
        <v>44</v>
      </c>
      <c r="X337" s="674">
        <f t="shared" si="35"/>
        <v>305</v>
      </c>
      <c r="Y337" s="674">
        <f t="shared" si="35"/>
        <v>13</v>
      </c>
      <c r="Z337" s="674">
        <f t="shared" si="35"/>
        <v>37</v>
      </c>
      <c r="AA337" s="675">
        <f>SUM(AA48:AA299)</f>
        <v>373</v>
      </c>
      <c r="AB337" s="671">
        <f>SUM(AB48:AB299)</f>
        <v>44</v>
      </c>
      <c r="AC337" s="671">
        <f>SUM(AC48:AC299)</f>
        <v>148</v>
      </c>
      <c r="AD337" s="676">
        <f>AD251+AD210+AD104+AD48+AD151+AD299</f>
        <v>786</v>
      </c>
      <c r="AE337" s="676">
        <f>AE251+AE210+AE104+AE48+AE151+AE299</f>
        <v>62</v>
      </c>
      <c r="AF337" s="676">
        <f>AF251+AF210+AF104+AF48+AF151+AF299</f>
        <v>27</v>
      </c>
      <c r="AG337" s="672">
        <f>AG48+AG104+AG151+AG210+AG251+AG299</f>
        <v>809</v>
      </c>
      <c r="AH337" s="672">
        <f>AH48+AH104+AH151+AH210+AH251+AH299</f>
        <v>354</v>
      </c>
      <c r="AI337" s="677">
        <f>AI48+AI104+AI151+AI210+AI251+AI299</f>
        <v>2</v>
      </c>
      <c r="AJ337" s="677">
        <f>AJ48+AJ104+AJ151+AJ210+AJ251+AJ299</f>
        <v>1</v>
      </c>
      <c r="AK337" s="737">
        <f>SUM(AK48:AK299)</f>
        <v>0</v>
      </c>
      <c r="AL337" s="655"/>
      <c r="AM337" s="655"/>
      <c r="AN337" s="659"/>
      <c r="AO337" s="655"/>
      <c r="AP337" s="659"/>
      <c r="AQ337" s="659"/>
      <c r="AR337" s="829"/>
      <c r="AS337" s="657"/>
      <c r="AT337" s="660" t="s">
        <v>1845</v>
      </c>
      <c r="AU337" s="655"/>
      <c r="AV337" s="659"/>
      <c r="AW337" s="655"/>
      <c r="AX337" s="661">
        <f>SUM(AX299+AX251+AX210+AX151+AX104+AX48)</f>
        <v>5748.6299999999992</v>
      </c>
      <c r="AY337" s="661"/>
      <c r="AZ337" s="661">
        <f>SUM(AZ299+AZ251+AZ210+AZ151+AZ104+AZ48)</f>
        <v>5674.89</v>
      </c>
      <c r="BA337" s="660" t="s">
        <v>2018</v>
      </c>
      <c r="BB337" s="802">
        <f>SUM(BB299+BB251+BB210+BB151+BB104+BB48)</f>
        <v>540.70834628099169</v>
      </c>
      <c r="BC337" s="655"/>
      <c r="BD337" s="655"/>
      <c r="BE337" s="655"/>
      <c r="BF337" s="655"/>
      <c r="BG337" s="656"/>
      <c r="BH337" s="657"/>
      <c r="BI337" s="657"/>
      <c r="BJ337" s="657"/>
      <c r="BK337" s="657"/>
      <c r="BL337" s="657"/>
      <c r="BM337" s="657"/>
      <c r="BN337" s="657"/>
      <c r="BO337" s="657"/>
      <c r="BP337" s="657"/>
      <c r="BQ337" s="657"/>
      <c r="BR337" s="657"/>
      <c r="BS337" s="657"/>
      <c r="BT337" s="657"/>
      <c r="BU337" s="657"/>
      <c r="BV337" s="657"/>
      <c r="BW337" s="657"/>
      <c r="BX337" s="657"/>
      <c r="BY337" s="657"/>
      <c r="BZ337" s="657"/>
      <c r="CA337" s="657"/>
      <c r="CB337" s="657"/>
      <c r="CC337" s="657"/>
      <c r="CD337" s="657"/>
      <c r="CE337" s="657"/>
      <c r="CF337" s="657"/>
      <c r="CG337" s="657"/>
      <c r="CH337" s="657"/>
      <c r="CI337" s="657"/>
      <c r="CJ337" s="657"/>
      <c r="CK337" s="657"/>
      <c r="CL337" s="657"/>
      <c r="CM337" s="657"/>
      <c r="CN337" s="657"/>
      <c r="CO337" s="657"/>
      <c r="CP337" s="657"/>
      <c r="CQ337" s="657"/>
      <c r="CR337" s="657"/>
      <c r="CS337" s="657"/>
      <c r="CT337" s="657"/>
      <c r="CU337" s="657"/>
      <c r="CV337" s="657"/>
      <c r="CW337" s="657"/>
      <c r="CX337" s="657"/>
      <c r="CY337" s="657"/>
      <c r="CZ337" s="657"/>
      <c r="DA337" s="657"/>
      <c r="DB337" s="657"/>
      <c r="DC337" s="657"/>
      <c r="DD337" s="657"/>
      <c r="DE337" s="657"/>
      <c r="DF337" s="657"/>
      <c r="DG337" s="657"/>
      <c r="DH337" s="657"/>
      <c r="DI337" s="657"/>
      <c r="DJ337" s="657"/>
      <c r="DK337" s="657"/>
      <c r="DL337" s="657"/>
      <c r="DM337" s="657"/>
      <c r="DN337" s="657"/>
      <c r="DO337" s="657"/>
      <c r="DP337" s="657"/>
      <c r="DQ337" s="657"/>
      <c r="DR337" s="657"/>
      <c r="DS337" s="657"/>
      <c r="DT337" s="657"/>
      <c r="DU337" s="657"/>
      <c r="DV337" s="657"/>
      <c r="DW337" s="657"/>
      <c r="DX337" s="657"/>
      <c r="DY337" s="657"/>
      <c r="DZ337" s="657"/>
      <c r="EA337" s="657"/>
      <c r="EB337" s="657"/>
      <c r="EC337" s="657"/>
      <c r="ED337" s="657"/>
      <c r="EE337" s="657"/>
      <c r="EF337" s="657"/>
      <c r="EG337" s="657"/>
      <c r="EH337" s="657"/>
      <c r="EI337" s="657"/>
      <c r="EJ337" s="657"/>
      <c r="EK337" s="657"/>
      <c r="EL337" s="657"/>
      <c r="EM337" s="657"/>
      <c r="EN337" s="657"/>
      <c r="EO337" s="657"/>
      <c r="EP337" s="657"/>
      <c r="EQ337" s="657"/>
      <c r="ER337" s="657"/>
      <c r="ES337" s="657"/>
      <c r="ET337" s="657"/>
      <c r="EU337" s="657"/>
      <c r="EV337" s="657"/>
      <c r="EW337" s="657"/>
      <c r="EX337" s="657"/>
      <c r="EY337" s="657"/>
      <c r="EZ337" s="657"/>
      <c r="FA337" s="657"/>
      <c r="FB337" s="657"/>
      <c r="FC337" s="657"/>
      <c r="FD337" s="657"/>
      <c r="FE337" s="657"/>
      <c r="FF337" s="657"/>
      <c r="FG337" s="657"/>
      <c r="FH337" s="657"/>
      <c r="FI337" s="657"/>
      <c r="FJ337" s="657"/>
      <c r="FK337" s="657"/>
      <c r="FL337" s="657"/>
      <c r="FM337" s="657"/>
      <c r="FN337" s="657"/>
      <c r="FO337" s="657"/>
      <c r="FP337" s="657"/>
      <c r="FQ337" s="657"/>
      <c r="FR337" s="657"/>
      <c r="FS337" s="657"/>
      <c r="FT337" s="657"/>
      <c r="FU337" s="657"/>
      <c r="FV337" s="657"/>
      <c r="FW337" s="657"/>
      <c r="FX337" s="657"/>
      <c r="FY337" s="657"/>
      <c r="FZ337" s="657"/>
      <c r="GA337" s="657"/>
      <c r="GB337" s="657"/>
      <c r="GC337" s="657"/>
      <c r="GD337" s="657"/>
      <c r="GE337" s="657"/>
      <c r="GF337" s="657"/>
      <c r="GG337" s="657"/>
      <c r="GH337" s="657"/>
      <c r="GI337" s="657"/>
      <c r="GJ337" s="657"/>
      <c r="GK337" s="657"/>
      <c r="GL337" s="657"/>
      <c r="GM337" s="657"/>
      <c r="GN337" s="657"/>
      <c r="GO337" s="657"/>
      <c r="GP337" s="657"/>
      <c r="GQ337" s="657"/>
      <c r="GR337" s="657"/>
      <c r="GS337" s="657"/>
      <c r="GT337" s="657"/>
      <c r="GU337" s="657"/>
      <c r="GV337" s="657"/>
      <c r="GW337" s="657"/>
      <c r="GX337" s="657"/>
      <c r="GY337" s="657"/>
      <c r="GZ337" s="657"/>
      <c r="HA337" s="657"/>
      <c r="HB337" s="657"/>
      <c r="HC337" s="657"/>
      <c r="HD337" s="657"/>
      <c r="HE337" s="657"/>
      <c r="HF337" s="657"/>
      <c r="HG337" s="657"/>
      <c r="HH337" s="657"/>
      <c r="HI337" s="657"/>
      <c r="HJ337" s="657"/>
      <c r="HK337" s="657"/>
      <c r="HL337" s="657"/>
      <c r="HM337" s="657"/>
      <c r="HN337" s="657"/>
      <c r="HO337" s="657"/>
      <c r="HP337" s="657"/>
      <c r="HQ337" s="657"/>
      <c r="HR337" s="657"/>
      <c r="HS337" s="657"/>
      <c r="HT337" s="657"/>
      <c r="HU337" s="657"/>
      <c r="HV337" s="657"/>
      <c r="HW337" s="657"/>
      <c r="HX337" s="657"/>
      <c r="HY337" s="657"/>
      <c r="HZ337" s="657"/>
      <c r="IA337" s="657"/>
      <c r="IB337" s="657"/>
      <c r="IC337" s="657"/>
      <c r="ID337" s="657"/>
      <c r="IE337" s="657"/>
      <c r="IF337" s="657"/>
      <c r="IG337" s="657"/>
      <c r="IH337" s="657"/>
      <c r="II337" s="657"/>
      <c r="IJ337" s="657"/>
      <c r="IK337" s="657"/>
      <c r="IL337" s="657"/>
      <c r="IM337" s="657"/>
      <c r="IN337" s="657"/>
      <c r="IO337" s="657"/>
      <c r="IP337" s="657"/>
      <c r="IQ337" s="657"/>
      <c r="IR337" s="657"/>
      <c r="IS337" s="657"/>
      <c r="IT337" s="657"/>
      <c r="IU337" s="657"/>
      <c r="IV337" s="657"/>
      <c r="IW337" s="657"/>
      <c r="IX337" s="657"/>
      <c r="IY337" s="657"/>
      <c r="IZ337" s="657"/>
      <c r="JA337" s="657"/>
      <c r="JB337" s="657"/>
      <c r="JC337" s="657"/>
      <c r="JD337" s="657"/>
      <c r="JE337" s="657"/>
      <c r="JF337" s="657"/>
      <c r="JG337" s="657"/>
      <c r="JH337" s="657"/>
      <c r="JI337" s="657"/>
      <c r="JJ337" s="657"/>
      <c r="JK337" s="657"/>
      <c r="JL337" s="657"/>
      <c r="JM337" s="657"/>
      <c r="JN337" s="657"/>
      <c r="JO337" s="657"/>
      <c r="JP337" s="657"/>
      <c r="JQ337" s="657"/>
    </row>
    <row r="338" spans="1:277" ht="20" customHeight="1">
      <c r="A338" s="221"/>
      <c r="B338" s="221"/>
      <c r="C338" s="221"/>
      <c r="D338" s="410"/>
      <c r="F338" s="221"/>
      <c r="G338" s="221"/>
      <c r="I338" s="221"/>
      <c r="J338" s="221"/>
      <c r="K338" s="221"/>
      <c r="L338" s="221"/>
      <c r="M338" s="221"/>
      <c r="N338" s="221"/>
      <c r="O338" s="221"/>
      <c r="P338" s="221"/>
      <c r="R338" s="578" t="s">
        <v>53</v>
      </c>
      <c r="S338" s="579" t="s">
        <v>157</v>
      </c>
      <c r="T338" s="599" t="s">
        <v>92</v>
      </c>
      <c r="U338" s="591" t="s">
        <v>53</v>
      </c>
      <c r="V338" s="580" t="s">
        <v>157</v>
      </c>
      <c r="W338" s="605" t="s">
        <v>92</v>
      </c>
      <c r="X338" s="597" t="s">
        <v>53</v>
      </c>
      <c r="Y338" s="580" t="s">
        <v>157</v>
      </c>
      <c r="Z338" s="605" t="s">
        <v>92</v>
      </c>
      <c r="AA338" s="591" t="s">
        <v>53</v>
      </c>
      <c r="AB338" s="580" t="s">
        <v>157</v>
      </c>
      <c r="AC338" s="605" t="s">
        <v>92</v>
      </c>
      <c r="AD338" s="591" t="s">
        <v>1935</v>
      </c>
      <c r="AE338" s="597" t="s">
        <v>1936</v>
      </c>
      <c r="AF338" s="597" t="s">
        <v>1937</v>
      </c>
      <c r="AG338" s="580" t="s">
        <v>157</v>
      </c>
      <c r="AH338" s="605" t="s">
        <v>92</v>
      </c>
      <c r="AI338" s="606" t="s">
        <v>53</v>
      </c>
      <c r="AJ338" s="606" t="s">
        <v>53</v>
      </c>
      <c r="AL338" s="221"/>
      <c r="AM338" s="221"/>
      <c r="AN338" s="221"/>
      <c r="AO338" s="221"/>
      <c r="AP338" s="221"/>
      <c r="AQ338" s="221"/>
      <c r="AS338" s="221"/>
      <c r="AT338" s="221"/>
      <c r="AU338" s="221" t="s">
        <v>2112</v>
      </c>
      <c r="AV338" s="221"/>
      <c r="AW338" s="221"/>
      <c r="AX338" s="795">
        <f>AX337-AZ337</f>
        <v>73.739999999998872</v>
      </c>
      <c r="AY338" s="221"/>
      <c r="AZ338" s="221"/>
      <c r="BA338" s="221"/>
      <c r="BB338" s="221"/>
      <c r="BC338" s="221"/>
      <c r="BD338" s="221"/>
      <c r="BE338" s="221"/>
      <c r="BF338" s="221"/>
      <c r="BG338" s="221"/>
      <c r="BH338" s="221"/>
      <c r="BI338" s="221"/>
      <c r="BJ338" s="221"/>
      <c r="BK338" s="221"/>
      <c r="BL338" s="221"/>
      <c r="BM338" s="221"/>
      <c r="BN338" s="221"/>
      <c r="BO338" s="221"/>
      <c r="BP338" s="221"/>
      <c r="BQ338" s="221"/>
      <c r="BR338" s="221"/>
      <c r="BS338" s="221"/>
      <c r="BT338" s="221"/>
      <c r="BU338" s="221"/>
      <c r="BV338" s="221"/>
      <c r="BW338" s="221"/>
      <c r="BX338" s="221"/>
      <c r="BY338" s="221"/>
      <c r="BZ338" s="221"/>
      <c r="CA338" s="221"/>
      <c r="CB338" s="221"/>
      <c r="CC338" s="221"/>
      <c r="CD338" s="221"/>
      <c r="CE338" s="221"/>
      <c r="CF338" s="221"/>
      <c r="CG338" s="221"/>
      <c r="CH338" s="221"/>
      <c r="CI338" s="221"/>
      <c r="CJ338" s="221"/>
      <c r="CK338" s="221"/>
      <c r="CL338" s="221"/>
      <c r="CM338" s="221"/>
      <c r="CN338" s="221"/>
      <c r="CO338" s="221"/>
      <c r="CP338" s="221"/>
      <c r="CQ338" s="221"/>
      <c r="CR338" s="221"/>
      <c r="CS338" s="221"/>
      <c r="CT338" s="221"/>
      <c r="CU338" s="221"/>
      <c r="CV338" s="221"/>
      <c r="CW338" s="221"/>
      <c r="CX338" s="221"/>
      <c r="CY338" s="221"/>
      <c r="CZ338" s="221"/>
      <c r="DA338" s="221"/>
      <c r="DB338" s="221"/>
      <c r="DC338" s="221"/>
      <c r="DD338" s="221"/>
      <c r="DE338" s="221"/>
      <c r="DF338" s="221"/>
      <c r="DG338" s="221"/>
      <c r="DH338" s="221"/>
      <c r="DI338" s="221"/>
      <c r="DJ338" s="221"/>
      <c r="DK338" s="221"/>
      <c r="DL338" s="221"/>
      <c r="DM338" s="221"/>
      <c r="DN338" s="221"/>
      <c r="DO338" s="221"/>
      <c r="DP338" s="221"/>
      <c r="DQ338" s="221"/>
      <c r="DR338" s="221"/>
      <c r="DS338" s="221"/>
      <c r="DT338" s="221"/>
      <c r="DU338" s="221"/>
      <c r="DV338" s="221"/>
      <c r="DW338" s="221"/>
      <c r="DX338" s="221"/>
      <c r="DY338" s="221"/>
      <c r="DZ338" s="221"/>
      <c r="EA338" s="221"/>
      <c r="EB338" s="221"/>
      <c r="EC338" s="221"/>
      <c r="ED338" s="221"/>
      <c r="EE338" s="221"/>
      <c r="EF338" s="221"/>
      <c r="EG338" s="221"/>
      <c r="EH338" s="221"/>
      <c r="EI338" s="221"/>
      <c r="EJ338" s="221"/>
      <c r="EK338" s="221"/>
      <c r="EL338" s="221"/>
      <c r="EM338" s="221"/>
      <c r="EN338" s="221"/>
      <c r="EO338" s="221"/>
      <c r="EP338" s="221"/>
      <c r="EQ338" s="221"/>
      <c r="ER338" s="221"/>
      <c r="ES338" s="221"/>
      <c r="ET338" s="221"/>
      <c r="EU338" s="221"/>
      <c r="EV338" s="221"/>
      <c r="EW338" s="221"/>
      <c r="EX338" s="221"/>
      <c r="EY338" s="221"/>
      <c r="EZ338" s="221"/>
      <c r="FA338" s="221"/>
      <c r="FB338" s="221"/>
      <c r="FC338" s="221"/>
      <c r="FD338" s="221"/>
      <c r="FE338" s="221"/>
      <c r="FF338" s="221"/>
      <c r="FG338" s="221"/>
      <c r="FH338" s="221"/>
      <c r="FI338" s="221"/>
      <c r="FJ338" s="221"/>
      <c r="FK338" s="221"/>
      <c r="FL338" s="221"/>
      <c r="FM338" s="221"/>
      <c r="FN338" s="221"/>
      <c r="FO338" s="221"/>
      <c r="FP338" s="221"/>
      <c r="FQ338" s="221"/>
      <c r="FR338" s="221"/>
      <c r="FS338" s="221"/>
      <c r="FT338" s="221"/>
      <c r="FU338" s="221"/>
      <c r="FV338" s="221"/>
      <c r="FW338" s="221"/>
      <c r="FX338" s="221"/>
      <c r="FY338" s="221"/>
      <c r="FZ338" s="221"/>
      <c r="GA338" s="221"/>
      <c r="GB338" s="221"/>
      <c r="GC338" s="221"/>
      <c r="GD338" s="221"/>
      <c r="GE338" s="221"/>
      <c r="GF338" s="221"/>
      <c r="GG338" s="221"/>
      <c r="GH338" s="221"/>
      <c r="GI338" s="221"/>
      <c r="GJ338" s="221"/>
      <c r="GK338" s="221"/>
      <c r="GL338" s="221"/>
      <c r="GM338" s="221"/>
      <c r="GN338" s="221"/>
      <c r="GO338" s="221"/>
      <c r="GP338" s="221"/>
      <c r="GQ338" s="221"/>
      <c r="GR338" s="221"/>
      <c r="GS338" s="221"/>
      <c r="GT338" s="221"/>
      <c r="GU338" s="221"/>
      <c r="GV338" s="221"/>
      <c r="GW338" s="221"/>
      <c r="GX338" s="221"/>
      <c r="GY338" s="221"/>
      <c r="GZ338" s="221"/>
      <c r="HA338" s="221"/>
      <c r="HB338" s="221"/>
      <c r="HC338" s="221"/>
      <c r="HD338" s="221"/>
      <c r="HE338" s="221"/>
      <c r="HF338" s="221"/>
      <c r="HG338" s="221"/>
      <c r="HH338" s="221"/>
      <c r="HI338" s="221"/>
      <c r="HJ338" s="221"/>
      <c r="HK338" s="221"/>
      <c r="HL338" s="221"/>
      <c r="HM338" s="221"/>
      <c r="HN338" s="221"/>
      <c r="HO338" s="221"/>
      <c r="HP338" s="221"/>
      <c r="HQ338" s="221"/>
      <c r="HR338" s="221"/>
      <c r="HS338" s="221"/>
      <c r="HT338" s="221"/>
      <c r="HU338" s="221"/>
      <c r="HV338" s="221"/>
      <c r="HW338" s="221"/>
      <c r="HX338" s="221"/>
      <c r="HY338" s="221"/>
      <c r="HZ338" s="221"/>
      <c r="IA338" s="221"/>
      <c r="IB338" s="221"/>
      <c r="IC338" s="221"/>
      <c r="ID338" s="221"/>
      <c r="IE338" s="221"/>
      <c r="IF338" s="221"/>
      <c r="IG338" s="221"/>
      <c r="IH338" s="221"/>
      <c r="II338" s="221"/>
      <c r="IJ338" s="221"/>
      <c r="IK338" s="221"/>
      <c r="IL338" s="221"/>
      <c r="IM338" s="221"/>
      <c r="IN338" s="221"/>
      <c r="IO338" s="221"/>
      <c r="IP338" s="221"/>
      <c r="IQ338" s="221"/>
      <c r="IR338" s="221"/>
      <c r="IS338" s="221"/>
      <c r="IT338" s="221"/>
      <c r="IU338" s="221"/>
      <c r="IV338" s="221"/>
      <c r="IW338" s="221"/>
      <c r="IX338" s="221"/>
      <c r="IY338" s="221"/>
      <c r="IZ338" s="221"/>
      <c r="JA338" s="221"/>
      <c r="JB338" s="221"/>
      <c r="JC338" s="221"/>
      <c r="JD338" s="221"/>
      <c r="JE338" s="221"/>
      <c r="JF338" s="221"/>
      <c r="JG338" s="221"/>
      <c r="JH338" s="221"/>
      <c r="JI338" s="221"/>
      <c r="JJ338" s="221"/>
      <c r="JK338" s="221"/>
      <c r="JL338" s="221"/>
      <c r="JM338" s="221"/>
      <c r="JN338" s="221"/>
      <c r="JO338" s="221"/>
      <c r="JP338" s="221"/>
      <c r="JQ338" s="221"/>
    </row>
    <row r="339" spans="1:277" ht="20" customHeight="1">
      <c r="A339" s="221"/>
      <c r="B339" s="221"/>
      <c r="C339" s="221"/>
      <c r="D339" s="410"/>
      <c r="F339" s="221"/>
      <c r="G339" s="221"/>
      <c r="I339" s="221"/>
      <c r="J339" s="221"/>
      <c r="K339" s="221"/>
      <c r="L339" s="221"/>
      <c r="M339" s="221"/>
      <c r="N339" s="221"/>
      <c r="O339" s="221"/>
      <c r="P339" s="221"/>
      <c r="R339" s="887" t="s">
        <v>77</v>
      </c>
      <c r="S339" s="888"/>
      <c r="T339" s="889"/>
      <c r="U339" s="890" t="s">
        <v>54</v>
      </c>
      <c r="V339" s="891"/>
      <c r="W339" s="892"/>
      <c r="X339" s="893" t="s">
        <v>195</v>
      </c>
      <c r="Y339" s="894"/>
      <c r="Z339" s="895"/>
      <c r="AA339" s="896" t="s">
        <v>82</v>
      </c>
      <c r="AB339" s="897"/>
      <c r="AC339" s="898"/>
      <c r="AD339" s="899" t="s">
        <v>64</v>
      </c>
      <c r="AE339" s="900"/>
      <c r="AF339" s="900"/>
      <c r="AG339" s="900"/>
      <c r="AH339" s="901"/>
      <c r="AI339" s="662" t="s">
        <v>113</v>
      </c>
      <c r="AJ339" s="662" t="s">
        <v>113</v>
      </c>
      <c r="AL339" s="221"/>
      <c r="AM339" s="221"/>
      <c r="AN339" s="221"/>
      <c r="AO339" s="221"/>
      <c r="AP339" s="221"/>
      <c r="AQ339" s="221"/>
      <c r="AS339" s="221"/>
      <c r="AT339" s="221"/>
      <c r="AU339" s="221"/>
      <c r="AV339" s="221"/>
      <c r="AW339" s="221"/>
      <c r="AX339" s="221"/>
      <c r="AY339" s="221"/>
      <c r="AZ339" s="221"/>
      <c r="BA339" s="221"/>
      <c r="BB339" s="221"/>
      <c r="BC339" s="221"/>
      <c r="BD339" s="221"/>
      <c r="BE339" s="221"/>
      <c r="BF339" s="221"/>
      <c r="BG339" s="221"/>
      <c r="BH339" s="221"/>
      <c r="BI339" s="221"/>
      <c r="BJ339" s="221"/>
      <c r="BK339" s="221"/>
      <c r="BL339" s="221"/>
      <c r="BM339" s="221"/>
      <c r="BN339" s="221"/>
      <c r="BO339" s="221"/>
      <c r="BP339" s="221"/>
      <c r="BQ339" s="221"/>
      <c r="BR339" s="221"/>
      <c r="BS339" s="221"/>
      <c r="BT339" s="221"/>
      <c r="BU339" s="221"/>
      <c r="BV339" s="221"/>
      <c r="BW339" s="221"/>
      <c r="BX339" s="221"/>
      <c r="BY339" s="221"/>
      <c r="BZ339" s="221"/>
      <c r="CA339" s="221"/>
      <c r="CB339" s="221"/>
      <c r="CC339" s="221"/>
      <c r="CD339" s="221"/>
      <c r="CE339" s="221"/>
      <c r="CF339" s="221"/>
      <c r="CG339" s="221"/>
      <c r="CH339" s="221"/>
      <c r="CI339" s="221"/>
      <c r="CJ339" s="221"/>
      <c r="CK339" s="221"/>
      <c r="CL339" s="221"/>
      <c r="CM339" s="221"/>
      <c r="CN339" s="221"/>
      <c r="CO339" s="221"/>
      <c r="CP339" s="221"/>
      <c r="CQ339" s="221"/>
      <c r="CR339" s="221"/>
      <c r="CS339" s="221"/>
      <c r="CT339" s="221"/>
      <c r="CU339" s="221"/>
      <c r="CV339" s="221"/>
      <c r="CW339" s="221"/>
      <c r="CX339" s="221"/>
      <c r="CY339" s="221"/>
      <c r="CZ339" s="221"/>
      <c r="DA339" s="221"/>
      <c r="DB339" s="221"/>
      <c r="DC339" s="221"/>
      <c r="DD339" s="221"/>
      <c r="DE339" s="221"/>
      <c r="DF339" s="221"/>
      <c r="DG339" s="221"/>
      <c r="DH339" s="221"/>
      <c r="DI339" s="221"/>
      <c r="DJ339" s="221"/>
      <c r="DK339" s="221"/>
      <c r="DL339" s="221"/>
      <c r="DM339" s="221"/>
      <c r="DN339" s="221"/>
      <c r="DO339" s="221"/>
      <c r="DP339" s="221"/>
      <c r="DQ339" s="221"/>
      <c r="DR339" s="221"/>
      <c r="DS339" s="221"/>
      <c r="DT339" s="221"/>
      <c r="DU339" s="221"/>
      <c r="DV339" s="221"/>
      <c r="DW339" s="221"/>
      <c r="DX339" s="221"/>
      <c r="DY339" s="221"/>
      <c r="DZ339" s="221"/>
      <c r="EA339" s="221"/>
      <c r="EB339" s="221"/>
      <c r="EC339" s="221"/>
      <c r="ED339" s="221"/>
      <c r="EE339" s="221"/>
      <c r="EF339" s="221"/>
      <c r="EG339" s="221"/>
      <c r="EH339" s="221"/>
      <c r="EI339" s="221"/>
      <c r="EJ339" s="221"/>
      <c r="EK339" s="221"/>
      <c r="EL339" s="221"/>
      <c r="EM339" s="221"/>
      <c r="EN339" s="221"/>
      <c r="EO339" s="221"/>
      <c r="EP339" s="221"/>
      <c r="EQ339" s="221"/>
      <c r="ER339" s="221"/>
      <c r="ES339" s="221"/>
      <c r="ET339" s="221"/>
      <c r="EU339" s="221"/>
      <c r="EV339" s="221"/>
      <c r="EW339" s="221"/>
      <c r="EX339" s="221"/>
      <c r="EY339" s="221"/>
      <c r="EZ339" s="221"/>
      <c r="FA339" s="221"/>
      <c r="FB339" s="221"/>
      <c r="FC339" s="221"/>
      <c r="FD339" s="221"/>
      <c r="FE339" s="221"/>
      <c r="FF339" s="221"/>
      <c r="FG339" s="221"/>
      <c r="FH339" s="221"/>
      <c r="FI339" s="221"/>
      <c r="FJ339" s="221"/>
      <c r="FK339" s="221"/>
      <c r="FL339" s="221"/>
      <c r="FM339" s="221"/>
      <c r="FN339" s="221"/>
      <c r="FO339" s="221"/>
      <c r="FP339" s="221"/>
      <c r="FQ339" s="221"/>
      <c r="FR339" s="221"/>
      <c r="FS339" s="221"/>
      <c r="FT339" s="221"/>
      <c r="FU339" s="221"/>
      <c r="FV339" s="221"/>
      <c r="FW339" s="221"/>
      <c r="FX339" s="221"/>
      <c r="FY339" s="221"/>
      <c r="FZ339" s="221"/>
      <c r="GA339" s="221"/>
      <c r="GB339" s="221"/>
      <c r="GC339" s="221"/>
      <c r="GD339" s="221"/>
      <c r="GE339" s="221"/>
      <c r="GF339" s="221"/>
      <c r="GG339" s="221"/>
      <c r="GH339" s="221"/>
      <c r="GI339" s="221"/>
      <c r="GJ339" s="221"/>
      <c r="GK339" s="221"/>
      <c r="GL339" s="221"/>
      <c r="GM339" s="221"/>
      <c r="GN339" s="221"/>
      <c r="GO339" s="221"/>
      <c r="GP339" s="221"/>
      <c r="GQ339" s="221"/>
      <c r="GR339" s="221"/>
      <c r="GS339" s="221"/>
      <c r="GT339" s="221"/>
      <c r="GU339" s="221"/>
      <c r="GV339" s="221"/>
      <c r="GW339" s="221"/>
      <c r="GX339" s="221"/>
      <c r="GY339" s="221"/>
      <c r="GZ339" s="221"/>
      <c r="HA339" s="221"/>
      <c r="HB339" s="221"/>
      <c r="HC339" s="221"/>
      <c r="HD339" s="221"/>
      <c r="HE339" s="221"/>
      <c r="HF339" s="221"/>
      <c r="HG339" s="221"/>
      <c r="HH339" s="221"/>
      <c r="HI339" s="221"/>
      <c r="HJ339" s="221"/>
      <c r="HK339" s="221"/>
      <c r="HL339" s="221"/>
      <c r="HM339" s="221"/>
      <c r="HN339" s="221"/>
      <c r="HO339" s="221"/>
      <c r="HP339" s="221"/>
      <c r="HQ339" s="221"/>
      <c r="HR339" s="221"/>
      <c r="HS339" s="221"/>
      <c r="HT339" s="221"/>
      <c r="HU339" s="221"/>
      <c r="HV339" s="221"/>
      <c r="HW339" s="221"/>
      <c r="HX339" s="221"/>
      <c r="HY339" s="221"/>
      <c r="HZ339" s="221"/>
      <c r="IA339" s="221"/>
      <c r="IB339" s="221"/>
      <c r="IC339" s="221"/>
      <c r="ID339" s="221"/>
      <c r="IE339" s="221"/>
      <c r="IF339" s="221"/>
      <c r="IG339" s="221"/>
      <c r="IH339" s="221"/>
      <c r="II339" s="221"/>
      <c r="IJ339" s="221"/>
      <c r="IK339" s="221"/>
      <c r="IL339" s="221"/>
      <c r="IM339" s="221"/>
      <c r="IN339" s="221"/>
      <c r="IO339" s="221"/>
      <c r="IP339" s="221"/>
      <c r="IQ339" s="221"/>
      <c r="IR339" s="221"/>
      <c r="IS339" s="221"/>
      <c r="IT339" s="221"/>
      <c r="IU339" s="221"/>
      <c r="IV339" s="221"/>
      <c r="IW339" s="221"/>
      <c r="IX339" s="221"/>
      <c r="IY339" s="221"/>
      <c r="IZ339" s="221"/>
      <c r="JA339" s="221"/>
      <c r="JB339" s="221"/>
      <c r="JC339" s="221"/>
      <c r="JD339" s="221"/>
      <c r="JE339" s="221"/>
      <c r="JF339" s="221"/>
      <c r="JG339" s="221"/>
      <c r="JH339" s="221"/>
      <c r="JI339" s="221"/>
      <c r="JJ339" s="221"/>
      <c r="JK339" s="221"/>
      <c r="JL339" s="221"/>
      <c r="JM339" s="221"/>
      <c r="JN339" s="221"/>
      <c r="JO339" s="221"/>
      <c r="JP339" s="221"/>
      <c r="JQ339" s="221"/>
    </row>
    <row r="340" spans="1:277" ht="20" customHeight="1">
      <c r="D340" s="410"/>
    </row>
    <row r="341" spans="1:277" ht="20" customHeight="1">
      <c r="D341" s="410"/>
    </row>
    <row r="342" spans="1:277" ht="20" customHeight="1">
      <c r="D342" s="410"/>
    </row>
    <row r="344" spans="1:277" ht="20" customHeight="1">
      <c r="N344" s="410"/>
    </row>
    <row r="345" spans="1:277" ht="20" customHeight="1">
      <c r="N345" s="410"/>
    </row>
    <row r="346" spans="1:277" ht="20" customHeight="1">
      <c r="N346" s="410"/>
    </row>
  </sheetData>
  <autoFilter ref="C3:E299" xr:uid="{935C87E2-C6AD-2042-9902-6225DD556F43}"/>
  <mergeCells count="20">
    <mergeCell ref="A1:BG1"/>
    <mergeCell ref="AT2:AZ2"/>
    <mergeCell ref="BA2:BB2"/>
    <mergeCell ref="N2:O2"/>
    <mergeCell ref="K2:M2"/>
    <mergeCell ref="G2:I2"/>
    <mergeCell ref="B2:E2"/>
    <mergeCell ref="BC2:BG2"/>
    <mergeCell ref="R3:T3"/>
    <mergeCell ref="AL2:AQ2"/>
    <mergeCell ref="R2:AJ2"/>
    <mergeCell ref="U3:W3"/>
    <mergeCell ref="X3:Z3"/>
    <mergeCell ref="AA3:AC3"/>
    <mergeCell ref="AD3:AH3"/>
    <mergeCell ref="R339:T339"/>
    <mergeCell ref="U339:W339"/>
    <mergeCell ref="X339:Z339"/>
    <mergeCell ref="AA339:AC339"/>
    <mergeCell ref="AD339:AH339"/>
  </mergeCells>
  <phoneticPr fontId="63" type="noConversion"/>
  <conditionalFormatting sqref="I162:I167 I152:I160 I49:I85 I105:I150 I5:I47 I97:I103 I169:I210 I212:I241 I246:I250 I252:I298 I303:I331">
    <cfRule type="containsText" dxfId="62" priority="106" stopIfTrue="1" operator="containsText" text="pending">
      <formula>NOT(ISERROR(FIND(UPPER("pending"),UPPER(I5))))</formula>
      <formula>"pending"</formula>
    </cfRule>
  </conditionalFormatting>
  <conditionalFormatting sqref="AO5:AO25 AO205:AO210 AO152:AO167 AO193:AO202 AO49:AO85 AO105:AO150 AO27:AO47 AO97:AO103 AO169:AO190 AO212:AO235 AO237:AO241 AO246:AO250 AO252:AO297 AO301:AO331">
    <cfRule type="notContainsBlanks" dxfId="61" priority="107" stopIfTrue="1">
      <formula>NOT(ISBLANK(AO5))</formula>
    </cfRule>
  </conditionalFormatting>
  <conditionalFormatting sqref="AQ49:AR85 AQ105:AR138 AQ5:AR47 AQ140:AR150 AQ139">
    <cfRule type="cellIs" dxfId="60" priority="108" stopIfTrue="1" operator="lessThan">
      <formula>0</formula>
    </cfRule>
    <cfRule type="cellIs" dxfId="59" priority="108" stopIfTrue="1" operator="greaterThanOrEqual">
      <formula>0</formula>
    </cfRule>
  </conditionalFormatting>
  <conditionalFormatting sqref="AS152:AS167 AS205:AS210 AS49:AS85 AS105:AS132 AS134:AS150 AS5:AS47 AS97:AS103 AS169:AS201 AS212:AS235 AS237:AS241 AS246:AS250 AS252:AS298 AS301:AS331">
    <cfRule type="containsBlanks" dxfId="58" priority="109" stopIfTrue="1">
      <formula>ISBLANK(AS5)</formula>
    </cfRule>
  </conditionalFormatting>
  <conditionalFormatting sqref="J14 J152:J160 J212:J216 J205:J210 J64:J85 J105:J150 J169:J202">
    <cfRule type="cellIs" dxfId="57" priority="110" stopIfTrue="1" operator="equal">
      <formula>"required"</formula>
    </cfRule>
  </conditionalFormatting>
  <conditionalFormatting sqref="AQ152:AR167 AQ169:AR202 AQ237:AQ241 AQ205:AR211 AQ246:AQ250 AQ212:AQ235 AQ252:AQ298 AR212:AR298">
    <cfRule type="cellIs" dxfId="56" priority="96" stopIfTrue="1" operator="lessThan">
      <formula>0</formula>
    </cfRule>
  </conditionalFormatting>
  <conditionalFormatting sqref="I161">
    <cfRule type="containsText" dxfId="55" priority="88" stopIfTrue="1" operator="containsText" text="pending">
      <formula>NOT(ISERROR(FIND(UPPER("pending"),UPPER(I161))))</formula>
      <formula>"pending"</formula>
    </cfRule>
  </conditionalFormatting>
  <conditionalFormatting sqref="J161:J167">
    <cfRule type="cellIs" dxfId="54" priority="89" stopIfTrue="1" operator="equal">
      <formula>"required"</formula>
    </cfRule>
  </conditionalFormatting>
  <conditionalFormatting sqref="I168">
    <cfRule type="containsText" dxfId="53" priority="85" stopIfTrue="1" operator="containsText" text="pending">
      <formula>NOT(ISERROR(FIND(UPPER("pending"),UPPER(I168))))</formula>
      <formula>"pending"</formula>
    </cfRule>
  </conditionalFormatting>
  <conditionalFormatting sqref="AO168">
    <cfRule type="notContainsBlanks" dxfId="52" priority="86" stopIfTrue="1">
      <formula>NOT(ISBLANK(AO168))</formula>
    </cfRule>
  </conditionalFormatting>
  <conditionalFormatting sqref="AS168">
    <cfRule type="containsBlanks" dxfId="51" priority="87" stopIfTrue="1">
      <formula>ISBLANK(AS168)</formula>
    </cfRule>
  </conditionalFormatting>
  <conditionalFormatting sqref="AQ168:AR168">
    <cfRule type="cellIs" dxfId="50" priority="84" stopIfTrue="1" operator="lessThan">
      <formula>0</formula>
    </cfRule>
  </conditionalFormatting>
  <conditionalFormatting sqref="J168">
    <cfRule type="cellIs" dxfId="49" priority="83" stopIfTrue="1" operator="equal">
      <formula>"required"</formula>
    </cfRule>
  </conditionalFormatting>
  <conditionalFormatting sqref="AO203:AO204">
    <cfRule type="notContainsBlanks" dxfId="48" priority="76" stopIfTrue="1">
      <formula>NOT(ISBLANK(AO203))</formula>
    </cfRule>
  </conditionalFormatting>
  <conditionalFormatting sqref="AS203:AS204">
    <cfRule type="containsBlanks" dxfId="47" priority="77" stopIfTrue="1">
      <formula>ISBLANK(AS203)</formula>
    </cfRule>
  </conditionalFormatting>
  <conditionalFormatting sqref="AQ203:AR204">
    <cfRule type="cellIs" dxfId="46" priority="74" stopIfTrue="1" operator="lessThan">
      <formula>0</formula>
    </cfRule>
  </conditionalFormatting>
  <conditionalFormatting sqref="J203:J204">
    <cfRule type="cellIs" dxfId="45" priority="73" stopIfTrue="1" operator="equal">
      <formula>"required"</formula>
    </cfRule>
  </conditionalFormatting>
  <conditionalFormatting sqref="AS202">
    <cfRule type="containsBlanks" dxfId="44" priority="72" stopIfTrue="1">
      <formula>ISBLANK(AS202)</formula>
    </cfRule>
  </conditionalFormatting>
  <conditionalFormatting sqref="I211">
    <cfRule type="containsText" dxfId="43" priority="67" stopIfTrue="1" operator="containsText" text="pending">
      <formula>NOT(ISERROR(FIND(UPPER("pending"),UPPER(I211))))</formula>
      <formula>"pending"</formula>
    </cfRule>
  </conditionalFormatting>
  <conditionalFormatting sqref="AO211">
    <cfRule type="notContainsBlanks" dxfId="42" priority="68" stopIfTrue="1">
      <formula>NOT(ISBLANK(AO211))</formula>
    </cfRule>
  </conditionalFormatting>
  <conditionalFormatting sqref="AS211">
    <cfRule type="containsBlanks" dxfId="41" priority="69" stopIfTrue="1">
      <formula>ISBLANK(AS211)</formula>
    </cfRule>
  </conditionalFormatting>
  <conditionalFormatting sqref="J211">
    <cfRule type="cellIs" dxfId="40" priority="70" stopIfTrue="1" operator="equal">
      <formula>"required"</formula>
    </cfRule>
  </conditionalFormatting>
  <conditionalFormatting sqref="AP210">
    <cfRule type="notContainsBlanks" dxfId="39" priority="64" stopIfTrue="1">
      <formula>NOT(ISBLANK(AP210))</formula>
    </cfRule>
  </conditionalFormatting>
  <conditionalFormatting sqref="AO191">
    <cfRule type="notContainsBlanks" dxfId="38" priority="63" stopIfTrue="1">
      <formula>NOT(ISBLANK(AO191))</formula>
    </cfRule>
  </conditionalFormatting>
  <conditionalFormatting sqref="AO192">
    <cfRule type="notContainsBlanks" dxfId="37" priority="61" stopIfTrue="1">
      <formula>NOT(ISBLANK(AO192))</formula>
    </cfRule>
  </conditionalFormatting>
  <conditionalFormatting sqref="I104">
    <cfRule type="containsText" dxfId="36" priority="50" stopIfTrue="1" operator="containsText" text="pending">
      <formula>NOT(ISERROR(FIND(UPPER("pending"),UPPER(I104))))</formula>
      <formula>"pending"</formula>
    </cfRule>
  </conditionalFormatting>
  <conditionalFormatting sqref="AO104">
    <cfRule type="notContainsBlanks" dxfId="35" priority="51" stopIfTrue="1">
      <formula>NOT(ISBLANK(AO104))</formula>
    </cfRule>
  </conditionalFormatting>
  <conditionalFormatting sqref="J104">
    <cfRule type="cellIs" dxfId="34" priority="53" stopIfTrue="1" operator="equal">
      <formula>"required"</formula>
    </cfRule>
  </conditionalFormatting>
  <conditionalFormatting sqref="I86:I96">
    <cfRule type="containsText" dxfId="33" priority="36" stopIfTrue="1" operator="containsText" text="pending">
      <formula>NOT(ISERROR(FIND(UPPER("pending"),UPPER(I86))))</formula>
      <formula>"pending"</formula>
    </cfRule>
  </conditionalFormatting>
  <conditionalFormatting sqref="AO86:AO96">
    <cfRule type="notContainsBlanks" dxfId="32" priority="37" stopIfTrue="1">
      <formula>NOT(ISBLANK(AO86))</formula>
    </cfRule>
  </conditionalFormatting>
  <conditionalFormatting sqref="AQ86:AR103">
    <cfRule type="cellIs" dxfId="31" priority="38" stopIfTrue="1" operator="lessThan">
      <formula>0</formula>
    </cfRule>
  </conditionalFormatting>
  <conditionalFormatting sqref="AS86:AS96">
    <cfRule type="containsBlanks" dxfId="30" priority="39" stopIfTrue="1">
      <formula>ISBLANK(AS86)</formula>
    </cfRule>
  </conditionalFormatting>
  <conditionalFormatting sqref="J86:J103">
    <cfRule type="cellIs" dxfId="29" priority="40" stopIfTrue="1" operator="equal">
      <formula>"required"</formula>
    </cfRule>
  </conditionalFormatting>
  <conditionalFormatting sqref="I299">
    <cfRule type="containsText" dxfId="28" priority="32" stopIfTrue="1" operator="containsText" text="pending">
      <formula>NOT(ISERROR(FIND(UPPER("pending"),UPPER(I299))))</formula>
      <formula>"pending"</formula>
    </cfRule>
  </conditionalFormatting>
  <conditionalFormatting sqref="AO299">
    <cfRule type="notContainsBlanks" dxfId="27" priority="33" stopIfTrue="1">
      <formula>NOT(ISBLANK(AO299))</formula>
    </cfRule>
  </conditionalFormatting>
  <conditionalFormatting sqref="AS299">
    <cfRule type="containsBlanks" dxfId="26" priority="34" stopIfTrue="1">
      <formula>ISBLANK(AS299)</formula>
    </cfRule>
  </conditionalFormatting>
  <conditionalFormatting sqref="J299">
    <cfRule type="cellIs" dxfId="25" priority="35" stopIfTrue="1" operator="equal">
      <formula>"required"</formula>
    </cfRule>
  </conditionalFormatting>
  <conditionalFormatting sqref="AQ299:AR299">
    <cfRule type="cellIs" dxfId="24" priority="31" stopIfTrue="1" operator="lessThan">
      <formula>0</formula>
    </cfRule>
  </conditionalFormatting>
  <conditionalFormatting sqref="AP299">
    <cfRule type="notContainsBlanks" dxfId="23" priority="30" stopIfTrue="1">
      <formula>NOT(ISBLANK(AP299))</formula>
    </cfRule>
  </conditionalFormatting>
  <conditionalFormatting sqref="AQ236">
    <cfRule type="cellIs" dxfId="22" priority="22" stopIfTrue="1" operator="lessThan">
      <formula>0</formula>
    </cfRule>
  </conditionalFormatting>
  <conditionalFormatting sqref="AO236">
    <cfRule type="notContainsBlanks" dxfId="21" priority="23" stopIfTrue="1">
      <formula>NOT(ISBLANK(AO236))</formula>
    </cfRule>
  </conditionalFormatting>
  <conditionalFormatting sqref="AS236">
    <cfRule type="containsBlanks" dxfId="20" priority="24" stopIfTrue="1">
      <formula>ISBLANK(AS236)</formula>
    </cfRule>
  </conditionalFormatting>
  <conditionalFormatting sqref="I242:I245">
    <cfRule type="containsText" dxfId="19" priority="19" stopIfTrue="1" operator="containsText" text="pending">
      <formula>NOT(ISERROR(FIND(UPPER("pending"),UPPER(I242))))</formula>
      <formula>"pending"</formula>
    </cfRule>
  </conditionalFormatting>
  <conditionalFormatting sqref="AO242:AO245">
    <cfRule type="notContainsBlanks" dxfId="18" priority="20" stopIfTrue="1">
      <formula>NOT(ISBLANK(AO242))</formula>
    </cfRule>
  </conditionalFormatting>
  <conditionalFormatting sqref="AS242:AS245">
    <cfRule type="containsBlanks" dxfId="17" priority="21" stopIfTrue="1">
      <formula>ISBLANK(AS242)</formula>
    </cfRule>
  </conditionalFormatting>
  <conditionalFormatting sqref="AQ242:AQ245">
    <cfRule type="cellIs" dxfId="16" priority="18" stopIfTrue="1" operator="lessThan">
      <formula>0</formula>
    </cfRule>
  </conditionalFormatting>
  <conditionalFormatting sqref="AX338">
    <cfRule type="cellIs" dxfId="15" priority="16" stopIfTrue="1" operator="lessThan">
      <formula>0</formula>
    </cfRule>
  </conditionalFormatting>
  <conditionalFormatting sqref="AP332">
    <cfRule type="notContainsBlanks" dxfId="14" priority="6" stopIfTrue="1">
      <formula>NOT(ISBLANK(AP332))</formula>
    </cfRule>
  </conditionalFormatting>
  <conditionalFormatting sqref="I301">
    <cfRule type="containsText" dxfId="13" priority="13" stopIfTrue="1" operator="containsText" text="pending">
      <formula>NOT(ISERROR(FIND(UPPER("pending"),UPPER(I301))))</formula>
      <formula>"pending"</formula>
    </cfRule>
  </conditionalFormatting>
  <conditionalFormatting sqref="AQ322:AR328 AQ315:AQ318 AQ301:AR314">
    <cfRule type="cellIs" dxfId="12" priority="12" stopIfTrue="1" operator="lessThan">
      <formula>0</formula>
    </cfRule>
  </conditionalFormatting>
  <conditionalFormatting sqref="I332">
    <cfRule type="containsText" dxfId="11" priority="8" stopIfTrue="1" operator="containsText" text="pending">
      <formula>NOT(ISERROR(FIND(UPPER("pending"),UPPER(I332))))</formula>
      <formula>"pending"</formula>
    </cfRule>
  </conditionalFormatting>
  <conditionalFormatting sqref="AO332">
    <cfRule type="notContainsBlanks" dxfId="10" priority="9" stopIfTrue="1">
      <formula>NOT(ISBLANK(AO332))</formula>
    </cfRule>
  </conditionalFormatting>
  <conditionalFormatting sqref="AS332">
    <cfRule type="containsBlanks" dxfId="9" priority="10" stopIfTrue="1">
      <formula>ISBLANK(AS332)</formula>
    </cfRule>
  </conditionalFormatting>
  <conditionalFormatting sqref="J332">
    <cfRule type="cellIs" dxfId="8" priority="11" stopIfTrue="1" operator="equal">
      <formula>"required"</formula>
    </cfRule>
  </conditionalFormatting>
  <conditionalFormatting sqref="AQ332:AR332">
    <cfRule type="cellIs" dxfId="7" priority="7" stopIfTrue="1" operator="lessThan">
      <formula>0</formula>
    </cfRule>
  </conditionalFormatting>
  <conditionalFormatting sqref="I302">
    <cfRule type="containsText" dxfId="6" priority="5" stopIfTrue="1" operator="containsText" text="pending">
      <formula>NOT(ISERROR(FIND(UPPER("pending"),UPPER(I302))))</formula>
      <formula>"pending"</formula>
    </cfRule>
  </conditionalFormatting>
  <conditionalFormatting sqref="AR321:AR331">
    <cfRule type="cellIs" dxfId="5" priority="4" stopIfTrue="1" operator="lessThan">
      <formula>0</formula>
    </cfRule>
  </conditionalFormatting>
  <conditionalFormatting sqref="AQ319:AQ331">
    <cfRule type="cellIs" dxfId="4" priority="3" stopIfTrue="1" operator="lessThan">
      <formula>0</formula>
    </cfRule>
  </conditionalFormatting>
  <conditionalFormatting sqref="AR315:AR320">
    <cfRule type="cellIs" dxfId="3" priority="2" stopIfTrue="1" operator="lessThan">
      <formula>0</formula>
    </cfRule>
  </conditionalFormatting>
  <conditionalFormatting sqref="AO298">
    <cfRule type="notContainsBlanks" dxfId="2" priority="1" stopIfTrue="1">
      <formula>NOT(ISBLANK(AO298))</formula>
    </cfRule>
  </conditionalFormatting>
  <pageMargins left="1" right="1" top="1" bottom="1" header="0.25" footer="0.25"/>
  <pageSetup scale="10" orientation="portrait"/>
  <headerFooter>
    <oddFooter>&amp;C&amp;"Helvetica Neue,Regular"&amp;12&amp;K000000&amp;P</oddFooter>
  </headerFooter>
  <ignoredErrors>
    <ignoredError sqref="AR214" evalError="1"/>
  </ignoredErrors>
  <legacy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2">
    <pageSetUpPr fitToPage="1"/>
  </sheetPr>
  <dimension ref="A1:IW436"/>
  <sheetViews>
    <sheetView showGridLines="0" workbookViewId="0">
      <selection activeCell="K359" sqref="K359"/>
    </sheetView>
  </sheetViews>
  <sheetFormatPr baseColWidth="10" defaultColWidth="16.33203125" defaultRowHeight="20" customHeight="1"/>
  <cols>
    <col min="1" max="1" width="7.6640625" style="118" customWidth="1"/>
    <col min="2" max="2" width="18.1640625" style="118" customWidth="1"/>
    <col min="3" max="3" width="20.1640625" style="118" customWidth="1"/>
    <col min="4" max="4" width="16.33203125" style="120" customWidth="1"/>
    <col min="5" max="5" width="13.6640625" style="120" customWidth="1"/>
    <col min="6" max="6" width="16.33203125" style="121" customWidth="1"/>
    <col min="7" max="7" width="13.6640625" style="121" customWidth="1"/>
    <col min="8" max="8" width="16.33203125" style="122" customWidth="1"/>
    <col min="9" max="9" width="13.6640625" style="122" customWidth="1"/>
    <col min="10" max="10" width="13.6640625" style="221" customWidth="1"/>
    <col min="11" max="11" width="16.33203125" style="123" customWidth="1"/>
    <col min="12" max="12" width="13.6640625" style="123" customWidth="1"/>
    <col min="13" max="13" width="12.1640625" style="124" hidden="1" customWidth="1"/>
    <col min="14" max="14" width="11.83203125" style="124" hidden="1" customWidth="1"/>
    <col min="15" max="15" width="8.6640625" style="124" hidden="1" customWidth="1"/>
    <col min="16" max="17" width="16.33203125" style="124" hidden="1" customWidth="1"/>
    <col min="18" max="18" width="9.6640625" style="124" hidden="1" customWidth="1"/>
    <col min="19" max="19" width="6.83203125" style="124" hidden="1" customWidth="1"/>
    <col min="20" max="20" width="13.83203125" style="124" hidden="1" customWidth="1"/>
    <col min="21" max="31" width="16.33203125" style="124" hidden="1" customWidth="1"/>
    <col min="32" max="32" width="33.33203125" style="160" customWidth="1"/>
    <col min="33" max="33" width="39.6640625" style="160" customWidth="1"/>
    <col min="34" max="34" width="28.33203125" style="160" customWidth="1"/>
    <col min="35" max="35" width="25.6640625" style="325" customWidth="1"/>
    <col min="36" max="36" width="25.6640625" style="221" customWidth="1"/>
    <col min="37" max="37" width="12" style="160" customWidth="1"/>
    <col min="38" max="41" width="16.33203125" style="160" customWidth="1"/>
    <col min="42" max="42" width="42.1640625" style="160" customWidth="1"/>
    <col min="43" max="43" width="16.33203125" style="170" customWidth="1"/>
    <col min="44" max="44" width="8.1640625" style="170" customWidth="1"/>
    <col min="45" max="45" width="9.33203125" style="170" customWidth="1"/>
    <col min="46" max="46" width="5.83203125" style="170" customWidth="1"/>
    <col min="47" max="47" width="8.83203125" style="170" customWidth="1"/>
    <col min="48" max="48" width="10" style="170" customWidth="1"/>
    <col min="49" max="49" width="13.33203125" style="170" customWidth="1"/>
    <col min="50" max="50" width="72.5" style="170" customWidth="1"/>
    <col min="51" max="51" width="6.6640625" style="170" customWidth="1"/>
    <col min="52" max="52" width="5.83203125" style="170" customWidth="1"/>
    <col min="53" max="53" width="4.6640625" style="170" customWidth="1"/>
    <col min="54" max="54" width="5.1640625" style="170" customWidth="1"/>
    <col min="55" max="55" width="9.33203125" style="170" customWidth="1"/>
    <col min="56" max="63" width="5.1640625" style="170" customWidth="1"/>
    <col min="64" max="257" width="16.33203125" style="170" customWidth="1"/>
  </cols>
  <sheetData>
    <row r="1" spans="1:42" ht="27.75" customHeight="1">
      <c r="B1" s="924" t="s">
        <v>1235</v>
      </c>
      <c r="C1" s="924"/>
    </row>
    <row r="2" spans="1:42" ht="20.25" customHeight="1">
      <c r="B2" s="4" t="s">
        <v>567</v>
      </c>
      <c r="C2" s="4" t="s">
        <v>64</v>
      </c>
      <c r="D2" s="4" t="s">
        <v>82</v>
      </c>
      <c r="E2" s="4" t="s">
        <v>195</v>
      </c>
      <c r="F2" s="4" t="s">
        <v>54</v>
      </c>
      <c r="G2" s="4" t="s">
        <v>1236</v>
      </c>
    </row>
    <row r="3" spans="1:42" ht="20.25" customHeight="1">
      <c r="B3" s="99" t="s">
        <v>568</v>
      </c>
      <c r="C3" s="119">
        <v>63.99</v>
      </c>
      <c r="D3" s="119">
        <v>70</v>
      </c>
      <c r="E3" s="119">
        <v>78.52</v>
      </c>
      <c r="F3" s="119">
        <v>54.73</v>
      </c>
      <c r="G3" s="119">
        <v>67.31</v>
      </c>
    </row>
    <row r="4" spans="1:42" ht="32" customHeight="1">
      <c r="B4" s="101" t="s">
        <v>569</v>
      </c>
      <c r="C4" s="102">
        <v>63.37</v>
      </c>
      <c r="D4" s="102"/>
      <c r="E4" s="102"/>
      <c r="F4" s="102"/>
      <c r="G4" s="102"/>
    </row>
    <row r="5" spans="1:42" ht="20" customHeight="1">
      <c r="B5" s="101" t="s">
        <v>570</v>
      </c>
      <c r="C5" s="102">
        <f>23.38</f>
        <v>23.38</v>
      </c>
      <c r="D5" s="102"/>
      <c r="E5" s="102"/>
      <c r="F5" s="102"/>
      <c r="G5" s="102"/>
    </row>
    <row r="6" spans="1:42" ht="32" customHeight="1">
      <c r="B6" s="101" t="s">
        <v>571</v>
      </c>
      <c r="C6" s="102">
        <f>120/1.21</f>
        <v>99.173553719008268</v>
      </c>
      <c r="D6" s="102">
        <v>99.17</v>
      </c>
      <c r="E6" s="102">
        <v>99.17</v>
      </c>
      <c r="F6" s="102">
        <v>99.17</v>
      </c>
      <c r="G6" s="102">
        <v>99.17</v>
      </c>
    </row>
    <row r="7" spans="1:42" ht="32" customHeight="1">
      <c r="B7" s="101" t="s">
        <v>572</v>
      </c>
      <c r="C7" s="102">
        <v>95</v>
      </c>
      <c r="D7" s="102">
        <v>95</v>
      </c>
      <c r="E7" s="102">
        <v>95</v>
      </c>
      <c r="F7" s="102">
        <v>95</v>
      </c>
      <c r="G7" s="102">
        <v>95</v>
      </c>
    </row>
    <row r="8" spans="1:42" ht="32" customHeight="1">
      <c r="A8" s="221"/>
      <c r="B8" s="101" t="s">
        <v>1881</v>
      </c>
      <c r="C8" s="102">
        <v>10.75</v>
      </c>
      <c r="D8" s="102">
        <v>8.4</v>
      </c>
      <c r="E8" s="102">
        <v>8</v>
      </c>
      <c r="F8" s="102">
        <v>8</v>
      </c>
      <c r="G8" s="102">
        <v>8</v>
      </c>
      <c r="H8" s="221"/>
      <c r="I8" s="221"/>
      <c r="K8" s="221"/>
      <c r="L8" s="221"/>
      <c r="M8" s="221"/>
      <c r="N8" s="221"/>
      <c r="O8" s="221"/>
      <c r="P8" s="221"/>
      <c r="Q8" s="221"/>
      <c r="R8" s="221"/>
      <c r="S8" s="221"/>
      <c r="T8" s="221"/>
      <c r="U8" s="221"/>
      <c r="V8" s="221"/>
      <c r="W8" s="221"/>
      <c r="X8" s="221"/>
      <c r="Y8" s="221"/>
      <c r="Z8" s="221"/>
      <c r="AA8" s="221"/>
      <c r="AB8" s="221"/>
      <c r="AC8" s="221"/>
      <c r="AD8" s="221"/>
      <c r="AE8" s="221"/>
      <c r="AF8" s="221"/>
      <c r="AG8" s="221"/>
      <c r="AH8" s="221"/>
      <c r="AK8" s="221"/>
      <c r="AL8" s="221"/>
      <c r="AM8" s="221"/>
      <c r="AN8" s="221"/>
      <c r="AO8" s="221"/>
      <c r="AP8" s="221"/>
    </row>
    <row r="9" spans="1:42" ht="32" customHeight="1">
      <c r="A9" s="221"/>
      <c r="B9" s="101" t="s">
        <v>1908</v>
      </c>
      <c r="C9" s="102">
        <v>15.75</v>
      </c>
      <c r="D9" s="102"/>
      <c r="E9" s="102"/>
      <c r="F9" s="102"/>
      <c r="G9" s="102"/>
      <c r="H9" s="221"/>
      <c r="I9" s="221"/>
      <c r="K9" s="221"/>
      <c r="L9" s="221"/>
      <c r="M9" s="221"/>
      <c r="N9" s="221"/>
      <c r="O9" s="221"/>
      <c r="P9" s="221"/>
      <c r="Q9" s="221"/>
      <c r="R9" s="221"/>
      <c r="S9" s="221"/>
      <c r="T9" s="221"/>
      <c r="U9" s="221"/>
      <c r="V9" s="221"/>
      <c r="W9" s="221"/>
      <c r="X9" s="221"/>
      <c r="Y9" s="221"/>
      <c r="Z9" s="221"/>
      <c r="AA9" s="221"/>
      <c r="AB9" s="221"/>
      <c r="AC9" s="221"/>
      <c r="AD9" s="221"/>
      <c r="AE9" s="221"/>
      <c r="AF9" s="221"/>
      <c r="AG9" s="221"/>
      <c r="AH9" s="221"/>
      <c r="AK9" s="221"/>
      <c r="AL9" s="221"/>
      <c r="AM9" s="221"/>
      <c r="AN9" s="221"/>
      <c r="AO9" s="221"/>
      <c r="AP9" s="221"/>
    </row>
    <row r="10" spans="1:42" ht="32" customHeight="1">
      <c r="A10" s="221"/>
      <c r="B10" s="101" t="s">
        <v>1909</v>
      </c>
      <c r="C10" s="102">
        <v>16.25</v>
      </c>
      <c r="D10" s="102"/>
      <c r="E10" s="102"/>
      <c r="F10" s="102"/>
      <c r="G10" s="102"/>
      <c r="H10" s="221"/>
      <c r="I10" s="221"/>
      <c r="K10" s="221"/>
      <c r="L10" s="221"/>
      <c r="M10" s="221"/>
      <c r="N10" s="221"/>
      <c r="O10" s="221"/>
      <c r="P10" s="221"/>
      <c r="Q10" s="221"/>
      <c r="R10" s="221"/>
      <c r="S10" s="221"/>
      <c r="T10" s="221"/>
      <c r="U10" s="221"/>
      <c r="V10" s="221"/>
      <c r="W10" s="221"/>
      <c r="X10" s="221"/>
      <c r="Y10" s="221"/>
      <c r="Z10" s="221"/>
      <c r="AA10" s="221"/>
      <c r="AB10" s="221"/>
      <c r="AC10" s="221"/>
      <c r="AD10" s="221"/>
      <c r="AE10" s="221"/>
      <c r="AF10" s="221"/>
      <c r="AG10" s="221"/>
      <c r="AH10" s="221"/>
      <c r="AK10" s="221"/>
      <c r="AL10" s="221"/>
      <c r="AM10" s="221"/>
      <c r="AN10" s="221"/>
      <c r="AO10" s="221"/>
      <c r="AP10" s="221"/>
    </row>
    <row r="11" spans="1:42" ht="32" customHeight="1">
      <c r="A11" s="221"/>
      <c r="B11" s="101" t="s">
        <v>1868</v>
      </c>
      <c r="C11" s="102">
        <v>55</v>
      </c>
      <c r="D11" s="102"/>
      <c r="E11" s="102"/>
      <c r="F11" s="102"/>
      <c r="G11" s="102"/>
      <c r="H11" s="221"/>
      <c r="I11" s="221"/>
      <c r="K11" s="221"/>
      <c r="L11" s="221"/>
      <c r="M11" s="221"/>
      <c r="N11" s="221"/>
      <c r="O11" s="221"/>
      <c r="P11" s="221"/>
      <c r="Q11" s="221"/>
      <c r="R11" s="221"/>
      <c r="S11" s="221"/>
      <c r="T11" s="221"/>
      <c r="U11" s="221"/>
      <c r="V11" s="221"/>
      <c r="W11" s="221"/>
      <c r="X11" s="221"/>
      <c r="Y11" s="221"/>
      <c r="Z11" s="221"/>
      <c r="AA11" s="221"/>
      <c r="AB11" s="221"/>
      <c r="AC11" s="221"/>
      <c r="AD11" s="221"/>
      <c r="AE11" s="221"/>
      <c r="AF11" s="221"/>
      <c r="AG11" s="221"/>
      <c r="AH11" s="221"/>
      <c r="AK11" s="221"/>
      <c r="AL11" s="221"/>
      <c r="AM11" s="221"/>
      <c r="AN11" s="221"/>
      <c r="AO11" s="221"/>
      <c r="AP11" s="221"/>
    </row>
    <row r="12" spans="1:42" ht="32" customHeight="1">
      <c r="B12" s="251" t="s">
        <v>1237</v>
      </c>
      <c r="C12" s="102">
        <v>0.28000000000000003</v>
      </c>
      <c r="D12" s="102">
        <v>0.12</v>
      </c>
      <c r="E12" s="102">
        <f>8/5.33/14.29</f>
        <v>0.10503415579453744</v>
      </c>
      <c r="F12" s="102">
        <f>(8/5.33)/14.29</f>
        <v>0.10503415579453744</v>
      </c>
      <c r="G12" s="102">
        <f>(8/5.33)/14.29</f>
        <v>0.10503415579453744</v>
      </c>
    </row>
    <row r="13" spans="1:42" ht="20" customHeight="1">
      <c r="B13" s="101" t="s">
        <v>573</v>
      </c>
      <c r="C13" s="102">
        <v>0.39</v>
      </c>
      <c r="D13" s="102" t="s">
        <v>47</v>
      </c>
      <c r="E13" s="102" t="s">
        <v>47</v>
      </c>
      <c r="F13" s="102" t="s">
        <v>47</v>
      </c>
      <c r="G13" s="102" t="s">
        <v>47</v>
      </c>
    </row>
    <row r="14" spans="1:42" ht="20" customHeight="1">
      <c r="B14" s="101" t="s">
        <v>574</v>
      </c>
      <c r="C14" s="102">
        <v>1.32</v>
      </c>
      <c r="D14" s="102">
        <v>1</v>
      </c>
      <c r="E14" s="102">
        <f>0.106*9.5</f>
        <v>1.0069999999999999</v>
      </c>
      <c r="F14" s="102">
        <v>1</v>
      </c>
      <c r="G14" s="102">
        <v>1</v>
      </c>
    </row>
    <row r="15" spans="1:42" ht="32.75" hidden="1" customHeight="1">
      <c r="M15" s="125" t="s">
        <v>575</v>
      </c>
      <c r="N15" s="126" t="s">
        <v>576</v>
      </c>
      <c r="O15" s="126" t="s">
        <v>23</v>
      </c>
      <c r="P15" s="126" t="s">
        <v>577</v>
      </c>
      <c r="Q15" s="127" t="s">
        <v>578</v>
      </c>
      <c r="R15" s="128" t="s">
        <v>579</v>
      </c>
      <c r="S15" s="129" t="s">
        <v>580</v>
      </c>
      <c r="T15" s="129" t="s">
        <v>581</v>
      </c>
      <c r="U15" s="129" t="s">
        <v>582</v>
      </c>
      <c r="V15" s="129" t="s">
        <v>9</v>
      </c>
      <c r="W15" s="129" t="s">
        <v>583</v>
      </c>
      <c r="X15" s="129" t="s">
        <v>584</v>
      </c>
      <c r="Y15" s="129" t="s">
        <v>585</v>
      </c>
      <c r="Z15" s="129" t="s">
        <v>586</v>
      </c>
      <c r="AA15" s="130"/>
      <c r="AB15" s="130"/>
      <c r="AC15" s="130"/>
      <c r="AD15" s="130"/>
      <c r="AE15" s="130"/>
    </row>
    <row r="16" spans="1:42" ht="20.75" hidden="1" customHeight="1">
      <c r="M16" s="131" t="s">
        <v>587</v>
      </c>
      <c r="N16" s="132" t="s">
        <v>82</v>
      </c>
      <c r="O16" s="132" t="s">
        <v>588</v>
      </c>
      <c r="P16" s="133" t="s">
        <v>589</v>
      </c>
      <c r="Q16" s="134" t="s">
        <v>590</v>
      </c>
      <c r="R16" s="135"/>
      <c r="S16" s="136"/>
      <c r="T16" s="136"/>
      <c r="U16" s="136"/>
      <c r="V16" s="136"/>
      <c r="W16" s="136"/>
      <c r="X16" s="136"/>
      <c r="Y16" s="136"/>
      <c r="Z16" s="136"/>
      <c r="AA16" s="136"/>
      <c r="AB16" s="136"/>
      <c r="AC16" s="136"/>
      <c r="AD16" s="136"/>
      <c r="AE16" s="136"/>
    </row>
    <row r="17" spans="13:31" ht="20.75" hidden="1" customHeight="1">
      <c r="M17" s="131" t="s">
        <v>591</v>
      </c>
      <c r="N17" s="132" t="s">
        <v>82</v>
      </c>
      <c r="O17" s="132" t="s">
        <v>588</v>
      </c>
      <c r="P17" s="133" t="s">
        <v>589</v>
      </c>
      <c r="Q17" s="134" t="s">
        <v>518</v>
      </c>
      <c r="R17" s="135"/>
      <c r="S17" s="136"/>
      <c r="T17" s="136"/>
      <c r="U17" s="136"/>
      <c r="V17" s="136"/>
      <c r="W17" s="136"/>
      <c r="X17" s="136"/>
      <c r="Y17" s="136"/>
      <c r="Z17" s="136"/>
      <c r="AA17" s="136"/>
      <c r="AB17" s="136"/>
      <c r="AC17" s="136"/>
      <c r="AD17" s="136"/>
      <c r="AE17" s="136"/>
    </row>
    <row r="18" spans="13:31" ht="20.75" hidden="1" customHeight="1">
      <c r="M18" s="131" t="s">
        <v>592</v>
      </c>
      <c r="N18" s="132" t="s">
        <v>82</v>
      </c>
      <c r="O18" s="132" t="s">
        <v>588</v>
      </c>
      <c r="P18" s="133" t="s">
        <v>589</v>
      </c>
      <c r="Q18" s="134" t="s">
        <v>512</v>
      </c>
      <c r="R18" s="135"/>
      <c r="S18" s="136"/>
      <c r="T18" s="136"/>
      <c r="U18" s="136"/>
      <c r="V18" s="136"/>
      <c r="W18" s="136"/>
      <c r="X18" s="136"/>
      <c r="Y18" s="136"/>
      <c r="Z18" s="136"/>
      <c r="AA18" s="136"/>
      <c r="AB18" s="136"/>
      <c r="AC18" s="136"/>
      <c r="AD18" s="136"/>
      <c r="AE18" s="136"/>
    </row>
    <row r="19" spans="13:31" ht="20.75" hidden="1" customHeight="1">
      <c r="M19" s="131" t="s">
        <v>593</v>
      </c>
      <c r="N19" s="132" t="s">
        <v>82</v>
      </c>
      <c r="O19" s="132" t="s">
        <v>588</v>
      </c>
      <c r="P19" s="133" t="s">
        <v>589</v>
      </c>
      <c r="Q19" s="134" t="s">
        <v>594</v>
      </c>
      <c r="R19" s="135"/>
      <c r="S19" s="136"/>
      <c r="T19" s="136"/>
      <c r="U19" s="136"/>
      <c r="V19" s="136"/>
      <c r="W19" s="136"/>
      <c r="X19" s="136"/>
      <c r="Y19" s="136"/>
      <c r="Z19" s="136"/>
      <c r="AA19" s="136"/>
      <c r="AB19" s="136"/>
      <c r="AC19" s="136"/>
      <c r="AD19" s="136"/>
      <c r="AE19" s="136"/>
    </row>
    <row r="20" spans="13:31" ht="20.75" hidden="1" customHeight="1">
      <c r="M20" s="131" t="s">
        <v>595</v>
      </c>
      <c r="N20" s="132" t="s">
        <v>82</v>
      </c>
      <c r="O20" s="132" t="s">
        <v>588</v>
      </c>
      <c r="P20" s="133" t="s">
        <v>596</v>
      </c>
      <c r="Q20" s="134" t="s">
        <v>594</v>
      </c>
      <c r="R20" s="135"/>
      <c r="S20" s="136"/>
      <c r="T20" s="136"/>
      <c r="U20" s="136"/>
      <c r="V20" s="136"/>
      <c r="W20" s="136"/>
      <c r="X20" s="136"/>
      <c r="Y20" s="136"/>
      <c r="Z20" s="136"/>
      <c r="AA20" s="136"/>
      <c r="AB20" s="136"/>
      <c r="AC20" s="136"/>
      <c r="AD20" s="136"/>
      <c r="AE20" s="136"/>
    </row>
    <row r="21" spans="13:31" ht="20.75" hidden="1" customHeight="1">
      <c r="M21" s="131" t="s">
        <v>597</v>
      </c>
      <c r="N21" s="132" t="s">
        <v>82</v>
      </c>
      <c r="O21" s="132" t="s">
        <v>588</v>
      </c>
      <c r="P21" s="133" t="s">
        <v>596</v>
      </c>
      <c r="Q21" s="134" t="s">
        <v>598</v>
      </c>
      <c r="R21" s="135"/>
      <c r="S21" s="136"/>
      <c r="T21" s="136"/>
      <c r="U21" s="136"/>
      <c r="V21" s="136"/>
      <c r="W21" s="136"/>
      <c r="X21" s="136"/>
      <c r="Y21" s="136"/>
      <c r="Z21" s="136"/>
      <c r="AA21" s="136"/>
      <c r="AB21" s="136"/>
      <c r="AC21" s="136"/>
      <c r="AD21" s="136"/>
      <c r="AE21" s="136"/>
    </row>
    <row r="22" spans="13:31" ht="20.75" hidden="1" customHeight="1">
      <c r="M22" s="131" t="s">
        <v>599</v>
      </c>
      <c r="N22" s="132" t="s">
        <v>82</v>
      </c>
      <c r="O22" s="132" t="s">
        <v>588</v>
      </c>
      <c r="P22" s="133" t="s">
        <v>596</v>
      </c>
      <c r="Q22" s="134" t="s">
        <v>600</v>
      </c>
      <c r="R22" s="135"/>
      <c r="S22" s="136"/>
      <c r="T22" s="136"/>
      <c r="U22" s="136"/>
      <c r="V22" s="136"/>
      <c r="W22" s="136"/>
      <c r="X22" s="136"/>
      <c r="Y22" s="136"/>
      <c r="Z22" s="136"/>
      <c r="AA22" s="136"/>
      <c r="AB22" s="136"/>
      <c r="AC22" s="136"/>
      <c r="AD22" s="136"/>
      <c r="AE22" s="136"/>
    </row>
    <row r="23" spans="13:31" ht="20.75" hidden="1" customHeight="1">
      <c r="M23" s="131" t="s">
        <v>601</v>
      </c>
      <c r="N23" s="132" t="s">
        <v>82</v>
      </c>
      <c r="O23" s="132" t="s">
        <v>588</v>
      </c>
      <c r="P23" s="133" t="s">
        <v>596</v>
      </c>
      <c r="Q23" s="134" t="s">
        <v>602</v>
      </c>
      <c r="R23" s="135"/>
      <c r="S23" s="136"/>
      <c r="T23" s="136"/>
      <c r="U23" s="136"/>
      <c r="V23" s="136"/>
      <c r="W23" s="136"/>
      <c r="X23" s="136"/>
      <c r="Y23" s="136"/>
      <c r="Z23" s="136"/>
      <c r="AA23" s="136"/>
      <c r="AB23" s="136"/>
      <c r="AC23" s="136"/>
      <c r="AD23" s="136"/>
      <c r="AE23" s="136"/>
    </row>
    <row r="24" spans="13:31" ht="20.75" hidden="1" customHeight="1">
      <c r="M24" s="131" t="s">
        <v>603</v>
      </c>
      <c r="N24" s="132" t="s">
        <v>82</v>
      </c>
      <c r="O24" s="132" t="s">
        <v>588</v>
      </c>
      <c r="P24" s="133" t="s">
        <v>596</v>
      </c>
      <c r="Q24" s="134" t="s">
        <v>604</v>
      </c>
      <c r="R24" s="135"/>
      <c r="S24" s="136"/>
      <c r="T24" s="136"/>
      <c r="U24" s="136"/>
      <c r="V24" s="136"/>
      <c r="W24" s="136"/>
      <c r="X24" s="136"/>
      <c r="Y24" s="136"/>
      <c r="Z24" s="136"/>
      <c r="AA24" s="136"/>
      <c r="AB24" s="136"/>
      <c r="AC24" s="136"/>
      <c r="AD24" s="136"/>
      <c r="AE24" s="136"/>
    </row>
    <row r="25" spans="13:31" ht="20.75" hidden="1" customHeight="1">
      <c r="M25" s="131" t="s">
        <v>605</v>
      </c>
      <c r="N25" s="132" t="s">
        <v>82</v>
      </c>
      <c r="O25" s="132" t="s">
        <v>588</v>
      </c>
      <c r="P25" s="133" t="s">
        <v>596</v>
      </c>
      <c r="Q25" s="134" t="s">
        <v>606</v>
      </c>
      <c r="R25" s="135"/>
      <c r="S25" s="136"/>
      <c r="T25" s="136"/>
      <c r="U25" s="136"/>
      <c r="V25" s="136"/>
      <c r="W25" s="136"/>
      <c r="X25" s="136"/>
      <c r="Y25" s="136"/>
      <c r="Z25" s="136"/>
      <c r="AA25" s="136"/>
      <c r="AB25" s="136"/>
      <c r="AC25" s="136"/>
      <c r="AD25" s="136"/>
      <c r="AE25" s="136"/>
    </row>
    <row r="26" spans="13:31" ht="20.75" hidden="1" customHeight="1">
      <c r="M26" s="131" t="s">
        <v>607</v>
      </c>
      <c r="N26" s="132" t="s">
        <v>82</v>
      </c>
      <c r="O26" s="132" t="s">
        <v>588</v>
      </c>
      <c r="P26" s="133" t="s">
        <v>596</v>
      </c>
      <c r="Q26" s="134" t="s">
        <v>608</v>
      </c>
      <c r="R26" s="135"/>
      <c r="S26" s="136"/>
      <c r="T26" s="136"/>
      <c r="U26" s="136"/>
      <c r="V26" s="136"/>
      <c r="W26" s="136"/>
      <c r="X26" s="136"/>
      <c r="Y26" s="136"/>
      <c r="Z26" s="136"/>
      <c r="AA26" s="136"/>
      <c r="AB26" s="136"/>
      <c r="AC26" s="136"/>
      <c r="AD26" s="136"/>
      <c r="AE26" s="136"/>
    </row>
    <row r="27" spans="13:31" ht="20.75" hidden="1" customHeight="1">
      <c r="M27" s="131" t="s">
        <v>609</v>
      </c>
      <c r="N27" s="132" t="s">
        <v>82</v>
      </c>
      <c r="O27" s="132" t="s">
        <v>588</v>
      </c>
      <c r="P27" s="133" t="s">
        <v>610</v>
      </c>
      <c r="Q27" s="134" t="s">
        <v>600</v>
      </c>
      <c r="R27" s="135"/>
      <c r="S27" s="136"/>
      <c r="T27" s="136"/>
      <c r="U27" s="136"/>
      <c r="V27" s="136"/>
      <c r="W27" s="136"/>
      <c r="X27" s="136"/>
      <c r="Y27" s="136"/>
      <c r="Z27" s="136"/>
      <c r="AA27" s="136"/>
      <c r="AB27" s="136"/>
      <c r="AC27" s="136"/>
      <c r="AD27" s="136"/>
      <c r="AE27" s="136"/>
    </row>
    <row r="28" spans="13:31" ht="20.75" hidden="1" customHeight="1">
      <c r="M28" s="131" t="s">
        <v>611</v>
      </c>
      <c r="N28" s="132" t="s">
        <v>82</v>
      </c>
      <c r="O28" s="132" t="s">
        <v>588</v>
      </c>
      <c r="P28" s="133" t="s">
        <v>610</v>
      </c>
      <c r="Q28" s="134" t="s">
        <v>520</v>
      </c>
      <c r="R28" s="135"/>
      <c r="S28" s="136"/>
      <c r="T28" s="136"/>
      <c r="U28" s="136"/>
      <c r="V28" s="136"/>
      <c r="W28" s="136"/>
      <c r="X28" s="136"/>
      <c r="Y28" s="136"/>
      <c r="Z28" s="136"/>
      <c r="AA28" s="136"/>
      <c r="AB28" s="136"/>
      <c r="AC28" s="136"/>
      <c r="AD28" s="136"/>
      <c r="AE28" s="136"/>
    </row>
    <row r="29" spans="13:31" ht="20.75" hidden="1" customHeight="1">
      <c r="M29" s="131" t="s">
        <v>612</v>
      </c>
      <c r="N29" s="132" t="s">
        <v>82</v>
      </c>
      <c r="O29" s="132" t="s">
        <v>588</v>
      </c>
      <c r="P29" s="133" t="s">
        <v>610</v>
      </c>
      <c r="Q29" s="134" t="s">
        <v>613</v>
      </c>
      <c r="R29" s="135"/>
      <c r="S29" s="136"/>
      <c r="T29" s="136"/>
      <c r="U29" s="136"/>
      <c r="V29" s="136"/>
      <c r="W29" s="136"/>
      <c r="X29" s="136"/>
      <c r="Y29" s="136"/>
      <c r="Z29" s="136"/>
      <c r="AA29" s="136"/>
      <c r="AB29" s="136"/>
      <c r="AC29" s="136"/>
      <c r="AD29" s="136"/>
      <c r="AE29" s="136"/>
    </row>
    <row r="30" spans="13:31" ht="20.75" hidden="1" customHeight="1">
      <c r="M30" s="131" t="s">
        <v>614</v>
      </c>
      <c r="N30" s="132" t="s">
        <v>82</v>
      </c>
      <c r="O30" s="132" t="s">
        <v>588</v>
      </c>
      <c r="P30" s="133" t="s">
        <v>610</v>
      </c>
      <c r="Q30" s="134" t="s">
        <v>594</v>
      </c>
      <c r="R30" s="135"/>
      <c r="S30" s="136"/>
      <c r="T30" s="136"/>
      <c r="U30" s="136"/>
      <c r="V30" s="136"/>
      <c r="W30" s="136"/>
      <c r="X30" s="136"/>
      <c r="Y30" s="136"/>
      <c r="Z30" s="136"/>
      <c r="AA30" s="136"/>
      <c r="AB30" s="136"/>
      <c r="AC30" s="136"/>
      <c r="AD30" s="136"/>
      <c r="AE30" s="136"/>
    </row>
    <row r="31" spans="13:31" ht="20.75" hidden="1" customHeight="1">
      <c r="M31" s="131" t="s">
        <v>615</v>
      </c>
      <c r="N31" s="132" t="s">
        <v>82</v>
      </c>
      <c r="O31" s="132" t="s">
        <v>588</v>
      </c>
      <c r="P31" s="133" t="s">
        <v>616</v>
      </c>
      <c r="Q31" s="134" t="s">
        <v>617</v>
      </c>
      <c r="R31" s="135"/>
      <c r="S31" s="136"/>
      <c r="T31" s="136"/>
      <c r="U31" s="136"/>
      <c r="V31" s="136"/>
      <c r="W31" s="136"/>
      <c r="X31" s="136"/>
      <c r="Y31" s="136"/>
      <c r="Z31" s="136"/>
      <c r="AA31" s="136"/>
      <c r="AB31" s="136"/>
      <c r="AC31" s="136"/>
      <c r="AD31" s="136"/>
      <c r="AE31" s="136"/>
    </row>
    <row r="32" spans="13:31" ht="20.75" hidden="1" customHeight="1">
      <c r="M32" s="131" t="s">
        <v>618</v>
      </c>
      <c r="N32" s="132" t="s">
        <v>82</v>
      </c>
      <c r="O32" s="132" t="s">
        <v>588</v>
      </c>
      <c r="P32" s="133" t="s">
        <v>616</v>
      </c>
      <c r="Q32" s="134" t="s">
        <v>598</v>
      </c>
      <c r="R32" s="135"/>
      <c r="S32" s="136"/>
      <c r="T32" s="136"/>
      <c r="U32" s="136"/>
      <c r="V32" s="136"/>
      <c r="W32" s="136"/>
      <c r="X32" s="136"/>
      <c r="Y32" s="136"/>
      <c r="Z32" s="136"/>
      <c r="AA32" s="136"/>
      <c r="AB32" s="136"/>
      <c r="AC32" s="136"/>
      <c r="AD32" s="136"/>
      <c r="AE32" s="136"/>
    </row>
    <row r="33" spans="13:31" ht="20.75" hidden="1" customHeight="1">
      <c r="M33" s="131" t="s">
        <v>619</v>
      </c>
      <c r="N33" s="132" t="s">
        <v>82</v>
      </c>
      <c r="O33" s="132" t="s">
        <v>588</v>
      </c>
      <c r="P33" s="133" t="s">
        <v>616</v>
      </c>
      <c r="Q33" s="134" t="s">
        <v>613</v>
      </c>
      <c r="R33" s="135"/>
      <c r="S33" s="136"/>
      <c r="T33" s="136"/>
      <c r="U33" s="136"/>
      <c r="V33" s="136"/>
      <c r="W33" s="136"/>
      <c r="X33" s="136"/>
      <c r="Y33" s="136"/>
      <c r="Z33" s="136"/>
      <c r="AA33" s="136"/>
      <c r="AB33" s="136"/>
      <c r="AC33" s="136"/>
      <c r="AD33" s="136"/>
      <c r="AE33" s="136"/>
    </row>
    <row r="34" spans="13:31" ht="20.75" hidden="1" customHeight="1">
      <c r="M34" s="131" t="s">
        <v>620</v>
      </c>
      <c r="N34" s="132" t="s">
        <v>82</v>
      </c>
      <c r="O34" s="132" t="s">
        <v>588</v>
      </c>
      <c r="P34" s="133" t="s">
        <v>616</v>
      </c>
      <c r="Q34" s="134" t="s">
        <v>621</v>
      </c>
      <c r="R34" s="135"/>
      <c r="S34" s="136"/>
      <c r="T34" s="136"/>
      <c r="U34" s="136"/>
      <c r="V34" s="136"/>
      <c r="W34" s="136"/>
      <c r="X34" s="136"/>
      <c r="Y34" s="136"/>
      <c r="Z34" s="136"/>
      <c r="AA34" s="136"/>
      <c r="AB34" s="136"/>
      <c r="AC34" s="136"/>
      <c r="AD34" s="136"/>
      <c r="AE34" s="136"/>
    </row>
    <row r="35" spans="13:31" ht="20.75" hidden="1" customHeight="1">
      <c r="M35" s="131" t="s">
        <v>622</v>
      </c>
      <c r="N35" s="132" t="s">
        <v>82</v>
      </c>
      <c r="O35" s="132" t="s">
        <v>588</v>
      </c>
      <c r="P35" s="133" t="s">
        <v>616</v>
      </c>
      <c r="Q35" s="134" t="s">
        <v>604</v>
      </c>
      <c r="R35" s="135"/>
      <c r="S35" s="136"/>
      <c r="T35" s="136"/>
      <c r="U35" s="136"/>
      <c r="V35" s="136"/>
      <c r="W35" s="136"/>
      <c r="X35" s="136"/>
      <c r="Y35" s="136"/>
      <c r="Z35" s="136"/>
      <c r="AA35" s="136"/>
      <c r="AB35" s="136"/>
      <c r="AC35" s="136"/>
      <c r="AD35" s="136"/>
      <c r="AE35" s="136"/>
    </row>
    <row r="36" spans="13:31" ht="20.75" hidden="1" customHeight="1">
      <c r="M36" s="131" t="s">
        <v>623</v>
      </c>
      <c r="N36" s="132" t="s">
        <v>82</v>
      </c>
      <c r="O36" s="132" t="s">
        <v>588</v>
      </c>
      <c r="P36" s="133" t="s">
        <v>624</v>
      </c>
      <c r="Q36" s="134" t="s">
        <v>625</v>
      </c>
      <c r="R36" s="135"/>
      <c r="S36" s="136"/>
      <c r="T36" s="136"/>
      <c r="U36" s="136"/>
      <c r="V36" s="136"/>
      <c r="W36" s="136"/>
      <c r="X36" s="136"/>
      <c r="Y36" s="136"/>
      <c r="Z36" s="136"/>
      <c r="AA36" s="136"/>
      <c r="AB36" s="136"/>
      <c r="AC36" s="136"/>
      <c r="AD36" s="136"/>
      <c r="AE36" s="136"/>
    </row>
    <row r="37" spans="13:31" ht="20.75" hidden="1" customHeight="1">
      <c r="M37" s="131" t="s">
        <v>626</v>
      </c>
      <c r="N37" s="132" t="s">
        <v>82</v>
      </c>
      <c r="O37" s="132" t="s">
        <v>588</v>
      </c>
      <c r="P37" s="133" t="s">
        <v>624</v>
      </c>
      <c r="Q37" s="134" t="s">
        <v>627</v>
      </c>
      <c r="R37" s="135"/>
      <c r="S37" s="136"/>
      <c r="T37" s="136"/>
      <c r="U37" s="136"/>
      <c r="V37" s="136"/>
      <c r="W37" s="136"/>
      <c r="X37" s="136"/>
      <c r="Y37" s="136"/>
      <c r="Z37" s="136"/>
      <c r="AA37" s="136"/>
      <c r="AB37" s="136"/>
      <c r="AC37" s="136"/>
      <c r="AD37" s="136"/>
      <c r="AE37" s="136"/>
    </row>
    <row r="38" spans="13:31" ht="20.75" hidden="1" customHeight="1">
      <c r="M38" s="131" t="s">
        <v>628</v>
      </c>
      <c r="N38" s="132" t="s">
        <v>82</v>
      </c>
      <c r="O38" s="132" t="s">
        <v>588</v>
      </c>
      <c r="P38" s="133" t="s">
        <v>624</v>
      </c>
      <c r="Q38" s="134" t="s">
        <v>598</v>
      </c>
      <c r="R38" s="135"/>
      <c r="S38" s="136"/>
      <c r="T38" s="136"/>
      <c r="U38" s="136"/>
      <c r="V38" s="136"/>
      <c r="W38" s="136"/>
      <c r="X38" s="136"/>
      <c r="Y38" s="136"/>
      <c r="Z38" s="136"/>
      <c r="AA38" s="136"/>
      <c r="AB38" s="136"/>
      <c r="AC38" s="136"/>
      <c r="AD38" s="136"/>
      <c r="AE38" s="136"/>
    </row>
    <row r="39" spans="13:31" ht="20.75" hidden="1" customHeight="1">
      <c r="M39" s="131" t="s">
        <v>629</v>
      </c>
      <c r="N39" s="132" t="s">
        <v>82</v>
      </c>
      <c r="O39" s="132" t="s">
        <v>588</v>
      </c>
      <c r="P39" s="133" t="s">
        <v>624</v>
      </c>
      <c r="Q39" s="134" t="s">
        <v>594</v>
      </c>
      <c r="R39" s="135"/>
      <c r="S39" s="136"/>
      <c r="T39" s="136"/>
      <c r="U39" s="136"/>
      <c r="V39" s="136"/>
      <c r="W39" s="136"/>
      <c r="X39" s="136"/>
      <c r="Y39" s="136"/>
      <c r="Z39" s="136"/>
      <c r="AA39" s="136"/>
      <c r="AB39" s="136"/>
      <c r="AC39" s="136"/>
      <c r="AD39" s="136"/>
      <c r="AE39" s="136"/>
    </row>
    <row r="40" spans="13:31" ht="20.75" hidden="1" customHeight="1">
      <c r="M40" s="131" t="s">
        <v>630</v>
      </c>
      <c r="N40" s="132" t="s">
        <v>82</v>
      </c>
      <c r="O40" s="132" t="s">
        <v>588</v>
      </c>
      <c r="P40" s="133" t="s">
        <v>624</v>
      </c>
      <c r="Q40" s="134" t="s">
        <v>600</v>
      </c>
      <c r="R40" s="135"/>
      <c r="S40" s="136"/>
      <c r="T40" s="136"/>
      <c r="U40" s="136"/>
      <c r="V40" s="136"/>
      <c r="W40" s="136"/>
      <c r="X40" s="136"/>
      <c r="Y40" s="136"/>
      <c r="Z40" s="136"/>
      <c r="AA40" s="136"/>
      <c r="AB40" s="136"/>
      <c r="AC40" s="136"/>
      <c r="AD40" s="136"/>
      <c r="AE40" s="136"/>
    </row>
    <row r="41" spans="13:31" ht="20.75" hidden="1" customHeight="1">
      <c r="M41" s="131" t="s">
        <v>631</v>
      </c>
      <c r="N41" s="132" t="s">
        <v>82</v>
      </c>
      <c r="O41" s="132" t="s">
        <v>588</v>
      </c>
      <c r="P41" s="133" t="s">
        <v>632</v>
      </c>
      <c r="Q41" s="134" t="s">
        <v>633</v>
      </c>
      <c r="R41" s="135"/>
      <c r="S41" s="136"/>
      <c r="T41" s="136"/>
      <c r="U41" s="136"/>
      <c r="V41" s="136"/>
      <c r="W41" s="136"/>
      <c r="X41" s="136"/>
      <c r="Y41" s="136"/>
      <c r="Z41" s="136"/>
      <c r="AA41" s="136"/>
      <c r="AB41" s="136"/>
      <c r="AC41" s="136"/>
      <c r="AD41" s="136"/>
      <c r="AE41" s="136"/>
    </row>
    <row r="42" spans="13:31" ht="20.75" hidden="1" customHeight="1">
      <c r="M42" s="131" t="s">
        <v>634</v>
      </c>
      <c r="N42" s="132" t="s">
        <v>82</v>
      </c>
      <c r="O42" s="132" t="s">
        <v>588</v>
      </c>
      <c r="P42" s="133" t="s">
        <v>632</v>
      </c>
      <c r="Q42" s="134" t="s">
        <v>621</v>
      </c>
      <c r="R42" s="135"/>
      <c r="S42" s="136"/>
      <c r="T42" s="136"/>
      <c r="U42" s="136"/>
      <c r="V42" s="136"/>
      <c r="W42" s="136"/>
      <c r="X42" s="136"/>
      <c r="Y42" s="136"/>
      <c r="Z42" s="136"/>
      <c r="AA42" s="136"/>
      <c r="AB42" s="136"/>
      <c r="AC42" s="136"/>
      <c r="AD42" s="136"/>
      <c r="AE42" s="136"/>
    </row>
    <row r="43" spans="13:31" ht="20.75" hidden="1" customHeight="1">
      <c r="M43" s="131" t="s">
        <v>635</v>
      </c>
      <c r="N43" s="132" t="s">
        <v>82</v>
      </c>
      <c r="O43" s="132" t="s">
        <v>588</v>
      </c>
      <c r="P43" s="133" t="s">
        <v>632</v>
      </c>
      <c r="Q43" s="134" t="s">
        <v>604</v>
      </c>
      <c r="R43" s="135"/>
      <c r="S43" s="136"/>
      <c r="T43" s="136"/>
      <c r="U43" s="136"/>
      <c r="V43" s="136"/>
      <c r="W43" s="136"/>
      <c r="X43" s="136"/>
      <c r="Y43" s="136"/>
      <c r="Z43" s="136"/>
      <c r="AA43" s="136"/>
      <c r="AB43" s="136"/>
      <c r="AC43" s="136"/>
      <c r="AD43" s="136"/>
      <c r="AE43" s="136"/>
    </row>
    <row r="44" spans="13:31" ht="20.75" hidden="1" customHeight="1">
      <c r="M44" s="131" t="s">
        <v>636</v>
      </c>
      <c r="N44" s="132" t="s">
        <v>82</v>
      </c>
      <c r="O44" s="132" t="s">
        <v>588</v>
      </c>
      <c r="P44" s="133" t="s">
        <v>632</v>
      </c>
      <c r="Q44" s="134" t="s">
        <v>598</v>
      </c>
      <c r="R44" s="135"/>
      <c r="S44" s="136"/>
      <c r="T44" s="136"/>
      <c r="U44" s="136"/>
      <c r="V44" s="136"/>
      <c r="W44" s="136"/>
      <c r="X44" s="136"/>
      <c r="Y44" s="136"/>
      <c r="Z44" s="136"/>
      <c r="AA44" s="136"/>
      <c r="AB44" s="136"/>
      <c r="AC44" s="136"/>
      <c r="AD44" s="136"/>
      <c r="AE44" s="136"/>
    </row>
    <row r="45" spans="13:31" ht="20.75" hidden="1" customHeight="1">
      <c r="M45" s="131" t="s">
        <v>637</v>
      </c>
      <c r="N45" s="132" t="s">
        <v>82</v>
      </c>
      <c r="O45" s="132" t="s">
        <v>588</v>
      </c>
      <c r="P45" s="133" t="s">
        <v>638</v>
      </c>
      <c r="Q45" s="134" t="s">
        <v>621</v>
      </c>
      <c r="R45" s="135"/>
      <c r="S45" s="136"/>
      <c r="T45" s="136"/>
      <c r="U45" s="136"/>
      <c r="V45" s="136"/>
      <c r="W45" s="136"/>
      <c r="X45" s="136"/>
      <c r="Y45" s="136"/>
      <c r="Z45" s="136"/>
      <c r="AA45" s="136"/>
      <c r="AB45" s="136"/>
      <c r="AC45" s="136"/>
      <c r="AD45" s="136"/>
      <c r="AE45" s="136"/>
    </row>
    <row r="46" spans="13:31" ht="20.75" hidden="1" customHeight="1">
      <c r="M46" s="131" t="s">
        <v>639</v>
      </c>
      <c r="N46" s="132" t="s">
        <v>82</v>
      </c>
      <c r="O46" s="132" t="s">
        <v>588</v>
      </c>
      <c r="P46" s="133" t="s">
        <v>638</v>
      </c>
      <c r="Q46" s="134" t="s">
        <v>594</v>
      </c>
      <c r="R46" s="135"/>
      <c r="S46" s="136"/>
      <c r="T46" s="136"/>
      <c r="U46" s="136"/>
      <c r="V46" s="136"/>
      <c r="W46" s="136"/>
      <c r="X46" s="136"/>
      <c r="Y46" s="136"/>
      <c r="Z46" s="136"/>
      <c r="AA46" s="136"/>
      <c r="AB46" s="136"/>
      <c r="AC46" s="136"/>
      <c r="AD46" s="136"/>
      <c r="AE46" s="136"/>
    </row>
    <row r="47" spans="13:31" ht="20.75" hidden="1" customHeight="1">
      <c r="M47" s="131" t="s">
        <v>640</v>
      </c>
      <c r="N47" s="132" t="s">
        <v>82</v>
      </c>
      <c r="O47" s="132" t="s">
        <v>588</v>
      </c>
      <c r="P47" s="133" t="s">
        <v>638</v>
      </c>
      <c r="Q47" s="134" t="s">
        <v>600</v>
      </c>
      <c r="R47" s="135"/>
      <c r="S47" s="136"/>
      <c r="T47" s="136"/>
      <c r="U47" s="136"/>
      <c r="V47" s="136"/>
      <c r="W47" s="136"/>
      <c r="X47" s="136"/>
      <c r="Y47" s="136"/>
      <c r="Z47" s="136"/>
      <c r="AA47" s="136"/>
      <c r="AB47" s="136"/>
      <c r="AC47" s="136"/>
      <c r="AD47" s="136"/>
      <c r="AE47" s="136"/>
    </row>
    <row r="48" spans="13:31" ht="20.75" hidden="1" customHeight="1">
      <c r="M48" s="131" t="s">
        <v>641</v>
      </c>
      <c r="N48" s="132" t="s">
        <v>82</v>
      </c>
      <c r="O48" s="132" t="s">
        <v>588</v>
      </c>
      <c r="P48" s="133" t="s">
        <v>638</v>
      </c>
      <c r="Q48" s="134" t="s">
        <v>642</v>
      </c>
      <c r="R48" s="135"/>
      <c r="S48" s="136"/>
      <c r="T48" s="136"/>
      <c r="U48" s="136"/>
      <c r="V48" s="136"/>
      <c r="W48" s="136"/>
      <c r="X48" s="136"/>
      <c r="Y48" s="136"/>
      <c r="Z48" s="136"/>
      <c r="AA48" s="136"/>
      <c r="AB48" s="136"/>
      <c r="AC48" s="136"/>
      <c r="AD48" s="136"/>
      <c r="AE48" s="136"/>
    </row>
    <row r="49" spans="13:31" ht="20.75" hidden="1" customHeight="1">
      <c r="M49" s="131" t="s">
        <v>643</v>
      </c>
      <c r="N49" s="132" t="s">
        <v>82</v>
      </c>
      <c r="O49" s="132" t="s">
        <v>588</v>
      </c>
      <c r="P49" s="133" t="s">
        <v>644</v>
      </c>
      <c r="Q49" s="134" t="s">
        <v>642</v>
      </c>
      <c r="R49" s="135"/>
      <c r="S49" s="136"/>
      <c r="T49" s="136"/>
      <c r="U49" s="136"/>
      <c r="V49" s="136"/>
      <c r="W49" s="136"/>
      <c r="X49" s="136"/>
      <c r="Y49" s="136"/>
      <c r="Z49" s="136"/>
      <c r="AA49" s="136"/>
      <c r="AB49" s="136"/>
      <c r="AC49" s="136"/>
      <c r="AD49" s="136"/>
      <c r="AE49" s="136"/>
    </row>
    <row r="50" spans="13:31" ht="20.75" hidden="1" customHeight="1">
      <c r="M50" s="131" t="s">
        <v>645</v>
      </c>
      <c r="N50" s="132" t="s">
        <v>82</v>
      </c>
      <c r="O50" s="132" t="s">
        <v>588</v>
      </c>
      <c r="P50" s="133" t="s">
        <v>646</v>
      </c>
      <c r="Q50" s="134" t="s">
        <v>600</v>
      </c>
      <c r="R50" s="135"/>
      <c r="S50" s="136"/>
      <c r="T50" s="136"/>
      <c r="U50" s="136"/>
      <c r="V50" s="136"/>
      <c r="W50" s="136"/>
      <c r="X50" s="136"/>
      <c r="Y50" s="136"/>
      <c r="Z50" s="136"/>
      <c r="AA50" s="136"/>
      <c r="AB50" s="136"/>
      <c r="AC50" s="136"/>
      <c r="AD50" s="136"/>
      <c r="AE50" s="136"/>
    </row>
    <row r="51" spans="13:31" ht="20.75" hidden="1" customHeight="1">
      <c r="M51" s="131" t="s">
        <v>647</v>
      </c>
      <c r="N51" s="132" t="s">
        <v>82</v>
      </c>
      <c r="O51" s="132" t="s">
        <v>588</v>
      </c>
      <c r="P51" s="133" t="s">
        <v>646</v>
      </c>
      <c r="Q51" s="134" t="s">
        <v>642</v>
      </c>
      <c r="R51" s="135"/>
      <c r="S51" s="136"/>
      <c r="T51" s="136"/>
      <c r="U51" s="136"/>
      <c r="V51" s="136"/>
      <c r="W51" s="136"/>
      <c r="X51" s="136"/>
      <c r="Y51" s="136"/>
      <c r="Z51" s="136"/>
      <c r="AA51" s="136"/>
      <c r="AB51" s="136"/>
      <c r="AC51" s="136"/>
      <c r="AD51" s="136"/>
      <c r="AE51" s="136"/>
    </row>
    <row r="52" spans="13:31" ht="20.75" hidden="1" customHeight="1">
      <c r="M52" s="131" t="s">
        <v>648</v>
      </c>
      <c r="N52" s="132" t="s">
        <v>82</v>
      </c>
      <c r="O52" s="132" t="s">
        <v>588</v>
      </c>
      <c r="P52" s="133" t="s">
        <v>646</v>
      </c>
      <c r="Q52" s="134" t="s">
        <v>594</v>
      </c>
      <c r="R52" s="135"/>
      <c r="S52" s="136"/>
      <c r="T52" s="136"/>
      <c r="U52" s="136"/>
      <c r="V52" s="136"/>
      <c r="W52" s="136"/>
      <c r="X52" s="136"/>
      <c r="Y52" s="136"/>
      <c r="Z52" s="136"/>
      <c r="AA52" s="136"/>
      <c r="AB52" s="136"/>
      <c r="AC52" s="136"/>
      <c r="AD52" s="136"/>
      <c r="AE52" s="136"/>
    </row>
    <row r="53" spans="13:31" ht="20.75" hidden="1" customHeight="1">
      <c r="M53" s="131" t="s">
        <v>649</v>
      </c>
      <c r="N53" s="132" t="s">
        <v>82</v>
      </c>
      <c r="O53" s="132" t="s">
        <v>588</v>
      </c>
      <c r="P53" s="133" t="s">
        <v>646</v>
      </c>
      <c r="Q53" s="134" t="s">
        <v>650</v>
      </c>
      <c r="R53" s="135"/>
      <c r="S53" s="136"/>
      <c r="T53" s="136"/>
      <c r="U53" s="136"/>
      <c r="V53" s="136"/>
      <c r="W53" s="136"/>
      <c r="X53" s="136"/>
      <c r="Y53" s="136"/>
      <c r="Z53" s="136"/>
      <c r="AA53" s="136"/>
      <c r="AB53" s="136"/>
      <c r="AC53" s="136"/>
      <c r="AD53" s="136"/>
      <c r="AE53" s="136"/>
    </row>
    <row r="54" spans="13:31" ht="20.75" hidden="1" customHeight="1">
      <c r="M54" s="131" t="s">
        <v>651</v>
      </c>
      <c r="N54" s="132" t="s">
        <v>82</v>
      </c>
      <c r="O54" s="132" t="s">
        <v>588</v>
      </c>
      <c r="P54" s="133" t="s">
        <v>646</v>
      </c>
      <c r="Q54" s="134" t="s">
        <v>522</v>
      </c>
      <c r="R54" s="135"/>
      <c r="S54" s="136"/>
      <c r="T54" s="136"/>
      <c r="U54" s="136"/>
      <c r="V54" s="136"/>
      <c r="W54" s="136"/>
      <c r="X54" s="136"/>
      <c r="Y54" s="136"/>
      <c r="Z54" s="136"/>
      <c r="AA54" s="136"/>
      <c r="AB54" s="136"/>
      <c r="AC54" s="136"/>
      <c r="AD54" s="136"/>
      <c r="AE54" s="136"/>
    </row>
    <row r="55" spans="13:31" ht="20.75" hidden="1" customHeight="1">
      <c r="M55" s="137" t="s">
        <v>652</v>
      </c>
      <c r="N55" s="132" t="s">
        <v>82</v>
      </c>
      <c r="O55" s="132" t="s">
        <v>653</v>
      </c>
      <c r="P55" s="138" t="s">
        <v>654</v>
      </c>
      <c r="Q55" s="134" t="s">
        <v>625</v>
      </c>
      <c r="R55" s="135"/>
      <c r="S55" s="136"/>
      <c r="T55" s="136"/>
      <c r="U55" s="136"/>
      <c r="V55" s="136"/>
      <c r="W55" s="136"/>
      <c r="X55" s="136"/>
      <c r="Y55" s="136"/>
      <c r="Z55" s="136"/>
      <c r="AA55" s="136"/>
      <c r="AB55" s="136"/>
      <c r="AC55" s="136"/>
      <c r="AD55" s="136"/>
      <c r="AE55" s="136"/>
    </row>
    <row r="56" spans="13:31" ht="20.75" hidden="1" customHeight="1">
      <c r="M56" s="137" t="s">
        <v>655</v>
      </c>
      <c r="N56" s="132" t="s">
        <v>82</v>
      </c>
      <c r="O56" s="132" t="s">
        <v>653</v>
      </c>
      <c r="P56" s="138" t="s">
        <v>654</v>
      </c>
      <c r="Q56" s="134" t="s">
        <v>656</v>
      </c>
      <c r="R56" s="135"/>
      <c r="S56" s="136"/>
      <c r="T56" s="136"/>
      <c r="U56" s="136"/>
      <c r="V56" s="136"/>
      <c r="W56" s="136"/>
      <c r="X56" s="136"/>
      <c r="Y56" s="136"/>
      <c r="Z56" s="136"/>
      <c r="AA56" s="136"/>
      <c r="AB56" s="136"/>
      <c r="AC56" s="136"/>
      <c r="AD56" s="136"/>
      <c r="AE56" s="136"/>
    </row>
    <row r="57" spans="13:31" ht="20.75" hidden="1" customHeight="1">
      <c r="M57" s="137" t="s">
        <v>657</v>
      </c>
      <c r="N57" s="132" t="s">
        <v>82</v>
      </c>
      <c r="O57" s="132" t="s">
        <v>653</v>
      </c>
      <c r="P57" s="138" t="s">
        <v>654</v>
      </c>
      <c r="Q57" s="134" t="s">
        <v>650</v>
      </c>
      <c r="R57" s="135"/>
      <c r="S57" s="136"/>
      <c r="T57" s="136"/>
      <c r="U57" s="136"/>
      <c r="V57" s="136"/>
      <c r="W57" s="136"/>
      <c r="X57" s="136"/>
      <c r="Y57" s="136"/>
      <c r="Z57" s="136"/>
      <c r="AA57" s="136"/>
      <c r="AB57" s="136"/>
      <c r="AC57" s="136"/>
      <c r="AD57" s="136"/>
      <c r="AE57" s="136"/>
    </row>
    <row r="58" spans="13:31" ht="20.75" hidden="1" customHeight="1">
      <c r="M58" s="137" t="s">
        <v>658</v>
      </c>
      <c r="N58" s="132" t="s">
        <v>82</v>
      </c>
      <c r="O58" s="132" t="s">
        <v>653</v>
      </c>
      <c r="P58" s="138" t="s">
        <v>654</v>
      </c>
      <c r="Q58" s="134" t="s">
        <v>659</v>
      </c>
      <c r="R58" s="135"/>
      <c r="S58" s="136"/>
      <c r="T58" s="136"/>
      <c r="U58" s="136"/>
      <c r="V58" s="136"/>
      <c r="W58" s="136"/>
      <c r="X58" s="136"/>
      <c r="Y58" s="136"/>
      <c r="Z58" s="136"/>
      <c r="AA58" s="136"/>
      <c r="AB58" s="136"/>
      <c r="AC58" s="136"/>
      <c r="AD58" s="136"/>
      <c r="AE58" s="136"/>
    </row>
    <row r="59" spans="13:31" ht="20.75" hidden="1" customHeight="1">
      <c r="M59" s="137" t="s">
        <v>660</v>
      </c>
      <c r="N59" s="132" t="s">
        <v>82</v>
      </c>
      <c r="O59" s="132" t="s">
        <v>653</v>
      </c>
      <c r="P59" s="138" t="s">
        <v>661</v>
      </c>
      <c r="Q59" s="134" t="s">
        <v>650</v>
      </c>
      <c r="R59" s="135"/>
      <c r="S59" s="136"/>
      <c r="T59" s="136"/>
      <c r="U59" s="136"/>
      <c r="V59" s="136"/>
      <c r="W59" s="136"/>
      <c r="X59" s="136"/>
      <c r="Y59" s="136"/>
      <c r="Z59" s="136"/>
      <c r="AA59" s="136"/>
      <c r="AB59" s="136"/>
      <c r="AC59" s="136"/>
      <c r="AD59" s="136"/>
      <c r="AE59" s="136"/>
    </row>
    <row r="60" spans="13:31" ht="20.75" hidden="1" customHeight="1">
      <c r="M60" s="137" t="s">
        <v>662</v>
      </c>
      <c r="N60" s="132" t="s">
        <v>82</v>
      </c>
      <c r="O60" s="132" t="s">
        <v>653</v>
      </c>
      <c r="P60" s="138" t="s">
        <v>661</v>
      </c>
      <c r="Q60" s="134" t="s">
        <v>625</v>
      </c>
      <c r="R60" s="135"/>
      <c r="S60" s="136"/>
      <c r="T60" s="136"/>
      <c r="U60" s="136"/>
      <c r="V60" s="136"/>
      <c r="W60" s="136"/>
      <c r="X60" s="136"/>
      <c r="Y60" s="136"/>
      <c r="Z60" s="136"/>
      <c r="AA60" s="136"/>
      <c r="AB60" s="136"/>
      <c r="AC60" s="136"/>
      <c r="AD60" s="136"/>
      <c r="AE60" s="136"/>
    </row>
    <row r="61" spans="13:31" ht="20.75" hidden="1" customHeight="1">
      <c r="M61" s="137" t="s">
        <v>663</v>
      </c>
      <c r="N61" s="132" t="s">
        <v>82</v>
      </c>
      <c r="O61" s="132" t="s">
        <v>653</v>
      </c>
      <c r="P61" s="138" t="s">
        <v>661</v>
      </c>
      <c r="Q61" s="134" t="s">
        <v>664</v>
      </c>
      <c r="R61" s="135"/>
      <c r="S61" s="136"/>
      <c r="T61" s="136"/>
      <c r="U61" s="136"/>
      <c r="V61" s="136"/>
      <c r="W61" s="136"/>
      <c r="X61" s="136"/>
      <c r="Y61" s="136"/>
      <c r="Z61" s="136"/>
      <c r="AA61" s="136"/>
      <c r="AB61" s="136"/>
      <c r="AC61" s="136"/>
      <c r="AD61" s="136"/>
      <c r="AE61" s="136"/>
    </row>
    <row r="62" spans="13:31" ht="20.75" hidden="1" customHeight="1">
      <c r="M62" s="137" t="s">
        <v>665</v>
      </c>
      <c r="N62" s="132" t="s">
        <v>82</v>
      </c>
      <c r="O62" s="132" t="s">
        <v>653</v>
      </c>
      <c r="P62" s="138" t="s">
        <v>661</v>
      </c>
      <c r="Q62" s="134" t="s">
        <v>600</v>
      </c>
      <c r="R62" s="135"/>
      <c r="S62" s="136"/>
      <c r="T62" s="136"/>
      <c r="U62" s="136"/>
      <c r="V62" s="136"/>
      <c r="W62" s="136"/>
      <c r="X62" s="136"/>
      <c r="Y62" s="136"/>
      <c r="Z62" s="136"/>
      <c r="AA62" s="136"/>
      <c r="AB62" s="136"/>
      <c r="AC62" s="136"/>
      <c r="AD62" s="136"/>
      <c r="AE62" s="136"/>
    </row>
    <row r="63" spans="13:31" ht="20.75" hidden="1" customHeight="1">
      <c r="M63" s="137" t="s">
        <v>666</v>
      </c>
      <c r="N63" s="132" t="s">
        <v>82</v>
      </c>
      <c r="O63" s="132" t="s">
        <v>653</v>
      </c>
      <c r="P63" s="138" t="s">
        <v>667</v>
      </c>
      <c r="Q63" s="134" t="s">
        <v>664</v>
      </c>
      <c r="R63" s="135"/>
      <c r="S63" s="136"/>
      <c r="T63" s="136"/>
      <c r="U63" s="136"/>
      <c r="V63" s="136"/>
      <c r="W63" s="136"/>
      <c r="X63" s="136"/>
      <c r="Y63" s="136"/>
      <c r="Z63" s="136"/>
      <c r="AA63" s="136"/>
      <c r="AB63" s="136"/>
      <c r="AC63" s="136"/>
      <c r="AD63" s="136"/>
      <c r="AE63" s="136"/>
    </row>
    <row r="64" spans="13:31" ht="20.75" hidden="1" customHeight="1">
      <c r="M64" s="137" t="s">
        <v>668</v>
      </c>
      <c r="N64" s="132" t="s">
        <v>82</v>
      </c>
      <c r="O64" s="132" t="s">
        <v>653</v>
      </c>
      <c r="P64" s="138" t="s">
        <v>667</v>
      </c>
      <c r="Q64" s="134" t="s">
        <v>656</v>
      </c>
      <c r="R64" s="135"/>
      <c r="S64" s="136"/>
      <c r="T64" s="136"/>
      <c r="U64" s="136"/>
      <c r="V64" s="136"/>
      <c r="W64" s="136"/>
      <c r="X64" s="136"/>
      <c r="Y64" s="136"/>
      <c r="Z64" s="136"/>
      <c r="AA64" s="136"/>
      <c r="AB64" s="136"/>
      <c r="AC64" s="136"/>
      <c r="AD64" s="136"/>
      <c r="AE64" s="136"/>
    </row>
    <row r="65" spans="13:31" ht="20.75" hidden="1" customHeight="1">
      <c r="M65" s="137" t="s">
        <v>669</v>
      </c>
      <c r="N65" s="132" t="s">
        <v>82</v>
      </c>
      <c r="O65" s="132" t="s">
        <v>653</v>
      </c>
      <c r="P65" s="138" t="s">
        <v>667</v>
      </c>
      <c r="Q65" s="134" t="s">
        <v>515</v>
      </c>
      <c r="R65" s="135"/>
      <c r="S65" s="136"/>
      <c r="T65" s="136"/>
      <c r="U65" s="136"/>
      <c r="V65" s="136"/>
      <c r="W65" s="136"/>
      <c r="X65" s="136"/>
      <c r="Y65" s="136"/>
      <c r="Z65" s="136"/>
      <c r="AA65" s="136"/>
      <c r="AB65" s="136"/>
      <c r="AC65" s="136"/>
      <c r="AD65" s="136"/>
      <c r="AE65" s="136"/>
    </row>
    <row r="66" spans="13:31" ht="20.75" hidden="1" customHeight="1">
      <c r="M66" s="137" t="s">
        <v>670</v>
      </c>
      <c r="N66" s="132" t="s">
        <v>82</v>
      </c>
      <c r="O66" s="132" t="s">
        <v>653</v>
      </c>
      <c r="P66" s="138" t="s">
        <v>671</v>
      </c>
      <c r="Q66" s="134" t="s">
        <v>656</v>
      </c>
      <c r="R66" s="135"/>
      <c r="S66" s="136"/>
      <c r="T66" s="136"/>
      <c r="U66" s="136"/>
      <c r="V66" s="136"/>
      <c r="W66" s="136"/>
      <c r="X66" s="136"/>
      <c r="Y66" s="136"/>
      <c r="Z66" s="136"/>
      <c r="AA66" s="136"/>
      <c r="AB66" s="136"/>
      <c r="AC66" s="136"/>
      <c r="AD66" s="136"/>
      <c r="AE66" s="136"/>
    </row>
    <row r="67" spans="13:31" ht="20.75" hidden="1" customHeight="1">
      <c r="M67" s="137" t="s">
        <v>672</v>
      </c>
      <c r="N67" s="132" t="s">
        <v>82</v>
      </c>
      <c r="O67" s="132" t="s">
        <v>653</v>
      </c>
      <c r="P67" s="138" t="s">
        <v>671</v>
      </c>
      <c r="Q67" s="134" t="s">
        <v>650</v>
      </c>
      <c r="R67" s="135"/>
      <c r="S67" s="136"/>
      <c r="T67" s="136"/>
      <c r="U67" s="136"/>
      <c r="V67" s="136"/>
      <c r="W67" s="136"/>
      <c r="X67" s="136"/>
      <c r="Y67" s="136"/>
      <c r="Z67" s="136"/>
      <c r="AA67" s="136"/>
      <c r="AB67" s="136"/>
      <c r="AC67" s="136"/>
      <c r="AD67" s="136"/>
      <c r="AE67" s="136"/>
    </row>
    <row r="68" spans="13:31" ht="20.75" hidden="1" customHeight="1">
      <c r="M68" s="137" t="s">
        <v>673</v>
      </c>
      <c r="N68" s="132" t="s">
        <v>82</v>
      </c>
      <c r="O68" s="132" t="s">
        <v>653</v>
      </c>
      <c r="P68" s="138" t="s">
        <v>671</v>
      </c>
      <c r="Q68" s="134" t="s">
        <v>600</v>
      </c>
      <c r="R68" s="135"/>
      <c r="S68" s="136"/>
      <c r="T68" s="136"/>
      <c r="U68" s="136"/>
      <c r="V68" s="136"/>
      <c r="W68" s="136"/>
      <c r="X68" s="136"/>
      <c r="Y68" s="136"/>
      <c r="Z68" s="136"/>
      <c r="AA68" s="136"/>
      <c r="AB68" s="136"/>
      <c r="AC68" s="136"/>
      <c r="AD68" s="136"/>
      <c r="AE68" s="136"/>
    </row>
    <row r="69" spans="13:31" ht="20.75" hidden="1" customHeight="1">
      <c r="M69" s="137" t="s">
        <v>674</v>
      </c>
      <c r="N69" s="132" t="s">
        <v>82</v>
      </c>
      <c r="O69" s="132" t="s">
        <v>653</v>
      </c>
      <c r="P69" s="138" t="s">
        <v>671</v>
      </c>
      <c r="Q69" s="134" t="s">
        <v>594</v>
      </c>
      <c r="R69" s="135"/>
      <c r="S69" s="136"/>
      <c r="T69" s="136"/>
      <c r="U69" s="136"/>
      <c r="V69" s="136"/>
      <c r="W69" s="136"/>
      <c r="X69" s="136"/>
      <c r="Y69" s="136"/>
      <c r="Z69" s="136"/>
      <c r="AA69" s="136"/>
      <c r="AB69" s="136"/>
      <c r="AC69" s="136"/>
      <c r="AD69" s="136"/>
      <c r="AE69" s="136"/>
    </row>
    <row r="70" spans="13:31" ht="20.75" hidden="1" customHeight="1">
      <c r="M70" s="137" t="s">
        <v>675</v>
      </c>
      <c r="N70" s="132" t="s">
        <v>82</v>
      </c>
      <c r="O70" s="132" t="s">
        <v>653</v>
      </c>
      <c r="P70" s="138" t="s">
        <v>676</v>
      </c>
      <c r="Q70" s="134" t="s">
        <v>656</v>
      </c>
      <c r="R70" s="135"/>
      <c r="S70" s="136"/>
      <c r="T70" s="136"/>
      <c r="U70" s="136"/>
      <c r="V70" s="136"/>
      <c r="W70" s="136"/>
      <c r="X70" s="136"/>
      <c r="Y70" s="136"/>
      <c r="Z70" s="136"/>
      <c r="AA70" s="136"/>
      <c r="AB70" s="136"/>
      <c r="AC70" s="136"/>
      <c r="AD70" s="136"/>
      <c r="AE70" s="136"/>
    </row>
    <row r="71" spans="13:31" ht="20.75" hidden="1" customHeight="1">
      <c r="M71" s="137" t="s">
        <v>677</v>
      </c>
      <c r="N71" s="132" t="s">
        <v>82</v>
      </c>
      <c r="O71" s="132" t="s">
        <v>653</v>
      </c>
      <c r="P71" s="138" t="s">
        <v>676</v>
      </c>
      <c r="Q71" s="134" t="s">
        <v>650</v>
      </c>
      <c r="R71" s="135"/>
      <c r="S71" s="136"/>
      <c r="T71" s="136"/>
      <c r="U71" s="136"/>
      <c r="V71" s="136"/>
      <c r="W71" s="136"/>
      <c r="X71" s="136"/>
      <c r="Y71" s="136"/>
      <c r="Z71" s="136"/>
      <c r="AA71" s="136"/>
      <c r="AB71" s="136"/>
      <c r="AC71" s="136"/>
      <c r="AD71" s="136"/>
      <c r="AE71" s="136"/>
    </row>
    <row r="72" spans="13:31" ht="20.75" hidden="1" customHeight="1">
      <c r="M72" s="137" t="s">
        <v>678</v>
      </c>
      <c r="N72" s="132" t="s">
        <v>82</v>
      </c>
      <c r="O72" s="132" t="s">
        <v>653</v>
      </c>
      <c r="P72" s="138" t="s">
        <v>676</v>
      </c>
      <c r="Q72" s="134" t="s">
        <v>600</v>
      </c>
      <c r="R72" s="135"/>
      <c r="S72" s="136"/>
      <c r="T72" s="136"/>
      <c r="U72" s="136"/>
      <c r="V72" s="136"/>
      <c r="W72" s="136"/>
      <c r="X72" s="136"/>
      <c r="Y72" s="136"/>
      <c r="Z72" s="136"/>
      <c r="AA72" s="136"/>
      <c r="AB72" s="136"/>
      <c r="AC72" s="136"/>
      <c r="AD72" s="136"/>
      <c r="AE72" s="136"/>
    </row>
    <row r="73" spans="13:31" ht="20.75" hidden="1" customHeight="1">
      <c r="M73" s="137" t="s">
        <v>679</v>
      </c>
      <c r="N73" s="132" t="s">
        <v>82</v>
      </c>
      <c r="O73" s="132" t="s">
        <v>653</v>
      </c>
      <c r="P73" s="138" t="s">
        <v>676</v>
      </c>
      <c r="Q73" s="134" t="s">
        <v>633</v>
      </c>
      <c r="R73" s="135"/>
      <c r="S73" s="136"/>
      <c r="T73" s="136"/>
      <c r="U73" s="136"/>
      <c r="V73" s="136"/>
      <c r="W73" s="136"/>
      <c r="X73" s="136"/>
      <c r="Y73" s="136"/>
      <c r="Z73" s="136"/>
      <c r="AA73" s="136"/>
      <c r="AB73" s="136"/>
      <c r="AC73" s="136"/>
      <c r="AD73" s="136"/>
      <c r="AE73" s="136"/>
    </row>
    <row r="74" spans="13:31" ht="20.75" hidden="1" customHeight="1">
      <c r="M74" s="137" t="s">
        <v>680</v>
      </c>
      <c r="N74" s="132" t="s">
        <v>82</v>
      </c>
      <c r="O74" s="132" t="s">
        <v>653</v>
      </c>
      <c r="P74" s="138" t="s">
        <v>681</v>
      </c>
      <c r="Q74" s="134" t="s">
        <v>664</v>
      </c>
      <c r="R74" s="135"/>
      <c r="S74" s="136"/>
      <c r="T74" s="136"/>
      <c r="U74" s="136"/>
      <c r="V74" s="136"/>
      <c r="W74" s="136"/>
      <c r="X74" s="136"/>
      <c r="Y74" s="136"/>
      <c r="Z74" s="136"/>
      <c r="AA74" s="136"/>
      <c r="AB74" s="136"/>
      <c r="AC74" s="136"/>
      <c r="AD74" s="136"/>
      <c r="AE74" s="136"/>
    </row>
    <row r="75" spans="13:31" ht="20.75" hidden="1" customHeight="1">
      <c r="M75" s="137" t="s">
        <v>682</v>
      </c>
      <c r="N75" s="132" t="s">
        <v>82</v>
      </c>
      <c r="O75" s="132" t="s">
        <v>653</v>
      </c>
      <c r="P75" s="138" t="s">
        <v>681</v>
      </c>
      <c r="Q75" s="134" t="s">
        <v>594</v>
      </c>
      <c r="R75" s="135"/>
      <c r="S75" s="136"/>
      <c r="T75" s="136"/>
      <c r="U75" s="136"/>
      <c r="V75" s="136"/>
      <c r="W75" s="136"/>
      <c r="X75" s="136"/>
      <c r="Y75" s="136"/>
      <c r="Z75" s="136"/>
      <c r="AA75" s="136"/>
      <c r="AB75" s="136"/>
      <c r="AC75" s="136"/>
      <c r="AD75" s="136"/>
      <c r="AE75" s="136"/>
    </row>
    <row r="76" spans="13:31" ht="20.75" hidden="1" customHeight="1">
      <c r="M76" s="137" t="s">
        <v>683</v>
      </c>
      <c r="N76" s="132" t="s">
        <v>82</v>
      </c>
      <c r="O76" s="132" t="s">
        <v>653</v>
      </c>
      <c r="P76" s="138" t="s">
        <v>684</v>
      </c>
      <c r="Q76" s="134" t="s">
        <v>650</v>
      </c>
      <c r="R76" s="135"/>
      <c r="S76" s="136"/>
      <c r="T76" s="136"/>
      <c r="U76" s="136"/>
      <c r="V76" s="136"/>
      <c r="W76" s="136"/>
      <c r="X76" s="136"/>
      <c r="Y76" s="136"/>
      <c r="Z76" s="136"/>
      <c r="AA76" s="136"/>
      <c r="AB76" s="136"/>
      <c r="AC76" s="136"/>
      <c r="AD76" s="136"/>
      <c r="AE76" s="136"/>
    </row>
    <row r="77" spans="13:31" ht="20.75" hidden="1" customHeight="1">
      <c r="M77" s="137" t="s">
        <v>685</v>
      </c>
      <c r="N77" s="132" t="s">
        <v>82</v>
      </c>
      <c r="O77" s="132" t="s">
        <v>653</v>
      </c>
      <c r="P77" s="138" t="s">
        <v>684</v>
      </c>
      <c r="Q77" s="134" t="s">
        <v>600</v>
      </c>
      <c r="R77" s="135"/>
      <c r="S77" s="136"/>
      <c r="T77" s="136"/>
      <c r="U77" s="136"/>
      <c r="V77" s="136"/>
      <c r="W77" s="136"/>
      <c r="X77" s="136"/>
      <c r="Y77" s="136"/>
      <c r="Z77" s="136"/>
      <c r="AA77" s="136"/>
      <c r="AB77" s="136"/>
      <c r="AC77" s="136"/>
      <c r="AD77" s="136"/>
      <c r="AE77" s="136"/>
    </row>
    <row r="78" spans="13:31" ht="20.75" hidden="1" customHeight="1">
      <c r="M78" s="137" t="s">
        <v>686</v>
      </c>
      <c r="N78" s="132" t="s">
        <v>82</v>
      </c>
      <c r="O78" s="132" t="s">
        <v>653</v>
      </c>
      <c r="P78" s="138" t="s">
        <v>684</v>
      </c>
      <c r="Q78" s="134" t="s">
        <v>594</v>
      </c>
      <c r="R78" s="135"/>
      <c r="S78" s="136"/>
      <c r="T78" s="136"/>
      <c r="U78" s="136"/>
      <c r="V78" s="136"/>
      <c r="W78" s="136"/>
      <c r="X78" s="136"/>
      <c r="Y78" s="136"/>
      <c r="Z78" s="136"/>
      <c r="AA78" s="136"/>
      <c r="AB78" s="136"/>
      <c r="AC78" s="136"/>
      <c r="AD78" s="136"/>
      <c r="AE78" s="136"/>
    </row>
    <row r="79" spans="13:31" ht="20.75" hidden="1" customHeight="1">
      <c r="M79" s="137" t="s">
        <v>687</v>
      </c>
      <c r="N79" s="132" t="s">
        <v>82</v>
      </c>
      <c r="O79" s="132" t="s">
        <v>653</v>
      </c>
      <c r="P79" s="138" t="s">
        <v>684</v>
      </c>
      <c r="Q79" s="134" t="s">
        <v>659</v>
      </c>
      <c r="R79" s="135"/>
      <c r="S79" s="136"/>
      <c r="T79" s="136"/>
      <c r="U79" s="136"/>
      <c r="V79" s="136"/>
      <c r="W79" s="136"/>
      <c r="X79" s="136"/>
      <c r="Y79" s="136"/>
      <c r="Z79" s="136"/>
      <c r="AA79" s="136"/>
      <c r="AB79" s="136"/>
      <c r="AC79" s="136"/>
      <c r="AD79" s="136"/>
      <c r="AE79" s="136"/>
    </row>
    <row r="80" spans="13:31" ht="20.75" hidden="1" customHeight="1">
      <c r="M80" s="137" t="s">
        <v>688</v>
      </c>
      <c r="N80" s="132" t="s">
        <v>82</v>
      </c>
      <c r="O80" s="132" t="s">
        <v>653</v>
      </c>
      <c r="P80" s="138" t="s">
        <v>684</v>
      </c>
      <c r="Q80" s="134" t="s">
        <v>633</v>
      </c>
      <c r="R80" s="135"/>
      <c r="S80" s="136"/>
      <c r="T80" s="136"/>
      <c r="U80" s="136"/>
      <c r="V80" s="136"/>
      <c r="W80" s="136"/>
      <c r="X80" s="136"/>
      <c r="Y80" s="136"/>
      <c r="Z80" s="136"/>
      <c r="AA80" s="136"/>
      <c r="AB80" s="136"/>
      <c r="AC80" s="136"/>
      <c r="AD80" s="136"/>
      <c r="AE80" s="136"/>
    </row>
    <row r="81" spans="13:31" ht="20.75" hidden="1" customHeight="1">
      <c r="M81" s="137" t="s">
        <v>689</v>
      </c>
      <c r="N81" s="132" t="s">
        <v>82</v>
      </c>
      <c r="O81" s="132" t="s">
        <v>653</v>
      </c>
      <c r="P81" s="138" t="s">
        <v>684</v>
      </c>
      <c r="Q81" s="134" t="s">
        <v>690</v>
      </c>
      <c r="R81" s="135"/>
      <c r="S81" s="136"/>
      <c r="T81" s="136"/>
      <c r="U81" s="136"/>
      <c r="V81" s="136"/>
      <c r="W81" s="136"/>
      <c r="X81" s="136"/>
      <c r="Y81" s="136"/>
      <c r="Z81" s="136"/>
      <c r="AA81" s="136"/>
      <c r="AB81" s="136"/>
      <c r="AC81" s="136"/>
      <c r="AD81" s="136"/>
      <c r="AE81" s="136"/>
    </row>
    <row r="82" spans="13:31" ht="20.75" hidden="1" customHeight="1">
      <c r="M82" s="137" t="s">
        <v>691</v>
      </c>
      <c r="N82" s="132" t="s">
        <v>82</v>
      </c>
      <c r="O82" s="132" t="s">
        <v>653</v>
      </c>
      <c r="P82" s="138" t="s">
        <v>684</v>
      </c>
      <c r="Q82" s="134" t="s">
        <v>627</v>
      </c>
      <c r="R82" s="135"/>
      <c r="S82" s="136"/>
      <c r="T82" s="136"/>
      <c r="U82" s="136"/>
      <c r="V82" s="136"/>
      <c r="W82" s="136"/>
      <c r="X82" s="136"/>
      <c r="Y82" s="136"/>
      <c r="Z82" s="136"/>
      <c r="AA82" s="136"/>
      <c r="AB82" s="136"/>
      <c r="AC82" s="136"/>
      <c r="AD82" s="136"/>
      <c r="AE82" s="136"/>
    </row>
    <row r="83" spans="13:31" ht="20.75" hidden="1" customHeight="1">
      <c r="M83" s="137" t="s">
        <v>692</v>
      </c>
      <c r="N83" s="132" t="s">
        <v>82</v>
      </c>
      <c r="O83" s="132" t="s">
        <v>653</v>
      </c>
      <c r="P83" s="138" t="s">
        <v>684</v>
      </c>
      <c r="Q83" s="134" t="s">
        <v>613</v>
      </c>
      <c r="R83" s="135"/>
      <c r="S83" s="136"/>
      <c r="T83" s="136"/>
      <c r="U83" s="136"/>
      <c r="V83" s="136"/>
      <c r="W83" s="136"/>
      <c r="X83" s="136"/>
      <c r="Y83" s="136"/>
      <c r="Z83" s="136"/>
      <c r="AA83" s="136"/>
      <c r="AB83" s="136"/>
      <c r="AC83" s="136"/>
      <c r="AD83" s="136"/>
      <c r="AE83" s="136"/>
    </row>
    <row r="84" spans="13:31" ht="20.75" hidden="1" customHeight="1">
      <c r="M84" s="137" t="s">
        <v>693</v>
      </c>
      <c r="N84" s="132" t="s">
        <v>195</v>
      </c>
      <c r="O84" s="132" t="s">
        <v>588</v>
      </c>
      <c r="P84" s="138" t="s">
        <v>694</v>
      </c>
      <c r="Q84" s="139" t="s">
        <v>695</v>
      </c>
      <c r="R84" s="135"/>
      <c r="S84" s="136"/>
      <c r="T84" s="136"/>
      <c r="U84" s="136"/>
      <c r="V84" s="136"/>
      <c r="W84" s="136"/>
      <c r="X84" s="136"/>
      <c r="Y84" s="136"/>
      <c r="Z84" s="136"/>
      <c r="AA84" s="136"/>
      <c r="AB84" s="136"/>
      <c r="AC84" s="136"/>
      <c r="AD84" s="136"/>
      <c r="AE84" s="136"/>
    </row>
    <row r="85" spans="13:31" ht="20.75" hidden="1" customHeight="1">
      <c r="M85" s="137" t="s">
        <v>696</v>
      </c>
      <c r="N85" s="132" t="s">
        <v>195</v>
      </c>
      <c r="O85" s="132" t="s">
        <v>588</v>
      </c>
      <c r="P85" s="138" t="s">
        <v>694</v>
      </c>
      <c r="Q85" s="139" t="s">
        <v>520</v>
      </c>
      <c r="R85" s="135"/>
      <c r="S85" s="136"/>
      <c r="T85" s="136"/>
      <c r="U85" s="136"/>
      <c r="V85" s="136"/>
      <c r="W85" s="136"/>
      <c r="X85" s="136"/>
      <c r="Y85" s="136"/>
      <c r="Z85" s="136"/>
      <c r="AA85" s="136"/>
      <c r="AB85" s="136"/>
      <c r="AC85" s="136"/>
      <c r="AD85" s="136"/>
      <c r="AE85" s="136"/>
    </row>
    <row r="86" spans="13:31" ht="20.75" hidden="1" customHeight="1">
      <c r="M86" s="137" t="s">
        <v>697</v>
      </c>
      <c r="N86" s="132" t="s">
        <v>195</v>
      </c>
      <c r="O86" s="132" t="s">
        <v>588</v>
      </c>
      <c r="P86" s="138" t="s">
        <v>694</v>
      </c>
      <c r="Q86" s="139" t="s">
        <v>698</v>
      </c>
      <c r="R86" s="135"/>
      <c r="S86" s="136"/>
      <c r="T86" s="136"/>
      <c r="U86" s="136"/>
      <c r="V86" s="136"/>
      <c r="W86" s="136"/>
      <c r="X86" s="136"/>
      <c r="Y86" s="136"/>
      <c r="Z86" s="136"/>
      <c r="AA86" s="136"/>
      <c r="AB86" s="136"/>
      <c r="AC86" s="136"/>
      <c r="AD86" s="136"/>
      <c r="AE86" s="136"/>
    </row>
    <row r="87" spans="13:31" ht="20.75" hidden="1" customHeight="1">
      <c r="M87" s="137" t="s">
        <v>699</v>
      </c>
      <c r="N87" s="132" t="s">
        <v>195</v>
      </c>
      <c r="O87" s="132" t="s">
        <v>588</v>
      </c>
      <c r="P87" s="138" t="s">
        <v>694</v>
      </c>
      <c r="Q87" s="139" t="s">
        <v>518</v>
      </c>
      <c r="R87" s="135"/>
      <c r="S87" s="136"/>
      <c r="T87" s="136"/>
      <c r="U87" s="136"/>
      <c r="V87" s="136"/>
      <c r="W87" s="136"/>
      <c r="X87" s="136"/>
      <c r="Y87" s="136"/>
      <c r="Z87" s="136"/>
      <c r="AA87" s="136"/>
      <c r="AB87" s="136"/>
      <c r="AC87" s="136"/>
      <c r="AD87" s="136"/>
      <c r="AE87" s="136"/>
    </row>
    <row r="88" spans="13:31" ht="20.75" hidden="1" customHeight="1">
      <c r="M88" s="137" t="s">
        <v>700</v>
      </c>
      <c r="N88" s="132" t="s">
        <v>195</v>
      </c>
      <c r="O88" s="132" t="s">
        <v>588</v>
      </c>
      <c r="P88" s="138" t="s">
        <v>701</v>
      </c>
      <c r="Q88" s="139" t="s">
        <v>519</v>
      </c>
      <c r="R88" s="135"/>
      <c r="S88" s="136"/>
      <c r="T88" s="136"/>
      <c r="U88" s="136"/>
      <c r="V88" s="136"/>
      <c r="W88" s="136"/>
      <c r="X88" s="136"/>
      <c r="Y88" s="136"/>
      <c r="Z88" s="136"/>
      <c r="AA88" s="136"/>
      <c r="AB88" s="136"/>
      <c r="AC88" s="136"/>
      <c r="AD88" s="136"/>
      <c r="AE88" s="136"/>
    </row>
    <row r="89" spans="13:31" ht="20.75" hidden="1" customHeight="1">
      <c r="M89" s="137" t="s">
        <v>702</v>
      </c>
      <c r="N89" s="132" t="s">
        <v>195</v>
      </c>
      <c r="O89" s="132" t="s">
        <v>588</v>
      </c>
      <c r="P89" s="138" t="s">
        <v>701</v>
      </c>
      <c r="Q89" s="139" t="s">
        <v>703</v>
      </c>
      <c r="R89" s="135"/>
      <c r="S89" s="136"/>
      <c r="T89" s="136"/>
      <c r="U89" s="136"/>
      <c r="V89" s="136"/>
      <c r="W89" s="136"/>
      <c r="X89" s="136"/>
      <c r="Y89" s="136"/>
      <c r="Z89" s="136"/>
      <c r="AA89" s="136"/>
      <c r="AB89" s="136"/>
      <c r="AC89" s="136"/>
      <c r="AD89" s="136"/>
      <c r="AE89" s="136"/>
    </row>
    <row r="90" spans="13:31" ht="20.75" hidden="1" customHeight="1">
      <c r="M90" s="137" t="s">
        <v>704</v>
      </c>
      <c r="N90" s="132" t="s">
        <v>195</v>
      </c>
      <c r="O90" s="132" t="s">
        <v>588</v>
      </c>
      <c r="P90" s="138" t="s">
        <v>701</v>
      </c>
      <c r="Q90" s="139" t="s">
        <v>705</v>
      </c>
      <c r="R90" s="135"/>
      <c r="S90" s="136"/>
      <c r="T90" s="136"/>
      <c r="U90" s="136"/>
      <c r="V90" s="136"/>
      <c r="W90" s="136"/>
      <c r="X90" s="136"/>
      <c r="Y90" s="136"/>
      <c r="Z90" s="136"/>
      <c r="AA90" s="136"/>
      <c r="AB90" s="136"/>
      <c r="AC90" s="136"/>
      <c r="AD90" s="136"/>
      <c r="AE90" s="136"/>
    </row>
    <row r="91" spans="13:31" ht="20.75" hidden="1" customHeight="1">
      <c r="M91" s="137" t="s">
        <v>706</v>
      </c>
      <c r="N91" s="132" t="s">
        <v>195</v>
      </c>
      <c r="O91" s="132" t="s">
        <v>588</v>
      </c>
      <c r="P91" s="138" t="s">
        <v>701</v>
      </c>
      <c r="Q91" s="139" t="s">
        <v>521</v>
      </c>
      <c r="R91" s="135"/>
      <c r="S91" s="136"/>
      <c r="T91" s="136"/>
      <c r="U91" s="136"/>
      <c r="V91" s="136"/>
      <c r="W91" s="136"/>
      <c r="X91" s="136"/>
      <c r="Y91" s="136"/>
      <c r="Z91" s="136"/>
      <c r="AA91" s="136"/>
      <c r="AB91" s="136"/>
      <c r="AC91" s="136"/>
      <c r="AD91" s="136"/>
      <c r="AE91" s="136"/>
    </row>
    <row r="92" spans="13:31" ht="20.75" hidden="1" customHeight="1">
      <c r="M92" s="137" t="s">
        <v>707</v>
      </c>
      <c r="N92" s="132" t="s">
        <v>195</v>
      </c>
      <c r="O92" s="132" t="s">
        <v>588</v>
      </c>
      <c r="P92" s="138" t="s">
        <v>708</v>
      </c>
      <c r="Q92" s="139" t="s">
        <v>705</v>
      </c>
      <c r="R92" s="135"/>
      <c r="S92" s="136"/>
      <c r="T92" s="136"/>
      <c r="U92" s="136"/>
      <c r="V92" s="136"/>
      <c r="W92" s="136"/>
      <c r="X92" s="136"/>
      <c r="Y92" s="136"/>
      <c r="Z92" s="136"/>
      <c r="AA92" s="136"/>
      <c r="AB92" s="136"/>
      <c r="AC92" s="136"/>
      <c r="AD92" s="136"/>
      <c r="AE92" s="136"/>
    </row>
    <row r="93" spans="13:31" ht="20.75" hidden="1" customHeight="1">
      <c r="M93" s="137" t="s">
        <v>709</v>
      </c>
      <c r="N93" s="132" t="s">
        <v>195</v>
      </c>
      <c r="O93" s="132" t="s">
        <v>588</v>
      </c>
      <c r="P93" s="138" t="s">
        <v>708</v>
      </c>
      <c r="Q93" s="139" t="s">
        <v>518</v>
      </c>
      <c r="R93" s="135"/>
      <c r="S93" s="136"/>
      <c r="T93" s="136"/>
      <c r="U93" s="136"/>
      <c r="V93" s="136"/>
      <c r="W93" s="136"/>
      <c r="X93" s="136"/>
      <c r="Y93" s="136"/>
      <c r="Z93" s="136"/>
      <c r="AA93" s="136"/>
      <c r="AB93" s="136"/>
      <c r="AC93" s="136"/>
      <c r="AD93" s="136"/>
      <c r="AE93" s="136"/>
    </row>
    <row r="94" spans="13:31" ht="20.75" hidden="1" customHeight="1">
      <c r="M94" s="137" t="s">
        <v>710</v>
      </c>
      <c r="N94" s="132" t="s">
        <v>195</v>
      </c>
      <c r="O94" s="132" t="s">
        <v>588</v>
      </c>
      <c r="P94" s="138" t="s">
        <v>708</v>
      </c>
      <c r="Q94" s="139" t="s">
        <v>711</v>
      </c>
      <c r="R94" s="135"/>
      <c r="S94" s="136"/>
      <c r="T94" s="136"/>
      <c r="U94" s="136"/>
      <c r="V94" s="136"/>
      <c r="W94" s="136"/>
      <c r="X94" s="136"/>
      <c r="Y94" s="136"/>
      <c r="Z94" s="136"/>
      <c r="AA94" s="136"/>
      <c r="AB94" s="136"/>
      <c r="AC94" s="136"/>
      <c r="AD94" s="136"/>
      <c r="AE94" s="136"/>
    </row>
    <row r="95" spans="13:31" ht="20.75" hidden="1" customHeight="1">
      <c r="M95" s="137" t="s">
        <v>712</v>
      </c>
      <c r="N95" s="132" t="s">
        <v>195</v>
      </c>
      <c r="O95" s="132" t="s">
        <v>588</v>
      </c>
      <c r="P95" s="138" t="s">
        <v>708</v>
      </c>
      <c r="Q95" s="139" t="s">
        <v>590</v>
      </c>
      <c r="R95" s="135"/>
      <c r="S95" s="136"/>
      <c r="T95" s="136"/>
      <c r="U95" s="136"/>
      <c r="V95" s="136"/>
      <c r="W95" s="136"/>
      <c r="X95" s="136"/>
      <c r="Y95" s="136"/>
      <c r="Z95" s="136"/>
      <c r="AA95" s="136"/>
      <c r="AB95" s="136"/>
      <c r="AC95" s="136"/>
      <c r="AD95" s="136"/>
      <c r="AE95" s="136"/>
    </row>
    <row r="96" spans="13:31" ht="20.75" hidden="1" customHeight="1">
      <c r="M96" s="137" t="s">
        <v>713</v>
      </c>
      <c r="N96" s="132" t="s">
        <v>195</v>
      </c>
      <c r="O96" s="132" t="s">
        <v>588</v>
      </c>
      <c r="P96" s="138" t="s">
        <v>714</v>
      </c>
      <c r="Q96" s="139" t="s">
        <v>703</v>
      </c>
      <c r="R96" s="135"/>
      <c r="S96" s="136"/>
      <c r="T96" s="136"/>
      <c r="U96" s="136"/>
      <c r="V96" s="136"/>
      <c r="W96" s="136"/>
      <c r="X96" s="136"/>
      <c r="Y96" s="136"/>
      <c r="Z96" s="136"/>
      <c r="AA96" s="136"/>
      <c r="AB96" s="136"/>
      <c r="AC96" s="136"/>
      <c r="AD96" s="136"/>
      <c r="AE96" s="136"/>
    </row>
    <row r="97" spans="13:31" ht="20.75" hidden="1" customHeight="1">
      <c r="M97" s="137" t="s">
        <v>715</v>
      </c>
      <c r="N97" s="132" t="s">
        <v>195</v>
      </c>
      <c r="O97" s="132" t="s">
        <v>588</v>
      </c>
      <c r="P97" s="138" t="s">
        <v>714</v>
      </c>
      <c r="Q97" s="139" t="s">
        <v>518</v>
      </c>
      <c r="R97" s="135"/>
      <c r="S97" s="136"/>
      <c r="T97" s="136"/>
      <c r="U97" s="136"/>
      <c r="V97" s="136"/>
      <c r="W97" s="136"/>
      <c r="X97" s="136"/>
      <c r="Y97" s="136"/>
      <c r="Z97" s="136"/>
      <c r="AA97" s="136"/>
      <c r="AB97" s="136"/>
      <c r="AC97" s="136"/>
      <c r="AD97" s="136"/>
      <c r="AE97" s="136"/>
    </row>
    <row r="98" spans="13:31" ht="20.75" hidden="1" customHeight="1">
      <c r="M98" s="137" t="s">
        <v>716</v>
      </c>
      <c r="N98" s="132" t="s">
        <v>195</v>
      </c>
      <c r="O98" s="132" t="s">
        <v>588</v>
      </c>
      <c r="P98" s="138" t="s">
        <v>714</v>
      </c>
      <c r="Q98" s="139" t="s">
        <v>711</v>
      </c>
      <c r="R98" s="135"/>
      <c r="S98" s="136"/>
      <c r="T98" s="136"/>
      <c r="U98" s="136"/>
      <c r="V98" s="136"/>
      <c r="W98" s="136"/>
      <c r="X98" s="136"/>
      <c r="Y98" s="136"/>
      <c r="Z98" s="136"/>
      <c r="AA98" s="136"/>
      <c r="AB98" s="136"/>
      <c r="AC98" s="136"/>
      <c r="AD98" s="136"/>
      <c r="AE98" s="136"/>
    </row>
    <row r="99" spans="13:31" ht="20.75" hidden="1" customHeight="1">
      <c r="M99" s="137" t="s">
        <v>717</v>
      </c>
      <c r="N99" s="132" t="s">
        <v>195</v>
      </c>
      <c r="O99" s="132" t="s">
        <v>588</v>
      </c>
      <c r="P99" s="138" t="s">
        <v>718</v>
      </c>
      <c r="Q99" s="139" t="s">
        <v>519</v>
      </c>
      <c r="R99" s="135"/>
      <c r="S99" s="136"/>
      <c r="T99" s="136"/>
      <c r="U99" s="136"/>
      <c r="V99" s="136"/>
      <c r="W99" s="136"/>
      <c r="X99" s="136"/>
      <c r="Y99" s="136"/>
      <c r="Z99" s="136"/>
      <c r="AA99" s="136"/>
      <c r="AB99" s="136"/>
      <c r="AC99" s="136"/>
      <c r="AD99" s="136"/>
      <c r="AE99" s="136"/>
    </row>
    <row r="100" spans="13:31" ht="20.75" hidden="1" customHeight="1">
      <c r="M100" s="137" t="s">
        <v>719</v>
      </c>
      <c r="N100" s="132" t="s">
        <v>195</v>
      </c>
      <c r="O100" s="132" t="s">
        <v>588</v>
      </c>
      <c r="P100" s="138" t="s">
        <v>718</v>
      </c>
      <c r="Q100" s="139" t="s">
        <v>705</v>
      </c>
      <c r="R100" s="135"/>
      <c r="S100" s="136"/>
      <c r="T100" s="136"/>
      <c r="U100" s="136"/>
      <c r="V100" s="136"/>
      <c r="W100" s="136"/>
      <c r="X100" s="136"/>
      <c r="Y100" s="136"/>
      <c r="Z100" s="136"/>
      <c r="AA100" s="136"/>
      <c r="AB100" s="136"/>
      <c r="AC100" s="136"/>
      <c r="AD100" s="136"/>
      <c r="AE100" s="136"/>
    </row>
    <row r="101" spans="13:31" ht="20.75" hidden="1" customHeight="1">
      <c r="M101" s="137" t="s">
        <v>720</v>
      </c>
      <c r="N101" s="132" t="s">
        <v>195</v>
      </c>
      <c r="O101" s="132" t="s">
        <v>588</v>
      </c>
      <c r="P101" s="138" t="s">
        <v>718</v>
      </c>
      <c r="Q101" s="139" t="s">
        <v>721</v>
      </c>
      <c r="R101" s="135"/>
      <c r="S101" s="136"/>
      <c r="T101" s="136"/>
      <c r="U101" s="136"/>
      <c r="V101" s="136"/>
      <c r="W101" s="136"/>
      <c r="X101" s="136"/>
      <c r="Y101" s="136"/>
      <c r="Z101" s="136"/>
      <c r="AA101" s="136"/>
      <c r="AB101" s="136"/>
      <c r="AC101" s="136"/>
      <c r="AD101" s="136"/>
      <c r="AE101" s="136"/>
    </row>
    <row r="102" spans="13:31" ht="20.75" hidden="1" customHeight="1">
      <c r="M102" s="137" t="s">
        <v>722</v>
      </c>
      <c r="N102" s="132" t="s">
        <v>195</v>
      </c>
      <c r="O102" s="132" t="s">
        <v>588</v>
      </c>
      <c r="P102" s="138" t="s">
        <v>718</v>
      </c>
      <c r="Q102" s="139" t="s">
        <v>723</v>
      </c>
      <c r="R102" s="135"/>
      <c r="S102" s="136"/>
      <c r="T102" s="136"/>
      <c r="U102" s="136"/>
      <c r="V102" s="136"/>
      <c r="W102" s="136"/>
      <c r="X102" s="136"/>
      <c r="Y102" s="136"/>
      <c r="Z102" s="136"/>
      <c r="AA102" s="136"/>
      <c r="AB102" s="136"/>
      <c r="AC102" s="136"/>
      <c r="AD102" s="136"/>
      <c r="AE102" s="136"/>
    </row>
    <row r="103" spans="13:31" ht="20.75" hidden="1" customHeight="1">
      <c r="M103" s="137" t="s">
        <v>724</v>
      </c>
      <c r="N103" s="132" t="s">
        <v>195</v>
      </c>
      <c r="O103" s="132" t="s">
        <v>588</v>
      </c>
      <c r="P103" s="138" t="s">
        <v>718</v>
      </c>
      <c r="Q103" s="139" t="s">
        <v>725</v>
      </c>
      <c r="R103" s="135"/>
      <c r="S103" s="136"/>
      <c r="T103" s="136"/>
      <c r="U103" s="136"/>
      <c r="V103" s="136"/>
      <c r="W103" s="136"/>
      <c r="X103" s="136"/>
      <c r="Y103" s="136"/>
      <c r="Z103" s="136"/>
      <c r="AA103" s="136"/>
      <c r="AB103" s="136"/>
      <c r="AC103" s="136"/>
      <c r="AD103" s="136"/>
      <c r="AE103" s="136"/>
    </row>
    <row r="104" spans="13:31" ht="20.75" hidden="1" customHeight="1">
      <c r="M104" s="137" t="s">
        <v>726</v>
      </c>
      <c r="N104" s="132" t="s">
        <v>195</v>
      </c>
      <c r="O104" s="132" t="s">
        <v>588</v>
      </c>
      <c r="P104" s="138" t="s">
        <v>718</v>
      </c>
      <c r="Q104" s="139" t="s">
        <v>590</v>
      </c>
      <c r="R104" s="135"/>
      <c r="S104" s="136"/>
      <c r="T104" s="136"/>
      <c r="U104" s="136"/>
      <c r="V104" s="136"/>
      <c r="W104" s="136"/>
      <c r="X104" s="136"/>
      <c r="Y104" s="136"/>
      <c r="Z104" s="136"/>
      <c r="AA104" s="136"/>
      <c r="AB104" s="136"/>
      <c r="AC104" s="136"/>
      <c r="AD104" s="136"/>
      <c r="AE104" s="136"/>
    </row>
    <row r="105" spans="13:31" ht="20.75" hidden="1" customHeight="1">
      <c r="M105" s="137" t="s">
        <v>727</v>
      </c>
      <c r="N105" s="132" t="s">
        <v>195</v>
      </c>
      <c r="O105" s="132" t="s">
        <v>588</v>
      </c>
      <c r="P105" s="138" t="s">
        <v>728</v>
      </c>
      <c r="Q105" s="139" t="s">
        <v>695</v>
      </c>
      <c r="R105" s="135"/>
      <c r="S105" s="136"/>
      <c r="T105" s="136"/>
      <c r="U105" s="136"/>
      <c r="V105" s="136"/>
      <c r="W105" s="136"/>
      <c r="X105" s="136"/>
      <c r="Y105" s="136"/>
      <c r="Z105" s="136"/>
      <c r="AA105" s="136"/>
      <c r="AB105" s="136"/>
      <c r="AC105" s="136"/>
      <c r="AD105" s="136"/>
      <c r="AE105" s="136"/>
    </row>
    <row r="106" spans="13:31" ht="20.75" hidden="1" customHeight="1">
      <c r="M106" s="137" t="s">
        <v>729</v>
      </c>
      <c r="N106" s="132" t="s">
        <v>195</v>
      </c>
      <c r="O106" s="132" t="s">
        <v>588</v>
      </c>
      <c r="P106" s="138" t="s">
        <v>728</v>
      </c>
      <c r="Q106" s="139" t="s">
        <v>721</v>
      </c>
      <c r="R106" s="135"/>
      <c r="S106" s="136"/>
      <c r="T106" s="136"/>
      <c r="U106" s="136"/>
      <c r="V106" s="136"/>
      <c r="W106" s="136"/>
      <c r="X106" s="136"/>
      <c r="Y106" s="136"/>
      <c r="Z106" s="136"/>
      <c r="AA106" s="136"/>
      <c r="AB106" s="136"/>
      <c r="AC106" s="136"/>
      <c r="AD106" s="136"/>
      <c r="AE106" s="136"/>
    </row>
    <row r="107" spans="13:31" ht="20.75" hidden="1" customHeight="1">
      <c r="M107" s="137" t="s">
        <v>730</v>
      </c>
      <c r="N107" s="132" t="s">
        <v>195</v>
      </c>
      <c r="O107" s="132" t="s">
        <v>588</v>
      </c>
      <c r="P107" s="138" t="s">
        <v>728</v>
      </c>
      <c r="Q107" s="139" t="s">
        <v>723</v>
      </c>
      <c r="R107" s="135"/>
      <c r="S107" s="136"/>
      <c r="T107" s="136"/>
      <c r="U107" s="136"/>
      <c r="V107" s="136"/>
      <c r="W107" s="136"/>
      <c r="X107" s="136"/>
      <c r="Y107" s="136"/>
      <c r="Z107" s="136"/>
      <c r="AA107" s="136"/>
      <c r="AB107" s="136"/>
      <c r="AC107" s="136"/>
      <c r="AD107" s="136"/>
      <c r="AE107" s="136"/>
    </row>
    <row r="108" spans="13:31" ht="20.75" hidden="1" customHeight="1">
      <c r="M108" s="137" t="s">
        <v>731</v>
      </c>
      <c r="N108" s="132" t="s">
        <v>195</v>
      </c>
      <c r="O108" s="132" t="s">
        <v>588</v>
      </c>
      <c r="P108" s="138" t="s">
        <v>728</v>
      </c>
      <c r="Q108" s="139" t="s">
        <v>518</v>
      </c>
      <c r="R108" s="135"/>
      <c r="S108" s="136"/>
      <c r="T108" s="136"/>
      <c r="U108" s="136"/>
      <c r="V108" s="136"/>
      <c r="W108" s="136"/>
      <c r="X108" s="136"/>
      <c r="Y108" s="136"/>
      <c r="Z108" s="136"/>
      <c r="AA108" s="136"/>
      <c r="AB108" s="136"/>
      <c r="AC108" s="136"/>
      <c r="AD108" s="136"/>
      <c r="AE108" s="136"/>
    </row>
    <row r="109" spans="13:31" ht="20.75" hidden="1" customHeight="1">
      <c r="M109" s="137" t="s">
        <v>732</v>
      </c>
      <c r="N109" s="132" t="s">
        <v>195</v>
      </c>
      <c r="O109" s="132" t="s">
        <v>588</v>
      </c>
      <c r="P109" s="138" t="s">
        <v>728</v>
      </c>
      <c r="Q109" s="139" t="s">
        <v>725</v>
      </c>
      <c r="R109" s="135"/>
      <c r="S109" s="136"/>
      <c r="T109" s="136"/>
      <c r="U109" s="136"/>
      <c r="V109" s="136"/>
      <c r="W109" s="136"/>
      <c r="X109" s="136"/>
      <c r="Y109" s="136"/>
      <c r="Z109" s="136"/>
      <c r="AA109" s="136"/>
      <c r="AB109" s="136"/>
      <c r="AC109" s="136"/>
      <c r="AD109" s="136"/>
      <c r="AE109" s="136"/>
    </row>
    <row r="110" spans="13:31" ht="20.75" hidden="1" customHeight="1">
      <c r="M110" s="137" t="s">
        <v>733</v>
      </c>
      <c r="N110" s="132" t="s">
        <v>195</v>
      </c>
      <c r="O110" s="132" t="s">
        <v>588</v>
      </c>
      <c r="P110" s="138" t="s">
        <v>734</v>
      </c>
      <c r="Q110" s="139" t="s">
        <v>723</v>
      </c>
      <c r="R110" s="135"/>
      <c r="S110" s="136"/>
      <c r="T110" s="136"/>
      <c r="U110" s="136"/>
      <c r="V110" s="136"/>
      <c r="W110" s="136"/>
      <c r="X110" s="136"/>
      <c r="Y110" s="136"/>
      <c r="Z110" s="136"/>
      <c r="AA110" s="136"/>
      <c r="AB110" s="136"/>
      <c r="AC110" s="136"/>
      <c r="AD110" s="136"/>
      <c r="AE110" s="136"/>
    </row>
    <row r="111" spans="13:31" ht="20.75" hidden="1" customHeight="1">
      <c r="M111" s="137" t="s">
        <v>735</v>
      </c>
      <c r="N111" s="132" t="s">
        <v>195</v>
      </c>
      <c r="O111" s="132" t="s">
        <v>588</v>
      </c>
      <c r="P111" s="138" t="s">
        <v>734</v>
      </c>
      <c r="Q111" s="139" t="s">
        <v>521</v>
      </c>
      <c r="R111" s="135"/>
      <c r="S111" s="136"/>
      <c r="T111" s="136"/>
      <c r="U111" s="136"/>
      <c r="V111" s="136"/>
      <c r="W111" s="136"/>
      <c r="X111" s="136"/>
      <c r="Y111" s="136"/>
      <c r="Z111" s="136"/>
      <c r="AA111" s="136"/>
      <c r="AB111" s="136"/>
      <c r="AC111" s="136"/>
      <c r="AD111" s="136"/>
      <c r="AE111" s="136"/>
    </row>
    <row r="112" spans="13:31" ht="20.75" hidden="1" customHeight="1">
      <c r="M112" s="137" t="s">
        <v>736</v>
      </c>
      <c r="N112" s="132" t="s">
        <v>195</v>
      </c>
      <c r="O112" s="132" t="s">
        <v>588</v>
      </c>
      <c r="P112" s="138" t="s">
        <v>734</v>
      </c>
      <c r="Q112" s="139" t="s">
        <v>519</v>
      </c>
      <c r="R112" s="135"/>
      <c r="S112" s="136"/>
      <c r="T112" s="136"/>
      <c r="U112" s="136"/>
      <c r="V112" s="136"/>
      <c r="W112" s="136"/>
      <c r="X112" s="136"/>
      <c r="Y112" s="136"/>
      <c r="Z112" s="136"/>
      <c r="AA112" s="136"/>
      <c r="AB112" s="136"/>
      <c r="AC112" s="136"/>
      <c r="AD112" s="136"/>
      <c r="AE112" s="136"/>
    </row>
    <row r="113" spans="13:31" ht="20.75" hidden="1" customHeight="1">
      <c r="M113" s="137" t="s">
        <v>737</v>
      </c>
      <c r="N113" s="132" t="s">
        <v>195</v>
      </c>
      <c r="O113" s="132" t="s">
        <v>588</v>
      </c>
      <c r="P113" s="138" t="s">
        <v>734</v>
      </c>
      <c r="Q113" s="139" t="s">
        <v>711</v>
      </c>
      <c r="R113" s="135"/>
      <c r="S113" s="136"/>
      <c r="T113" s="136"/>
      <c r="U113" s="136"/>
      <c r="V113" s="136"/>
      <c r="W113" s="136"/>
      <c r="X113" s="136"/>
      <c r="Y113" s="136"/>
      <c r="Z113" s="136"/>
      <c r="AA113" s="136"/>
      <c r="AB113" s="136"/>
      <c r="AC113" s="136"/>
      <c r="AD113" s="136"/>
      <c r="AE113" s="136"/>
    </row>
    <row r="114" spans="13:31" ht="20.75" hidden="1" customHeight="1">
      <c r="M114" s="137" t="s">
        <v>738</v>
      </c>
      <c r="N114" s="132" t="s">
        <v>195</v>
      </c>
      <c r="O114" s="132" t="s">
        <v>588</v>
      </c>
      <c r="P114" s="138" t="s">
        <v>739</v>
      </c>
      <c r="Q114" s="139" t="s">
        <v>695</v>
      </c>
      <c r="R114" s="135"/>
      <c r="S114" s="136"/>
      <c r="T114" s="136"/>
      <c r="U114" s="136"/>
      <c r="V114" s="136"/>
      <c r="W114" s="136"/>
      <c r="X114" s="136"/>
      <c r="Y114" s="136"/>
      <c r="Z114" s="136"/>
      <c r="AA114" s="136"/>
      <c r="AB114" s="136"/>
      <c r="AC114" s="136"/>
      <c r="AD114" s="136"/>
      <c r="AE114" s="136"/>
    </row>
    <row r="115" spans="13:31" ht="20.75" hidden="1" customHeight="1">
      <c r="M115" s="137" t="s">
        <v>740</v>
      </c>
      <c r="N115" s="132" t="s">
        <v>195</v>
      </c>
      <c r="O115" s="132" t="s">
        <v>588</v>
      </c>
      <c r="P115" s="138" t="s">
        <v>739</v>
      </c>
      <c r="Q115" s="139" t="s">
        <v>519</v>
      </c>
      <c r="R115" s="135"/>
      <c r="S115" s="136"/>
      <c r="T115" s="136"/>
      <c r="U115" s="136"/>
      <c r="V115" s="136"/>
      <c r="W115" s="136"/>
      <c r="X115" s="136"/>
      <c r="Y115" s="136"/>
      <c r="Z115" s="136"/>
      <c r="AA115" s="136"/>
      <c r="AB115" s="136"/>
      <c r="AC115" s="136"/>
      <c r="AD115" s="136"/>
      <c r="AE115" s="136"/>
    </row>
    <row r="116" spans="13:31" ht="20.75" hidden="1" customHeight="1">
      <c r="M116" s="137" t="s">
        <v>741</v>
      </c>
      <c r="N116" s="132" t="s">
        <v>195</v>
      </c>
      <c r="O116" s="132" t="s">
        <v>588</v>
      </c>
      <c r="P116" s="138" t="s">
        <v>739</v>
      </c>
      <c r="Q116" s="139" t="s">
        <v>725</v>
      </c>
      <c r="R116" s="135"/>
      <c r="S116" s="136"/>
      <c r="T116" s="136"/>
      <c r="U116" s="136"/>
      <c r="V116" s="136"/>
      <c r="W116" s="136"/>
      <c r="X116" s="136"/>
      <c r="Y116" s="136"/>
      <c r="Z116" s="136"/>
      <c r="AA116" s="136"/>
      <c r="AB116" s="136"/>
      <c r="AC116" s="136"/>
      <c r="AD116" s="136"/>
      <c r="AE116" s="136"/>
    </row>
    <row r="117" spans="13:31" ht="20.75" hidden="1" customHeight="1">
      <c r="M117" s="137" t="s">
        <v>742</v>
      </c>
      <c r="N117" s="132" t="s">
        <v>195</v>
      </c>
      <c r="O117" s="132" t="s">
        <v>588</v>
      </c>
      <c r="P117" s="138" t="s">
        <v>743</v>
      </c>
      <c r="Q117" s="139" t="s">
        <v>703</v>
      </c>
      <c r="R117" s="135"/>
      <c r="S117" s="136"/>
      <c r="T117" s="136"/>
      <c r="U117" s="136"/>
      <c r="V117" s="136"/>
      <c r="W117" s="136"/>
      <c r="X117" s="136"/>
      <c r="Y117" s="136"/>
      <c r="Z117" s="136"/>
      <c r="AA117" s="136"/>
      <c r="AB117" s="136"/>
      <c r="AC117" s="136"/>
      <c r="AD117" s="136"/>
      <c r="AE117" s="136"/>
    </row>
    <row r="118" spans="13:31" ht="20.75" hidden="1" customHeight="1">
      <c r="M118" s="137" t="s">
        <v>744</v>
      </c>
      <c r="N118" s="132" t="s">
        <v>195</v>
      </c>
      <c r="O118" s="132" t="s">
        <v>588</v>
      </c>
      <c r="P118" s="138" t="s">
        <v>743</v>
      </c>
      <c r="Q118" s="139" t="s">
        <v>745</v>
      </c>
      <c r="R118" s="135"/>
      <c r="S118" s="136"/>
      <c r="T118" s="136"/>
      <c r="U118" s="136"/>
      <c r="V118" s="136"/>
      <c r="W118" s="136"/>
      <c r="X118" s="136"/>
      <c r="Y118" s="136"/>
      <c r="Z118" s="136"/>
      <c r="AA118" s="136"/>
      <c r="AB118" s="136"/>
      <c r="AC118" s="136"/>
      <c r="AD118" s="136"/>
      <c r="AE118" s="136"/>
    </row>
    <row r="119" spans="13:31" ht="20.75" hidden="1" customHeight="1">
      <c r="M119" s="137" t="s">
        <v>746</v>
      </c>
      <c r="N119" s="132" t="s">
        <v>195</v>
      </c>
      <c r="O119" s="132" t="s">
        <v>588</v>
      </c>
      <c r="P119" s="138" t="s">
        <v>747</v>
      </c>
      <c r="Q119" s="139" t="s">
        <v>520</v>
      </c>
      <c r="R119" s="135"/>
      <c r="S119" s="136"/>
      <c r="T119" s="136"/>
      <c r="U119" s="136"/>
      <c r="V119" s="136"/>
      <c r="W119" s="136"/>
      <c r="X119" s="136"/>
      <c r="Y119" s="136"/>
      <c r="Z119" s="136"/>
      <c r="AA119" s="136"/>
      <c r="AB119" s="136"/>
      <c r="AC119" s="136"/>
      <c r="AD119" s="136"/>
      <c r="AE119" s="136"/>
    </row>
    <row r="120" spans="13:31" ht="20.75" hidden="1" customHeight="1">
      <c r="M120" s="137" t="s">
        <v>748</v>
      </c>
      <c r="N120" s="132" t="s">
        <v>195</v>
      </c>
      <c r="O120" s="132" t="s">
        <v>588</v>
      </c>
      <c r="P120" s="138" t="s">
        <v>747</v>
      </c>
      <c r="Q120" s="139" t="s">
        <v>723</v>
      </c>
      <c r="R120" s="135"/>
      <c r="S120" s="136"/>
      <c r="T120" s="136"/>
      <c r="U120" s="136"/>
      <c r="V120" s="136"/>
      <c r="W120" s="136"/>
      <c r="X120" s="136"/>
      <c r="Y120" s="136"/>
      <c r="Z120" s="136"/>
      <c r="AA120" s="136"/>
      <c r="AB120" s="136"/>
      <c r="AC120" s="136"/>
      <c r="AD120" s="136"/>
      <c r="AE120" s="136"/>
    </row>
    <row r="121" spans="13:31" ht="20.75" hidden="1" customHeight="1">
      <c r="M121" s="137" t="s">
        <v>749</v>
      </c>
      <c r="N121" s="132" t="s">
        <v>195</v>
      </c>
      <c r="O121" s="132" t="s">
        <v>588</v>
      </c>
      <c r="P121" s="138" t="s">
        <v>747</v>
      </c>
      <c r="Q121" s="139" t="s">
        <v>512</v>
      </c>
      <c r="R121" s="135"/>
      <c r="S121" s="136"/>
      <c r="T121" s="136"/>
      <c r="U121" s="136"/>
      <c r="V121" s="136"/>
      <c r="W121" s="136"/>
      <c r="X121" s="136"/>
      <c r="Y121" s="136"/>
      <c r="Z121" s="136"/>
      <c r="AA121" s="136"/>
      <c r="AB121" s="136"/>
      <c r="AC121" s="136"/>
      <c r="AD121" s="136"/>
      <c r="AE121" s="136"/>
    </row>
    <row r="122" spans="13:31" ht="20.75" hidden="1" customHeight="1">
      <c r="M122" s="137" t="s">
        <v>750</v>
      </c>
      <c r="N122" s="132" t="s">
        <v>195</v>
      </c>
      <c r="O122" s="132" t="s">
        <v>588</v>
      </c>
      <c r="P122" s="138" t="s">
        <v>747</v>
      </c>
      <c r="Q122" s="139" t="s">
        <v>703</v>
      </c>
      <c r="R122" s="135"/>
      <c r="S122" s="136"/>
      <c r="T122" s="136"/>
      <c r="U122" s="136"/>
      <c r="V122" s="136"/>
      <c r="W122" s="136"/>
      <c r="X122" s="136"/>
      <c r="Y122" s="136"/>
      <c r="Z122" s="136"/>
      <c r="AA122" s="136"/>
      <c r="AB122" s="136"/>
      <c r="AC122" s="136"/>
      <c r="AD122" s="136"/>
      <c r="AE122" s="136"/>
    </row>
    <row r="123" spans="13:31" ht="20.75" hidden="1" customHeight="1">
      <c r="M123" s="137" t="s">
        <v>751</v>
      </c>
      <c r="N123" s="132" t="s">
        <v>195</v>
      </c>
      <c r="O123" s="132" t="s">
        <v>588</v>
      </c>
      <c r="P123" s="138" t="s">
        <v>747</v>
      </c>
      <c r="Q123" s="139" t="s">
        <v>698</v>
      </c>
      <c r="R123" s="135"/>
      <c r="S123" s="136"/>
      <c r="T123" s="136"/>
      <c r="U123" s="136"/>
      <c r="V123" s="136"/>
      <c r="W123" s="136"/>
      <c r="X123" s="136"/>
      <c r="Y123" s="136"/>
      <c r="Z123" s="136"/>
      <c r="AA123" s="136"/>
      <c r="AB123" s="136"/>
      <c r="AC123" s="136"/>
      <c r="AD123" s="136"/>
      <c r="AE123" s="136"/>
    </row>
    <row r="124" spans="13:31" ht="20.75" hidden="1" customHeight="1">
      <c r="M124" s="137" t="s">
        <v>752</v>
      </c>
      <c r="N124" s="132" t="s">
        <v>195</v>
      </c>
      <c r="O124" s="132" t="s">
        <v>588</v>
      </c>
      <c r="P124" s="138" t="s">
        <v>747</v>
      </c>
      <c r="Q124" s="139" t="s">
        <v>590</v>
      </c>
      <c r="R124" s="135"/>
      <c r="S124" s="136"/>
      <c r="T124" s="136"/>
      <c r="U124" s="136"/>
      <c r="V124" s="136"/>
      <c r="W124" s="136"/>
      <c r="X124" s="136"/>
      <c r="Y124" s="136"/>
      <c r="Z124" s="136"/>
      <c r="AA124" s="136"/>
      <c r="AB124" s="136"/>
      <c r="AC124" s="136"/>
      <c r="AD124" s="136"/>
      <c r="AE124" s="136"/>
    </row>
    <row r="125" spans="13:31" ht="20.75" hidden="1" customHeight="1">
      <c r="M125" s="137" t="s">
        <v>753</v>
      </c>
      <c r="N125" s="132" t="s">
        <v>195</v>
      </c>
      <c r="O125" s="132" t="s">
        <v>588</v>
      </c>
      <c r="P125" s="138" t="s">
        <v>754</v>
      </c>
      <c r="Q125" s="139" t="s">
        <v>518</v>
      </c>
      <c r="R125" s="135"/>
      <c r="S125" s="136"/>
      <c r="T125" s="136"/>
      <c r="U125" s="136"/>
      <c r="V125" s="136"/>
      <c r="W125" s="136"/>
      <c r="X125" s="136"/>
      <c r="Y125" s="136"/>
      <c r="Z125" s="136"/>
      <c r="AA125" s="136"/>
      <c r="AB125" s="136"/>
      <c r="AC125" s="136"/>
      <c r="AD125" s="136"/>
      <c r="AE125" s="136"/>
    </row>
    <row r="126" spans="13:31" ht="20.75" hidden="1" customHeight="1">
      <c r="M126" s="137" t="s">
        <v>755</v>
      </c>
      <c r="N126" s="132" t="s">
        <v>195</v>
      </c>
      <c r="O126" s="132" t="s">
        <v>588</v>
      </c>
      <c r="P126" s="138" t="s">
        <v>754</v>
      </c>
      <c r="Q126" s="139" t="s">
        <v>725</v>
      </c>
      <c r="R126" s="135"/>
      <c r="S126" s="136"/>
      <c r="T126" s="136"/>
      <c r="U126" s="136"/>
      <c r="V126" s="136"/>
      <c r="W126" s="136"/>
      <c r="X126" s="136"/>
      <c r="Y126" s="136"/>
      <c r="Z126" s="136"/>
      <c r="AA126" s="136"/>
      <c r="AB126" s="136"/>
      <c r="AC126" s="136"/>
      <c r="AD126" s="136"/>
      <c r="AE126" s="136"/>
    </row>
    <row r="127" spans="13:31" ht="20.75" hidden="1" customHeight="1">
      <c r="M127" s="137" t="s">
        <v>756</v>
      </c>
      <c r="N127" s="132" t="s">
        <v>195</v>
      </c>
      <c r="O127" s="132" t="s">
        <v>588</v>
      </c>
      <c r="P127" s="138" t="s">
        <v>754</v>
      </c>
      <c r="Q127" s="139" t="s">
        <v>519</v>
      </c>
      <c r="R127" s="135"/>
      <c r="S127" s="136"/>
      <c r="T127" s="136"/>
      <c r="U127" s="136"/>
      <c r="V127" s="136"/>
      <c r="W127" s="136"/>
      <c r="X127" s="136"/>
      <c r="Y127" s="136"/>
      <c r="Z127" s="136"/>
      <c r="AA127" s="136"/>
      <c r="AB127" s="136"/>
      <c r="AC127" s="136"/>
      <c r="AD127" s="136"/>
      <c r="AE127" s="136"/>
    </row>
    <row r="128" spans="13:31" ht="20.75" hidden="1" customHeight="1">
      <c r="M128" s="137" t="s">
        <v>757</v>
      </c>
      <c r="N128" s="132" t="s">
        <v>195</v>
      </c>
      <c r="O128" s="132" t="s">
        <v>588</v>
      </c>
      <c r="P128" s="138" t="s">
        <v>758</v>
      </c>
      <c r="Q128" s="139" t="s">
        <v>705</v>
      </c>
      <c r="R128" s="135"/>
      <c r="S128" s="136"/>
      <c r="T128" s="136"/>
      <c r="U128" s="136"/>
      <c r="V128" s="136"/>
      <c r="W128" s="136"/>
      <c r="X128" s="136"/>
      <c r="Y128" s="136"/>
      <c r="Z128" s="136"/>
      <c r="AA128" s="136"/>
      <c r="AB128" s="136"/>
      <c r="AC128" s="136"/>
      <c r="AD128" s="136"/>
      <c r="AE128" s="136"/>
    </row>
    <row r="129" spans="13:31" ht="20.75" hidden="1" customHeight="1">
      <c r="M129" s="137" t="s">
        <v>759</v>
      </c>
      <c r="N129" s="132" t="s">
        <v>195</v>
      </c>
      <c r="O129" s="132" t="s">
        <v>588</v>
      </c>
      <c r="P129" s="138" t="s">
        <v>758</v>
      </c>
      <c r="Q129" s="139" t="s">
        <v>590</v>
      </c>
      <c r="R129" s="135"/>
      <c r="S129" s="136"/>
      <c r="T129" s="136"/>
      <c r="U129" s="136"/>
      <c r="V129" s="136"/>
      <c r="W129" s="136"/>
      <c r="X129" s="136"/>
      <c r="Y129" s="136"/>
      <c r="Z129" s="136"/>
      <c r="AA129" s="136"/>
      <c r="AB129" s="136"/>
      <c r="AC129" s="136"/>
      <c r="AD129" s="136"/>
      <c r="AE129" s="136"/>
    </row>
    <row r="130" spans="13:31" ht="20.75" hidden="1" customHeight="1">
      <c r="M130" s="137" t="s">
        <v>760</v>
      </c>
      <c r="N130" s="132" t="s">
        <v>195</v>
      </c>
      <c r="O130" s="132" t="s">
        <v>653</v>
      </c>
      <c r="P130" s="138" t="s">
        <v>761</v>
      </c>
      <c r="Q130" s="139" t="s">
        <v>590</v>
      </c>
      <c r="R130" s="135"/>
      <c r="S130" s="136"/>
      <c r="T130" s="136"/>
      <c r="U130" s="136"/>
      <c r="V130" s="136"/>
      <c r="W130" s="136"/>
      <c r="X130" s="136"/>
      <c r="Y130" s="136"/>
      <c r="Z130" s="136"/>
      <c r="AA130" s="136"/>
      <c r="AB130" s="136"/>
      <c r="AC130" s="136"/>
      <c r="AD130" s="136"/>
      <c r="AE130" s="136"/>
    </row>
    <row r="131" spans="13:31" ht="20.75" hidden="1" customHeight="1">
      <c r="M131" s="137" t="s">
        <v>762</v>
      </c>
      <c r="N131" s="132" t="s">
        <v>195</v>
      </c>
      <c r="O131" s="132" t="s">
        <v>653</v>
      </c>
      <c r="P131" s="138" t="s">
        <v>761</v>
      </c>
      <c r="Q131" s="139" t="s">
        <v>723</v>
      </c>
      <c r="R131" s="135"/>
      <c r="S131" s="136"/>
      <c r="T131" s="136"/>
      <c r="U131" s="136"/>
      <c r="V131" s="136"/>
      <c r="W131" s="136"/>
      <c r="X131" s="136"/>
      <c r="Y131" s="136"/>
      <c r="Z131" s="136"/>
      <c r="AA131" s="136"/>
      <c r="AB131" s="136"/>
      <c r="AC131" s="136"/>
      <c r="AD131" s="136"/>
      <c r="AE131" s="136"/>
    </row>
    <row r="132" spans="13:31" ht="20.75" hidden="1" customHeight="1">
      <c r="M132" s="137" t="s">
        <v>763</v>
      </c>
      <c r="N132" s="132" t="s">
        <v>195</v>
      </c>
      <c r="O132" s="132" t="s">
        <v>653</v>
      </c>
      <c r="P132" s="138" t="s">
        <v>761</v>
      </c>
      <c r="Q132" s="139" t="s">
        <v>521</v>
      </c>
      <c r="R132" s="135"/>
      <c r="S132" s="136"/>
      <c r="T132" s="136"/>
      <c r="U132" s="136"/>
      <c r="V132" s="136"/>
      <c r="W132" s="136"/>
      <c r="X132" s="136"/>
      <c r="Y132" s="136"/>
      <c r="Z132" s="136"/>
      <c r="AA132" s="136"/>
      <c r="AB132" s="136"/>
      <c r="AC132" s="136"/>
      <c r="AD132" s="136"/>
      <c r="AE132" s="136"/>
    </row>
    <row r="133" spans="13:31" ht="20.75" hidden="1" customHeight="1">
      <c r="M133" s="137" t="s">
        <v>764</v>
      </c>
      <c r="N133" s="132" t="s">
        <v>195</v>
      </c>
      <c r="O133" s="132" t="s">
        <v>653</v>
      </c>
      <c r="P133" s="138" t="s">
        <v>761</v>
      </c>
      <c r="Q133" s="139" t="s">
        <v>698</v>
      </c>
      <c r="R133" s="135"/>
      <c r="S133" s="136"/>
      <c r="T133" s="136"/>
      <c r="U133" s="136"/>
      <c r="V133" s="136"/>
      <c r="W133" s="136"/>
      <c r="X133" s="136"/>
      <c r="Y133" s="136"/>
      <c r="Z133" s="136"/>
      <c r="AA133" s="136"/>
      <c r="AB133" s="136"/>
      <c r="AC133" s="136"/>
      <c r="AD133" s="136"/>
      <c r="AE133" s="136"/>
    </row>
    <row r="134" spans="13:31" ht="20.75" hidden="1" customHeight="1">
      <c r="M134" s="137" t="s">
        <v>765</v>
      </c>
      <c r="N134" s="132" t="s">
        <v>195</v>
      </c>
      <c r="O134" s="132" t="s">
        <v>653</v>
      </c>
      <c r="P134" s="138" t="s">
        <v>761</v>
      </c>
      <c r="Q134" s="139" t="s">
        <v>518</v>
      </c>
      <c r="R134" s="135"/>
      <c r="S134" s="136"/>
      <c r="T134" s="136"/>
      <c r="U134" s="136"/>
      <c r="V134" s="136"/>
      <c r="W134" s="136"/>
      <c r="X134" s="136"/>
      <c r="Y134" s="136"/>
      <c r="Z134" s="136"/>
      <c r="AA134" s="136"/>
      <c r="AB134" s="136"/>
      <c r="AC134" s="136"/>
      <c r="AD134" s="136"/>
      <c r="AE134" s="136"/>
    </row>
    <row r="135" spans="13:31" ht="20.75" hidden="1" customHeight="1">
      <c r="M135" s="137" t="s">
        <v>766</v>
      </c>
      <c r="N135" s="132" t="s">
        <v>195</v>
      </c>
      <c r="O135" s="132" t="s">
        <v>653</v>
      </c>
      <c r="P135" s="138" t="s">
        <v>761</v>
      </c>
      <c r="Q135" s="139" t="s">
        <v>512</v>
      </c>
      <c r="R135" s="135"/>
      <c r="S135" s="136"/>
      <c r="T135" s="136"/>
      <c r="U135" s="136"/>
      <c r="V135" s="136"/>
      <c r="W135" s="136"/>
      <c r="X135" s="136"/>
      <c r="Y135" s="136"/>
      <c r="Z135" s="136"/>
      <c r="AA135" s="136"/>
      <c r="AB135" s="136"/>
      <c r="AC135" s="136"/>
      <c r="AD135" s="136"/>
      <c r="AE135" s="136"/>
    </row>
    <row r="136" spans="13:31" ht="20.75" hidden="1" customHeight="1">
      <c r="M136" s="137" t="s">
        <v>767</v>
      </c>
      <c r="N136" s="132" t="s">
        <v>195</v>
      </c>
      <c r="O136" s="132" t="s">
        <v>653</v>
      </c>
      <c r="P136" s="138" t="s">
        <v>768</v>
      </c>
      <c r="Q136" s="139" t="s">
        <v>518</v>
      </c>
      <c r="R136" s="135"/>
      <c r="S136" s="136"/>
      <c r="T136" s="136"/>
      <c r="U136" s="136"/>
      <c r="V136" s="136"/>
      <c r="W136" s="136"/>
      <c r="X136" s="136"/>
      <c r="Y136" s="136"/>
      <c r="Z136" s="136"/>
      <c r="AA136" s="136"/>
      <c r="AB136" s="136"/>
      <c r="AC136" s="136"/>
      <c r="AD136" s="136"/>
      <c r="AE136" s="136"/>
    </row>
    <row r="137" spans="13:31" ht="20.75" hidden="1" customHeight="1">
      <c r="M137" s="137" t="s">
        <v>769</v>
      </c>
      <c r="N137" s="132" t="s">
        <v>195</v>
      </c>
      <c r="O137" s="132" t="s">
        <v>653</v>
      </c>
      <c r="P137" s="138" t="s">
        <v>768</v>
      </c>
      <c r="Q137" s="139" t="s">
        <v>723</v>
      </c>
      <c r="R137" s="135"/>
      <c r="S137" s="136"/>
      <c r="T137" s="136"/>
      <c r="U137" s="136"/>
      <c r="V137" s="136"/>
      <c r="W137" s="136"/>
      <c r="X137" s="136"/>
      <c r="Y137" s="136"/>
      <c r="Z137" s="136"/>
      <c r="AA137" s="136"/>
      <c r="AB137" s="136"/>
      <c r="AC137" s="136"/>
      <c r="AD137" s="136"/>
      <c r="AE137" s="136"/>
    </row>
    <row r="138" spans="13:31" ht="20.75" hidden="1" customHeight="1">
      <c r="M138" s="137" t="s">
        <v>770</v>
      </c>
      <c r="N138" s="132" t="s">
        <v>195</v>
      </c>
      <c r="O138" s="132" t="s">
        <v>653</v>
      </c>
      <c r="P138" s="138" t="s">
        <v>768</v>
      </c>
      <c r="Q138" s="139" t="s">
        <v>590</v>
      </c>
      <c r="R138" s="135"/>
      <c r="S138" s="136"/>
      <c r="T138" s="136"/>
      <c r="U138" s="136"/>
      <c r="V138" s="136"/>
      <c r="W138" s="136"/>
      <c r="X138" s="136"/>
      <c r="Y138" s="136"/>
      <c r="Z138" s="136"/>
      <c r="AA138" s="136"/>
      <c r="AB138" s="136"/>
      <c r="AC138" s="136"/>
      <c r="AD138" s="136"/>
      <c r="AE138" s="136"/>
    </row>
    <row r="139" spans="13:31" ht="20.75" hidden="1" customHeight="1">
      <c r="M139" s="137" t="s">
        <v>771</v>
      </c>
      <c r="N139" s="132" t="s">
        <v>195</v>
      </c>
      <c r="O139" s="132" t="s">
        <v>653</v>
      </c>
      <c r="P139" s="138" t="s">
        <v>768</v>
      </c>
      <c r="Q139" s="139" t="s">
        <v>512</v>
      </c>
      <c r="R139" s="135"/>
      <c r="S139" s="136"/>
      <c r="T139" s="136"/>
      <c r="U139" s="136"/>
      <c r="V139" s="136"/>
      <c r="W139" s="136"/>
      <c r="X139" s="136"/>
      <c r="Y139" s="136"/>
      <c r="Z139" s="136"/>
      <c r="AA139" s="136"/>
      <c r="AB139" s="136"/>
      <c r="AC139" s="136"/>
      <c r="AD139" s="136"/>
      <c r="AE139" s="136"/>
    </row>
    <row r="140" spans="13:31" ht="20.75" hidden="1" customHeight="1">
      <c r="M140" s="137" t="s">
        <v>772</v>
      </c>
      <c r="N140" s="132" t="s">
        <v>195</v>
      </c>
      <c r="O140" s="132" t="s">
        <v>653</v>
      </c>
      <c r="P140" s="138" t="s">
        <v>768</v>
      </c>
      <c r="Q140" s="139" t="s">
        <v>521</v>
      </c>
      <c r="R140" s="135"/>
      <c r="S140" s="136"/>
      <c r="T140" s="136"/>
      <c r="U140" s="136"/>
      <c r="V140" s="136"/>
      <c r="W140" s="136"/>
      <c r="X140" s="136"/>
      <c r="Y140" s="136"/>
      <c r="Z140" s="136"/>
      <c r="AA140" s="136"/>
      <c r="AB140" s="136"/>
      <c r="AC140" s="136"/>
      <c r="AD140" s="136"/>
      <c r="AE140" s="136"/>
    </row>
    <row r="141" spans="13:31" ht="20.75" hidden="1" customHeight="1">
      <c r="M141" s="137" t="s">
        <v>773</v>
      </c>
      <c r="N141" s="132" t="s">
        <v>195</v>
      </c>
      <c r="O141" s="132" t="s">
        <v>653</v>
      </c>
      <c r="P141" s="138" t="s">
        <v>768</v>
      </c>
      <c r="Q141" s="139" t="s">
        <v>698</v>
      </c>
      <c r="R141" s="135"/>
      <c r="S141" s="136"/>
      <c r="T141" s="136"/>
      <c r="U141" s="136"/>
      <c r="V141" s="136"/>
      <c r="W141" s="136"/>
      <c r="X141" s="136"/>
      <c r="Y141" s="136"/>
      <c r="Z141" s="136"/>
      <c r="AA141" s="136"/>
      <c r="AB141" s="136"/>
      <c r="AC141" s="136"/>
      <c r="AD141" s="136"/>
      <c r="AE141" s="136"/>
    </row>
    <row r="142" spans="13:31" ht="20.75" hidden="1" customHeight="1">
      <c r="M142" s="137" t="s">
        <v>774</v>
      </c>
      <c r="N142" s="132" t="s">
        <v>195</v>
      </c>
      <c r="O142" s="132" t="s">
        <v>653</v>
      </c>
      <c r="P142" s="138" t="s">
        <v>775</v>
      </c>
      <c r="Q142" s="139" t="s">
        <v>723</v>
      </c>
      <c r="R142" s="135"/>
      <c r="S142" s="136"/>
      <c r="T142" s="136"/>
      <c r="U142" s="136"/>
      <c r="V142" s="136"/>
      <c r="W142" s="136"/>
      <c r="X142" s="136"/>
      <c r="Y142" s="136"/>
      <c r="Z142" s="136"/>
      <c r="AA142" s="136"/>
      <c r="AB142" s="136"/>
      <c r="AC142" s="136"/>
      <c r="AD142" s="136"/>
      <c r="AE142" s="136"/>
    </row>
    <row r="143" spans="13:31" ht="20.75" hidden="1" customHeight="1">
      <c r="M143" s="137" t="s">
        <v>776</v>
      </c>
      <c r="N143" s="132" t="s">
        <v>195</v>
      </c>
      <c r="O143" s="132" t="s">
        <v>653</v>
      </c>
      <c r="P143" s="138" t="s">
        <v>775</v>
      </c>
      <c r="Q143" s="139" t="s">
        <v>521</v>
      </c>
      <c r="R143" s="135"/>
      <c r="S143" s="136"/>
      <c r="T143" s="136"/>
      <c r="U143" s="136"/>
      <c r="V143" s="136"/>
      <c r="W143" s="136"/>
      <c r="X143" s="136"/>
      <c r="Y143" s="136"/>
      <c r="Z143" s="136"/>
      <c r="AA143" s="136"/>
      <c r="AB143" s="136"/>
      <c r="AC143" s="136"/>
      <c r="AD143" s="136"/>
      <c r="AE143" s="136"/>
    </row>
    <row r="144" spans="13:31" ht="20.75" hidden="1" customHeight="1">
      <c r="M144" s="137" t="s">
        <v>777</v>
      </c>
      <c r="N144" s="132" t="s">
        <v>195</v>
      </c>
      <c r="O144" s="132" t="s">
        <v>653</v>
      </c>
      <c r="P144" s="138" t="s">
        <v>775</v>
      </c>
      <c r="Q144" s="139" t="s">
        <v>698</v>
      </c>
      <c r="R144" s="135"/>
      <c r="S144" s="136"/>
      <c r="T144" s="136"/>
      <c r="U144" s="136"/>
      <c r="V144" s="136"/>
      <c r="W144" s="136"/>
      <c r="X144" s="136"/>
      <c r="Y144" s="136"/>
      <c r="Z144" s="136"/>
      <c r="AA144" s="136"/>
      <c r="AB144" s="136"/>
      <c r="AC144" s="136"/>
      <c r="AD144" s="136"/>
      <c r="AE144" s="136"/>
    </row>
    <row r="145" spans="13:31" ht="20.75" hidden="1" customHeight="1">
      <c r="M145" s="137" t="s">
        <v>778</v>
      </c>
      <c r="N145" s="132" t="s">
        <v>195</v>
      </c>
      <c r="O145" s="132" t="s">
        <v>653</v>
      </c>
      <c r="P145" s="138" t="s">
        <v>775</v>
      </c>
      <c r="Q145" s="139" t="s">
        <v>590</v>
      </c>
      <c r="R145" s="135"/>
      <c r="S145" s="136"/>
      <c r="T145" s="136"/>
      <c r="U145" s="136"/>
      <c r="V145" s="136"/>
      <c r="W145" s="136"/>
      <c r="X145" s="136"/>
      <c r="Y145" s="136"/>
      <c r="Z145" s="136"/>
      <c r="AA145" s="136"/>
      <c r="AB145" s="136"/>
      <c r="AC145" s="136"/>
      <c r="AD145" s="136"/>
      <c r="AE145" s="136"/>
    </row>
    <row r="146" spans="13:31" ht="20.75" hidden="1" customHeight="1">
      <c r="M146" s="137" t="s">
        <v>779</v>
      </c>
      <c r="N146" s="132" t="s">
        <v>195</v>
      </c>
      <c r="O146" s="132" t="s">
        <v>653</v>
      </c>
      <c r="P146" s="138" t="s">
        <v>775</v>
      </c>
      <c r="Q146" s="139" t="s">
        <v>512</v>
      </c>
      <c r="R146" s="135"/>
      <c r="S146" s="136"/>
      <c r="T146" s="136"/>
      <c r="U146" s="136"/>
      <c r="V146" s="136"/>
      <c r="W146" s="136"/>
      <c r="X146" s="136"/>
      <c r="Y146" s="136"/>
      <c r="Z146" s="136"/>
      <c r="AA146" s="136"/>
      <c r="AB146" s="136"/>
      <c r="AC146" s="136"/>
      <c r="AD146" s="136"/>
      <c r="AE146" s="136"/>
    </row>
    <row r="147" spans="13:31" ht="20.75" hidden="1" customHeight="1">
      <c r="M147" s="137" t="s">
        <v>780</v>
      </c>
      <c r="N147" s="132" t="s">
        <v>195</v>
      </c>
      <c r="O147" s="132" t="s">
        <v>653</v>
      </c>
      <c r="P147" s="138" t="s">
        <v>775</v>
      </c>
      <c r="Q147" s="139" t="s">
        <v>518</v>
      </c>
      <c r="R147" s="135"/>
      <c r="S147" s="136"/>
      <c r="T147" s="136"/>
      <c r="U147" s="136"/>
      <c r="V147" s="136"/>
      <c r="W147" s="136"/>
      <c r="X147" s="136"/>
      <c r="Y147" s="136"/>
      <c r="Z147" s="136"/>
      <c r="AA147" s="136"/>
      <c r="AB147" s="136"/>
      <c r="AC147" s="136"/>
      <c r="AD147" s="136"/>
      <c r="AE147" s="136"/>
    </row>
    <row r="148" spans="13:31" ht="20.75" hidden="1" customHeight="1">
      <c r="M148" s="140" t="s">
        <v>781</v>
      </c>
      <c r="N148" s="132" t="s">
        <v>77</v>
      </c>
      <c r="O148" s="132" t="s">
        <v>588</v>
      </c>
      <c r="P148" s="141" t="s">
        <v>782</v>
      </c>
      <c r="Q148" s="142" t="s">
        <v>783</v>
      </c>
      <c r="R148" s="135"/>
      <c r="S148" s="136"/>
      <c r="T148" s="136"/>
      <c r="U148" s="136"/>
      <c r="V148" s="136"/>
      <c r="W148" s="136"/>
      <c r="X148" s="136"/>
      <c r="Y148" s="136"/>
      <c r="Z148" s="136"/>
      <c r="AA148" s="136"/>
      <c r="AB148" s="136"/>
      <c r="AC148" s="136"/>
      <c r="AD148" s="136"/>
      <c r="AE148" s="136"/>
    </row>
    <row r="149" spans="13:31" ht="20.75" hidden="1" customHeight="1">
      <c r="M149" s="140" t="s">
        <v>784</v>
      </c>
      <c r="N149" s="132" t="s">
        <v>77</v>
      </c>
      <c r="O149" s="132" t="s">
        <v>588</v>
      </c>
      <c r="P149" s="141" t="s">
        <v>782</v>
      </c>
      <c r="Q149" s="142" t="s">
        <v>785</v>
      </c>
      <c r="R149" s="135"/>
      <c r="S149" s="136"/>
      <c r="T149" s="136"/>
      <c r="U149" s="136"/>
      <c r="V149" s="136"/>
      <c r="W149" s="136"/>
      <c r="X149" s="136"/>
      <c r="Y149" s="136"/>
      <c r="Z149" s="136"/>
      <c r="AA149" s="136"/>
      <c r="AB149" s="136"/>
      <c r="AC149" s="136"/>
      <c r="AD149" s="136"/>
      <c r="AE149" s="136"/>
    </row>
    <row r="150" spans="13:31" ht="20.75" hidden="1" customHeight="1">
      <c r="M150" s="140" t="s">
        <v>786</v>
      </c>
      <c r="N150" s="132" t="s">
        <v>77</v>
      </c>
      <c r="O150" s="132" t="s">
        <v>588</v>
      </c>
      <c r="P150" s="141" t="s">
        <v>782</v>
      </c>
      <c r="Q150" s="142" t="s">
        <v>787</v>
      </c>
      <c r="R150" s="135"/>
      <c r="S150" s="136"/>
      <c r="T150" s="136"/>
      <c r="U150" s="136"/>
      <c r="V150" s="136"/>
      <c r="W150" s="136"/>
      <c r="X150" s="136"/>
      <c r="Y150" s="136"/>
      <c r="Z150" s="136"/>
      <c r="AA150" s="136"/>
      <c r="AB150" s="136"/>
      <c r="AC150" s="136"/>
      <c r="AD150" s="136"/>
      <c r="AE150" s="136"/>
    </row>
    <row r="151" spans="13:31" ht="20.75" hidden="1" customHeight="1">
      <c r="M151" s="140" t="s">
        <v>788</v>
      </c>
      <c r="N151" s="132" t="s">
        <v>77</v>
      </c>
      <c r="O151" s="132" t="s">
        <v>588</v>
      </c>
      <c r="P151" s="141" t="s">
        <v>789</v>
      </c>
      <c r="Q151" s="142" t="s">
        <v>783</v>
      </c>
      <c r="R151" s="135"/>
      <c r="S151" s="136"/>
      <c r="T151" s="136"/>
      <c r="U151" s="136"/>
      <c r="V151" s="136"/>
      <c r="W151" s="136"/>
      <c r="X151" s="136"/>
      <c r="Y151" s="136"/>
      <c r="Z151" s="136"/>
      <c r="AA151" s="136"/>
      <c r="AB151" s="136"/>
      <c r="AC151" s="136"/>
      <c r="AD151" s="136"/>
      <c r="AE151" s="136"/>
    </row>
    <row r="152" spans="13:31" ht="20.75" hidden="1" customHeight="1">
      <c r="M152" s="140" t="s">
        <v>790</v>
      </c>
      <c r="N152" s="132" t="s">
        <v>77</v>
      </c>
      <c r="O152" s="132" t="s">
        <v>588</v>
      </c>
      <c r="P152" s="141" t="s">
        <v>789</v>
      </c>
      <c r="Q152" s="142" t="s">
        <v>791</v>
      </c>
      <c r="R152" s="135"/>
      <c r="S152" s="136"/>
      <c r="T152" s="136"/>
      <c r="U152" s="136"/>
      <c r="V152" s="136"/>
      <c r="W152" s="136"/>
      <c r="X152" s="136"/>
      <c r="Y152" s="136"/>
      <c r="Z152" s="136"/>
      <c r="AA152" s="136"/>
      <c r="AB152" s="136"/>
      <c r="AC152" s="136"/>
      <c r="AD152" s="136"/>
      <c r="AE152" s="136"/>
    </row>
    <row r="153" spans="13:31" ht="20.75" hidden="1" customHeight="1">
      <c r="M153" s="140" t="s">
        <v>792</v>
      </c>
      <c r="N153" s="132" t="s">
        <v>77</v>
      </c>
      <c r="O153" s="132" t="s">
        <v>588</v>
      </c>
      <c r="P153" s="141" t="s">
        <v>789</v>
      </c>
      <c r="Q153" s="142" t="s">
        <v>793</v>
      </c>
      <c r="R153" s="135"/>
      <c r="S153" s="136"/>
      <c r="T153" s="136"/>
      <c r="U153" s="136"/>
      <c r="V153" s="136"/>
      <c r="W153" s="136"/>
      <c r="X153" s="136"/>
      <c r="Y153" s="136"/>
      <c r="Z153" s="136"/>
      <c r="AA153" s="136"/>
      <c r="AB153" s="136"/>
      <c r="AC153" s="136"/>
      <c r="AD153" s="136"/>
      <c r="AE153" s="136"/>
    </row>
    <row r="154" spans="13:31" ht="20.75" hidden="1" customHeight="1">
      <c r="M154" s="140" t="s">
        <v>794</v>
      </c>
      <c r="N154" s="132" t="s">
        <v>77</v>
      </c>
      <c r="O154" s="132" t="s">
        <v>588</v>
      </c>
      <c r="P154" s="141" t="s">
        <v>789</v>
      </c>
      <c r="Q154" s="142" t="s">
        <v>795</v>
      </c>
      <c r="R154" s="135"/>
      <c r="S154" s="136"/>
      <c r="T154" s="136"/>
      <c r="U154" s="136"/>
      <c r="V154" s="136"/>
      <c r="W154" s="136"/>
      <c r="X154" s="136"/>
      <c r="Y154" s="136"/>
      <c r="Z154" s="136"/>
      <c r="AA154" s="136"/>
      <c r="AB154" s="136"/>
      <c r="AC154" s="136"/>
      <c r="AD154" s="136"/>
      <c r="AE154" s="136"/>
    </row>
    <row r="155" spans="13:31" ht="20.75" hidden="1" customHeight="1">
      <c r="M155" s="140" t="s">
        <v>796</v>
      </c>
      <c r="N155" s="132" t="s">
        <v>77</v>
      </c>
      <c r="O155" s="132" t="s">
        <v>588</v>
      </c>
      <c r="P155" s="141" t="s">
        <v>797</v>
      </c>
      <c r="Q155" s="142" t="s">
        <v>515</v>
      </c>
      <c r="R155" s="135"/>
      <c r="S155" s="136"/>
      <c r="T155" s="136"/>
      <c r="U155" s="136"/>
      <c r="V155" s="136"/>
      <c r="W155" s="136"/>
      <c r="X155" s="136"/>
      <c r="Y155" s="136"/>
      <c r="Z155" s="136"/>
      <c r="AA155" s="136"/>
      <c r="AB155" s="136"/>
      <c r="AC155" s="136"/>
      <c r="AD155" s="136"/>
      <c r="AE155" s="136"/>
    </row>
    <row r="156" spans="13:31" ht="20.75" hidden="1" customHeight="1">
      <c r="M156" s="140" t="s">
        <v>798</v>
      </c>
      <c r="N156" s="132" t="s">
        <v>77</v>
      </c>
      <c r="O156" s="132" t="s">
        <v>588</v>
      </c>
      <c r="P156" s="141" t="s">
        <v>797</v>
      </c>
      <c r="Q156" s="142" t="s">
        <v>799</v>
      </c>
      <c r="R156" s="135"/>
      <c r="S156" s="136"/>
      <c r="T156" s="136"/>
      <c r="U156" s="136"/>
      <c r="V156" s="136"/>
      <c r="W156" s="136"/>
      <c r="X156" s="136"/>
      <c r="Y156" s="136"/>
      <c r="Z156" s="136"/>
      <c r="AA156" s="136"/>
      <c r="AB156" s="136"/>
      <c r="AC156" s="136"/>
      <c r="AD156" s="136"/>
      <c r="AE156" s="136"/>
    </row>
    <row r="157" spans="13:31" ht="20.75" hidden="1" customHeight="1">
      <c r="M157" s="140" t="s">
        <v>800</v>
      </c>
      <c r="N157" s="132" t="s">
        <v>77</v>
      </c>
      <c r="O157" s="132" t="s">
        <v>588</v>
      </c>
      <c r="P157" s="141" t="s">
        <v>797</v>
      </c>
      <c r="Q157" s="142" t="s">
        <v>690</v>
      </c>
      <c r="R157" s="135"/>
      <c r="S157" s="136"/>
      <c r="T157" s="136"/>
      <c r="U157" s="136"/>
      <c r="V157" s="136"/>
      <c r="W157" s="136"/>
      <c r="X157" s="136"/>
      <c r="Y157" s="136"/>
      <c r="Z157" s="136"/>
      <c r="AA157" s="136"/>
      <c r="AB157" s="136"/>
      <c r="AC157" s="136"/>
      <c r="AD157" s="136"/>
      <c r="AE157" s="136"/>
    </row>
    <row r="158" spans="13:31" ht="20.75" hidden="1" customHeight="1">
      <c r="M158" s="140" t="s">
        <v>801</v>
      </c>
      <c r="N158" s="132" t="s">
        <v>77</v>
      </c>
      <c r="O158" s="132" t="s">
        <v>588</v>
      </c>
      <c r="P158" s="141" t="s">
        <v>797</v>
      </c>
      <c r="Q158" s="142" t="s">
        <v>795</v>
      </c>
      <c r="R158" s="135"/>
      <c r="S158" s="136"/>
      <c r="T158" s="136"/>
      <c r="U158" s="136"/>
      <c r="V158" s="136"/>
      <c r="W158" s="136"/>
      <c r="X158" s="136"/>
      <c r="Y158" s="136"/>
      <c r="Z158" s="136"/>
      <c r="AA158" s="136"/>
      <c r="AB158" s="136"/>
      <c r="AC158" s="136"/>
      <c r="AD158" s="136"/>
      <c r="AE158" s="136"/>
    </row>
    <row r="159" spans="13:31" ht="20.75" hidden="1" customHeight="1">
      <c r="M159" s="140" t="s">
        <v>802</v>
      </c>
      <c r="N159" s="132" t="s">
        <v>77</v>
      </c>
      <c r="O159" s="132" t="s">
        <v>588</v>
      </c>
      <c r="P159" s="141" t="s">
        <v>803</v>
      </c>
      <c r="Q159" s="142" t="s">
        <v>804</v>
      </c>
      <c r="R159" s="135"/>
      <c r="S159" s="136"/>
      <c r="T159" s="136"/>
      <c r="U159" s="136"/>
      <c r="V159" s="136"/>
      <c r="W159" s="136"/>
      <c r="X159" s="136"/>
      <c r="Y159" s="136"/>
      <c r="Z159" s="136"/>
      <c r="AA159" s="136"/>
      <c r="AB159" s="136"/>
      <c r="AC159" s="136"/>
      <c r="AD159" s="136"/>
      <c r="AE159" s="136"/>
    </row>
    <row r="160" spans="13:31" ht="20.75" hidden="1" customHeight="1">
      <c r="M160" s="140" t="s">
        <v>805</v>
      </c>
      <c r="N160" s="132" t="s">
        <v>77</v>
      </c>
      <c r="O160" s="132" t="s">
        <v>588</v>
      </c>
      <c r="P160" s="141" t="s">
        <v>803</v>
      </c>
      <c r="Q160" s="142" t="s">
        <v>795</v>
      </c>
      <c r="R160" s="135"/>
      <c r="S160" s="136"/>
      <c r="T160" s="136"/>
      <c r="U160" s="136"/>
      <c r="V160" s="136"/>
      <c r="W160" s="136"/>
      <c r="X160" s="136"/>
      <c r="Y160" s="136"/>
      <c r="Z160" s="136"/>
      <c r="AA160" s="136"/>
      <c r="AB160" s="136"/>
      <c r="AC160" s="136"/>
      <c r="AD160" s="136"/>
      <c r="AE160" s="136"/>
    </row>
    <row r="161" spans="13:31" ht="20.75" hidden="1" customHeight="1">
      <c r="M161" s="140" t="s">
        <v>806</v>
      </c>
      <c r="N161" s="132" t="s">
        <v>77</v>
      </c>
      <c r="O161" s="132" t="s">
        <v>588</v>
      </c>
      <c r="P161" s="141" t="s">
        <v>803</v>
      </c>
      <c r="Q161" s="142" t="s">
        <v>807</v>
      </c>
      <c r="R161" s="135"/>
      <c r="S161" s="136"/>
      <c r="T161" s="136"/>
      <c r="U161" s="136"/>
      <c r="V161" s="136"/>
      <c r="W161" s="136"/>
      <c r="X161" s="136"/>
      <c r="Y161" s="136"/>
      <c r="Z161" s="136"/>
      <c r="AA161" s="136"/>
      <c r="AB161" s="136"/>
      <c r="AC161" s="136"/>
      <c r="AD161" s="136"/>
      <c r="AE161" s="136"/>
    </row>
    <row r="162" spans="13:31" ht="20.75" hidden="1" customHeight="1">
      <c r="M162" s="140" t="s">
        <v>808</v>
      </c>
      <c r="N162" s="132" t="s">
        <v>77</v>
      </c>
      <c r="O162" s="132" t="s">
        <v>588</v>
      </c>
      <c r="P162" s="141" t="s">
        <v>809</v>
      </c>
      <c r="Q162" s="142" t="s">
        <v>522</v>
      </c>
      <c r="R162" s="135"/>
      <c r="S162" s="136"/>
      <c r="T162" s="136"/>
      <c r="U162" s="136"/>
      <c r="V162" s="136"/>
      <c r="W162" s="136"/>
      <c r="X162" s="136"/>
      <c r="Y162" s="136"/>
      <c r="Z162" s="136"/>
      <c r="AA162" s="136"/>
      <c r="AB162" s="136"/>
      <c r="AC162" s="136"/>
      <c r="AD162" s="136"/>
      <c r="AE162" s="136"/>
    </row>
    <row r="163" spans="13:31" ht="20.75" hidden="1" customHeight="1">
      <c r="M163" s="140" t="s">
        <v>810</v>
      </c>
      <c r="N163" s="132" t="s">
        <v>77</v>
      </c>
      <c r="O163" s="132" t="s">
        <v>588</v>
      </c>
      <c r="P163" s="141" t="s">
        <v>809</v>
      </c>
      <c r="Q163" s="142" t="s">
        <v>804</v>
      </c>
      <c r="R163" s="135"/>
      <c r="S163" s="136"/>
      <c r="T163" s="136"/>
      <c r="U163" s="136"/>
      <c r="V163" s="136"/>
      <c r="W163" s="136"/>
      <c r="X163" s="136"/>
      <c r="Y163" s="136"/>
      <c r="Z163" s="136"/>
      <c r="AA163" s="136"/>
      <c r="AB163" s="136"/>
      <c r="AC163" s="136"/>
      <c r="AD163" s="136"/>
      <c r="AE163" s="136"/>
    </row>
    <row r="164" spans="13:31" ht="20.75" hidden="1" customHeight="1">
      <c r="M164" s="140" t="s">
        <v>811</v>
      </c>
      <c r="N164" s="132" t="s">
        <v>77</v>
      </c>
      <c r="O164" s="132" t="s">
        <v>588</v>
      </c>
      <c r="P164" s="141" t="s">
        <v>809</v>
      </c>
      <c r="Q164" s="142" t="s">
        <v>793</v>
      </c>
      <c r="R164" s="135"/>
      <c r="S164" s="136"/>
      <c r="T164" s="136"/>
      <c r="U164" s="136"/>
      <c r="V164" s="136"/>
      <c r="W164" s="136"/>
      <c r="X164" s="136"/>
      <c r="Y164" s="136"/>
      <c r="Z164" s="136"/>
      <c r="AA164" s="136"/>
      <c r="AB164" s="136"/>
      <c r="AC164" s="136"/>
      <c r="AD164" s="136"/>
      <c r="AE164" s="136"/>
    </row>
    <row r="165" spans="13:31" ht="20.75" hidden="1" customHeight="1">
      <c r="M165" s="140" t="s">
        <v>812</v>
      </c>
      <c r="N165" s="132" t="s">
        <v>77</v>
      </c>
      <c r="O165" s="132" t="s">
        <v>588</v>
      </c>
      <c r="P165" s="141" t="s">
        <v>809</v>
      </c>
      <c r="Q165" s="142" t="s">
        <v>813</v>
      </c>
      <c r="R165" s="135"/>
      <c r="S165" s="136"/>
      <c r="T165" s="136"/>
      <c r="U165" s="136"/>
      <c r="V165" s="136"/>
      <c r="W165" s="136"/>
      <c r="X165" s="136"/>
      <c r="Y165" s="136"/>
      <c r="Z165" s="136"/>
      <c r="AA165" s="136"/>
      <c r="AB165" s="136"/>
      <c r="AC165" s="136"/>
      <c r="AD165" s="136"/>
      <c r="AE165" s="136"/>
    </row>
    <row r="166" spans="13:31" ht="20.75" hidden="1" customHeight="1">
      <c r="M166" s="140" t="s">
        <v>814</v>
      </c>
      <c r="N166" s="132" t="s">
        <v>77</v>
      </c>
      <c r="O166" s="132" t="s">
        <v>588</v>
      </c>
      <c r="P166" s="141" t="s">
        <v>815</v>
      </c>
      <c r="Q166" s="142" t="s">
        <v>816</v>
      </c>
      <c r="R166" s="135"/>
      <c r="S166" s="136"/>
      <c r="T166" s="136"/>
      <c r="U166" s="136"/>
      <c r="V166" s="136"/>
      <c r="W166" s="136"/>
      <c r="X166" s="136"/>
      <c r="Y166" s="136"/>
      <c r="Z166" s="136"/>
      <c r="AA166" s="136"/>
      <c r="AB166" s="136"/>
      <c r="AC166" s="136"/>
      <c r="AD166" s="136"/>
      <c r="AE166" s="136"/>
    </row>
    <row r="167" spans="13:31" ht="20.75" hidden="1" customHeight="1">
      <c r="M167" s="140" t="s">
        <v>817</v>
      </c>
      <c r="N167" s="132" t="s">
        <v>77</v>
      </c>
      <c r="O167" s="132" t="s">
        <v>588</v>
      </c>
      <c r="P167" s="141" t="s">
        <v>815</v>
      </c>
      <c r="Q167" s="142" t="s">
        <v>818</v>
      </c>
      <c r="R167" s="135"/>
      <c r="S167" s="136"/>
      <c r="T167" s="136"/>
      <c r="U167" s="136"/>
      <c r="V167" s="136"/>
      <c r="W167" s="136"/>
      <c r="X167" s="136"/>
      <c r="Y167" s="136"/>
      <c r="Z167" s="136"/>
      <c r="AA167" s="136"/>
      <c r="AB167" s="136"/>
      <c r="AC167" s="136"/>
      <c r="AD167" s="136"/>
      <c r="AE167" s="136"/>
    </row>
    <row r="168" spans="13:31" ht="20.75" hidden="1" customHeight="1">
      <c r="M168" s="140" t="s">
        <v>819</v>
      </c>
      <c r="N168" s="132" t="s">
        <v>77</v>
      </c>
      <c r="O168" s="132" t="s">
        <v>588</v>
      </c>
      <c r="P168" s="141" t="s">
        <v>815</v>
      </c>
      <c r="Q168" s="142" t="s">
        <v>807</v>
      </c>
      <c r="R168" s="135"/>
      <c r="S168" s="136"/>
      <c r="T168" s="136"/>
      <c r="U168" s="136"/>
      <c r="V168" s="136"/>
      <c r="W168" s="136"/>
      <c r="X168" s="136"/>
      <c r="Y168" s="136"/>
      <c r="Z168" s="136"/>
      <c r="AA168" s="136"/>
      <c r="AB168" s="136"/>
      <c r="AC168" s="136"/>
      <c r="AD168" s="136"/>
      <c r="AE168" s="136"/>
    </row>
    <row r="169" spans="13:31" ht="20.75" hidden="1" customHeight="1">
      <c r="M169" s="140" t="s">
        <v>820</v>
      </c>
      <c r="N169" s="132" t="s">
        <v>77</v>
      </c>
      <c r="O169" s="132" t="s">
        <v>588</v>
      </c>
      <c r="P169" s="141" t="s">
        <v>821</v>
      </c>
      <c r="Q169" s="142" t="s">
        <v>791</v>
      </c>
      <c r="R169" s="135"/>
      <c r="S169" s="136"/>
      <c r="T169" s="136"/>
      <c r="U169" s="136"/>
      <c r="V169" s="136"/>
      <c r="W169" s="136"/>
      <c r="X169" s="136"/>
      <c r="Y169" s="136"/>
      <c r="Z169" s="136"/>
      <c r="AA169" s="136"/>
      <c r="AB169" s="136"/>
      <c r="AC169" s="136"/>
      <c r="AD169" s="136"/>
      <c r="AE169" s="136"/>
    </row>
    <row r="170" spans="13:31" ht="20.75" hidden="1" customHeight="1">
      <c r="M170" s="140" t="s">
        <v>822</v>
      </c>
      <c r="N170" s="132" t="s">
        <v>77</v>
      </c>
      <c r="O170" s="132" t="s">
        <v>588</v>
      </c>
      <c r="P170" s="141" t="s">
        <v>821</v>
      </c>
      <c r="Q170" s="142" t="s">
        <v>783</v>
      </c>
      <c r="R170" s="135"/>
      <c r="S170" s="136"/>
      <c r="T170" s="136"/>
      <c r="U170" s="136"/>
      <c r="V170" s="136"/>
      <c r="W170" s="136"/>
      <c r="X170" s="136"/>
      <c r="Y170" s="136"/>
      <c r="Z170" s="136"/>
      <c r="AA170" s="136"/>
      <c r="AB170" s="136"/>
      <c r="AC170" s="136"/>
      <c r="AD170" s="136"/>
      <c r="AE170" s="136"/>
    </row>
    <row r="171" spans="13:31" ht="20.75" hidden="1" customHeight="1">
      <c r="M171" s="140" t="s">
        <v>823</v>
      </c>
      <c r="N171" s="132" t="s">
        <v>77</v>
      </c>
      <c r="O171" s="132" t="s">
        <v>588</v>
      </c>
      <c r="P171" s="141" t="s">
        <v>821</v>
      </c>
      <c r="Q171" s="142" t="s">
        <v>785</v>
      </c>
      <c r="R171" s="135"/>
      <c r="S171" s="136"/>
      <c r="T171" s="136"/>
      <c r="U171" s="136"/>
      <c r="V171" s="136"/>
      <c r="W171" s="136"/>
      <c r="X171" s="136"/>
      <c r="Y171" s="136"/>
      <c r="Z171" s="136"/>
      <c r="AA171" s="136"/>
      <c r="AB171" s="136"/>
      <c r="AC171" s="136"/>
      <c r="AD171" s="136"/>
      <c r="AE171" s="136"/>
    </row>
    <row r="172" spans="13:31" ht="20.75" hidden="1" customHeight="1">
      <c r="M172" s="140" t="s">
        <v>824</v>
      </c>
      <c r="N172" s="132" t="s">
        <v>77</v>
      </c>
      <c r="O172" s="132" t="s">
        <v>588</v>
      </c>
      <c r="P172" s="141" t="s">
        <v>825</v>
      </c>
      <c r="Q172" s="142" t="s">
        <v>804</v>
      </c>
      <c r="R172" s="135"/>
      <c r="S172" s="136"/>
      <c r="T172" s="136"/>
      <c r="U172" s="136"/>
      <c r="V172" s="136"/>
      <c r="W172" s="136"/>
      <c r="X172" s="136"/>
      <c r="Y172" s="136"/>
      <c r="Z172" s="136"/>
      <c r="AA172" s="136"/>
      <c r="AB172" s="136"/>
      <c r="AC172" s="136"/>
      <c r="AD172" s="136"/>
      <c r="AE172" s="136"/>
    </row>
    <row r="173" spans="13:31" ht="20.75" hidden="1" customHeight="1">
      <c r="M173" s="140" t="s">
        <v>826</v>
      </c>
      <c r="N173" s="132" t="s">
        <v>77</v>
      </c>
      <c r="O173" s="132" t="s">
        <v>588</v>
      </c>
      <c r="P173" s="141" t="s">
        <v>825</v>
      </c>
      <c r="Q173" s="142" t="s">
        <v>522</v>
      </c>
      <c r="R173" s="135"/>
      <c r="S173" s="136"/>
      <c r="T173" s="136"/>
      <c r="U173" s="136"/>
      <c r="V173" s="136"/>
      <c r="W173" s="136"/>
      <c r="X173" s="136"/>
      <c r="Y173" s="136"/>
      <c r="Z173" s="136"/>
      <c r="AA173" s="136"/>
      <c r="AB173" s="136"/>
      <c r="AC173" s="136"/>
      <c r="AD173" s="136"/>
      <c r="AE173" s="136"/>
    </row>
    <row r="174" spans="13:31" ht="20.75" hidden="1" customHeight="1">
      <c r="M174" s="140" t="s">
        <v>827</v>
      </c>
      <c r="N174" s="132" t="s">
        <v>77</v>
      </c>
      <c r="O174" s="132" t="s">
        <v>588</v>
      </c>
      <c r="P174" s="141" t="s">
        <v>825</v>
      </c>
      <c r="Q174" s="142" t="s">
        <v>785</v>
      </c>
      <c r="R174" s="135"/>
      <c r="S174" s="136"/>
      <c r="T174" s="136"/>
      <c r="U174" s="136"/>
      <c r="V174" s="136"/>
      <c r="W174" s="136"/>
      <c r="X174" s="136"/>
      <c r="Y174" s="136"/>
      <c r="Z174" s="136"/>
      <c r="AA174" s="136"/>
      <c r="AB174" s="136"/>
      <c r="AC174" s="136"/>
      <c r="AD174" s="136"/>
      <c r="AE174" s="136"/>
    </row>
    <row r="175" spans="13:31" ht="20.75" hidden="1" customHeight="1">
      <c r="M175" s="140" t="s">
        <v>828</v>
      </c>
      <c r="N175" s="132" t="s">
        <v>77</v>
      </c>
      <c r="O175" s="132" t="s">
        <v>588</v>
      </c>
      <c r="P175" s="141" t="s">
        <v>829</v>
      </c>
      <c r="Q175" s="142" t="s">
        <v>830</v>
      </c>
      <c r="R175" s="135"/>
      <c r="S175" s="136"/>
      <c r="T175" s="136"/>
      <c r="U175" s="136"/>
      <c r="V175" s="136"/>
      <c r="W175" s="136"/>
      <c r="X175" s="136"/>
      <c r="Y175" s="136"/>
      <c r="Z175" s="136"/>
      <c r="AA175" s="136"/>
      <c r="AB175" s="136"/>
      <c r="AC175" s="136"/>
      <c r="AD175" s="136"/>
      <c r="AE175" s="136"/>
    </row>
    <row r="176" spans="13:31" ht="20.75" hidden="1" customHeight="1">
      <c r="M176" s="140" t="s">
        <v>831</v>
      </c>
      <c r="N176" s="132" t="s">
        <v>77</v>
      </c>
      <c r="O176" s="132" t="s">
        <v>588</v>
      </c>
      <c r="P176" s="141" t="s">
        <v>829</v>
      </c>
      <c r="Q176" s="142" t="s">
        <v>832</v>
      </c>
      <c r="R176" s="135"/>
      <c r="S176" s="136"/>
      <c r="T176" s="136"/>
      <c r="U176" s="136"/>
      <c r="V176" s="136"/>
      <c r="W176" s="136"/>
      <c r="X176" s="136"/>
      <c r="Y176" s="136"/>
      <c r="Z176" s="136"/>
      <c r="AA176" s="136"/>
      <c r="AB176" s="136"/>
      <c r="AC176" s="136"/>
      <c r="AD176" s="136"/>
      <c r="AE176" s="136"/>
    </row>
    <row r="177" spans="13:31" ht="20.75" hidden="1" customHeight="1">
      <c r="M177" s="140" t="s">
        <v>833</v>
      </c>
      <c r="N177" s="132" t="s">
        <v>77</v>
      </c>
      <c r="O177" s="132" t="s">
        <v>588</v>
      </c>
      <c r="P177" s="141" t="s">
        <v>834</v>
      </c>
      <c r="Q177" s="142" t="s">
        <v>835</v>
      </c>
      <c r="R177" s="135"/>
      <c r="S177" s="136"/>
      <c r="T177" s="136"/>
      <c r="U177" s="136"/>
      <c r="V177" s="136"/>
      <c r="W177" s="136"/>
      <c r="X177" s="136"/>
      <c r="Y177" s="136"/>
      <c r="Z177" s="136"/>
      <c r="AA177" s="136"/>
      <c r="AB177" s="136"/>
      <c r="AC177" s="136"/>
      <c r="AD177" s="136"/>
      <c r="AE177" s="136"/>
    </row>
    <row r="178" spans="13:31" ht="20.75" hidden="1" customHeight="1">
      <c r="M178" s="140" t="s">
        <v>836</v>
      </c>
      <c r="N178" s="132" t="s">
        <v>77</v>
      </c>
      <c r="O178" s="132" t="s">
        <v>588</v>
      </c>
      <c r="P178" s="141" t="s">
        <v>837</v>
      </c>
      <c r="Q178" s="142" t="s">
        <v>791</v>
      </c>
      <c r="R178" s="135"/>
      <c r="S178" s="136"/>
      <c r="T178" s="136"/>
      <c r="U178" s="136"/>
      <c r="V178" s="136"/>
      <c r="W178" s="136"/>
      <c r="X178" s="136"/>
      <c r="Y178" s="136"/>
      <c r="Z178" s="136"/>
      <c r="AA178" s="136"/>
      <c r="AB178" s="136"/>
      <c r="AC178" s="136"/>
      <c r="AD178" s="136"/>
      <c r="AE178" s="136"/>
    </row>
    <row r="179" spans="13:31" ht="20.75" hidden="1" customHeight="1">
      <c r="M179" s="140" t="s">
        <v>838</v>
      </c>
      <c r="N179" s="132" t="s">
        <v>77</v>
      </c>
      <c r="O179" s="132" t="s">
        <v>588</v>
      </c>
      <c r="P179" s="141" t="s">
        <v>837</v>
      </c>
      <c r="Q179" s="142" t="s">
        <v>835</v>
      </c>
      <c r="R179" s="135"/>
      <c r="S179" s="136"/>
      <c r="T179" s="136"/>
      <c r="U179" s="136"/>
      <c r="V179" s="136"/>
      <c r="W179" s="136"/>
      <c r="X179" s="136"/>
      <c r="Y179" s="136"/>
      <c r="Z179" s="136"/>
      <c r="AA179" s="136"/>
      <c r="AB179" s="136"/>
      <c r="AC179" s="136"/>
      <c r="AD179" s="136"/>
      <c r="AE179" s="136"/>
    </row>
    <row r="180" spans="13:31" ht="20.75" hidden="1" customHeight="1">
      <c r="M180" s="140" t="s">
        <v>839</v>
      </c>
      <c r="N180" s="132" t="s">
        <v>77</v>
      </c>
      <c r="O180" s="132" t="s">
        <v>588</v>
      </c>
      <c r="P180" s="141" t="s">
        <v>837</v>
      </c>
      <c r="Q180" s="142" t="s">
        <v>840</v>
      </c>
      <c r="R180" s="135"/>
      <c r="S180" s="136"/>
      <c r="T180" s="136"/>
      <c r="U180" s="136"/>
      <c r="V180" s="136"/>
      <c r="W180" s="136"/>
      <c r="X180" s="136"/>
      <c r="Y180" s="136"/>
      <c r="Z180" s="136"/>
      <c r="AA180" s="136"/>
      <c r="AB180" s="136"/>
      <c r="AC180" s="136"/>
      <c r="AD180" s="136"/>
      <c r="AE180" s="136"/>
    </row>
    <row r="181" spans="13:31" ht="20.75" hidden="1" customHeight="1">
      <c r="M181" s="140" t="s">
        <v>841</v>
      </c>
      <c r="N181" s="132" t="s">
        <v>77</v>
      </c>
      <c r="O181" s="132" t="s">
        <v>588</v>
      </c>
      <c r="P181" s="141" t="s">
        <v>842</v>
      </c>
      <c r="Q181" s="142" t="s">
        <v>791</v>
      </c>
      <c r="R181" s="135"/>
      <c r="S181" s="136"/>
      <c r="T181" s="136"/>
      <c r="U181" s="136"/>
      <c r="V181" s="136"/>
      <c r="W181" s="136"/>
      <c r="X181" s="136"/>
      <c r="Y181" s="136"/>
      <c r="Z181" s="136"/>
      <c r="AA181" s="136"/>
      <c r="AB181" s="136"/>
      <c r="AC181" s="136"/>
      <c r="AD181" s="136"/>
      <c r="AE181" s="136"/>
    </row>
    <row r="182" spans="13:31" ht="20.75" hidden="1" customHeight="1">
      <c r="M182" s="140" t="s">
        <v>843</v>
      </c>
      <c r="N182" s="132" t="s">
        <v>77</v>
      </c>
      <c r="O182" s="132" t="s">
        <v>588</v>
      </c>
      <c r="P182" s="141" t="s">
        <v>844</v>
      </c>
      <c r="Q182" s="142" t="s">
        <v>816</v>
      </c>
      <c r="R182" s="135"/>
      <c r="S182" s="136"/>
      <c r="T182" s="136"/>
      <c r="U182" s="136"/>
      <c r="V182" s="136"/>
      <c r="W182" s="136"/>
      <c r="X182" s="136"/>
      <c r="Y182" s="136"/>
      <c r="Z182" s="136"/>
      <c r="AA182" s="136"/>
      <c r="AB182" s="136"/>
      <c r="AC182" s="136"/>
      <c r="AD182" s="136"/>
      <c r="AE182" s="136"/>
    </row>
    <row r="183" spans="13:31" ht="20.75" hidden="1" customHeight="1">
      <c r="M183" s="140" t="s">
        <v>845</v>
      </c>
      <c r="N183" s="132" t="s">
        <v>77</v>
      </c>
      <c r="O183" s="132" t="s">
        <v>588</v>
      </c>
      <c r="P183" s="141" t="s">
        <v>844</v>
      </c>
      <c r="Q183" s="142" t="s">
        <v>846</v>
      </c>
      <c r="R183" s="135"/>
      <c r="S183" s="136"/>
      <c r="T183" s="136"/>
      <c r="U183" s="136"/>
      <c r="V183" s="136"/>
      <c r="W183" s="136"/>
      <c r="X183" s="136"/>
      <c r="Y183" s="136"/>
      <c r="Z183" s="136"/>
      <c r="AA183" s="136"/>
      <c r="AB183" s="136"/>
      <c r="AC183" s="136"/>
      <c r="AD183" s="136"/>
      <c r="AE183" s="136"/>
    </row>
    <row r="184" spans="13:31" ht="20.75" hidden="1" customHeight="1">
      <c r="M184" s="140" t="s">
        <v>847</v>
      </c>
      <c r="N184" s="132" t="s">
        <v>77</v>
      </c>
      <c r="O184" s="132" t="s">
        <v>588</v>
      </c>
      <c r="P184" s="141" t="s">
        <v>844</v>
      </c>
      <c r="Q184" s="142" t="s">
        <v>804</v>
      </c>
      <c r="R184" s="135"/>
      <c r="S184" s="136"/>
      <c r="T184" s="136"/>
      <c r="U184" s="136"/>
      <c r="V184" s="136"/>
      <c r="W184" s="136"/>
      <c r="X184" s="136"/>
      <c r="Y184" s="136"/>
      <c r="Z184" s="136"/>
      <c r="AA184" s="136"/>
      <c r="AB184" s="136"/>
      <c r="AC184" s="136"/>
      <c r="AD184" s="136"/>
      <c r="AE184" s="136"/>
    </row>
    <row r="185" spans="13:31" ht="20.75" hidden="1" customHeight="1">
      <c r="M185" s="140" t="s">
        <v>848</v>
      </c>
      <c r="N185" s="132" t="s">
        <v>77</v>
      </c>
      <c r="O185" s="132" t="s">
        <v>588</v>
      </c>
      <c r="P185" s="141" t="s">
        <v>849</v>
      </c>
      <c r="Q185" s="142" t="s">
        <v>515</v>
      </c>
      <c r="R185" s="135"/>
      <c r="S185" s="136"/>
      <c r="T185" s="136"/>
      <c r="U185" s="136"/>
      <c r="V185" s="136"/>
      <c r="W185" s="136"/>
      <c r="X185" s="136"/>
      <c r="Y185" s="136"/>
      <c r="Z185" s="136"/>
      <c r="AA185" s="136"/>
      <c r="AB185" s="136"/>
      <c r="AC185" s="136"/>
      <c r="AD185" s="136"/>
      <c r="AE185" s="136"/>
    </row>
    <row r="186" spans="13:31" ht="20.75" hidden="1" customHeight="1">
      <c r="M186" s="140" t="s">
        <v>850</v>
      </c>
      <c r="N186" s="132" t="s">
        <v>77</v>
      </c>
      <c r="O186" s="132" t="s">
        <v>588</v>
      </c>
      <c r="P186" s="141" t="s">
        <v>851</v>
      </c>
      <c r="Q186" s="142" t="s">
        <v>804</v>
      </c>
      <c r="R186" s="135"/>
      <c r="S186" s="136"/>
      <c r="T186" s="136"/>
      <c r="U186" s="136"/>
      <c r="V186" s="136"/>
      <c r="W186" s="136"/>
      <c r="X186" s="136"/>
      <c r="Y186" s="136"/>
      <c r="Z186" s="136"/>
      <c r="AA186" s="136"/>
      <c r="AB186" s="136"/>
      <c r="AC186" s="136"/>
      <c r="AD186" s="136"/>
      <c r="AE186" s="136"/>
    </row>
    <row r="187" spans="13:31" ht="20.75" hidden="1" customHeight="1">
      <c r="M187" s="140" t="s">
        <v>852</v>
      </c>
      <c r="N187" s="132" t="s">
        <v>77</v>
      </c>
      <c r="O187" s="132" t="s">
        <v>588</v>
      </c>
      <c r="P187" s="141" t="s">
        <v>851</v>
      </c>
      <c r="Q187" s="142" t="s">
        <v>522</v>
      </c>
      <c r="R187" s="135"/>
      <c r="S187" s="136"/>
      <c r="T187" s="136"/>
      <c r="U187" s="136"/>
      <c r="V187" s="136"/>
      <c r="W187" s="136"/>
      <c r="X187" s="136"/>
      <c r="Y187" s="136"/>
      <c r="Z187" s="136"/>
      <c r="AA187" s="136"/>
      <c r="AB187" s="136"/>
      <c r="AC187" s="136"/>
      <c r="AD187" s="136"/>
      <c r="AE187" s="136"/>
    </row>
    <row r="188" spans="13:31" ht="20.75" hidden="1" customHeight="1">
      <c r="M188" s="140" t="s">
        <v>853</v>
      </c>
      <c r="N188" s="132" t="s">
        <v>77</v>
      </c>
      <c r="O188" s="132" t="s">
        <v>588</v>
      </c>
      <c r="P188" s="141" t="s">
        <v>851</v>
      </c>
      <c r="Q188" s="142" t="s">
        <v>854</v>
      </c>
      <c r="R188" s="135"/>
      <c r="S188" s="136"/>
      <c r="T188" s="136"/>
      <c r="U188" s="136"/>
      <c r="V188" s="136"/>
      <c r="W188" s="136"/>
      <c r="X188" s="136"/>
      <c r="Y188" s="136"/>
      <c r="Z188" s="136"/>
      <c r="AA188" s="136"/>
      <c r="AB188" s="136"/>
      <c r="AC188" s="136"/>
      <c r="AD188" s="136"/>
      <c r="AE188" s="136"/>
    </row>
    <row r="189" spans="13:31" ht="20.75" hidden="1" customHeight="1">
      <c r="M189" s="140" t="s">
        <v>855</v>
      </c>
      <c r="N189" s="132" t="s">
        <v>77</v>
      </c>
      <c r="O189" s="132" t="s">
        <v>588</v>
      </c>
      <c r="P189" s="141" t="s">
        <v>856</v>
      </c>
      <c r="Q189" s="142" t="s">
        <v>515</v>
      </c>
      <c r="R189" s="135"/>
      <c r="S189" s="136"/>
      <c r="T189" s="136"/>
      <c r="U189" s="136"/>
      <c r="V189" s="136"/>
      <c r="W189" s="136"/>
      <c r="X189" s="136"/>
      <c r="Y189" s="136"/>
      <c r="Z189" s="136"/>
      <c r="AA189" s="136"/>
      <c r="AB189" s="136"/>
      <c r="AC189" s="136"/>
      <c r="AD189" s="136"/>
      <c r="AE189" s="136"/>
    </row>
    <row r="190" spans="13:31" ht="20.75" hidden="1" customHeight="1">
      <c r="M190" s="140" t="s">
        <v>857</v>
      </c>
      <c r="N190" s="132" t="s">
        <v>77</v>
      </c>
      <c r="O190" s="132" t="s">
        <v>588</v>
      </c>
      <c r="P190" s="141" t="s">
        <v>856</v>
      </c>
      <c r="Q190" s="142" t="s">
        <v>846</v>
      </c>
      <c r="R190" s="135"/>
      <c r="S190" s="136"/>
      <c r="T190" s="136"/>
      <c r="U190" s="136"/>
      <c r="V190" s="136"/>
      <c r="W190" s="136"/>
      <c r="X190" s="136"/>
      <c r="Y190" s="136"/>
      <c r="Z190" s="136"/>
      <c r="AA190" s="136"/>
      <c r="AB190" s="136"/>
      <c r="AC190" s="136"/>
      <c r="AD190" s="136"/>
      <c r="AE190" s="136"/>
    </row>
    <row r="191" spans="13:31" ht="20.75" hidden="1" customHeight="1">
      <c r="M191" s="140" t="s">
        <v>858</v>
      </c>
      <c r="N191" s="132" t="s">
        <v>77</v>
      </c>
      <c r="O191" s="132" t="s">
        <v>588</v>
      </c>
      <c r="P191" s="141" t="s">
        <v>856</v>
      </c>
      <c r="Q191" s="142" t="s">
        <v>804</v>
      </c>
      <c r="R191" s="135"/>
      <c r="S191" s="136"/>
      <c r="T191" s="136"/>
      <c r="U191" s="136"/>
      <c r="V191" s="136"/>
      <c r="W191" s="136"/>
      <c r="X191" s="136"/>
      <c r="Y191" s="136"/>
      <c r="Z191" s="136"/>
      <c r="AA191" s="136"/>
      <c r="AB191" s="136"/>
      <c r="AC191" s="136"/>
      <c r="AD191" s="136"/>
      <c r="AE191" s="136"/>
    </row>
    <row r="192" spans="13:31" ht="20.75" hidden="1" customHeight="1">
      <c r="M192" s="140" t="s">
        <v>859</v>
      </c>
      <c r="N192" s="132" t="s">
        <v>77</v>
      </c>
      <c r="O192" s="132" t="s">
        <v>653</v>
      </c>
      <c r="P192" s="141" t="s">
        <v>860</v>
      </c>
      <c r="Q192" s="142" t="s">
        <v>861</v>
      </c>
      <c r="R192" s="135"/>
      <c r="S192" s="136"/>
      <c r="T192" s="136"/>
      <c r="U192" s="136"/>
      <c r="V192" s="136"/>
      <c r="W192" s="136"/>
      <c r="X192" s="136"/>
      <c r="Y192" s="136"/>
      <c r="Z192" s="136"/>
      <c r="AA192" s="136"/>
      <c r="AB192" s="136"/>
      <c r="AC192" s="136"/>
      <c r="AD192" s="136"/>
      <c r="AE192" s="136"/>
    </row>
    <row r="193" spans="13:31" ht="20.75" hidden="1" customHeight="1">
      <c r="M193" s="140" t="s">
        <v>862</v>
      </c>
      <c r="N193" s="132" t="s">
        <v>77</v>
      </c>
      <c r="O193" s="132" t="s">
        <v>653</v>
      </c>
      <c r="P193" s="141" t="s">
        <v>860</v>
      </c>
      <c r="Q193" s="142" t="s">
        <v>863</v>
      </c>
      <c r="R193" s="135"/>
      <c r="S193" s="136"/>
      <c r="T193" s="136"/>
      <c r="U193" s="136"/>
      <c r="V193" s="136"/>
      <c r="W193" s="136"/>
      <c r="X193" s="136"/>
      <c r="Y193" s="136"/>
      <c r="Z193" s="136"/>
      <c r="AA193" s="136"/>
      <c r="AB193" s="136"/>
      <c r="AC193" s="136"/>
      <c r="AD193" s="136"/>
      <c r="AE193" s="136"/>
    </row>
    <row r="194" spans="13:31" ht="20.75" hidden="1" customHeight="1">
      <c r="M194" s="140" t="s">
        <v>864</v>
      </c>
      <c r="N194" s="132" t="s">
        <v>77</v>
      </c>
      <c r="O194" s="132" t="s">
        <v>653</v>
      </c>
      <c r="P194" s="141" t="s">
        <v>860</v>
      </c>
      <c r="Q194" s="142" t="s">
        <v>865</v>
      </c>
      <c r="R194" s="135"/>
      <c r="S194" s="136"/>
      <c r="T194" s="136"/>
      <c r="U194" s="136"/>
      <c r="V194" s="136"/>
      <c r="W194" s="136"/>
      <c r="X194" s="136"/>
      <c r="Y194" s="136"/>
      <c r="Z194" s="136"/>
      <c r="AA194" s="136"/>
      <c r="AB194" s="136"/>
      <c r="AC194" s="136"/>
      <c r="AD194" s="136"/>
      <c r="AE194" s="136"/>
    </row>
    <row r="195" spans="13:31" ht="20.75" hidden="1" customHeight="1">
      <c r="M195" s="140" t="s">
        <v>866</v>
      </c>
      <c r="N195" s="132" t="s">
        <v>77</v>
      </c>
      <c r="O195" s="132" t="s">
        <v>653</v>
      </c>
      <c r="P195" s="141" t="s">
        <v>860</v>
      </c>
      <c r="Q195" s="142" t="s">
        <v>807</v>
      </c>
      <c r="R195" s="135"/>
      <c r="S195" s="136"/>
      <c r="T195" s="136"/>
      <c r="U195" s="136"/>
      <c r="V195" s="136"/>
      <c r="W195" s="136"/>
      <c r="X195" s="136"/>
      <c r="Y195" s="136"/>
      <c r="Z195" s="136"/>
      <c r="AA195" s="136"/>
      <c r="AB195" s="136"/>
      <c r="AC195" s="136"/>
      <c r="AD195" s="136"/>
      <c r="AE195" s="136"/>
    </row>
    <row r="196" spans="13:31" ht="20.75" hidden="1" customHeight="1">
      <c r="M196" s="140" t="s">
        <v>867</v>
      </c>
      <c r="N196" s="132" t="s">
        <v>77</v>
      </c>
      <c r="O196" s="132" t="s">
        <v>653</v>
      </c>
      <c r="P196" s="141" t="s">
        <v>860</v>
      </c>
      <c r="Q196" s="142" t="s">
        <v>515</v>
      </c>
      <c r="R196" s="135"/>
      <c r="S196" s="136"/>
      <c r="T196" s="136"/>
      <c r="U196" s="136"/>
      <c r="V196" s="136"/>
      <c r="W196" s="136"/>
      <c r="X196" s="136"/>
      <c r="Y196" s="136"/>
      <c r="Z196" s="136"/>
      <c r="AA196" s="136"/>
      <c r="AB196" s="136"/>
      <c r="AC196" s="136"/>
      <c r="AD196" s="136"/>
      <c r="AE196" s="136"/>
    </row>
    <row r="197" spans="13:31" ht="20.75" hidden="1" customHeight="1">
      <c r="M197" s="140" t="s">
        <v>868</v>
      </c>
      <c r="N197" s="132" t="s">
        <v>77</v>
      </c>
      <c r="O197" s="132" t="s">
        <v>653</v>
      </c>
      <c r="P197" s="141" t="s">
        <v>860</v>
      </c>
      <c r="Q197" s="142" t="s">
        <v>869</v>
      </c>
      <c r="R197" s="135"/>
      <c r="S197" s="136"/>
      <c r="T197" s="136"/>
      <c r="U197" s="136"/>
      <c r="V197" s="136"/>
      <c r="W197" s="136"/>
      <c r="X197" s="136"/>
      <c r="Y197" s="136"/>
      <c r="Z197" s="136"/>
      <c r="AA197" s="136"/>
      <c r="AB197" s="136"/>
      <c r="AC197" s="136"/>
      <c r="AD197" s="136"/>
      <c r="AE197" s="136"/>
    </row>
    <row r="198" spans="13:31" ht="20.75" hidden="1" customHeight="1">
      <c r="M198" s="140" t="s">
        <v>870</v>
      </c>
      <c r="N198" s="132" t="s">
        <v>77</v>
      </c>
      <c r="O198" s="132" t="s">
        <v>653</v>
      </c>
      <c r="P198" s="141" t="s">
        <v>871</v>
      </c>
      <c r="Q198" s="142" t="s">
        <v>865</v>
      </c>
      <c r="R198" s="135"/>
      <c r="S198" s="136"/>
      <c r="T198" s="136"/>
      <c r="U198" s="136"/>
      <c r="V198" s="136"/>
      <c r="W198" s="136"/>
      <c r="X198" s="136"/>
      <c r="Y198" s="136"/>
      <c r="Z198" s="136"/>
      <c r="AA198" s="136"/>
      <c r="AB198" s="136"/>
      <c r="AC198" s="136"/>
      <c r="AD198" s="136"/>
      <c r="AE198" s="136"/>
    </row>
    <row r="199" spans="13:31" ht="20.75" hidden="1" customHeight="1">
      <c r="M199" s="140" t="s">
        <v>872</v>
      </c>
      <c r="N199" s="132" t="s">
        <v>77</v>
      </c>
      <c r="O199" s="132" t="s">
        <v>653</v>
      </c>
      <c r="P199" s="141" t="s">
        <v>871</v>
      </c>
      <c r="Q199" s="142" t="s">
        <v>873</v>
      </c>
      <c r="R199" s="135"/>
      <c r="S199" s="136"/>
      <c r="T199" s="136"/>
      <c r="U199" s="136"/>
      <c r="V199" s="136"/>
      <c r="W199" s="136"/>
      <c r="X199" s="136"/>
      <c r="Y199" s="136"/>
      <c r="Z199" s="136"/>
      <c r="AA199" s="136"/>
      <c r="AB199" s="136"/>
      <c r="AC199" s="136"/>
      <c r="AD199" s="136"/>
      <c r="AE199" s="136"/>
    </row>
    <row r="200" spans="13:31" ht="20.75" hidden="1" customHeight="1">
      <c r="M200" s="140" t="s">
        <v>874</v>
      </c>
      <c r="N200" s="132" t="s">
        <v>77</v>
      </c>
      <c r="O200" s="132" t="s">
        <v>653</v>
      </c>
      <c r="P200" s="141" t="s">
        <v>871</v>
      </c>
      <c r="Q200" s="142" t="s">
        <v>804</v>
      </c>
      <c r="R200" s="135"/>
      <c r="S200" s="136"/>
      <c r="T200" s="136"/>
      <c r="U200" s="136"/>
      <c r="V200" s="136"/>
      <c r="W200" s="136"/>
      <c r="X200" s="136"/>
      <c r="Y200" s="136"/>
      <c r="Z200" s="136"/>
      <c r="AA200" s="136"/>
      <c r="AB200" s="136"/>
      <c r="AC200" s="136"/>
      <c r="AD200" s="136"/>
      <c r="AE200" s="136"/>
    </row>
    <row r="201" spans="13:31" ht="20.75" hidden="1" customHeight="1">
      <c r="M201" s="140" t="s">
        <v>875</v>
      </c>
      <c r="N201" s="132" t="s">
        <v>77</v>
      </c>
      <c r="O201" s="132" t="s">
        <v>653</v>
      </c>
      <c r="P201" s="141" t="s">
        <v>871</v>
      </c>
      <c r="Q201" s="142" t="s">
        <v>785</v>
      </c>
      <c r="R201" s="135"/>
      <c r="S201" s="136"/>
      <c r="T201" s="136"/>
      <c r="U201" s="136"/>
      <c r="V201" s="136"/>
      <c r="W201" s="136"/>
      <c r="X201" s="136"/>
      <c r="Y201" s="136"/>
      <c r="Z201" s="136"/>
      <c r="AA201" s="136"/>
      <c r="AB201" s="136"/>
      <c r="AC201" s="136"/>
      <c r="AD201" s="136"/>
      <c r="AE201" s="136"/>
    </row>
    <row r="202" spans="13:31" ht="20.75" hidden="1" customHeight="1">
      <c r="M202" s="140" t="s">
        <v>876</v>
      </c>
      <c r="N202" s="132" t="s">
        <v>77</v>
      </c>
      <c r="O202" s="132" t="s">
        <v>653</v>
      </c>
      <c r="P202" s="141" t="s">
        <v>871</v>
      </c>
      <c r="Q202" s="142" t="s">
        <v>877</v>
      </c>
      <c r="R202" s="135"/>
      <c r="S202" s="136"/>
      <c r="T202" s="136"/>
      <c r="U202" s="136"/>
      <c r="V202" s="136"/>
      <c r="W202" s="136"/>
      <c r="X202" s="136"/>
      <c r="Y202" s="136"/>
      <c r="Z202" s="136"/>
      <c r="AA202" s="136"/>
      <c r="AB202" s="136"/>
      <c r="AC202" s="136"/>
      <c r="AD202" s="136"/>
      <c r="AE202" s="136"/>
    </row>
    <row r="203" spans="13:31" ht="20.75" hidden="1" customHeight="1">
      <c r="M203" s="140" t="s">
        <v>878</v>
      </c>
      <c r="N203" s="132" t="s">
        <v>77</v>
      </c>
      <c r="O203" s="132" t="s">
        <v>653</v>
      </c>
      <c r="P203" s="141" t="s">
        <v>871</v>
      </c>
      <c r="Q203" s="142" t="s">
        <v>793</v>
      </c>
      <c r="R203" s="135"/>
      <c r="S203" s="136"/>
      <c r="T203" s="136"/>
      <c r="U203" s="136"/>
      <c r="V203" s="136"/>
      <c r="W203" s="136"/>
      <c r="X203" s="136"/>
      <c r="Y203" s="136"/>
      <c r="Z203" s="136"/>
      <c r="AA203" s="136"/>
      <c r="AB203" s="136"/>
      <c r="AC203" s="136"/>
      <c r="AD203" s="136"/>
      <c r="AE203" s="136"/>
    </row>
    <row r="204" spans="13:31" ht="20.75" hidden="1" customHeight="1">
      <c r="M204" s="140" t="s">
        <v>879</v>
      </c>
      <c r="N204" s="132" t="s">
        <v>77</v>
      </c>
      <c r="O204" s="132" t="s">
        <v>653</v>
      </c>
      <c r="P204" s="141" t="s">
        <v>880</v>
      </c>
      <c r="Q204" s="142" t="s">
        <v>865</v>
      </c>
      <c r="R204" s="135"/>
      <c r="S204" s="136"/>
      <c r="T204" s="136"/>
      <c r="U204" s="136"/>
      <c r="V204" s="136"/>
      <c r="W204" s="136"/>
      <c r="X204" s="136"/>
      <c r="Y204" s="136"/>
      <c r="Z204" s="136"/>
      <c r="AA204" s="136"/>
      <c r="AB204" s="136"/>
      <c r="AC204" s="136"/>
      <c r="AD204" s="136"/>
      <c r="AE204" s="136"/>
    </row>
    <row r="205" spans="13:31" ht="20.75" hidden="1" customHeight="1">
      <c r="M205" s="140" t="s">
        <v>881</v>
      </c>
      <c r="N205" s="132" t="s">
        <v>77</v>
      </c>
      <c r="O205" s="132" t="s">
        <v>653</v>
      </c>
      <c r="P205" s="141" t="s">
        <v>880</v>
      </c>
      <c r="Q205" s="142" t="s">
        <v>882</v>
      </c>
      <c r="R205" s="135"/>
      <c r="S205" s="136"/>
      <c r="T205" s="136"/>
      <c r="U205" s="136"/>
      <c r="V205" s="136"/>
      <c r="W205" s="136"/>
      <c r="X205" s="136"/>
      <c r="Y205" s="136"/>
      <c r="Z205" s="136"/>
      <c r="AA205" s="136"/>
      <c r="AB205" s="136"/>
      <c r="AC205" s="136"/>
      <c r="AD205" s="136"/>
      <c r="AE205" s="136"/>
    </row>
    <row r="206" spans="13:31" ht="20.75" hidden="1" customHeight="1">
      <c r="M206" s="140" t="s">
        <v>883</v>
      </c>
      <c r="N206" s="132" t="s">
        <v>77</v>
      </c>
      <c r="O206" s="132" t="s">
        <v>653</v>
      </c>
      <c r="P206" s="141" t="s">
        <v>880</v>
      </c>
      <c r="Q206" s="142" t="s">
        <v>877</v>
      </c>
      <c r="R206" s="135"/>
      <c r="S206" s="136"/>
      <c r="T206" s="136"/>
      <c r="U206" s="136"/>
      <c r="V206" s="136"/>
      <c r="W206" s="136"/>
      <c r="X206" s="136"/>
      <c r="Y206" s="136"/>
      <c r="Z206" s="136"/>
      <c r="AA206" s="136"/>
      <c r="AB206" s="136"/>
      <c r="AC206" s="136"/>
      <c r="AD206" s="136"/>
      <c r="AE206" s="136"/>
    </row>
    <row r="207" spans="13:31" ht="20.75" hidden="1" customHeight="1">
      <c r="M207" s="140" t="s">
        <v>884</v>
      </c>
      <c r="N207" s="132" t="s">
        <v>77</v>
      </c>
      <c r="O207" s="132" t="s">
        <v>653</v>
      </c>
      <c r="P207" s="141" t="s">
        <v>880</v>
      </c>
      <c r="Q207" s="142" t="s">
        <v>873</v>
      </c>
      <c r="R207" s="135"/>
      <c r="S207" s="136"/>
      <c r="T207" s="136"/>
      <c r="U207" s="136"/>
      <c r="V207" s="136"/>
      <c r="W207" s="136"/>
      <c r="X207" s="136"/>
      <c r="Y207" s="136"/>
      <c r="Z207" s="136"/>
      <c r="AA207" s="136"/>
      <c r="AB207" s="136"/>
      <c r="AC207" s="136"/>
      <c r="AD207" s="136"/>
      <c r="AE207" s="136"/>
    </row>
    <row r="208" spans="13:31" ht="20.75" hidden="1" customHeight="1">
      <c r="M208" s="140" t="s">
        <v>885</v>
      </c>
      <c r="N208" s="132" t="s">
        <v>77</v>
      </c>
      <c r="O208" s="132" t="s">
        <v>653</v>
      </c>
      <c r="P208" s="141" t="s">
        <v>880</v>
      </c>
      <c r="Q208" s="142" t="s">
        <v>804</v>
      </c>
      <c r="R208" s="135"/>
      <c r="S208" s="136"/>
      <c r="T208" s="136"/>
      <c r="U208" s="136"/>
      <c r="V208" s="136"/>
      <c r="W208" s="136"/>
      <c r="X208" s="136"/>
      <c r="Y208" s="136"/>
      <c r="Z208" s="136"/>
      <c r="AA208" s="136"/>
      <c r="AB208" s="136"/>
      <c r="AC208" s="136"/>
      <c r="AD208" s="136"/>
      <c r="AE208" s="136"/>
    </row>
    <row r="209" spans="13:31" ht="20.75" hidden="1" customHeight="1">
      <c r="M209" s="140" t="s">
        <v>886</v>
      </c>
      <c r="N209" s="132" t="s">
        <v>77</v>
      </c>
      <c r="O209" s="132" t="s">
        <v>653</v>
      </c>
      <c r="P209" s="141" t="s">
        <v>880</v>
      </c>
      <c r="Q209" s="142" t="s">
        <v>515</v>
      </c>
      <c r="R209" s="135"/>
      <c r="S209" s="136"/>
      <c r="T209" s="136"/>
      <c r="U209" s="136"/>
      <c r="V209" s="136"/>
      <c r="W209" s="136"/>
      <c r="X209" s="136"/>
      <c r="Y209" s="136"/>
      <c r="Z209" s="136"/>
      <c r="AA209" s="136"/>
      <c r="AB209" s="136"/>
      <c r="AC209" s="136"/>
      <c r="AD209" s="136"/>
      <c r="AE209" s="136"/>
    </row>
    <row r="210" spans="13:31" ht="20.75" hidden="1" customHeight="1">
      <c r="M210" s="137" t="s">
        <v>887</v>
      </c>
      <c r="N210" s="132" t="s">
        <v>54</v>
      </c>
      <c r="O210" s="132" t="s">
        <v>653</v>
      </c>
      <c r="P210" s="138" t="s">
        <v>888</v>
      </c>
      <c r="Q210" s="139" t="s">
        <v>813</v>
      </c>
      <c r="R210" s="135"/>
      <c r="S210" s="136"/>
      <c r="T210" s="136"/>
      <c r="U210" s="136"/>
      <c r="V210" s="136"/>
      <c r="W210" s="136"/>
      <c r="X210" s="136"/>
      <c r="Y210" s="136"/>
      <c r="Z210" s="136"/>
      <c r="AA210" s="136"/>
      <c r="AB210" s="136"/>
      <c r="AC210" s="136"/>
      <c r="AD210" s="136"/>
      <c r="AE210" s="136"/>
    </row>
    <row r="211" spans="13:31" ht="20.75" hidden="1" customHeight="1">
      <c r="M211" s="137" t="s">
        <v>889</v>
      </c>
      <c r="N211" s="132" t="s">
        <v>54</v>
      </c>
      <c r="O211" s="132" t="s">
        <v>653</v>
      </c>
      <c r="P211" s="138" t="s">
        <v>888</v>
      </c>
      <c r="Q211" s="139" t="s">
        <v>835</v>
      </c>
      <c r="R211" s="135"/>
      <c r="S211" s="136"/>
      <c r="T211" s="136"/>
      <c r="U211" s="136"/>
      <c r="V211" s="136"/>
      <c r="W211" s="136"/>
      <c r="X211" s="136"/>
      <c r="Y211" s="136"/>
      <c r="Z211" s="136"/>
      <c r="AA211" s="136"/>
      <c r="AB211" s="136"/>
      <c r="AC211" s="136"/>
      <c r="AD211" s="136"/>
      <c r="AE211" s="136"/>
    </row>
    <row r="212" spans="13:31" ht="20.75" hidden="1" customHeight="1">
      <c r="M212" s="137" t="s">
        <v>890</v>
      </c>
      <c r="N212" s="132" t="s">
        <v>54</v>
      </c>
      <c r="O212" s="132" t="s">
        <v>653</v>
      </c>
      <c r="P212" s="138" t="s">
        <v>888</v>
      </c>
      <c r="Q212" s="139" t="s">
        <v>515</v>
      </c>
      <c r="R212" s="135"/>
      <c r="S212" s="136"/>
      <c r="T212" s="136"/>
      <c r="U212" s="136"/>
      <c r="V212" s="136"/>
      <c r="W212" s="136"/>
      <c r="X212" s="136"/>
      <c r="Y212" s="136"/>
      <c r="Z212" s="136"/>
      <c r="AA212" s="136"/>
      <c r="AB212" s="136"/>
      <c r="AC212" s="136"/>
      <c r="AD212" s="136"/>
      <c r="AE212" s="136"/>
    </row>
    <row r="213" spans="13:31" ht="20.75" hidden="1" customHeight="1">
      <c r="M213" s="137" t="s">
        <v>891</v>
      </c>
      <c r="N213" s="132" t="s">
        <v>54</v>
      </c>
      <c r="O213" s="132" t="s">
        <v>653</v>
      </c>
      <c r="P213" s="138" t="s">
        <v>888</v>
      </c>
      <c r="Q213" s="139" t="s">
        <v>892</v>
      </c>
      <c r="R213" s="135"/>
      <c r="S213" s="136"/>
      <c r="T213" s="136"/>
      <c r="U213" s="136"/>
      <c r="V213" s="136"/>
      <c r="W213" s="136"/>
      <c r="X213" s="136"/>
      <c r="Y213" s="136"/>
      <c r="Z213" s="136"/>
      <c r="AA213" s="136"/>
      <c r="AB213" s="136"/>
      <c r="AC213" s="136"/>
      <c r="AD213" s="136"/>
      <c r="AE213" s="136"/>
    </row>
    <row r="214" spans="13:31" ht="20.75" hidden="1" customHeight="1">
      <c r="M214" s="137" t="s">
        <v>893</v>
      </c>
      <c r="N214" s="132" t="s">
        <v>54</v>
      </c>
      <c r="O214" s="132" t="s">
        <v>653</v>
      </c>
      <c r="P214" s="138" t="s">
        <v>195</v>
      </c>
      <c r="Q214" s="139" t="s">
        <v>894</v>
      </c>
      <c r="R214" s="135"/>
      <c r="S214" s="136"/>
      <c r="T214" s="136"/>
      <c r="U214" s="136"/>
      <c r="V214" s="136"/>
      <c r="W214" s="136"/>
      <c r="X214" s="136"/>
      <c r="Y214" s="136"/>
      <c r="Z214" s="136"/>
      <c r="AA214" s="136"/>
      <c r="AB214" s="136"/>
      <c r="AC214" s="136"/>
      <c r="AD214" s="136"/>
      <c r="AE214" s="136"/>
    </row>
    <row r="215" spans="13:31" ht="20.75" hidden="1" customHeight="1">
      <c r="M215" s="137" t="s">
        <v>895</v>
      </c>
      <c r="N215" s="132" t="s">
        <v>54</v>
      </c>
      <c r="O215" s="132" t="s">
        <v>653</v>
      </c>
      <c r="P215" s="138" t="s">
        <v>195</v>
      </c>
      <c r="Q215" s="139" t="s">
        <v>835</v>
      </c>
      <c r="R215" s="135"/>
      <c r="S215" s="136"/>
      <c r="T215" s="136"/>
      <c r="U215" s="136"/>
      <c r="V215" s="136"/>
      <c r="W215" s="136"/>
      <c r="X215" s="136"/>
      <c r="Y215" s="136"/>
      <c r="Z215" s="136"/>
      <c r="AA215" s="136"/>
      <c r="AB215" s="136"/>
      <c r="AC215" s="136"/>
      <c r="AD215" s="136"/>
      <c r="AE215" s="136"/>
    </row>
    <row r="216" spans="13:31" ht="20.75" hidden="1" customHeight="1">
      <c r="M216" s="137" t="s">
        <v>896</v>
      </c>
      <c r="N216" s="132" t="s">
        <v>54</v>
      </c>
      <c r="O216" s="132" t="s">
        <v>653</v>
      </c>
      <c r="P216" s="138" t="s">
        <v>195</v>
      </c>
      <c r="Q216" s="139" t="s">
        <v>813</v>
      </c>
      <c r="R216" s="135"/>
      <c r="S216" s="136"/>
      <c r="T216" s="136"/>
      <c r="U216" s="136"/>
      <c r="V216" s="136"/>
      <c r="W216" s="136"/>
      <c r="X216" s="136"/>
      <c r="Y216" s="136"/>
      <c r="Z216" s="136"/>
      <c r="AA216" s="136"/>
      <c r="AB216" s="136"/>
      <c r="AC216" s="136"/>
      <c r="AD216" s="136"/>
      <c r="AE216" s="136"/>
    </row>
    <row r="217" spans="13:31" ht="20.75" hidden="1" customHeight="1">
      <c r="M217" s="137" t="s">
        <v>897</v>
      </c>
      <c r="N217" s="132" t="s">
        <v>54</v>
      </c>
      <c r="O217" s="132" t="s">
        <v>653</v>
      </c>
      <c r="P217" s="138" t="s">
        <v>195</v>
      </c>
      <c r="Q217" s="139" t="s">
        <v>791</v>
      </c>
      <c r="R217" s="135"/>
      <c r="S217" s="136"/>
      <c r="T217" s="136"/>
      <c r="U217" s="136"/>
      <c r="V217" s="136"/>
      <c r="W217" s="136"/>
      <c r="X217" s="136"/>
      <c r="Y217" s="136"/>
      <c r="Z217" s="136"/>
      <c r="AA217" s="136"/>
      <c r="AB217" s="136"/>
      <c r="AC217" s="136"/>
      <c r="AD217" s="136"/>
      <c r="AE217" s="136"/>
    </row>
    <row r="218" spans="13:31" ht="20.75" hidden="1" customHeight="1">
      <c r="M218" s="137" t="s">
        <v>898</v>
      </c>
      <c r="N218" s="132" t="s">
        <v>54</v>
      </c>
      <c r="O218" s="132" t="s">
        <v>653</v>
      </c>
      <c r="P218" s="138" t="s">
        <v>899</v>
      </c>
      <c r="Q218" s="139" t="s">
        <v>813</v>
      </c>
      <c r="R218" s="135"/>
      <c r="S218" s="136"/>
      <c r="T218" s="136"/>
      <c r="U218" s="136"/>
      <c r="V218" s="136"/>
      <c r="W218" s="136"/>
      <c r="X218" s="136"/>
      <c r="Y218" s="136"/>
      <c r="Z218" s="136"/>
      <c r="AA218" s="136"/>
      <c r="AB218" s="136"/>
      <c r="AC218" s="136"/>
      <c r="AD218" s="136"/>
      <c r="AE218" s="136"/>
    </row>
    <row r="219" spans="13:31" ht="20.75" hidden="1" customHeight="1">
      <c r="M219" s="137" t="s">
        <v>900</v>
      </c>
      <c r="N219" s="132" t="s">
        <v>54</v>
      </c>
      <c r="O219" s="132" t="s">
        <v>653</v>
      </c>
      <c r="P219" s="138" t="s">
        <v>899</v>
      </c>
      <c r="Q219" s="139" t="s">
        <v>854</v>
      </c>
      <c r="R219" s="135"/>
      <c r="S219" s="136"/>
      <c r="T219" s="136"/>
      <c r="U219" s="136"/>
      <c r="V219" s="136"/>
      <c r="W219" s="136"/>
      <c r="X219" s="136"/>
      <c r="Y219" s="136"/>
      <c r="Z219" s="136"/>
      <c r="AA219" s="136"/>
      <c r="AB219" s="136"/>
      <c r="AC219" s="136"/>
      <c r="AD219" s="136"/>
      <c r="AE219" s="136"/>
    </row>
    <row r="220" spans="13:31" ht="20.75" hidden="1" customHeight="1">
      <c r="M220" s="137" t="s">
        <v>901</v>
      </c>
      <c r="N220" s="132" t="s">
        <v>54</v>
      </c>
      <c r="O220" s="132" t="s">
        <v>653</v>
      </c>
      <c r="P220" s="138" t="s">
        <v>899</v>
      </c>
      <c r="Q220" s="139" t="s">
        <v>793</v>
      </c>
      <c r="R220" s="135"/>
      <c r="S220" s="136"/>
      <c r="T220" s="136"/>
      <c r="U220" s="136"/>
      <c r="V220" s="136"/>
      <c r="W220" s="136"/>
      <c r="X220" s="136"/>
      <c r="Y220" s="136"/>
      <c r="Z220" s="136"/>
      <c r="AA220" s="136"/>
      <c r="AB220" s="136"/>
      <c r="AC220" s="136"/>
      <c r="AD220" s="136"/>
      <c r="AE220" s="136"/>
    </row>
    <row r="221" spans="13:31" ht="20.75" hidden="1" customHeight="1">
      <c r="M221" s="137" t="s">
        <v>902</v>
      </c>
      <c r="N221" s="132" t="s">
        <v>54</v>
      </c>
      <c r="O221" s="132" t="s">
        <v>653</v>
      </c>
      <c r="P221" s="138" t="s">
        <v>903</v>
      </c>
      <c r="Q221" s="139" t="s">
        <v>515</v>
      </c>
      <c r="R221" s="135"/>
      <c r="S221" s="136"/>
      <c r="T221" s="136"/>
      <c r="U221" s="136"/>
      <c r="V221" s="136"/>
      <c r="W221" s="136"/>
      <c r="X221" s="136"/>
      <c r="Y221" s="136"/>
      <c r="Z221" s="136"/>
      <c r="AA221" s="136"/>
      <c r="AB221" s="136"/>
      <c r="AC221" s="136"/>
      <c r="AD221" s="136"/>
      <c r="AE221" s="136"/>
    </row>
    <row r="222" spans="13:31" ht="20.75" hidden="1" customHeight="1">
      <c r="M222" s="137" t="s">
        <v>904</v>
      </c>
      <c r="N222" s="132" t="s">
        <v>54</v>
      </c>
      <c r="O222" s="132" t="s">
        <v>653</v>
      </c>
      <c r="P222" s="138" t="s">
        <v>903</v>
      </c>
      <c r="Q222" s="139" t="s">
        <v>905</v>
      </c>
      <c r="R222" s="135"/>
      <c r="S222" s="136"/>
      <c r="T222" s="136"/>
      <c r="U222" s="136"/>
      <c r="V222" s="136"/>
      <c r="W222" s="136"/>
      <c r="X222" s="136"/>
      <c r="Y222" s="136"/>
      <c r="Z222" s="136"/>
      <c r="AA222" s="136"/>
      <c r="AB222" s="136"/>
      <c r="AC222" s="136"/>
      <c r="AD222" s="136"/>
      <c r="AE222" s="136"/>
    </row>
    <row r="223" spans="13:31" ht="20.75" hidden="1" customHeight="1">
      <c r="M223" s="137" t="s">
        <v>906</v>
      </c>
      <c r="N223" s="132" t="s">
        <v>54</v>
      </c>
      <c r="O223" s="132" t="s">
        <v>653</v>
      </c>
      <c r="P223" s="138" t="s">
        <v>907</v>
      </c>
      <c r="Q223" s="139" t="s">
        <v>894</v>
      </c>
      <c r="R223" s="135"/>
      <c r="S223" s="136"/>
      <c r="T223" s="136"/>
      <c r="U223" s="136"/>
      <c r="V223" s="136"/>
      <c r="W223" s="136"/>
      <c r="X223" s="136"/>
      <c r="Y223" s="136"/>
      <c r="Z223" s="136"/>
      <c r="AA223" s="136"/>
      <c r="AB223" s="136"/>
      <c r="AC223" s="136"/>
      <c r="AD223" s="136"/>
      <c r="AE223" s="136"/>
    </row>
    <row r="224" spans="13:31" ht="20.75" hidden="1" customHeight="1">
      <c r="M224" s="137" t="s">
        <v>908</v>
      </c>
      <c r="N224" s="132" t="s">
        <v>54</v>
      </c>
      <c r="O224" s="132" t="s">
        <v>653</v>
      </c>
      <c r="P224" s="138" t="s">
        <v>909</v>
      </c>
      <c r="Q224" s="139" t="s">
        <v>905</v>
      </c>
      <c r="R224" s="135"/>
      <c r="S224" s="136"/>
      <c r="T224" s="136"/>
      <c r="U224" s="136"/>
      <c r="V224" s="136"/>
      <c r="W224" s="136"/>
      <c r="X224" s="136"/>
      <c r="Y224" s="136"/>
      <c r="Z224" s="136"/>
      <c r="AA224" s="136"/>
      <c r="AB224" s="136"/>
      <c r="AC224" s="136"/>
      <c r="AD224" s="136"/>
      <c r="AE224" s="136"/>
    </row>
    <row r="225" spans="13:31" ht="20.75" hidden="1" customHeight="1">
      <c r="M225" s="137" t="s">
        <v>910</v>
      </c>
      <c r="N225" s="132" t="s">
        <v>54</v>
      </c>
      <c r="O225" s="132" t="s">
        <v>653</v>
      </c>
      <c r="P225" s="138" t="s">
        <v>909</v>
      </c>
      <c r="Q225" s="139" t="s">
        <v>835</v>
      </c>
      <c r="R225" s="135"/>
      <c r="S225" s="136"/>
      <c r="T225" s="136"/>
      <c r="U225" s="136"/>
      <c r="V225" s="136"/>
      <c r="W225" s="136"/>
      <c r="X225" s="136"/>
      <c r="Y225" s="136"/>
      <c r="Z225" s="136"/>
      <c r="AA225" s="136"/>
      <c r="AB225" s="136"/>
      <c r="AC225" s="136"/>
      <c r="AD225" s="136"/>
      <c r="AE225" s="136"/>
    </row>
    <row r="226" spans="13:31" ht="20.75" hidden="1" customHeight="1">
      <c r="M226" s="137" t="s">
        <v>911</v>
      </c>
      <c r="N226" s="132" t="s">
        <v>54</v>
      </c>
      <c r="O226" s="132" t="s">
        <v>653</v>
      </c>
      <c r="P226" s="138" t="s">
        <v>909</v>
      </c>
      <c r="Q226" s="139" t="s">
        <v>791</v>
      </c>
      <c r="R226" s="135"/>
      <c r="S226" s="136"/>
      <c r="T226" s="136"/>
      <c r="U226" s="136"/>
      <c r="V226" s="136"/>
      <c r="W226" s="136"/>
      <c r="X226" s="136"/>
      <c r="Y226" s="136"/>
      <c r="Z226" s="136"/>
      <c r="AA226" s="136"/>
      <c r="AB226" s="136"/>
      <c r="AC226" s="136"/>
      <c r="AD226" s="136"/>
      <c r="AE226" s="136"/>
    </row>
    <row r="227" spans="13:31" ht="20.75" hidden="1" customHeight="1">
      <c r="M227" s="137" t="s">
        <v>912</v>
      </c>
      <c r="N227" s="132" t="s">
        <v>54</v>
      </c>
      <c r="O227" s="132" t="s">
        <v>653</v>
      </c>
      <c r="P227" s="138" t="s">
        <v>909</v>
      </c>
      <c r="Q227" s="139" t="s">
        <v>913</v>
      </c>
      <c r="R227" s="135"/>
      <c r="S227" s="136"/>
      <c r="T227" s="136"/>
      <c r="U227" s="136"/>
      <c r="V227" s="136"/>
      <c r="W227" s="136"/>
      <c r="X227" s="136"/>
      <c r="Y227" s="136"/>
      <c r="Z227" s="136"/>
      <c r="AA227" s="136"/>
      <c r="AB227" s="136"/>
      <c r="AC227" s="136"/>
      <c r="AD227" s="136"/>
      <c r="AE227" s="136"/>
    </row>
    <row r="228" spans="13:31" ht="20.75" hidden="1" customHeight="1">
      <c r="M228" s="137" t="s">
        <v>914</v>
      </c>
      <c r="N228" s="132" t="s">
        <v>54</v>
      </c>
      <c r="O228" s="132" t="s">
        <v>653</v>
      </c>
      <c r="P228" s="138" t="s">
        <v>915</v>
      </c>
      <c r="Q228" s="139" t="s">
        <v>863</v>
      </c>
      <c r="R228" s="135"/>
      <c r="S228" s="136"/>
      <c r="T228" s="136"/>
      <c r="U228" s="136"/>
      <c r="V228" s="136"/>
      <c r="W228" s="136"/>
      <c r="X228" s="136"/>
      <c r="Y228" s="136"/>
      <c r="Z228" s="136"/>
      <c r="AA228" s="136"/>
      <c r="AB228" s="136"/>
      <c r="AC228" s="136"/>
      <c r="AD228" s="136"/>
      <c r="AE228" s="136"/>
    </row>
    <row r="229" spans="13:31" ht="20.75" hidden="1" customHeight="1">
      <c r="M229" s="137" t="s">
        <v>916</v>
      </c>
      <c r="N229" s="132" t="s">
        <v>54</v>
      </c>
      <c r="O229" s="132" t="s">
        <v>653</v>
      </c>
      <c r="P229" s="138" t="s">
        <v>915</v>
      </c>
      <c r="Q229" s="139" t="s">
        <v>835</v>
      </c>
      <c r="R229" s="135"/>
      <c r="S229" s="136"/>
      <c r="T229" s="136"/>
      <c r="U229" s="136"/>
      <c r="V229" s="136"/>
      <c r="W229" s="136"/>
      <c r="X229" s="136"/>
      <c r="Y229" s="136"/>
      <c r="Z229" s="136"/>
      <c r="AA229" s="136"/>
      <c r="AB229" s="136"/>
      <c r="AC229" s="136"/>
      <c r="AD229" s="136"/>
      <c r="AE229" s="136"/>
    </row>
    <row r="230" spans="13:31" ht="20.75" hidden="1" customHeight="1">
      <c r="M230" s="137" t="s">
        <v>917</v>
      </c>
      <c r="N230" s="132" t="s">
        <v>54</v>
      </c>
      <c r="O230" s="132" t="s">
        <v>653</v>
      </c>
      <c r="P230" s="138" t="s">
        <v>915</v>
      </c>
      <c r="Q230" s="139" t="s">
        <v>813</v>
      </c>
      <c r="R230" s="135"/>
      <c r="S230" s="136"/>
      <c r="T230" s="136"/>
      <c r="U230" s="136"/>
      <c r="V230" s="136"/>
      <c r="W230" s="136"/>
      <c r="X230" s="136"/>
      <c r="Y230" s="136"/>
      <c r="Z230" s="136"/>
      <c r="AA230" s="136"/>
      <c r="AB230" s="136"/>
      <c r="AC230" s="136"/>
      <c r="AD230" s="136"/>
      <c r="AE230" s="136"/>
    </row>
    <row r="231" spans="13:31" ht="20.75" hidden="1" customHeight="1">
      <c r="M231" s="137" t="s">
        <v>918</v>
      </c>
      <c r="N231" s="132" t="s">
        <v>54</v>
      </c>
      <c r="O231" s="132" t="s">
        <v>653</v>
      </c>
      <c r="P231" s="138" t="s">
        <v>915</v>
      </c>
      <c r="Q231" s="139" t="s">
        <v>894</v>
      </c>
      <c r="R231" s="135"/>
      <c r="S231" s="136"/>
      <c r="T231" s="136"/>
      <c r="U231" s="136"/>
      <c r="V231" s="136"/>
      <c r="W231" s="136"/>
      <c r="X231" s="136"/>
      <c r="Y231" s="136"/>
      <c r="Z231" s="136"/>
      <c r="AA231" s="136"/>
      <c r="AB231" s="136"/>
      <c r="AC231" s="136"/>
      <c r="AD231" s="136"/>
      <c r="AE231" s="136"/>
    </row>
    <row r="232" spans="13:31" ht="20.75" hidden="1" customHeight="1">
      <c r="M232" s="137" t="s">
        <v>919</v>
      </c>
      <c r="N232" s="132" t="s">
        <v>54</v>
      </c>
      <c r="O232" s="132" t="s">
        <v>653</v>
      </c>
      <c r="P232" s="138" t="s">
        <v>920</v>
      </c>
      <c r="Q232" s="139" t="s">
        <v>905</v>
      </c>
      <c r="R232" s="135"/>
      <c r="S232" s="136"/>
      <c r="T232" s="136"/>
      <c r="U232" s="136"/>
      <c r="V232" s="136"/>
      <c r="W232" s="136"/>
      <c r="X232" s="136"/>
      <c r="Y232" s="136"/>
      <c r="Z232" s="136"/>
      <c r="AA232" s="136"/>
      <c r="AB232" s="136"/>
      <c r="AC232" s="136"/>
      <c r="AD232" s="136"/>
      <c r="AE232" s="136"/>
    </row>
    <row r="233" spans="13:31" ht="20.75" hidden="1" customHeight="1">
      <c r="M233" s="137" t="s">
        <v>921</v>
      </c>
      <c r="N233" s="132" t="s">
        <v>54</v>
      </c>
      <c r="O233" s="132" t="s">
        <v>653</v>
      </c>
      <c r="P233" s="138" t="s">
        <v>920</v>
      </c>
      <c r="Q233" s="139" t="s">
        <v>793</v>
      </c>
      <c r="R233" s="135"/>
      <c r="S233" s="136"/>
      <c r="T233" s="136"/>
      <c r="U233" s="136"/>
      <c r="V233" s="136"/>
      <c r="W233" s="136"/>
      <c r="X233" s="136"/>
      <c r="Y233" s="136"/>
      <c r="Z233" s="136"/>
      <c r="AA233" s="136"/>
      <c r="AB233" s="136"/>
      <c r="AC233" s="136"/>
      <c r="AD233" s="136"/>
      <c r="AE233" s="136"/>
    </row>
    <row r="234" spans="13:31" ht="20.75" hidden="1" customHeight="1">
      <c r="M234" s="137" t="s">
        <v>922</v>
      </c>
      <c r="N234" s="132" t="s">
        <v>54</v>
      </c>
      <c r="O234" s="132" t="s">
        <v>653</v>
      </c>
      <c r="P234" s="138" t="s">
        <v>920</v>
      </c>
      <c r="Q234" s="139" t="s">
        <v>923</v>
      </c>
      <c r="R234" s="135"/>
      <c r="S234" s="136"/>
      <c r="T234" s="136"/>
      <c r="U234" s="136"/>
      <c r="V234" s="136"/>
      <c r="W234" s="136"/>
      <c r="X234" s="136"/>
      <c r="Y234" s="136"/>
      <c r="Z234" s="136"/>
      <c r="AA234" s="136"/>
      <c r="AB234" s="136"/>
      <c r="AC234" s="136"/>
      <c r="AD234" s="136"/>
      <c r="AE234" s="136"/>
    </row>
    <row r="235" spans="13:31" ht="20.75" hidden="1" customHeight="1">
      <c r="M235" s="137" t="s">
        <v>924</v>
      </c>
      <c r="N235" s="132" t="s">
        <v>54</v>
      </c>
      <c r="O235" s="132" t="s">
        <v>653</v>
      </c>
      <c r="P235" s="138" t="s">
        <v>920</v>
      </c>
      <c r="Q235" s="139" t="s">
        <v>813</v>
      </c>
      <c r="R235" s="135"/>
      <c r="S235" s="136"/>
      <c r="T235" s="136"/>
      <c r="U235" s="136"/>
      <c r="V235" s="136"/>
      <c r="W235" s="136"/>
      <c r="X235" s="136"/>
      <c r="Y235" s="136"/>
      <c r="Z235" s="136"/>
      <c r="AA235" s="136"/>
      <c r="AB235" s="136"/>
      <c r="AC235" s="136"/>
      <c r="AD235" s="136"/>
      <c r="AE235" s="136"/>
    </row>
    <row r="236" spans="13:31" ht="20.75" hidden="1" customHeight="1">
      <c r="M236" s="137" t="s">
        <v>925</v>
      </c>
      <c r="N236" s="132" t="s">
        <v>54</v>
      </c>
      <c r="O236" s="132" t="s">
        <v>653</v>
      </c>
      <c r="P236" s="138" t="s">
        <v>926</v>
      </c>
      <c r="Q236" s="139" t="s">
        <v>913</v>
      </c>
      <c r="R236" s="135"/>
      <c r="S236" s="136"/>
      <c r="T236" s="136"/>
      <c r="U236" s="136"/>
      <c r="V236" s="136"/>
      <c r="W236" s="136"/>
      <c r="X236" s="136"/>
      <c r="Y236" s="136"/>
      <c r="Z236" s="136"/>
      <c r="AA236" s="136"/>
      <c r="AB236" s="136"/>
      <c r="AC236" s="136"/>
      <c r="AD236" s="136"/>
      <c r="AE236" s="136"/>
    </row>
    <row r="237" spans="13:31" ht="20.75" hidden="1" customHeight="1">
      <c r="M237" s="137" t="s">
        <v>927</v>
      </c>
      <c r="N237" s="132" t="s">
        <v>54</v>
      </c>
      <c r="O237" s="132" t="s">
        <v>653</v>
      </c>
      <c r="P237" s="138" t="s">
        <v>926</v>
      </c>
      <c r="Q237" s="139" t="s">
        <v>835</v>
      </c>
      <c r="R237" s="135"/>
      <c r="S237" s="136"/>
      <c r="T237" s="136"/>
      <c r="U237" s="136"/>
      <c r="V237" s="136"/>
      <c r="W237" s="136"/>
      <c r="X237" s="136"/>
      <c r="Y237" s="136"/>
      <c r="Z237" s="136"/>
      <c r="AA237" s="136"/>
      <c r="AB237" s="136"/>
      <c r="AC237" s="136"/>
      <c r="AD237" s="136"/>
      <c r="AE237" s="136"/>
    </row>
    <row r="238" spans="13:31" ht="20.75" hidden="1" customHeight="1">
      <c r="M238" s="137" t="s">
        <v>928</v>
      </c>
      <c r="N238" s="132" t="s">
        <v>54</v>
      </c>
      <c r="O238" s="132" t="s">
        <v>653</v>
      </c>
      <c r="P238" s="138" t="s">
        <v>926</v>
      </c>
      <c r="Q238" s="139" t="s">
        <v>813</v>
      </c>
      <c r="R238" s="135"/>
      <c r="S238" s="136"/>
      <c r="T238" s="136"/>
      <c r="U238" s="136"/>
      <c r="V238" s="136"/>
      <c r="W238" s="136"/>
      <c r="X238" s="136"/>
      <c r="Y238" s="136"/>
      <c r="Z238" s="136"/>
      <c r="AA238" s="136"/>
      <c r="AB238" s="136"/>
      <c r="AC238" s="136"/>
      <c r="AD238" s="136"/>
      <c r="AE238" s="136"/>
    </row>
    <row r="239" spans="13:31" ht="20.75" hidden="1" customHeight="1">
      <c r="M239" s="137" t="s">
        <v>929</v>
      </c>
      <c r="N239" s="132" t="s">
        <v>54</v>
      </c>
      <c r="O239" s="132" t="s">
        <v>653</v>
      </c>
      <c r="P239" s="138" t="s">
        <v>926</v>
      </c>
      <c r="Q239" s="139" t="s">
        <v>791</v>
      </c>
      <c r="R239" s="135"/>
      <c r="S239" s="136"/>
      <c r="T239" s="136"/>
      <c r="U239" s="136"/>
      <c r="V239" s="136"/>
      <c r="W239" s="136"/>
      <c r="X239" s="136"/>
      <c r="Y239" s="136"/>
      <c r="Z239" s="136"/>
      <c r="AA239" s="136"/>
      <c r="AB239" s="136"/>
      <c r="AC239" s="136"/>
      <c r="AD239" s="136"/>
      <c r="AE239" s="136"/>
    </row>
    <row r="240" spans="13:31" ht="20.75" hidden="1" customHeight="1">
      <c r="M240" s="137" t="s">
        <v>930</v>
      </c>
      <c r="N240" s="132" t="s">
        <v>54</v>
      </c>
      <c r="O240" s="132" t="s">
        <v>653</v>
      </c>
      <c r="P240" s="138" t="s">
        <v>931</v>
      </c>
      <c r="Q240" s="139" t="s">
        <v>892</v>
      </c>
      <c r="R240" s="135"/>
      <c r="S240" s="136"/>
      <c r="T240" s="136"/>
      <c r="U240" s="136"/>
      <c r="V240" s="136"/>
      <c r="W240" s="136"/>
      <c r="X240" s="136"/>
      <c r="Y240" s="136"/>
      <c r="Z240" s="136"/>
      <c r="AA240" s="136"/>
      <c r="AB240" s="136"/>
      <c r="AC240" s="136"/>
      <c r="AD240" s="136"/>
      <c r="AE240" s="136"/>
    </row>
    <row r="241" spans="13:31" ht="20.75" hidden="1" customHeight="1">
      <c r="M241" s="137" t="s">
        <v>932</v>
      </c>
      <c r="N241" s="132" t="s">
        <v>54</v>
      </c>
      <c r="O241" s="132" t="s">
        <v>653</v>
      </c>
      <c r="P241" s="138" t="s">
        <v>931</v>
      </c>
      <c r="Q241" s="139" t="s">
        <v>905</v>
      </c>
      <c r="R241" s="135"/>
      <c r="S241" s="136"/>
      <c r="T241" s="136"/>
      <c r="U241" s="136"/>
      <c r="V241" s="136"/>
      <c r="W241" s="136"/>
      <c r="X241" s="136"/>
      <c r="Y241" s="136"/>
      <c r="Z241" s="136"/>
      <c r="AA241" s="136"/>
      <c r="AB241" s="136"/>
      <c r="AC241" s="136"/>
      <c r="AD241" s="136"/>
      <c r="AE241" s="136"/>
    </row>
    <row r="242" spans="13:31" ht="20.75" hidden="1" customHeight="1">
      <c r="M242" s="137" t="s">
        <v>933</v>
      </c>
      <c r="N242" s="132" t="s">
        <v>54</v>
      </c>
      <c r="O242" s="132" t="s">
        <v>653</v>
      </c>
      <c r="P242" s="138" t="s">
        <v>931</v>
      </c>
      <c r="Q242" s="139" t="s">
        <v>791</v>
      </c>
      <c r="R242" s="135"/>
      <c r="S242" s="136"/>
      <c r="T242" s="136"/>
      <c r="U242" s="136"/>
      <c r="V242" s="136"/>
      <c r="W242" s="136"/>
      <c r="X242" s="136"/>
      <c r="Y242" s="136"/>
      <c r="Z242" s="136"/>
      <c r="AA242" s="136"/>
      <c r="AB242" s="136"/>
      <c r="AC242" s="136"/>
      <c r="AD242" s="136"/>
      <c r="AE242" s="136"/>
    </row>
    <row r="243" spans="13:31" ht="20.75" hidden="1" customHeight="1">
      <c r="M243" s="137" t="s">
        <v>934</v>
      </c>
      <c r="N243" s="132" t="s">
        <v>54</v>
      </c>
      <c r="O243" s="132" t="s">
        <v>653</v>
      </c>
      <c r="P243" s="138" t="s">
        <v>931</v>
      </c>
      <c r="Q243" s="139" t="s">
        <v>793</v>
      </c>
      <c r="R243" s="135"/>
      <c r="S243" s="136"/>
      <c r="T243" s="136"/>
      <c r="U243" s="136"/>
      <c r="V243" s="136"/>
      <c r="W243" s="136"/>
      <c r="X243" s="136"/>
      <c r="Y243" s="136"/>
      <c r="Z243" s="136"/>
      <c r="AA243" s="136"/>
      <c r="AB243" s="136"/>
      <c r="AC243" s="136"/>
      <c r="AD243" s="136"/>
      <c r="AE243" s="136"/>
    </row>
    <row r="244" spans="13:31" ht="20.75" hidden="1" customHeight="1">
      <c r="M244" s="137" t="s">
        <v>935</v>
      </c>
      <c r="N244" s="132" t="s">
        <v>54</v>
      </c>
      <c r="O244" s="132" t="s">
        <v>653</v>
      </c>
      <c r="P244" s="138" t="s">
        <v>936</v>
      </c>
      <c r="Q244" s="139" t="s">
        <v>793</v>
      </c>
      <c r="R244" s="135"/>
      <c r="S244" s="136"/>
      <c r="T244" s="136"/>
      <c r="U244" s="136"/>
      <c r="V244" s="136"/>
      <c r="W244" s="136"/>
      <c r="X244" s="136"/>
      <c r="Y244" s="136"/>
      <c r="Z244" s="136"/>
      <c r="AA244" s="136"/>
      <c r="AB244" s="136"/>
      <c r="AC244" s="136"/>
      <c r="AD244" s="136"/>
      <c r="AE244" s="136"/>
    </row>
    <row r="245" spans="13:31" ht="20.75" hidden="1" customHeight="1">
      <c r="M245" s="137" t="s">
        <v>937</v>
      </c>
      <c r="N245" s="132" t="s">
        <v>54</v>
      </c>
      <c r="O245" s="132" t="s">
        <v>653</v>
      </c>
      <c r="P245" s="138" t="s">
        <v>936</v>
      </c>
      <c r="Q245" s="139" t="s">
        <v>515</v>
      </c>
      <c r="R245" s="135"/>
      <c r="S245" s="136"/>
      <c r="T245" s="136"/>
      <c r="U245" s="136"/>
      <c r="V245" s="136"/>
      <c r="W245" s="136"/>
      <c r="X245" s="136"/>
      <c r="Y245" s="136"/>
      <c r="Z245" s="136"/>
      <c r="AA245" s="136"/>
      <c r="AB245" s="136"/>
      <c r="AC245" s="136"/>
      <c r="AD245" s="136"/>
      <c r="AE245" s="136"/>
    </row>
    <row r="246" spans="13:31" ht="20.75" hidden="1" customHeight="1">
      <c r="M246" s="137" t="s">
        <v>938</v>
      </c>
      <c r="N246" s="132" t="s">
        <v>54</v>
      </c>
      <c r="O246" s="132" t="s">
        <v>653</v>
      </c>
      <c r="P246" s="138" t="s">
        <v>936</v>
      </c>
      <c r="Q246" s="139" t="s">
        <v>892</v>
      </c>
      <c r="R246" s="135"/>
      <c r="S246" s="136"/>
      <c r="T246" s="136"/>
      <c r="U246" s="136"/>
      <c r="V246" s="136"/>
      <c r="W246" s="136"/>
      <c r="X246" s="136"/>
      <c r="Y246" s="136"/>
      <c r="Z246" s="136"/>
      <c r="AA246" s="136"/>
      <c r="AB246" s="136"/>
      <c r="AC246" s="136"/>
      <c r="AD246" s="136"/>
      <c r="AE246" s="136"/>
    </row>
    <row r="247" spans="13:31" ht="20.75" hidden="1" customHeight="1">
      <c r="M247" s="137" t="s">
        <v>939</v>
      </c>
      <c r="N247" s="132" t="s">
        <v>54</v>
      </c>
      <c r="O247" s="132" t="s">
        <v>653</v>
      </c>
      <c r="P247" s="138" t="s">
        <v>936</v>
      </c>
      <c r="Q247" s="139" t="s">
        <v>813</v>
      </c>
      <c r="R247" s="135"/>
      <c r="S247" s="136"/>
      <c r="T247" s="136"/>
      <c r="U247" s="136"/>
      <c r="V247" s="136"/>
      <c r="W247" s="136"/>
      <c r="X247" s="136"/>
      <c r="Y247" s="136"/>
      <c r="Z247" s="136"/>
      <c r="AA247" s="136"/>
      <c r="AB247" s="136"/>
      <c r="AC247" s="136"/>
      <c r="AD247" s="136"/>
      <c r="AE247" s="136"/>
    </row>
    <row r="248" spans="13:31" ht="20.75" hidden="1" customHeight="1">
      <c r="M248" s="137" t="s">
        <v>940</v>
      </c>
      <c r="N248" s="132" t="s">
        <v>54</v>
      </c>
      <c r="O248" s="132" t="s">
        <v>653</v>
      </c>
      <c r="P248" s="138" t="s">
        <v>941</v>
      </c>
      <c r="Q248" s="139" t="s">
        <v>793</v>
      </c>
      <c r="R248" s="135"/>
      <c r="S248" s="136"/>
      <c r="T248" s="136"/>
      <c r="U248" s="136"/>
      <c r="V248" s="136"/>
      <c r="W248" s="136"/>
      <c r="X248" s="136"/>
      <c r="Y248" s="136"/>
      <c r="Z248" s="136"/>
      <c r="AA248" s="136"/>
      <c r="AB248" s="136"/>
      <c r="AC248" s="136"/>
      <c r="AD248" s="136"/>
      <c r="AE248" s="136"/>
    </row>
    <row r="249" spans="13:31" ht="20.75" hidden="1" customHeight="1">
      <c r="M249" s="137" t="s">
        <v>942</v>
      </c>
      <c r="N249" s="132" t="s">
        <v>54</v>
      </c>
      <c r="O249" s="132" t="s">
        <v>653</v>
      </c>
      <c r="P249" s="138" t="s">
        <v>941</v>
      </c>
      <c r="Q249" s="139" t="s">
        <v>835</v>
      </c>
      <c r="R249" s="135"/>
      <c r="S249" s="136"/>
      <c r="T249" s="136"/>
      <c r="U249" s="136"/>
      <c r="V249" s="136"/>
      <c r="W249" s="136"/>
      <c r="X249" s="136"/>
      <c r="Y249" s="136"/>
      <c r="Z249" s="136"/>
      <c r="AA249" s="136"/>
      <c r="AB249" s="136"/>
      <c r="AC249" s="136"/>
      <c r="AD249" s="136"/>
      <c r="AE249" s="136"/>
    </row>
    <row r="250" spans="13:31" ht="20.75" hidden="1" customHeight="1">
      <c r="M250" s="137" t="s">
        <v>943</v>
      </c>
      <c r="N250" s="132" t="s">
        <v>54</v>
      </c>
      <c r="O250" s="132" t="s">
        <v>653</v>
      </c>
      <c r="P250" s="138" t="s">
        <v>941</v>
      </c>
      <c r="Q250" s="139" t="s">
        <v>944</v>
      </c>
      <c r="R250" s="135"/>
      <c r="S250" s="136"/>
      <c r="T250" s="136"/>
      <c r="U250" s="136"/>
      <c r="V250" s="136"/>
      <c r="W250" s="136"/>
      <c r="X250" s="136"/>
      <c r="Y250" s="136"/>
      <c r="Z250" s="136"/>
      <c r="AA250" s="136"/>
      <c r="AB250" s="136"/>
      <c r="AC250" s="136"/>
      <c r="AD250" s="136"/>
      <c r="AE250" s="136"/>
    </row>
    <row r="251" spans="13:31" ht="20.75" hidden="1" customHeight="1">
      <c r="M251" s="137" t="s">
        <v>945</v>
      </c>
      <c r="N251" s="132" t="s">
        <v>54</v>
      </c>
      <c r="O251" s="132" t="s">
        <v>653</v>
      </c>
      <c r="P251" s="138" t="s">
        <v>941</v>
      </c>
      <c r="Q251" s="139" t="s">
        <v>791</v>
      </c>
      <c r="R251" s="135"/>
      <c r="S251" s="136"/>
      <c r="T251" s="136"/>
      <c r="U251" s="136"/>
      <c r="V251" s="136"/>
      <c r="W251" s="136"/>
      <c r="X251" s="136"/>
      <c r="Y251" s="136"/>
      <c r="Z251" s="136"/>
      <c r="AA251" s="136"/>
      <c r="AB251" s="136"/>
      <c r="AC251" s="136"/>
      <c r="AD251" s="136"/>
      <c r="AE251" s="136"/>
    </row>
    <row r="252" spans="13:31" ht="20.75" hidden="1" customHeight="1">
      <c r="M252" s="137" t="s">
        <v>946</v>
      </c>
      <c r="N252" s="132" t="s">
        <v>54</v>
      </c>
      <c r="O252" s="132" t="s">
        <v>653</v>
      </c>
      <c r="P252" s="138" t="s">
        <v>947</v>
      </c>
      <c r="Q252" s="139" t="s">
        <v>515</v>
      </c>
      <c r="R252" s="135"/>
      <c r="S252" s="136"/>
      <c r="T252" s="136"/>
      <c r="U252" s="136"/>
      <c r="V252" s="136"/>
      <c r="W252" s="136"/>
      <c r="X252" s="136"/>
      <c r="Y252" s="136"/>
      <c r="Z252" s="136"/>
      <c r="AA252" s="136"/>
      <c r="AB252" s="136"/>
      <c r="AC252" s="136"/>
      <c r="AD252" s="136"/>
      <c r="AE252" s="136"/>
    </row>
    <row r="253" spans="13:31" ht="20.75" hidden="1" customHeight="1">
      <c r="M253" s="137" t="s">
        <v>948</v>
      </c>
      <c r="N253" s="132" t="s">
        <v>54</v>
      </c>
      <c r="O253" s="132" t="s">
        <v>653</v>
      </c>
      <c r="P253" s="138" t="s">
        <v>947</v>
      </c>
      <c r="Q253" s="139" t="s">
        <v>813</v>
      </c>
      <c r="R253" s="135"/>
      <c r="S253" s="136"/>
      <c r="T253" s="136"/>
      <c r="U253" s="136"/>
      <c r="V253" s="136"/>
      <c r="W253" s="136"/>
      <c r="X253" s="136"/>
      <c r="Y253" s="136"/>
      <c r="Z253" s="136"/>
      <c r="AA253" s="136"/>
      <c r="AB253" s="136"/>
      <c r="AC253" s="136"/>
      <c r="AD253" s="136"/>
      <c r="AE253" s="136"/>
    </row>
    <row r="254" spans="13:31" ht="20.75" hidden="1" customHeight="1">
      <c r="M254" s="137" t="s">
        <v>949</v>
      </c>
      <c r="N254" s="132" t="s">
        <v>54</v>
      </c>
      <c r="O254" s="132" t="s">
        <v>653</v>
      </c>
      <c r="P254" s="138" t="s">
        <v>947</v>
      </c>
      <c r="Q254" s="139" t="s">
        <v>913</v>
      </c>
      <c r="R254" s="135"/>
      <c r="S254" s="136"/>
      <c r="T254" s="136"/>
      <c r="U254" s="136"/>
      <c r="V254" s="136"/>
      <c r="W254" s="136"/>
      <c r="X254" s="136"/>
      <c r="Y254" s="136"/>
      <c r="Z254" s="136"/>
      <c r="AA254" s="136"/>
      <c r="AB254" s="136"/>
      <c r="AC254" s="136"/>
      <c r="AD254" s="136"/>
      <c r="AE254" s="136"/>
    </row>
    <row r="255" spans="13:31" ht="20.75" hidden="1" customHeight="1">
      <c r="M255" s="137" t="s">
        <v>950</v>
      </c>
      <c r="N255" s="132" t="s">
        <v>54</v>
      </c>
      <c r="O255" s="132" t="s">
        <v>653</v>
      </c>
      <c r="P255" s="138" t="s">
        <v>951</v>
      </c>
      <c r="Q255" s="139" t="s">
        <v>835</v>
      </c>
      <c r="R255" s="135"/>
      <c r="S255" s="136"/>
      <c r="T255" s="136"/>
      <c r="U255" s="136"/>
      <c r="V255" s="136"/>
      <c r="W255" s="136"/>
      <c r="X255" s="136"/>
      <c r="Y255" s="136"/>
      <c r="Z255" s="136"/>
      <c r="AA255" s="136"/>
      <c r="AB255" s="136"/>
      <c r="AC255" s="136"/>
      <c r="AD255" s="136"/>
      <c r="AE255" s="136"/>
    </row>
    <row r="256" spans="13:31" ht="20.75" hidden="1" customHeight="1">
      <c r="M256" s="137" t="s">
        <v>952</v>
      </c>
      <c r="N256" s="132" t="s">
        <v>54</v>
      </c>
      <c r="O256" s="132" t="s">
        <v>653</v>
      </c>
      <c r="P256" s="138" t="s">
        <v>953</v>
      </c>
      <c r="Q256" s="139" t="s">
        <v>835</v>
      </c>
      <c r="R256" s="135"/>
      <c r="S256" s="136"/>
      <c r="T256" s="136"/>
      <c r="U256" s="136"/>
      <c r="V256" s="136"/>
      <c r="W256" s="136"/>
      <c r="X256" s="136"/>
      <c r="Y256" s="136"/>
      <c r="Z256" s="136"/>
      <c r="AA256" s="136"/>
      <c r="AB256" s="136"/>
      <c r="AC256" s="136"/>
      <c r="AD256" s="136"/>
      <c r="AE256" s="136"/>
    </row>
    <row r="257" spans="13:31" ht="20.75" hidden="1" customHeight="1">
      <c r="M257" s="137" t="s">
        <v>954</v>
      </c>
      <c r="N257" s="132" t="s">
        <v>54</v>
      </c>
      <c r="O257" s="132" t="s">
        <v>653</v>
      </c>
      <c r="P257" s="138" t="s">
        <v>953</v>
      </c>
      <c r="Q257" s="139" t="s">
        <v>793</v>
      </c>
      <c r="R257" s="135"/>
      <c r="S257" s="136"/>
      <c r="T257" s="136"/>
      <c r="U257" s="136"/>
      <c r="V257" s="136"/>
      <c r="W257" s="136"/>
      <c r="X257" s="136"/>
      <c r="Y257" s="136"/>
      <c r="Z257" s="136"/>
      <c r="AA257" s="136"/>
      <c r="AB257" s="136"/>
      <c r="AC257" s="136"/>
      <c r="AD257" s="136"/>
      <c r="AE257" s="136"/>
    </row>
    <row r="258" spans="13:31" ht="20.75" hidden="1" customHeight="1">
      <c r="M258" s="137" t="s">
        <v>955</v>
      </c>
      <c r="N258" s="132" t="s">
        <v>54</v>
      </c>
      <c r="O258" s="132" t="s">
        <v>653</v>
      </c>
      <c r="P258" s="138" t="s">
        <v>953</v>
      </c>
      <c r="Q258" s="139" t="s">
        <v>956</v>
      </c>
      <c r="R258" s="135"/>
      <c r="S258" s="136"/>
      <c r="T258" s="136"/>
      <c r="U258" s="136"/>
      <c r="V258" s="136"/>
      <c r="W258" s="136"/>
      <c r="X258" s="136"/>
      <c r="Y258" s="136"/>
      <c r="Z258" s="136"/>
      <c r="AA258" s="136"/>
      <c r="AB258" s="136"/>
      <c r="AC258" s="136"/>
      <c r="AD258" s="136"/>
      <c r="AE258" s="136"/>
    </row>
    <row r="259" spans="13:31" ht="20.75" hidden="1" customHeight="1">
      <c r="M259" s="137" t="s">
        <v>957</v>
      </c>
      <c r="N259" s="132" t="s">
        <v>54</v>
      </c>
      <c r="O259" s="132" t="s">
        <v>653</v>
      </c>
      <c r="P259" s="138" t="s">
        <v>953</v>
      </c>
      <c r="Q259" s="139" t="s">
        <v>813</v>
      </c>
      <c r="R259" s="135"/>
      <c r="S259" s="136"/>
      <c r="T259" s="136"/>
      <c r="U259" s="136"/>
      <c r="V259" s="136"/>
      <c r="W259" s="136"/>
      <c r="X259" s="136"/>
      <c r="Y259" s="136"/>
      <c r="Z259" s="136"/>
      <c r="AA259" s="136"/>
      <c r="AB259" s="136"/>
      <c r="AC259" s="136"/>
      <c r="AD259" s="136"/>
      <c r="AE259" s="136"/>
    </row>
    <row r="260" spans="13:31" ht="20.75" hidden="1" customHeight="1">
      <c r="M260" s="137" t="s">
        <v>958</v>
      </c>
      <c r="N260" s="132" t="s">
        <v>54</v>
      </c>
      <c r="O260" s="132" t="s">
        <v>653</v>
      </c>
      <c r="P260" s="138" t="s">
        <v>959</v>
      </c>
      <c r="Q260" s="139" t="s">
        <v>813</v>
      </c>
      <c r="R260" s="135"/>
      <c r="S260" s="136"/>
      <c r="T260" s="136"/>
      <c r="U260" s="136"/>
      <c r="V260" s="136"/>
      <c r="W260" s="136"/>
      <c r="X260" s="136"/>
      <c r="Y260" s="136"/>
      <c r="Z260" s="136"/>
      <c r="AA260" s="136"/>
      <c r="AB260" s="136"/>
      <c r="AC260" s="136"/>
      <c r="AD260" s="136"/>
      <c r="AE260" s="136"/>
    </row>
    <row r="261" spans="13:31" ht="20.75" hidden="1" customHeight="1">
      <c r="M261" s="137" t="s">
        <v>960</v>
      </c>
      <c r="N261" s="132" t="s">
        <v>54</v>
      </c>
      <c r="O261" s="132" t="s">
        <v>653</v>
      </c>
      <c r="P261" s="138" t="s">
        <v>959</v>
      </c>
      <c r="Q261" s="139" t="s">
        <v>913</v>
      </c>
      <c r="R261" s="135"/>
      <c r="S261" s="136"/>
      <c r="T261" s="136"/>
      <c r="U261" s="136"/>
      <c r="V261" s="136"/>
      <c r="W261" s="136"/>
      <c r="X261" s="136"/>
      <c r="Y261" s="136"/>
      <c r="Z261" s="136"/>
      <c r="AA261" s="136"/>
      <c r="AB261" s="136"/>
      <c r="AC261" s="136"/>
      <c r="AD261" s="136"/>
      <c r="AE261" s="136"/>
    </row>
    <row r="262" spans="13:31" ht="20.75" hidden="1" customHeight="1">
      <c r="M262" s="143" t="s">
        <v>961</v>
      </c>
      <c r="N262" s="132" t="s">
        <v>54</v>
      </c>
      <c r="O262" s="132" t="s">
        <v>653</v>
      </c>
      <c r="P262" s="138" t="s">
        <v>959</v>
      </c>
      <c r="Q262" s="139" t="s">
        <v>515</v>
      </c>
      <c r="R262" s="135"/>
      <c r="S262" s="136"/>
      <c r="T262" s="136"/>
      <c r="U262" s="136"/>
      <c r="V262" s="136"/>
      <c r="W262" s="136"/>
      <c r="X262" s="136"/>
      <c r="Y262" s="136"/>
      <c r="Z262" s="136"/>
      <c r="AA262" s="136"/>
      <c r="AB262" s="136"/>
      <c r="AC262" s="136"/>
      <c r="AD262" s="136"/>
      <c r="AE262" s="136"/>
    </row>
    <row r="263" spans="13:31" ht="20.75" hidden="1" customHeight="1">
      <c r="M263" s="144" t="s">
        <v>962</v>
      </c>
      <c r="N263" s="132" t="s">
        <v>54</v>
      </c>
      <c r="O263" s="132" t="s">
        <v>653</v>
      </c>
      <c r="P263" s="138" t="s">
        <v>959</v>
      </c>
      <c r="Q263" s="139" t="s">
        <v>892</v>
      </c>
      <c r="R263" s="135"/>
      <c r="S263" s="136"/>
      <c r="T263" s="136"/>
      <c r="U263" s="136"/>
      <c r="V263" s="136"/>
      <c r="W263" s="136"/>
      <c r="X263" s="136"/>
      <c r="Y263" s="136"/>
      <c r="Z263" s="136"/>
      <c r="AA263" s="136"/>
      <c r="AB263" s="136"/>
      <c r="AC263" s="136"/>
      <c r="AD263" s="136"/>
      <c r="AE263" s="136"/>
    </row>
    <row r="264" spans="13:31" ht="20.75" hidden="1" customHeight="1">
      <c r="M264" s="137" t="s">
        <v>963</v>
      </c>
      <c r="N264" s="132" t="s">
        <v>54</v>
      </c>
      <c r="O264" s="132" t="s">
        <v>653</v>
      </c>
      <c r="P264" s="138" t="s">
        <v>964</v>
      </c>
      <c r="Q264" s="139" t="s">
        <v>863</v>
      </c>
      <c r="R264" s="135"/>
      <c r="S264" s="136"/>
      <c r="T264" s="136"/>
      <c r="U264" s="136"/>
      <c r="V264" s="136"/>
      <c r="W264" s="136"/>
      <c r="X264" s="136"/>
      <c r="Y264" s="136"/>
      <c r="Z264" s="136"/>
      <c r="AA264" s="136"/>
      <c r="AB264" s="136"/>
      <c r="AC264" s="136"/>
      <c r="AD264" s="136"/>
      <c r="AE264" s="136"/>
    </row>
    <row r="265" spans="13:31" ht="20.75" hidden="1" customHeight="1">
      <c r="M265" s="137" t="s">
        <v>965</v>
      </c>
      <c r="N265" s="132" t="s">
        <v>54</v>
      </c>
      <c r="O265" s="132" t="s">
        <v>653</v>
      </c>
      <c r="P265" s="138" t="s">
        <v>964</v>
      </c>
      <c r="Q265" s="139" t="s">
        <v>913</v>
      </c>
      <c r="R265" s="135"/>
      <c r="S265" s="136"/>
      <c r="T265" s="136"/>
      <c r="U265" s="136"/>
      <c r="V265" s="136"/>
      <c r="W265" s="136"/>
      <c r="X265" s="136"/>
      <c r="Y265" s="136"/>
      <c r="Z265" s="136"/>
      <c r="AA265" s="136"/>
      <c r="AB265" s="136"/>
      <c r="AC265" s="136"/>
      <c r="AD265" s="136"/>
      <c r="AE265" s="136"/>
    </row>
    <row r="266" spans="13:31" ht="20.75" hidden="1" customHeight="1">
      <c r="M266" s="137" t="s">
        <v>966</v>
      </c>
      <c r="N266" s="132" t="s">
        <v>54</v>
      </c>
      <c r="O266" s="132" t="s">
        <v>653</v>
      </c>
      <c r="P266" s="138" t="s">
        <v>964</v>
      </c>
      <c r="Q266" s="139" t="s">
        <v>892</v>
      </c>
      <c r="R266" s="135"/>
      <c r="S266" s="136"/>
      <c r="T266" s="136"/>
      <c r="U266" s="136"/>
      <c r="V266" s="136"/>
      <c r="W266" s="136"/>
      <c r="X266" s="136"/>
      <c r="Y266" s="136"/>
      <c r="Z266" s="136"/>
      <c r="AA266" s="136"/>
      <c r="AB266" s="136"/>
      <c r="AC266" s="136"/>
      <c r="AD266" s="136"/>
      <c r="AE266" s="136"/>
    </row>
    <row r="267" spans="13:31" ht="20.75" hidden="1" customHeight="1">
      <c r="M267" s="137" t="s">
        <v>967</v>
      </c>
      <c r="N267" s="132" t="s">
        <v>54</v>
      </c>
      <c r="O267" s="132" t="s">
        <v>653</v>
      </c>
      <c r="P267" s="138" t="s">
        <v>964</v>
      </c>
      <c r="Q267" s="139" t="s">
        <v>813</v>
      </c>
      <c r="R267" s="135"/>
      <c r="S267" s="136"/>
      <c r="T267" s="136"/>
      <c r="U267" s="136"/>
      <c r="V267" s="136"/>
      <c r="W267" s="136"/>
      <c r="X267" s="136"/>
      <c r="Y267" s="136"/>
      <c r="Z267" s="136"/>
      <c r="AA267" s="136"/>
      <c r="AB267" s="136"/>
      <c r="AC267" s="136"/>
      <c r="AD267" s="136"/>
      <c r="AE267" s="136"/>
    </row>
    <row r="268" spans="13:31" ht="20.75" hidden="1" customHeight="1">
      <c r="M268" s="137" t="s">
        <v>968</v>
      </c>
      <c r="N268" s="132" t="s">
        <v>54</v>
      </c>
      <c r="O268" s="132" t="s">
        <v>653</v>
      </c>
      <c r="P268" s="138" t="s">
        <v>969</v>
      </c>
      <c r="Q268" s="139" t="s">
        <v>522</v>
      </c>
      <c r="R268" s="135"/>
      <c r="S268" s="136"/>
      <c r="T268" s="136"/>
      <c r="U268" s="136"/>
      <c r="V268" s="136"/>
      <c r="W268" s="136"/>
      <c r="X268" s="136"/>
      <c r="Y268" s="136"/>
      <c r="Z268" s="136"/>
      <c r="AA268" s="136"/>
      <c r="AB268" s="136"/>
      <c r="AC268" s="136"/>
      <c r="AD268" s="136"/>
      <c r="AE268" s="136"/>
    </row>
    <row r="269" spans="13:31" ht="20.75" hidden="1" customHeight="1">
      <c r="M269" s="137" t="s">
        <v>970</v>
      </c>
      <c r="N269" s="132" t="s">
        <v>54</v>
      </c>
      <c r="O269" s="132" t="s">
        <v>653</v>
      </c>
      <c r="P269" s="138" t="s">
        <v>969</v>
      </c>
      <c r="Q269" s="139" t="s">
        <v>835</v>
      </c>
      <c r="R269" s="135"/>
      <c r="S269" s="136"/>
      <c r="T269" s="136"/>
      <c r="U269" s="136"/>
      <c r="V269" s="136"/>
      <c r="W269" s="136"/>
      <c r="X269" s="136"/>
      <c r="Y269" s="136"/>
      <c r="Z269" s="136"/>
      <c r="AA269" s="136"/>
      <c r="AB269" s="136"/>
      <c r="AC269" s="136"/>
      <c r="AD269" s="136"/>
      <c r="AE269" s="136"/>
    </row>
    <row r="270" spans="13:31" ht="20.75" hidden="1" customHeight="1">
      <c r="M270" s="137" t="s">
        <v>971</v>
      </c>
      <c r="N270" s="132" t="s">
        <v>54</v>
      </c>
      <c r="O270" s="132" t="s">
        <v>653</v>
      </c>
      <c r="P270" s="138" t="s">
        <v>969</v>
      </c>
      <c r="Q270" s="139" t="s">
        <v>813</v>
      </c>
      <c r="R270" s="135"/>
      <c r="S270" s="136"/>
      <c r="T270" s="136"/>
      <c r="U270" s="136"/>
      <c r="V270" s="136"/>
      <c r="W270" s="136"/>
      <c r="X270" s="136"/>
      <c r="Y270" s="136"/>
      <c r="Z270" s="136"/>
      <c r="AA270" s="136"/>
      <c r="AB270" s="136"/>
      <c r="AC270" s="136"/>
      <c r="AD270" s="136"/>
      <c r="AE270" s="136"/>
    </row>
    <row r="271" spans="13:31" ht="20.75" hidden="1" customHeight="1">
      <c r="M271" s="137" t="s">
        <v>972</v>
      </c>
      <c r="N271" s="132" t="s">
        <v>54</v>
      </c>
      <c r="O271" s="132" t="s">
        <v>653</v>
      </c>
      <c r="P271" s="138" t="s">
        <v>969</v>
      </c>
      <c r="Q271" s="139" t="s">
        <v>863</v>
      </c>
      <c r="R271" s="135"/>
      <c r="S271" s="136"/>
      <c r="T271" s="136"/>
      <c r="U271" s="136"/>
      <c r="V271" s="136"/>
      <c r="W271" s="136"/>
      <c r="X271" s="136"/>
      <c r="Y271" s="136"/>
      <c r="Z271" s="136"/>
      <c r="AA271" s="136"/>
      <c r="AB271" s="136"/>
      <c r="AC271" s="136"/>
      <c r="AD271" s="136"/>
      <c r="AE271" s="136"/>
    </row>
    <row r="272" spans="13:31" ht="20.75" hidden="1" customHeight="1">
      <c r="M272" s="137" t="s">
        <v>973</v>
      </c>
      <c r="N272" s="132" t="s">
        <v>54</v>
      </c>
      <c r="O272" s="132" t="s">
        <v>653</v>
      </c>
      <c r="P272" s="138" t="s">
        <v>974</v>
      </c>
      <c r="Q272" s="139" t="s">
        <v>905</v>
      </c>
      <c r="R272" s="135"/>
      <c r="S272" s="136"/>
      <c r="T272" s="136"/>
      <c r="U272" s="136"/>
      <c r="V272" s="136"/>
      <c r="W272" s="136"/>
      <c r="X272" s="136"/>
      <c r="Y272" s="136"/>
      <c r="Z272" s="136"/>
      <c r="AA272" s="136"/>
      <c r="AB272" s="136"/>
      <c r="AC272" s="136"/>
      <c r="AD272" s="136"/>
      <c r="AE272" s="136"/>
    </row>
    <row r="273" spans="13:31" ht="20.75" hidden="1" customHeight="1">
      <c r="M273" s="137" t="s">
        <v>975</v>
      </c>
      <c r="N273" s="132" t="s">
        <v>54</v>
      </c>
      <c r="O273" s="132" t="s">
        <v>653</v>
      </c>
      <c r="P273" s="138" t="s">
        <v>974</v>
      </c>
      <c r="Q273" s="139" t="s">
        <v>515</v>
      </c>
      <c r="R273" s="135"/>
      <c r="S273" s="136"/>
      <c r="T273" s="136"/>
      <c r="U273" s="136"/>
      <c r="V273" s="136"/>
      <c r="W273" s="136"/>
      <c r="X273" s="136"/>
      <c r="Y273" s="136"/>
      <c r="Z273" s="136"/>
      <c r="AA273" s="136"/>
      <c r="AB273" s="136"/>
      <c r="AC273" s="136"/>
      <c r="AD273" s="136"/>
      <c r="AE273" s="136"/>
    </row>
    <row r="274" spans="13:31" ht="20.75" hidden="1" customHeight="1">
      <c r="M274" s="137" t="s">
        <v>976</v>
      </c>
      <c r="N274" s="132" t="s">
        <v>54</v>
      </c>
      <c r="O274" s="132" t="s">
        <v>588</v>
      </c>
      <c r="P274" s="138" t="s">
        <v>977</v>
      </c>
      <c r="Q274" s="139" t="s">
        <v>787</v>
      </c>
      <c r="R274" s="135"/>
      <c r="S274" s="136"/>
      <c r="T274" s="136"/>
      <c r="U274" s="136"/>
      <c r="V274" s="136"/>
      <c r="W274" s="136"/>
      <c r="X274" s="136"/>
      <c r="Y274" s="136"/>
      <c r="Z274" s="136"/>
      <c r="AA274" s="136"/>
      <c r="AB274" s="136"/>
      <c r="AC274" s="136"/>
      <c r="AD274" s="136"/>
      <c r="AE274" s="136"/>
    </row>
    <row r="275" spans="13:31" ht="20.75" hidden="1" customHeight="1">
      <c r="M275" s="137" t="s">
        <v>978</v>
      </c>
      <c r="N275" s="132" t="s">
        <v>54</v>
      </c>
      <c r="O275" s="132" t="s">
        <v>588</v>
      </c>
      <c r="P275" s="138" t="s">
        <v>977</v>
      </c>
      <c r="Q275" s="139" t="s">
        <v>830</v>
      </c>
      <c r="R275" s="135"/>
      <c r="S275" s="136"/>
      <c r="T275" s="136"/>
      <c r="U275" s="136"/>
      <c r="V275" s="136"/>
      <c r="W275" s="136"/>
      <c r="X275" s="136"/>
      <c r="Y275" s="136"/>
      <c r="Z275" s="136"/>
      <c r="AA275" s="136"/>
      <c r="AB275" s="136"/>
      <c r="AC275" s="136"/>
      <c r="AD275" s="136"/>
      <c r="AE275" s="136"/>
    </row>
    <row r="276" spans="13:31" ht="20.75" hidden="1" customHeight="1">
      <c r="M276" s="137" t="s">
        <v>979</v>
      </c>
      <c r="N276" s="132" t="s">
        <v>54</v>
      </c>
      <c r="O276" s="132" t="s">
        <v>588</v>
      </c>
      <c r="P276" s="138" t="s">
        <v>977</v>
      </c>
      <c r="Q276" s="139" t="s">
        <v>980</v>
      </c>
      <c r="R276" s="135"/>
      <c r="S276" s="136"/>
      <c r="T276" s="136"/>
      <c r="U276" s="136"/>
      <c r="V276" s="136"/>
      <c r="W276" s="136"/>
      <c r="X276" s="136"/>
      <c r="Y276" s="136"/>
      <c r="Z276" s="136"/>
      <c r="AA276" s="136"/>
      <c r="AB276" s="136"/>
      <c r="AC276" s="136"/>
      <c r="AD276" s="136"/>
      <c r="AE276" s="136"/>
    </row>
    <row r="277" spans="13:31" ht="20.75" hidden="1" customHeight="1">
      <c r="M277" s="137" t="s">
        <v>981</v>
      </c>
      <c r="N277" s="132" t="s">
        <v>54</v>
      </c>
      <c r="O277" s="132" t="s">
        <v>588</v>
      </c>
      <c r="P277" s="138" t="s">
        <v>977</v>
      </c>
      <c r="Q277" s="139" t="s">
        <v>982</v>
      </c>
      <c r="R277" s="135"/>
      <c r="S277" s="136"/>
      <c r="T277" s="136"/>
      <c r="U277" s="136"/>
      <c r="V277" s="136"/>
      <c r="W277" s="136"/>
      <c r="X277" s="136"/>
      <c r="Y277" s="136"/>
      <c r="Z277" s="136"/>
      <c r="AA277" s="136"/>
      <c r="AB277" s="136"/>
      <c r="AC277" s="136"/>
      <c r="AD277" s="136"/>
      <c r="AE277" s="136"/>
    </row>
    <row r="278" spans="13:31" ht="20.75" hidden="1" customHeight="1">
      <c r="M278" s="137" t="s">
        <v>983</v>
      </c>
      <c r="N278" s="132" t="s">
        <v>54</v>
      </c>
      <c r="O278" s="132" t="s">
        <v>588</v>
      </c>
      <c r="P278" s="138" t="s">
        <v>977</v>
      </c>
      <c r="Q278" s="139" t="s">
        <v>882</v>
      </c>
      <c r="R278" s="135"/>
      <c r="S278" s="136"/>
      <c r="T278" s="136"/>
      <c r="U278" s="136"/>
      <c r="V278" s="136"/>
      <c r="W278" s="136"/>
      <c r="X278" s="136"/>
      <c r="Y278" s="136"/>
      <c r="Z278" s="136"/>
      <c r="AA278" s="136"/>
      <c r="AB278" s="136"/>
      <c r="AC278" s="136"/>
      <c r="AD278" s="136"/>
      <c r="AE278" s="136"/>
    </row>
    <row r="279" spans="13:31" ht="20.75" hidden="1" customHeight="1">
      <c r="M279" s="137" t="s">
        <v>984</v>
      </c>
      <c r="N279" s="132" t="s">
        <v>54</v>
      </c>
      <c r="O279" s="132" t="s">
        <v>588</v>
      </c>
      <c r="P279" s="138" t="s">
        <v>977</v>
      </c>
      <c r="Q279" s="139" t="s">
        <v>985</v>
      </c>
      <c r="R279" s="135"/>
      <c r="S279" s="136"/>
      <c r="T279" s="136"/>
      <c r="U279" s="136"/>
      <c r="V279" s="136"/>
      <c r="W279" s="136"/>
      <c r="X279" s="136"/>
      <c r="Y279" s="136"/>
      <c r="Z279" s="136"/>
      <c r="AA279" s="136"/>
      <c r="AB279" s="136"/>
      <c r="AC279" s="136"/>
      <c r="AD279" s="136"/>
      <c r="AE279" s="136"/>
    </row>
    <row r="280" spans="13:31" ht="20.75" hidden="1" customHeight="1">
      <c r="M280" s="137" t="s">
        <v>986</v>
      </c>
      <c r="N280" s="132" t="s">
        <v>54</v>
      </c>
      <c r="O280" s="132" t="s">
        <v>588</v>
      </c>
      <c r="P280" s="138" t="s">
        <v>977</v>
      </c>
      <c r="Q280" s="139" t="s">
        <v>690</v>
      </c>
      <c r="R280" s="135"/>
      <c r="S280" s="136"/>
      <c r="T280" s="136"/>
      <c r="U280" s="136"/>
      <c r="V280" s="136"/>
      <c r="W280" s="136"/>
      <c r="X280" s="136"/>
      <c r="Y280" s="136"/>
      <c r="Z280" s="136"/>
      <c r="AA280" s="136"/>
      <c r="AB280" s="136"/>
      <c r="AC280" s="136"/>
      <c r="AD280" s="136"/>
      <c r="AE280" s="136"/>
    </row>
    <row r="281" spans="13:31" ht="20.75" hidden="1" customHeight="1">
      <c r="M281" s="137" t="s">
        <v>987</v>
      </c>
      <c r="N281" s="132" t="s">
        <v>54</v>
      </c>
      <c r="O281" s="132" t="s">
        <v>588</v>
      </c>
      <c r="P281" s="138" t="s">
        <v>646</v>
      </c>
      <c r="Q281" s="139" t="s">
        <v>787</v>
      </c>
      <c r="R281" s="135"/>
      <c r="S281" s="136"/>
      <c r="T281" s="136"/>
      <c r="U281" s="136"/>
      <c r="V281" s="136"/>
      <c r="W281" s="136"/>
      <c r="X281" s="136"/>
      <c r="Y281" s="136"/>
      <c r="Z281" s="136"/>
      <c r="AA281" s="136"/>
      <c r="AB281" s="136"/>
      <c r="AC281" s="136"/>
      <c r="AD281" s="136"/>
      <c r="AE281" s="136"/>
    </row>
    <row r="282" spans="13:31" ht="20.75" hidden="1" customHeight="1">
      <c r="M282" s="137" t="s">
        <v>988</v>
      </c>
      <c r="N282" s="132" t="s">
        <v>54</v>
      </c>
      <c r="O282" s="132" t="s">
        <v>588</v>
      </c>
      <c r="P282" s="138" t="s">
        <v>646</v>
      </c>
      <c r="Q282" s="139" t="s">
        <v>980</v>
      </c>
      <c r="R282" s="135"/>
      <c r="S282" s="136"/>
      <c r="T282" s="136"/>
      <c r="U282" s="136"/>
      <c r="V282" s="136"/>
      <c r="W282" s="136"/>
      <c r="X282" s="136"/>
      <c r="Y282" s="136"/>
      <c r="Z282" s="136"/>
      <c r="AA282" s="136"/>
      <c r="AB282" s="136"/>
      <c r="AC282" s="136"/>
      <c r="AD282" s="136"/>
      <c r="AE282" s="136"/>
    </row>
    <row r="283" spans="13:31" ht="20.75" hidden="1" customHeight="1">
      <c r="M283" s="137" t="s">
        <v>989</v>
      </c>
      <c r="N283" s="132" t="s">
        <v>54</v>
      </c>
      <c r="O283" s="132" t="s">
        <v>588</v>
      </c>
      <c r="P283" s="138" t="s">
        <v>646</v>
      </c>
      <c r="Q283" s="139" t="s">
        <v>863</v>
      </c>
      <c r="R283" s="135"/>
      <c r="S283" s="136"/>
      <c r="T283" s="136"/>
      <c r="U283" s="136"/>
      <c r="V283" s="136"/>
      <c r="W283" s="136"/>
      <c r="X283" s="136"/>
      <c r="Y283" s="136"/>
      <c r="Z283" s="136"/>
      <c r="AA283" s="136"/>
      <c r="AB283" s="136"/>
      <c r="AC283" s="136"/>
      <c r="AD283" s="136"/>
      <c r="AE283" s="136"/>
    </row>
    <row r="284" spans="13:31" ht="20.75" hidden="1" customHeight="1">
      <c r="M284" s="137" t="s">
        <v>990</v>
      </c>
      <c r="N284" s="132" t="s">
        <v>54</v>
      </c>
      <c r="O284" s="132" t="s">
        <v>588</v>
      </c>
      <c r="P284" s="138" t="s">
        <v>646</v>
      </c>
      <c r="Q284" s="139" t="s">
        <v>515</v>
      </c>
      <c r="R284" s="135"/>
      <c r="S284" s="136"/>
      <c r="T284" s="136"/>
      <c r="U284" s="136"/>
      <c r="V284" s="136"/>
      <c r="W284" s="136"/>
      <c r="X284" s="136"/>
      <c r="Y284" s="136"/>
      <c r="Z284" s="136"/>
      <c r="AA284" s="136"/>
      <c r="AB284" s="136"/>
      <c r="AC284" s="136"/>
      <c r="AD284" s="136"/>
      <c r="AE284" s="136"/>
    </row>
    <row r="285" spans="13:31" ht="20.75" hidden="1" customHeight="1">
      <c r="M285" s="137" t="s">
        <v>991</v>
      </c>
      <c r="N285" s="132" t="s">
        <v>54</v>
      </c>
      <c r="O285" s="132" t="s">
        <v>588</v>
      </c>
      <c r="P285" s="138" t="s">
        <v>646</v>
      </c>
      <c r="Q285" s="139" t="s">
        <v>982</v>
      </c>
      <c r="R285" s="135"/>
      <c r="S285" s="136"/>
      <c r="T285" s="136"/>
      <c r="U285" s="136"/>
      <c r="V285" s="136"/>
      <c r="W285" s="136"/>
      <c r="X285" s="136"/>
      <c r="Y285" s="136"/>
      <c r="Z285" s="136"/>
      <c r="AA285" s="136"/>
      <c r="AB285" s="136"/>
      <c r="AC285" s="136"/>
      <c r="AD285" s="136"/>
      <c r="AE285" s="136"/>
    </row>
    <row r="286" spans="13:31" ht="20.75" hidden="1" customHeight="1">
      <c r="M286" s="137" t="s">
        <v>992</v>
      </c>
      <c r="N286" s="132" t="s">
        <v>54</v>
      </c>
      <c r="O286" s="132" t="s">
        <v>588</v>
      </c>
      <c r="P286" s="138" t="s">
        <v>646</v>
      </c>
      <c r="Q286" s="139" t="s">
        <v>993</v>
      </c>
      <c r="R286" s="135"/>
      <c r="S286" s="136"/>
      <c r="T286" s="136"/>
      <c r="U286" s="136"/>
      <c r="V286" s="136"/>
      <c r="W286" s="136"/>
      <c r="X286" s="136"/>
      <c r="Y286" s="136"/>
      <c r="Z286" s="136"/>
      <c r="AA286" s="136"/>
      <c r="AB286" s="136"/>
      <c r="AC286" s="136"/>
      <c r="AD286" s="136"/>
      <c r="AE286" s="136"/>
    </row>
    <row r="287" spans="13:31" ht="20.75" hidden="1" customHeight="1">
      <c r="M287" s="137" t="s">
        <v>994</v>
      </c>
      <c r="N287" s="132" t="s">
        <v>54</v>
      </c>
      <c r="O287" s="132" t="s">
        <v>588</v>
      </c>
      <c r="P287" s="138" t="s">
        <v>646</v>
      </c>
      <c r="Q287" s="139" t="s">
        <v>522</v>
      </c>
      <c r="R287" s="135"/>
      <c r="S287" s="136"/>
      <c r="T287" s="136"/>
      <c r="U287" s="136"/>
      <c r="V287" s="136"/>
      <c r="W287" s="136"/>
      <c r="X287" s="136"/>
      <c r="Y287" s="136"/>
      <c r="Z287" s="136"/>
      <c r="AA287" s="136"/>
      <c r="AB287" s="136"/>
      <c r="AC287" s="136"/>
      <c r="AD287" s="136"/>
      <c r="AE287" s="136"/>
    </row>
    <row r="288" spans="13:31" ht="20.75" hidden="1" customHeight="1">
      <c r="M288" s="137" t="s">
        <v>995</v>
      </c>
      <c r="N288" s="132" t="s">
        <v>54</v>
      </c>
      <c r="O288" s="132" t="s">
        <v>588</v>
      </c>
      <c r="P288" s="138" t="s">
        <v>644</v>
      </c>
      <c r="Q288" s="139" t="s">
        <v>882</v>
      </c>
      <c r="R288" s="135"/>
      <c r="S288" s="136"/>
      <c r="T288" s="136"/>
      <c r="U288" s="136"/>
      <c r="V288" s="136"/>
      <c r="W288" s="136"/>
      <c r="X288" s="136"/>
      <c r="Y288" s="136"/>
      <c r="Z288" s="136"/>
      <c r="AA288" s="136"/>
      <c r="AB288" s="136"/>
      <c r="AC288" s="136"/>
      <c r="AD288" s="136"/>
      <c r="AE288" s="136"/>
    </row>
    <row r="289" spans="13:31" ht="20.75" hidden="1" customHeight="1">
      <c r="M289" s="137" t="s">
        <v>996</v>
      </c>
      <c r="N289" s="132" t="s">
        <v>54</v>
      </c>
      <c r="O289" s="132" t="s">
        <v>588</v>
      </c>
      <c r="P289" s="138" t="s">
        <v>644</v>
      </c>
      <c r="Q289" s="139" t="s">
        <v>905</v>
      </c>
      <c r="R289" s="135"/>
      <c r="S289" s="136"/>
      <c r="T289" s="136"/>
      <c r="U289" s="136"/>
      <c r="V289" s="136"/>
      <c r="W289" s="136"/>
      <c r="X289" s="136"/>
      <c r="Y289" s="136"/>
      <c r="Z289" s="136"/>
      <c r="AA289" s="136"/>
      <c r="AB289" s="136"/>
      <c r="AC289" s="136"/>
      <c r="AD289" s="136"/>
      <c r="AE289" s="136"/>
    </row>
    <row r="290" spans="13:31" ht="20.75" hidden="1" customHeight="1">
      <c r="M290" s="137" t="s">
        <v>997</v>
      </c>
      <c r="N290" s="132" t="s">
        <v>54</v>
      </c>
      <c r="O290" s="132" t="s">
        <v>588</v>
      </c>
      <c r="P290" s="138" t="s">
        <v>644</v>
      </c>
      <c r="Q290" s="139" t="s">
        <v>980</v>
      </c>
      <c r="R290" s="135"/>
      <c r="S290" s="136"/>
      <c r="T290" s="136"/>
      <c r="U290" s="136"/>
      <c r="V290" s="136"/>
      <c r="W290" s="136"/>
      <c r="X290" s="136"/>
      <c r="Y290" s="136"/>
      <c r="Z290" s="136"/>
      <c r="AA290" s="136"/>
      <c r="AB290" s="136"/>
      <c r="AC290" s="136"/>
      <c r="AD290" s="136"/>
      <c r="AE290" s="136"/>
    </row>
    <row r="291" spans="13:31" ht="20.75" hidden="1" customHeight="1">
      <c r="M291" s="137" t="s">
        <v>998</v>
      </c>
      <c r="N291" s="132" t="s">
        <v>54</v>
      </c>
      <c r="O291" s="132" t="s">
        <v>588</v>
      </c>
      <c r="P291" s="138" t="s">
        <v>644</v>
      </c>
      <c r="Q291" s="139" t="s">
        <v>832</v>
      </c>
      <c r="R291" s="135"/>
      <c r="S291" s="136"/>
      <c r="T291" s="136"/>
      <c r="U291" s="136"/>
      <c r="V291" s="136"/>
      <c r="W291" s="136"/>
      <c r="X291" s="136"/>
      <c r="Y291" s="136"/>
      <c r="Z291" s="136"/>
      <c r="AA291" s="136"/>
      <c r="AB291" s="136"/>
      <c r="AC291" s="136"/>
      <c r="AD291" s="136"/>
      <c r="AE291" s="136"/>
    </row>
    <row r="292" spans="13:31" ht="20.75" hidden="1" customHeight="1">
      <c r="M292" s="145" t="s">
        <v>999</v>
      </c>
      <c r="N292" s="132" t="s">
        <v>54</v>
      </c>
      <c r="O292" s="132" t="s">
        <v>588</v>
      </c>
      <c r="P292" s="146" t="s">
        <v>644</v>
      </c>
      <c r="Q292" s="147" t="s">
        <v>923</v>
      </c>
      <c r="R292" s="135"/>
      <c r="S292" s="136"/>
      <c r="T292" s="136"/>
      <c r="U292" s="136"/>
      <c r="V292" s="136"/>
      <c r="W292" s="136"/>
      <c r="X292" s="136"/>
      <c r="Y292" s="136"/>
      <c r="Z292" s="136"/>
      <c r="AA292" s="136"/>
      <c r="AB292" s="136"/>
      <c r="AC292" s="136"/>
      <c r="AD292" s="136"/>
      <c r="AE292" s="136"/>
    </row>
    <row r="293" spans="13:31" ht="21" hidden="1" customHeight="1">
      <c r="M293" s="148" t="s">
        <v>1000</v>
      </c>
      <c r="N293" s="149" t="s">
        <v>64</v>
      </c>
      <c r="O293" s="150" t="s">
        <v>588</v>
      </c>
      <c r="P293" s="151" t="s">
        <v>1001</v>
      </c>
      <c r="Q293" s="152" t="s">
        <v>1002</v>
      </c>
      <c r="R293" s="135"/>
      <c r="S293" s="136"/>
      <c r="T293" s="136"/>
      <c r="U293" s="136"/>
      <c r="V293" s="136"/>
      <c r="W293" s="136"/>
      <c r="X293" s="136"/>
      <c r="Y293" s="136"/>
      <c r="Z293" s="136"/>
      <c r="AA293" s="136"/>
      <c r="AB293" s="136"/>
      <c r="AC293" s="136"/>
      <c r="AD293" s="136"/>
      <c r="AE293" s="136"/>
    </row>
    <row r="294" spans="13:31" ht="21" hidden="1" customHeight="1">
      <c r="M294" s="148" t="s">
        <v>1003</v>
      </c>
      <c r="N294" s="149" t="s">
        <v>64</v>
      </c>
      <c r="O294" s="150" t="s">
        <v>588</v>
      </c>
      <c r="P294" s="151" t="s">
        <v>1001</v>
      </c>
      <c r="Q294" s="152" t="s">
        <v>1004</v>
      </c>
      <c r="R294" s="135"/>
      <c r="S294" s="136"/>
      <c r="T294" s="136"/>
      <c r="U294" s="136"/>
      <c r="V294" s="136"/>
      <c r="W294" s="136"/>
      <c r="X294" s="136"/>
      <c r="Y294" s="136"/>
      <c r="Z294" s="136"/>
      <c r="AA294" s="136"/>
      <c r="AB294" s="136"/>
      <c r="AC294" s="136"/>
      <c r="AD294" s="136"/>
      <c r="AE294" s="136"/>
    </row>
    <row r="295" spans="13:31" ht="21" hidden="1" customHeight="1">
      <c r="M295" s="148" t="s">
        <v>1005</v>
      </c>
      <c r="N295" s="149" t="s">
        <v>64</v>
      </c>
      <c r="O295" s="150" t="s">
        <v>588</v>
      </c>
      <c r="P295" s="151" t="s">
        <v>1001</v>
      </c>
      <c r="Q295" s="152" t="s">
        <v>1006</v>
      </c>
      <c r="R295" s="135"/>
      <c r="S295" s="136"/>
      <c r="T295" s="136"/>
      <c r="U295" s="136"/>
      <c r="V295" s="136"/>
      <c r="W295" s="136"/>
      <c r="X295" s="136"/>
      <c r="Y295" s="136"/>
      <c r="Z295" s="136"/>
      <c r="AA295" s="136"/>
      <c r="AB295" s="136"/>
      <c r="AC295" s="136"/>
      <c r="AD295" s="136"/>
      <c r="AE295" s="136"/>
    </row>
    <row r="296" spans="13:31" ht="21" hidden="1" customHeight="1">
      <c r="M296" s="148" t="s">
        <v>1007</v>
      </c>
      <c r="N296" s="149" t="s">
        <v>64</v>
      </c>
      <c r="O296" s="150" t="s">
        <v>588</v>
      </c>
      <c r="P296" s="151" t="s">
        <v>1001</v>
      </c>
      <c r="Q296" s="152" t="s">
        <v>1008</v>
      </c>
      <c r="R296" s="135"/>
      <c r="S296" s="136"/>
      <c r="T296" s="136"/>
      <c r="U296" s="136"/>
      <c r="V296" s="136"/>
      <c r="W296" s="136"/>
      <c r="X296" s="136"/>
      <c r="Y296" s="136"/>
      <c r="Z296" s="136"/>
      <c r="AA296" s="136"/>
      <c r="AB296" s="136"/>
      <c r="AC296" s="136"/>
      <c r="AD296" s="136"/>
      <c r="AE296" s="136"/>
    </row>
    <row r="297" spans="13:31" ht="21" hidden="1" customHeight="1">
      <c r="M297" s="148" t="s">
        <v>1009</v>
      </c>
      <c r="N297" s="149" t="s">
        <v>64</v>
      </c>
      <c r="O297" s="150" t="s">
        <v>588</v>
      </c>
      <c r="P297" s="151" t="s">
        <v>1001</v>
      </c>
      <c r="Q297" s="152" t="s">
        <v>1010</v>
      </c>
      <c r="R297" s="135"/>
      <c r="S297" s="136"/>
      <c r="T297" s="136"/>
      <c r="U297" s="136"/>
      <c r="V297" s="136"/>
      <c r="W297" s="136"/>
      <c r="X297" s="136"/>
      <c r="Y297" s="136"/>
      <c r="Z297" s="136"/>
      <c r="AA297" s="136"/>
      <c r="AB297" s="136"/>
      <c r="AC297" s="136"/>
      <c r="AD297" s="136"/>
      <c r="AE297" s="136"/>
    </row>
    <row r="298" spans="13:31" ht="21" hidden="1" customHeight="1">
      <c r="M298" s="148" t="s">
        <v>1011</v>
      </c>
      <c r="N298" s="149" t="s">
        <v>64</v>
      </c>
      <c r="O298" s="150" t="s">
        <v>588</v>
      </c>
      <c r="P298" s="151" t="s">
        <v>1001</v>
      </c>
      <c r="Q298" s="152" t="s">
        <v>1012</v>
      </c>
      <c r="R298" s="135"/>
      <c r="S298" s="136"/>
      <c r="T298" s="136"/>
      <c r="U298" s="136"/>
      <c r="V298" s="136"/>
      <c r="W298" s="136"/>
      <c r="X298" s="136"/>
      <c r="Y298" s="136"/>
      <c r="Z298" s="136"/>
      <c r="AA298" s="136"/>
      <c r="AB298" s="136"/>
      <c r="AC298" s="136"/>
      <c r="AD298" s="136"/>
      <c r="AE298" s="136"/>
    </row>
    <row r="299" spans="13:31" ht="21" hidden="1" customHeight="1">
      <c r="M299" s="148" t="s">
        <v>1013</v>
      </c>
      <c r="N299" s="149" t="s">
        <v>64</v>
      </c>
      <c r="O299" s="150" t="s">
        <v>588</v>
      </c>
      <c r="P299" s="151" t="s">
        <v>1001</v>
      </c>
      <c r="Q299" s="152" t="s">
        <v>1014</v>
      </c>
      <c r="R299" s="135"/>
      <c r="S299" s="136"/>
      <c r="T299" s="136"/>
      <c r="U299" s="136"/>
      <c r="V299" s="136"/>
      <c r="W299" s="136"/>
      <c r="X299" s="136"/>
      <c r="Y299" s="136"/>
      <c r="Z299" s="136"/>
      <c r="AA299" s="136"/>
      <c r="AB299" s="136"/>
      <c r="AC299" s="136"/>
      <c r="AD299" s="136"/>
      <c r="AE299" s="136"/>
    </row>
    <row r="300" spans="13:31" ht="21" hidden="1" customHeight="1">
      <c r="M300" s="148" t="s">
        <v>1015</v>
      </c>
      <c r="N300" s="149" t="s">
        <v>64</v>
      </c>
      <c r="O300" s="150" t="s">
        <v>588</v>
      </c>
      <c r="P300" s="151" t="s">
        <v>1016</v>
      </c>
      <c r="Q300" s="152" t="s">
        <v>1006</v>
      </c>
      <c r="R300" s="135"/>
      <c r="S300" s="136"/>
      <c r="T300" s="136"/>
      <c r="U300" s="136"/>
      <c r="V300" s="136"/>
      <c r="W300" s="136"/>
      <c r="X300" s="136"/>
      <c r="Y300" s="136"/>
      <c r="Z300" s="136"/>
      <c r="AA300" s="136"/>
      <c r="AB300" s="136"/>
      <c r="AC300" s="136"/>
      <c r="AD300" s="136"/>
      <c r="AE300" s="136"/>
    </row>
    <row r="301" spans="13:31" ht="21" hidden="1" customHeight="1">
      <c r="M301" s="148" t="s">
        <v>1017</v>
      </c>
      <c r="N301" s="149" t="s">
        <v>64</v>
      </c>
      <c r="O301" s="150" t="s">
        <v>588</v>
      </c>
      <c r="P301" s="151" t="s">
        <v>1016</v>
      </c>
      <c r="Q301" s="152" t="s">
        <v>1018</v>
      </c>
      <c r="R301" s="135"/>
      <c r="S301" s="136"/>
      <c r="T301" s="136"/>
      <c r="U301" s="136"/>
      <c r="V301" s="136"/>
      <c r="W301" s="136"/>
      <c r="X301" s="136"/>
      <c r="Y301" s="136"/>
      <c r="Z301" s="136"/>
      <c r="AA301" s="136"/>
      <c r="AB301" s="136"/>
      <c r="AC301" s="136"/>
      <c r="AD301" s="136"/>
      <c r="AE301" s="136"/>
    </row>
    <row r="302" spans="13:31" ht="21" hidden="1" customHeight="1">
      <c r="M302" s="148" t="s">
        <v>1019</v>
      </c>
      <c r="N302" s="149" t="s">
        <v>64</v>
      </c>
      <c r="O302" s="150" t="s">
        <v>588</v>
      </c>
      <c r="P302" s="151" t="s">
        <v>1016</v>
      </c>
      <c r="Q302" s="152" t="s">
        <v>1020</v>
      </c>
      <c r="R302" s="135"/>
      <c r="S302" s="136"/>
      <c r="T302" s="136"/>
      <c r="U302" s="136"/>
      <c r="V302" s="136"/>
      <c r="W302" s="136"/>
      <c r="X302" s="136"/>
      <c r="Y302" s="136"/>
      <c r="Z302" s="136"/>
      <c r="AA302" s="136"/>
      <c r="AB302" s="136"/>
      <c r="AC302" s="136"/>
      <c r="AD302" s="136"/>
      <c r="AE302" s="136"/>
    </row>
    <row r="303" spans="13:31" ht="21" hidden="1" customHeight="1">
      <c r="M303" s="148" t="s">
        <v>1021</v>
      </c>
      <c r="N303" s="149" t="s">
        <v>64</v>
      </c>
      <c r="O303" s="150" t="s">
        <v>588</v>
      </c>
      <c r="P303" s="151" t="s">
        <v>1016</v>
      </c>
      <c r="Q303" s="152" t="s">
        <v>1002</v>
      </c>
      <c r="R303" s="135"/>
      <c r="S303" s="136"/>
      <c r="T303" s="136"/>
      <c r="U303" s="136"/>
      <c r="V303" s="136"/>
      <c r="W303" s="136"/>
      <c r="X303" s="136"/>
      <c r="Y303" s="136"/>
      <c r="Z303" s="136"/>
      <c r="AA303" s="136"/>
      <c r="AB303" s="136"/>
      <c r="AC303" s="136"/>
      <c r="AD303" s="136"/>
      <c r="AE303" s="136"/>
    </row>
    <row r="304" spans="13:31" ht="21" hidden="1" customHeight="1">
      <c r="M304" s="148" t="s">
        <v>1022</v>
      </c>
      <c r="N304" s="149" t="s">
        <v>64</v>
      </c>
      <c r="O304" s="150" t="s">
        <v>588</v>
      </c>
      <c r="P304" s="151" t="s">
        <v>1023</v>
      </c>
      <c r="Q304" s="152" t="s">
        <v>1024</v>
      </c>
      <c r="R304" s="135"/>
      <c r="S304" s="136"/>
      <c r="T304" s="136"/>
      <c r="U304" s="136"/>
      <c r="V304" s="136"/>
      <c r="W304" s="136"/>
      <c r="X304" s="136"/>
      <c r="Y304" s="136"/>
      <c r="Z304" s="136"/>
      <c r="AA304" s="136"/>
      <c r="AB304" s="136"/>
      <c r="AC304" s="136"/>
      <c r="AD304" s="136"/>
      <c r="AE304" s="136"/>
    </row>
    <row r="305" spans="13:31" ht="21" hidden="1" customHeight="1">
      <c r="M305" s="148" t="s">
        <v>1025</v>
      </c>
      <c r="N305" s="149" t="s">
        <v>64</v>
      </c>
      <c r="O305" s="150" t="s">
        <v>588</v>
      </c>
      <c r="P305" s="151" t="s">
        <v>1023</v>
      </c>
      <c r="Q305" s="152" t="s">
        <v>1026</v>
      </c>
      <c r="R305" s="135"/>
      <c r="S305" s="136"/>
      <c r="T305" s="136"/>
      <c r="U305" s="136"/>
      <c r="V305" s="136"/>
      <c r="W305" s="136"/>
      <c r="X305" s="136"/>
      <c r="Y305" s="136"/>
      <c r="Z305" s="136"/>
      <c r="AA305" s="136"/>
      <c r="AB305" s="136"/>
      <c r="AC305" s="136"/>
      <c r="AD305" s="136"/>
      <c r="AE305" s="136"/>
    </row>
    <row r="306" spans="13:31" ht="21" hidden="1" customHeight="1">
      <c r="M306" s="148" t="s">
        <v>1027</v>
      </c>
      <c r="N306" s="149" t="s">
        <v>64</v>
      </c>
      <c r="O306" s="150" t="s">
        <v>588</v>
      </c>
      <c r="P306" s="151" t="s">
        <v>1023</v>
      </c>
      <c r="Q306" s="152" t="s">
        <v>1010</v>
      </c>
      <c r="R306" s="135"/>
      <c r="S306" s="136"/>
      <c r="T306" s="136"/>
      <c r="U306" s="136"/>
      <c r="V306" s="136"/>
      <c r="W306" s="136"/>
      <c r="X306" s="136"/>
      <c r="Y306" s="136"/>
      <c r="Z306" s="136"/>
      <c r="AA306" s="136"/>
      <c r="AB306" s="136"/>
      <c r="AC306" s="136"/>
      <c r="AD306" s="136"/>
      <c r="AE306" s="136"/>
    </row>
    <row r="307" spans="13:31" ht="21" hidden="1" customHeight="1">
      <c r="M307" s="148" t="s">
        <v>1028</v>
      </c>
      <c r="N307" s="149" t="s">
        <v>64</v>
      </c>
      <c r="O307" s="150" t="s">
        <v>588</v>
      </c>
      <c r="P307" s="151" t="s">
        <v>1023</v>
      </c>
      <c r="Q307" s="152" t="s">
        <v>1012</v>
      </c>
      <c r="R307" s="135"/>
      <c r="S307" s="136"/>
      <c r="T307" s="136"/>
      <c r="U307" s="136"/>
      <c r="V307" s="136"/>
      <c r="W307" s="136"/>
      <c r="X307" s="136"/>
      <c r="Y307" s="136"/>
      <c r="Z307" s="136"/>
      <c r="AA307" s="136"/>
      <c r="AB307" s="136"/>
      <c r="AC307" s="136"/>
      <c r="AD307" s="136"/>
      <c r="AE307" s="136"/>
    </row>
    <row r="308" spans="13:31" ht="21" hidden="1" customHeight="1">
      <c r="M308" s="148" t="s">
        <v>1029</v>
      </c>
      <c r="N308" s="149" t="s">
        <v>64</v>
      </c>
      <c r="O308" s="150" t="s">
        <v>588</v>
      </c>
      <c r="P308" s="151" t="s">
        <v>1030</v>
      </c>
      <c r="Q308" s="152" t="s">
        <v>1010</v>
      </c>
      <c r="R308" s="135"/>
      <c r="S308" s="136"/>
      <c r="T308" s="136"/>
      <c r="U308" s="136"/>
      <c r="V308" s="136"/>
      <c r="W308" s="136"/>
      <c r="X308" s="136"/>
      <c r="Y308" s="136"/>
      <c r="Z308" s="136"/>
      <c r="AA308" s="136"/>
      <c r="AB308" s="136"/>
      <c r="AC308" s="136"/>
      <c r="AD308" s="136"/>
      <c r="AE308" s="136"/>
    </row>
    <row r="309" spans="13:31" ht="21" hidden="1" customHeight="1">
      <c r="M309" s="148" t="s">
        <v>1031</v>
      </c>
      <c r="N309" s="149" t="s">
        <v>64</v>
      </c>
      <c r="O309" s="150" t="s">
        <v>588</v>
      </c>
      <c r="P309" s="151" t="s">
        <v>1030</v>
      </c>
      <c r="Q309" s="152" t="s">
        <v>1012</v>
      </c>
      <c r="R309" s="135"/>
      <c r="S309" s="136"/>
      <c r="T309" s="136"/>
      <c r="U309" s="136"/>
      <c r="V309" s="136"/>
      <c r="W309" s="136"/>
      <c r="X309" s="136"/>
      <c r="Y309" s="136"/>
      <c r="Z309" s="136"/>
      <c r="AA309" s="136"/>
      <c r="AB309" s="136"/>
      <c r="AC309" s="136"/>
      <c r="AD309" s="136"/>
      <c r="AE309" s="136"/>
    </row>
    <row r="310" spans="13:31" ht="21" hidden="1" customHeight="1">
      <c r="M310" s="148" t="s">
        <v>1032</v>
      </c>
      <c r="N310" s="149" t="s">
        <v>64</v>
      </c>
      <c r="O310" s="150" t="s">
        <v>588</v>
      </c>
      <c r="P310" s="151" t="s">
        <v>1030</v>
      </c>
      <c r="Q310" s="152" t="s">
        <v>1033</v>
      </c>
      <c r="R310" s="135"/>
      <c r="S310" s="136"/>
      <c r="T310" s="136"/>
      <c r="U310" s="136"/>
      <c r="V310" s="136"/>
      <c r="W310" s="136"/>
      <c r="X310" s="136"/>
      <c r="Y310" s="136"/>
      <c r="Z310" s="136"/>
      <c r="AA310" s="136"/>
      <c r="AB310" s="136"/>
      <c r="AC310" s="136"/>
      <c r="AD310" s="136"/>
      <c r="AE310" s="136"/>
    </row>
    <row r="311" spans="13:31" ht="21" hidden="1" customHeight="1">
      <c r="M311" s="148" t="s">
        <v>1034</v>
      </c>
      <c r="N311" s="149" t="s">
        <v>64</v>
      </c>
      <c r="O311" s="150" t="s">
        <v>588</v>
      </c>
      <c r="P311" s="151" t="s">
        <v>1030</v>
      </c>
      <c r="Q311" s="152" t="s">
        <v>1026</v>
      </c>
      <c r="R311" s="135"/>
      <c r="S311" s="136"/>
      <c r="T311" s="136"/>
      <c r="U311" s="136"/>
      <c r="V311" s="136"/>
      <c r="W311" s="136"/>
      <c r="X311" s="136"/>
      <c r="Y311" s="136"/>
      <c r="Z311" s="136"/>
      <c r="AA311" s="136"/>
      <c r="AB311" s="136"/>
      <c r="AC311" s="136"/>
      <c r="AD311" s="136"/>
      <c r="AE311" s="136"/>
    </row>
    <row r="312" spans="13:31" ht="21" hidden="1" customHeight="1">
      <c r="M312" s="148" t="s">
        <v>1035</v>
      </c>
      <c r="N312" s="149" t="s">
        <v>64</v>
      </c>
      <c r="O312" s="150" t="s">
        <v>588</v>
      </c>
      <c r="P312" s="151" t="s">
        <v>1030</v>
      </c>
      <c r="Q312" s="152" t="s">
        <v>1018</v>
      </c>
      <c r="R312" s="135"/>
      <c r="S312" s="136"/>
      <c r="T312" s="136"/>
      <c r="U312" s="136"/>
      <c r="V312" s="136"/>
      <c r="W312" s="136"/>
      <c r="X312" s="136"/>
      <c r="Y312" s="136"/>
      <c r="Z312" s="136"/>
      <c r="AA312" s="136"/>
      <c r="AB312" s="136"/>
      <c r="AC312" s="136"/>
      <c r="AD312" s="136"/>
      <c r="AE312" s="136"/>
    </row>
    <row r="313" spans="13:31" ht="21" hidden="1" customHeight="1">
      <c r="M313" s="148" t="s">
        <v>1036</v>
      </c>
      <c r="N313" s="149" t="s">
        <v>64</v>
      </c>
      <c r="O313" s="150" t="s">
        <v>588</v>
      </c>
      <c r="P313" s="151" t="s">
        <v>1030</v>
      </c>
      <c r="Q313" s="152" t="s">
        <v>1008</v>
      </c>
      <c r="R313" s="135"/>
      <c r="S313" s="136"/>
      <c r="T313" s="136"/>
      <c r="U313" s="136"/>
      <c r="V313" s="136"/>
      <c r="W313" s="136"/>
      <c r="X313" s="136"/>
      <c r="Y313" s="136"/>
      <c r="Z313" s="136"/>
      <c r="AA313" s="136"/>
      <c r="AB313" s="136"/>
      <c r="AC313" s="136"/>
      <c r="AD313" s="136"/>
      <c r="AE313" s="136"/>
    </row>
    <row r="314" spans="13:31" ht="21" hidden="1" customHeight="1">
      <c r="M314" s="148" t="s">
        <v>1037</v>
      </c>
      <c r="N314" s="149" t="s">
        <v>64</v>
      </c>
      <c r="O314" s="150" t="s">
        <v>588</v>
      </c>
      <c r="P314" s="151" t="s">
        <v>1030</v>
      </c>
      <c r="Q314" s="152" t="s">
        <v>1024</v>
      </c>
      <c r="R314" s="135"/>
      <c r="S314" s="136"/>
      <c r="T314" s="136"/>
      <c r="U314" s="136"/>
      <c r="V314" s="136"/>
      <c r="W314" s="136"/>
      <c r="X314" s="136"/>
      <c r="Y314" s="136"/>
      <c r="Z314" s="136"/>
      <c r="AA314" s="136"/>
      <c r="AB314" s="136"/>
      <c r="AC314" s="136"/>
      <c r="AD314" s="136"/>
      <c r="AE314" s="136"/>
    </row>
    <row r="315" spans="13:31" ht="21" hidden="1" customHeight="1">
      <c r="M315" s="148" t="s">
        <v>1038</v>
      </c>
      <c r="N315" s="149" t="s">
        <v>64</v>
      </c>
      <c r="O315" s="150" t="s">
        <v>588</v>
      </c>
      <c r="P315" s="151" t="s">
        <v>1030</v>
      </c>
      <c r="Q315" s="152" t="s">
        <v>1004</v>
      </c>
      <c r="R315" s="135"/>
      <c r="S315" s="136"/>
      <c r="T315" s="136"/>
      <c r="U315" s="136"/>
      <c r="V315" s="136"/>
      <c r="W315" s="136"/>
      <c r="X315" s="136"/>
      <c r="Y315" s="136"/>
      <c r="Z315" s="136"/>
      <c r="AA315" s="136"/>
      <c r="AB315" s="136"/>
      <c r="AC315" s="136"/>
      <c r="AD315" s="136"/>
      <c r="AE315" s="136"/>
    </row>
    <row r="316" spans="13:31" ht="21" hidden="1" customHeight="1">
      <c r="M316" s="148" t="s">
        <v>1039</v>
      </c>
      <c r="N316" s="149" t="s">
        <v>64</v>
      </c>
      <c r="O316" s="150" t="s">
        <v>588</v>
      </c>
      <c r="P316" s="151" t="s">
        <v>1030</v>
      </c>
      <c r="Q316" s="152" t="s">
        <v>1006</v>
      </c>
      <c r="R316" s="135"/>
      <c r="S316" s="136"/>
      <c r="T316" s="136"/>
      <c r="U316" s="136"/>
      <c r="V316" s="136"/>
      <c r="W316" s="136"/>
      <c r="X316" s="136"/>
      <c r="Y316" s="136"/>
      <c r="Z316" s="136"/>
      <c r="AA316" s="136"/>
      <c r="AB316" s="136"/>
      <c r="AC316" s="136"/>
      <c r="AD316" s="136"/>
      <c r="AE316" s="136"/>
    </row>
    <row r="317" spans="13:31" ht="21" hidden="1" customHeight="1">
      <c r="M317" s="148" t="s">
        <v>1040</v>
      </c>
      <c r="N317" s="149" t="s">
        <v>64</v>
      </c>
      <c r="O317" s="150" t="s">
        <v>588</v>
      </c>
      <c r="P317" s="151" t="s">
        <v>1030</v>
      </c>
      <c r="Q317" s="152" t="s">
        <v>1014</v>
      </c>
      <c r="R317" s="135"/>
      <c r="S317" s="136"/>
      <c r="T317" s="136"/>
      <c r="U317" s="136"/>
      <c r="V317" s="136"/>
      <c r="W317" s="136"/>
      <c r="X317" s="136"/>
      <c r="Y317" s="136"/>
      <c r="Z317" s="136"/>
      <c r="AA317" s="136"/>
      <c r="AB317" s="136"/>
      <c r="AC317" s="136"/>
      <c r="AD317" s="136"/>
      <c r="AE317" s="136"/>
    </row>
    <row r="318" spans="13:31" ht="21" hidden="1" customHeight="1">
      <c r="M318" s="148" t="s">
        <v>1041</v>
      </c>
      <c r="N318" s="149" t="s">
        <v>64</v>
      </c>
      <c r="O318" s="150" t="s">
        <v>653</v>
      </c>
      <c r="P318" s="151" t="s">
        <v>1030</v>
      </c>
      <c r="Q318" s="152" t="s">
        <v>1002</v>
      </c>
      <c r="R318" s="135"/>
      <c r="S318" s="136"/>
      <c r="T318" s="136"/>
      <c r="U318" s="136"/>
      <c r="V318" s="136"/>
      <c r="W318" s="136"/>
      <c r="X318" s="136"/>
      <c r="Y318" s="136"/>
      <c r="Z318" s="136"/>
      <c r="AA318" s="136"/>
      <c r="AB318" s="136"/>
      <c r="AC318" s="136"/>
      <c r="AD318" s="136"/>
      <c r="AE318" s="136"/>
    </row>
    <row r="319" spans="13:31" ht="21" hidden="1" customHeight="1">
      <c r="M319" s="148" t="s">
        <v>1042</v>
      </c>
      <c r="N319" s="149" t="s">
        <v>64</v>
      </c>
      <c r="O319" s="150" t="s">
        <v>653</v>
      </c>
      <c r="P319" s="151" t="s">
        <v>1043</v>
      </c>
      <c r="Q319" s="152" t="s">
        <v>1010</v>
      </c>
      <c r="R319" s="135"/>
      <c r="S319" s="136"/>
      <c r="T319" s="136"/>
      <c r="U319" s="136"/>
      <c r="V319" s="136"/>
      <c r="W319" s="136"/>
      <c r="X319" s="136"/>
      <c r="Y319" s="136"/>
      <c r="Z319" s="136"/>
      <c r="AA319" s="136"/>
      <c r="AB319" s="136"/>
      <c r="AC319" s="136"/>
      <c r="AD319" s="136"/>
      <c r="AE319" s="136"/>
    </row>
    <row r="320" spans="13:31" ht="21" hidden="1" customHeight="1">
      <c r="M320" s="148" t="s">
        <v>1044</v>
      </c>
      <c r="N320" s="149" t="s">
        <v>64</v>
      </c>
      <c r="O320" s="150" t="s">
        <v>653</v>
      </c>
      <c r="P320" s="151" t="s">
        <v>1043</v>
      </c>
      <c r="Q320" s="152" t="s">
        <v>1002</v>
      </c>
      <c r="R320" s="135"/>
      <c r="S320" s="136"/>
      <c r="T320" s="136"/>
      <c r="U320" s="136"/>
      <c r="V320" s="136"/>
      <c r="W320" s="136"/>
      <c r="X320" s="136"/>
      <c r="Y320" s="136"/>
      <c r="Z320" s="136"/>
      <c r="AA320" s="136"/>
      <c r="AB320" s="136"/>
      <c r="AC320" s="136"/>
      <c r="AD320" s="136"/>
      <c r="AE320" s="136"/>
    </row>
    <row r="321" spans="13:31" ht="21" hidden="1" customHeight="1">
      <c r="M321" s="148" t="s">
        <v>1045</v>
      </c>
      <c r="N321" s="149" t="s">
        <v>64</v>
      </c>
      <c r="O321" s="150" t="s">
        <v>653</v>
      </c>
      <c r="P321" s="151" t="s">
        <v>1046</v>
      </c>
      <c r="Q321" s="152" t="s">
        <v>1033</v>
      </c>
      <c r="R321" s="135"/>
      <c r="S321" s="136"/>
      <c r="T321" s="136"/>
      <c r="U321" s="136"/>
      <c r="V321" s="136"/>
      <c r="W321" s="136"/>
      <c r="X321" s="136"/>
      <c r="Y321" s="136"/>
      <c r="Z321" s="136"/>
      <c r="AA321" s="136"/>
      <c r="AB321" s="136"/>
      <c r="AC321" s="136"/>
      <c r="AD321" s="136"/>
      <c r="AE321" s="136"/>
    </row>
    <row r="322" spans="13:31" ht="21" hidden="1" customHeight="1">
      <c r="M322" s="148" t="s">
        <v>1047</v>
      </c>
      <c r="N322" s="149" t="s">
        <v>64</v>
      </c>
      <c r="O322" s="150" t="s">
        <v>653</v>
      </c>
      <c r="P322" s="151" t="s">
        <v>1046</v>
      </c>
      <c r="Q322" s="152" t="s">
        <v>1014</v>
      </c>
      <c r="R322" s="135"/>
      <c r="S322" s="136"/>
      <c r="T322" s="136"/>
      <c r="U322" s="136"/>
      <c r="V322" s="136"/>
      <c r="W322" s="136"/>
      <c r="X322" s="136"/>
      <c r="Y322" s="136"/>
      <c r="Z322" s="136"/>
      <c r="AA322" s="136"/>
      <c r="AB322" s="136"/>
      <c r="AC322" s="136"/>
      <c r="AD322" s="136"/>
      <c r="AE322" s="136"/>
    </row>
    <row r="323" spans="13:31" ht="21" hidden="1" customHeight="1">
      <c r="M323" s="148" t="s">
        <v>1048</v>
      </c>
      <c r="N323" s="149" t="s">
        <v>64</v>
      </c>
      <c r="O323" s="150" t="s">
        <v>653</v>
      </c>
      <c r="P323" s="151" t="s">
        <v>1046</v>
      </c>
      <c r="Q323" s="152" t="s">
        <v>1008</v>
      </c>
      <c r="R323" s="135"/>
      <c r="S323" s="136"/>
      <c r="T323" s="136"/>
      <c r="U323" s="136"/>
      <c r="V323" s="136"/>
      <c r="W323" s="136"/>
      <c r="X323" s="136"/>
      <c r="Y323" s="136"/>
      <c r="Z323" s="136"/>
      <c r="AA323" s="136"/>
      <c r="AB323" s="136"/>
      <c r="AC323" s="136"/>
      <c r="AD323" s="136"/>
      <c r="AE323" s="136"/>
    </row>
    <row r="324" spans="13:31" ht="21" hidden="1" customHeight="1">
      <c r="M324" s="148" t="s">
        <v>1049</v>
      </c>
      <c r="N324" s="149" t="s">
        <v>64</v>
      </c>
      <c r="O324" s="150" t="s">
        <v>653</v>
      </c>
      <c r="P324" s="151" t="s">
        <v>1050</v>
      </c>
      <c r="Q324" s="152" t="s">
        <v>1010</v>
      </c>
      <c r="R324" s="135"/>
      <c r="S324" s="136"/>
      <c r="T324" s="136"/>
      <c r="U324" s="136"/>
      <c r="V324" s="136"/>
      <c r="W324" s="136"/>
      <c r="X324" s="136"/>
      <c r="Y324" s="136"/>
      <c r="Z324" s="136"/>
      <c r="AA324" s="136"/>
      <c r="AB324" s="136"/>
      <c r="AC324" s="136"/>
      <c r="AD324" s="136"/>
      <c r="AE324" s="136"/>
    </row>
    <row r="325" spans="13:31" ht="21" hidden="1" customHeight="1">
      <c r="M325" s="148" t="s">
        <v>1051</v>
      </c>
      <c r="N325" s="149" t="s">
        <v>64</v>
      </c>
      <c r="O325" s="150" t="s">
        <v>653</v>
      </c>
      <c r="P325" s="151" t="s">
        <v>1050</v>
      </c>
      <c r="Q325" s="152" t="s">
        <v>1002</v>
      </c>
      <c r="R325" s="135"/>
      <c r="S325" s="136"/>
      <c r="T325" s="136"/>
      <c r="U325" s="136"/>
      <c r="V325" s="136"/>
      <c r="W325" s="136"/>
      <c r="X325" s="136"/>
      <c r="Y325" s="136"/>
      <c r="Z325" s="136"/>
      <c r="AA325" s="136"/>
      <c r="AB325" s="136"/>
      <c r="AC325" s="136"/>
      <c r="AD325" s="136"/>
      <c r="AE325" s="136"/>
    </row>
    <row r="326" spans="13:31" ht="21" hidden="1" customHeight="1">
      <c r="M326" s="148" t="s">
        <v>1052</v>
      </c>
      <c r="N326" s="149" t="s">
        <v>64</v>
      </c>
      <c r="O326" s="150" t="s">
        <v>653</v>
      </c>
      <c r="P326" s="151" t="s">
        <v>1050</v>
      </c>
      <c r="Q326" s="152" t="s">
        <v>1018</v>
      </c>
      <c r="R326" s="135"/>
      <c r="S326" s="136"/>
      <c r="T326" s="136"/>
      <c r="U326" s="136"/>
      <c r="V326" s="136"/>
      <c r="W326" s="136"/>
      <c r="X326" s="136"/>
      <c r="Y326" s="136"/>
      <c r="Z326" s="136"/>
      <c r="AA326" s="136"/>
      <c r="AB326" s="136"/>
      <c r="AC326" s="136"/>
      <c r="AD326" s="136"/>
      <c r="AE326" s="136"/>
    </row>
    <row r="327" spans="13:31" ht="21" hidden="1" customHeight="1">
      <c r="M327" s="148" t="s">
        <v>1053</v>
      </c>
      <c r="N327" s="149" t="s">
        <v>64</v>
      </c>
      <c r="O327" s="150" t="s">
        <v>653</v>
      </c>
      <c r="P327" s="151" t="s">
        <v>1050</v>
      </c>
      <c r="Q327" s="152" t="s">
        <v>1008</v>
      </c>
      <c r="R327" s="135"/>
      <c r="S327" s="136"/>
      <c r="T327" s="136"/>
      <c r="U327" s="136"/>
      <c r="V327" s="136"/>
      <c r="W327" s="136"/>
      <c r="X327" s="136"/>
      <c r="Y327" s="136"/>
      <c r="Z327" s="136"/>
      <c r="AA327" s="136"/>
      <c r="AB327" s="136"/>
      <c r="AC327" s="136"/>
      <c r="AD327" s="136"/>
      <c r="AE327" s="136"/>
    </row>
    <row r="328" spans="13:31" ht="21" hidden="1" customHeight="1">
      <c r="M328" s="148" t="s">
        <v>1054</v>
      </c>
      <c r="N328" s="149" t="s">
        <v>64</v>
      </c>
      <c r="O328" s="150" t="s">
        <v>653</v>
      </c>
      <c r="P328" s="151" t="s">
        <v>1055</v>
      </c>
      <c r="Q328" s="152" t="s">
        <v>1012</v>
      </c>
      <c r="R328" s="135"/>
      <c r="S328" s="136"/>
      <c r="T328" s="136"/>
      <c r="U328" s="136"/>
      <c r="V328" s="136"/>
      <c r="W328" s="136"/>
      <c r="X328" s="136"/>
      <c r="Y328" s="136"/>
      <c r="Z328" s="136"/>
      <c r="AA328" s="136"/>
      <c r="AB328" s="136"/>
      <c r="AC328" s="136"/>
      <c r="AD328" s="136"/>
      <c r="AE328" s="136"/>
    </row>
    <row r="329" spans="13:31" ht="21" hidden="1" customHeight="1">
      <c r="M329" s="148" t="s">
        <v>1056</v>
      </c>
      <c r="N329" s="149" t="s">
        <v>64</v>
      </c>
      <c r="O329" s="150" t="s">
        <v>653</v>
      </c>
      <c r="P329" s="151" t="s">
        <v>1055</v>
      </c>
      <c r="Q329" s="152" t="s">
        <v>1006</v>
      </c>
      <c r="R329" s="135"/>
      <c r="S329" s="136"/>
      <c r="T329" s="136"/>
      <c r="U329" s="136"/>
      <c r="V329" s="136"/>
      <c r="W329" s="136"/>
      <c r="X329" s="136"/>
      <c r="Y329" s="136"/>
      <c r="Z329" s="136"/>
      <c r="AA329" s="136"/>
      <c r="AB329" s="136"/>
      <c r="AC329" s="136"/>
      <c r="AD329" s="136"/>
      <c r="AE329" s="136"/>
    </row>
    <row r="330" spans="13:31" ht="20.75" hidden="1" customHeight="1">
      <c r="M330" s="153" t="s">
        <v>1057</v>
      </c>
      <c r="N330" s="132" t="s">
        <v>113</v>
      </c>
      <c r="O330" s="132" t="s">
        <v>653</v>
      </c>
      <c r="P330" s="154" t="s">
        <v>1058</v>
      </c>
      <c r="Q330" s="155" t="s">
        <v>512</v>
      </c>
      <c r="R330" s="135"/>
      <c r="S330" s="136"/>
      <c r="T330" s="136"/>
      <c r="U330" s="136"/>
      <c r="V330" s="136"/>
      <c r="W330" s="136"/>
      <c r="X330" s="136"/>
      <c r="Y330" s="136"/>
      <c r="Z330" s="136"/>
      <c r="AA330" s="136"/>
      <c r="AB330" s="136"/>
      <c r="AC330" s="136"/>
      <c r="AD330" s="136"/>
      <c r="AE330" s="136"/>
    </row>
    <row r="331" spans="13:31" ht="20.75" hidden="1" customHeight="1">
      <c r="M331" s="156" t="s">
        <v>1059</v>
      </c>
      <c r="N331" s="132" t="s">
        <v>113</v>
      </c>
      <c r="O331" s="132" t="s">
        <v>653</v>
      </c>
      <c r="P331" s="132" t="s">
        <v>1058</v>
      </c>
      <c r="Q331" s="134" t="s">
        <v>513</v>
      </c>
      <c r="R331" s="135"/>
      <c r="S331" s="136"/>
      <c r="T331" s="136"/>
      <c r="U331" s="136"/>
      <c r="V331" s="136"/>
      <c r="W331" s="136"/>
      <c r="X331" s="136"/>
      <c r="Y331" s="136"/>
      <c r="Z331" s="136"/>
      <c r="AA331" s="136"/>
      <c r="AB331" s="136"/>
      <c r="AC331" s="136"/>
      <c r="AD331" s="136"/>
      <c r="AE331" s="136"/>
    </row>
    <row r="332" spans="13:31" ht="20.75" hidden="1" customHeight="1">
      <c r="M332" s="156" t="s">
        <v>1060</v>
      </c>
      <c r="N332" s="132" t="s">
        <v>113</v>
      </c>
      <c r="O332" s="132" t="s">
        <v>653</v>
      </c>
      <c r="P332" s="132" t="s">
        <v>1058</v>
      </c>
      <c r="Q332" s="134" t="s">
        <v>514</v>
      </c>
      <c r="R332" s="135"/>
      <c r="S332" s="136"/>
      <c r="T332" s="136"/>
      <c r="U332" s="136"/>
      <c r="V332" s="136"/>
      <c r="W332" s="136"/>
      <c r="X332" s="136"/>
      <c r="Y332" s="136"/>
      <c r="Z332" s="136"/>
      <c r="AA332" s="136"/>
      <c r="AB332" s="136"/>
      <c r="AC332" s="136"/>
      <c r="AD332" s="136"/>
      <c r="AE332" s="136"/>
    </row>
    <row r="333" spans="13:31" ht="20.75" hidden="1" customHeight="1">
      <c r="M333" s="156" t="s">
        <v>1061</v>
      </c>
      <c r="N333" s="132" t="s">
        <v>113</v>
      </c>
      <c r="O333" s="132" t="s">
        <v>653</v>
      </c>
      <c r="P333" s="132" t="s">
        <v>1058</v>
      </c>
      <c r="Q333" s="134" t="s">
        <v>515</v>
      </c>
      <c r="R333" s="135"/>
      <c r="S333" s="136"/>
      <c r="T333" s="136"/>
      <c r="U333" s="136"/>
      <c r="V333" s="136"/>
      <c r="W333" s="136"/>
      <c r="X333" s="136"/>
      <c r="Y333" s="136"/>
      <c r="Z333" s="136"/>
      <c r="AA333" s="136"/>
      <c r="AB333" s="136"/>
      <c r="AC333" s="136"/>
      <c r="AD333" s="136"/>
      <c r="AE333" s="136"/>
    </row>
    <row r="334" spans="13:31" ht="20.75" hidden="1" customHeight="1">
      <c r="M334" s="156" t="s">
        <v>1062</v>
      </c>
      <c r="N334" s="132" t="s">
        <v>113</v>
      </c>
      <c r="O334" s="132" t="s">
        <v>653</v>
      </c>
      <c r="P334" s="132" t="s">
        <v>1058</v>
      </c>
      <c r="Q334" s="134" t="s">
        <v>516</v>
      </c>
      <c r="R334" s="135"/>
      <c r="S334" s="136"/>
      <c r="T334" s="136"/>
      <c r="U334" s="136"/>
      <c r="V334" s="136"/>
      <c r="W334" s="136"/>
      <c r="X334" s="136"/>
      <c r="Y334" s="136"/>
      <c r="Z334" s="136"/>
      <c r="AA334" s="136"/>
      <c r="AB334" s="136"/>
      <c r="AC334" s="136"/>
      <c r="AD334" s="136"/>
      <c r="AE334" s="136"/>
    </row>
    <row r="335" spans="13:31" ht="20.75" hidden="1" customHeight="1">
      <c r="M335" s="156" t="s">
        <v>1063</v>
      </c>
      <c r="N335" s="132" t="s">
        <v>113</v>
      </c>
      <c r="O335" s="132" t="s">
        <v>653</v>
      </c>
      <c r="P335" s="132" t="s">
        <v>1058</v>
      </c>
      <c r="Q335" s="134" t="s">
        <v>517</v>
      </c>
      <c r="R335" s="135"/>
      <c r="S335" s="136"/>
      <c r="T335" s="136"/>
      <c r="U335" s="136"/>
      <c r="V335" s="136"/>
      <c r="W335" s="136"/>
      <c r="X335" s="136"/>
      <c r="Y335" s="136"/>
      <c r="Z335" s="136"/>
      <c r="AA335" s="136"/>
      <c r="AB335" s="136"/>
      <c r="AC335" s="136"/>
      <c r="AD335" s="136"/>
      <c r="AE335" s="136"/>
    </row>
    <row r="336" spans="13:31" ht="20.75" hidden="1" customHeight="1">
      <c r="M336" s="156" t="s">
        <v>1064</v>
      </c>
      <c r="N336" s="132" t="s">
        <v>113</v>
      </c>
      <c r="O336" s="132" t="s">
        <v>653</v>
      </c>
      <c r="P336" s="132" t="s">
        <v>1065</v>
      </c>
      <c r="Q336" s="134" t="s">
        <v>518</v>
      </c>
      <c r="R336" s="135"/>
      <c r="S336" s="136"/>
      <c r="T336" s="136"/>
      <c r="U336" s="136"/>
      <c r="V336" s="136"/>
      <c r="W336" s="136"/>
      <c r="X336" s="136"/>
      <c r="Y336" s="136"/>
      <c r="Z336" s="136"/>
      <c r="AA336" s="136"/>
      <c r="AB336" s="136"/>
      <c r="AC336" s="136"/>
      <c r="AD336" s="136"/>
      <c r="AE336" s="136"/>
    </row>
    <row r="337" spans="2:36" ht="20.75" hidden="1" customHeight="1">
      <c r="M337" s="156" t="s">
        <v>1066</v>
      </c>
      <c r="N337" s="132" t="s">
        <v>113</v>
      </c>
      <c r="O337" s="132" t="s">
        <v>653</v>
      </c>
      <c r="P337" s="132" t="s">
        <v>1065</v>
      </c>
      <c r="Q337" s="134" t="s">
        <v>512</v>
      </c>
      <c r="R337" s="135"/>
      <c r="S337" s="136"/>
      <c r="T337" s="136"/>
      <c r="U337" s="136"/>
      <c r="V337" s="136"/>
      <c r="W337" s="136"/>
      <c r="X337" s="136"/>
      <c r="Y337" s="136"/>
      <c r="Z337" s="136"/>
      <c r="AA337" s="136"/>
      <c r="AB337" s="136"/>
      <c r="AC337" s="136"/>
      <c r="AD337" s="136"/>
      <c r="AE337" s="136"/>
    </row>
    <row r="338" spans="2:36" ht="20.75" hidden="1" customHeight="1">
      <c r="M338" s="156" t="s">
        <v>1067</v>
      </c>
      <c r="N338" s="132" t="s">
        <v>113</v>
      </c>
      <c r="O338" s="132" t="s">
        <v>653</v>
      </c>
      <c r="P338" s="132" t="s">
        <v>1065</v>
      </c>
      <c r="Q338" s="134" t="s">
        <v>517</v>
      </c>
      <c r="R338" s="135"/>
      <c r="S338" s="136"/>
      <c r="T338" s="136"/>
      <c r="U338" s="136"/>
      <c r="V338" s="136"/>
      <c r="W338" s="136"/>
      <c r="X338" s="136"/>
      <c r="Y338" s="136"/>
      <c r="Z338" s="136"/>
      <c r="AA338" s="136"/>
      <c r="AB338" s="136"/>
      <c r="AC338" s="136"/>
      <c r="AD338" s="136"/>
      <c r="AE338" s="136"/>
    </row>
    <row r="339" spans="2:36" ht="20.75" hidden="1" customHeight="1">
      <c r="M339" s="156" t="s">
        <v>1068</v>
      </c>
      <c r="N339" s="132" t="s">
        <v>113</v>
      </c>
      <c r="O339" s="132" t="s">
        <v>653</v>
      </c>
      <c r="P339" s="132" t="s">
        <v>1065</v>
      </c>
      <c r="Q339" s="134" t="s">
        <v>519</v>
      </c>
      <c r="R339" s="135"/>
      <c r="S339" s="136"/>
      <c r="T339" s="136"/>
      <c r="U339" s="136"/>
      <c r="V339" s="136"/>
      <c r="W339" s="136"/>
      <c r="X339" s="136"/>
      <c r="Y339" s="136"/>
      <c r="Z339" s="136"/>
      <c r="AA339" s="136"/>
      <c r="AB339" s="136"/>
      <c r="AC339" s="136"/>
      <c r="AD339" s="136"/>
      <c r="AE339" s="136"/>
    </row>
    <row r="340" spans="2:36" ht="20.75" hidden="1" customHeight="1">
      <c r="M340" s="156" t="s">
        <v>1069</v>
      </c>
      <c r="N340" s="132" t="s">
        <v>113</v>
      </c>
      <c r="O340" s="132" t="s">
        <v>653</v>
      </c>
      <c r="P340" s="132" t="s">
        <v>1065</v>
      </c>
      <c r="Q340" s="134" t="s">
        <v>520</v>
      </c>
      <c r="R340" s="135"/>
      <c r="S340" s="136"/>
      <c r="T340" s="136"/>
      <c r="U340" s="136"/>
      <c r="V340" s="136"/>
      <c r="W340" s="136"/>
      <c r="X340" s="136"/>
      <c r="Y340" s="136"/>
      <c r="Z340" s="136"/>
      <c r="AA340" s="136"/>
      <c r="AB340" s="136"/>
      <c r="AC340" s="136"/>
      <c r="AD340" s="136"/>
      <c r="AE340" s="136"/>
    </row>
    <row r="341" spans="2:36" ht="20.75" hidden="1" customHeight="1">
      <c r="M341" s="156" t="s">
        <v>1070</v>
      </c>
      <c r="N341" s="132" t="s">
        <v>113</v>
      </c>
      <c r="O341" s="132" t="s">
        <v>653</v>
      </c>
      <c r="P341" s="132" t="s">
        <v>1065</v>
      </c>
      <c r="Q341" s="134" t="s">
        <v>521</v>
      </c>
      <c r="R341" s="135"/>
      <c r="S341" s="136"/>
      <c r="T341" s="136"/>
      <c r="U341" s="136"/>
      <c r="V341" s="136"/>
      <c r="W341" s="136"/>
      <c r="X341" s="136"/>
      <c r="Y341" s="136"/>
      <c r="Z341" s="136"/>
      <c r="AA341" s="136"/>
      <c r="AB341" s="136"/>
      <c r="AC341" s="136"/>
      <c r="AD341" s="136"/>
      <c r="AE341" s="136"/>
    </row>
    <row r="342" spans="2:36" ht="20.75" hidden="1" customHeight="1">
      <c r="M342" s="156" t="s">
        <v>1071</v>
      </c>
      <c r="N342" s="132" t="s">
        <v>113</v>
      </c>
      <c r="O342" s="132" t="s">
        <v>653</v>
      </c>
      <c r="P342" s="132" t="s">
        <v>1072</v>
      </c>
      <c r="Q342" s="134" t="s">
        <v>521</v>
      </c>
      <c r="R342" s="135"/>
      <c r="S342" s="136"/>
      <c r="T342" s="136"/>
      <c r="U342" s="136"/>
      <c r="V342" s="136"/>
      <c r="W342" s="136"/>
      <c r="X342" s="136"/>
      <c r="Y342" s="136"/>
      <c r="Z342" s="136"/>
      <c r="AA342" s="136"/>
      <c r="AB342" s="136"/>
      <c r="AC342" s="136"/>
      <c r="AD342" s="136"/>
      <c r="AE342" s="136"/>
    </row>
    <row r="343" spans="2:36" ht="20.75" hidden="1" customHeight="1">
      <c r="M343" s="156" t="s">
        <v>1073</v>
      </c>
      <c r="N343" s="132" t="s">
        <v>113</v>
      </c>
      <c r="O343" s="132" t="s">
        <v>653</v>
      </c>
      <c r="P343" s="132" t="s">
        <v>1072</v>
      </c>
      <c r="Q343" s="134" t="s">
        <v>515</v>
      </c>
      <c r="R343" s="135"/>
      <c r="S343" s="136"/>
      <c r="T343" s="136"/>
      <c r="U343" s="136"/>
      <c r="V343" s="136"/>
      <c r="W343" s="136"/>
      <c r="X343" s="136"/>
      <c r="Y343" s="136"/>
      <c r="Z343" s="136"/>
      <c r="AA343" s="136"/>
      <c r="AB343" s="136"/>
      <c r="AC343" s="136"/>
      <c r="AD343" s="136"/>
      <c r="AE343" s="136"/>
    </row>
    <row r="344" spans="2:36" ht="20.75" hidden="1" customHeight="1">
      <c r="M344" s="156" t="s">
        <v>1074</v>
      </c>
      <c r="N344" s="132" t="s">
        <v>113</v>
      </c>
      <c r="O344" s="132" t="s">
        <v>653</v>
      </c>
      <c r="P344" s="132" t="s">
        <v>1072</v>
      </c>
      <c r="Q344" s="134" t="s">
        <v>516</v>
      </c>
      <c r="R344" s="135"/>
      <c r="S344" s="136"/>
      <c r="T344" s="136"/>
      <c r="U344" s="136"/>
      <c r="V344" s="136"/>
      <c r="W344" s="136"/>
      <c r="X344" s="136"/>
      <c r="Y344" s="136"/>
      <c r="Z344" s="136"/>
      <c r="AA344" s="136"/>
      <c r="AB344" s="136"/>
      <c r="AC344" s="136"/>
      <c r="AD344" s="136"/>
      <c r="AE344" s="136"/>
    </row>
    <row r="345" spans="2:36" ht="20.75" hidden="1" customHeight="1">
      <c r="M345" s="156" t="s">
        <v>1075</v>
      </c>
      <c r="N345" s="132" t="s">
        <v>113</v>
      </c>
      <c r="O345" s="132" t="s">
        <v>653</v>
      </c>
      <c r="P345" s="132" t="s">
        <v>1072</v>
      </c>
      <c r="Q345" s="134" t="s">
        <v>514</v>
      </c>
      <c r="R345" s="135"/>
      <c r="S345" s="136"/>
      <c r="T345" s="136"/>
      <c r="U345" s="136"/>
      <c r="V345" s="136"/>
      <c r="W345" s="136"/>
      <c r="X345" s="136"/>
      <c r="Y345" s="136"/>
      <c r="Z345" s="136"/>
      <c r="AA345" s="136"/>
      <c r="AB345" s="136"/>
      <c r="AC345" s="136"/>
      <c r="AD345" s="136"/>
      <c r="AE345" s="136"/>
    </row>
    <row r="346" spans="2:36" ht="20.75" hidden="1" customHeight="1">
      <c r="M346" s="156" t="s">
        <v>1076</v>
      </c>
      <c r="N346" s="132" t="s">
        <v>113</v>
      </c>
      <c r="O346" s="132" t="s">
        <v>653</v>
      </c>
      <c r="P346" s="132" t="s">
        <v>1072</v>
      </c>
      <c r="Q346" s="134" t="s">
        <v>512</v>
      </c>
      <c r="R346" s="135"/>
      <c r="S346" s="136"/>
      <c r="T346" s="136"/>
      <c r="U346" s="136"/>
      <c r="V346" s="136"/>
      <c r="W346" s="136"/>
      <c r="X346" s="136"/>
      <c r="Y346" s="136"/>
      <c r="Z346" s="136"/>
      <c r="AA346" s="136"/>
      <c r="AB346" s="136"/>
      <c r="AC346" s="136"/>
      <c r="AD346" s="136"/>
      <c r="AE346" s="136"/>
    </row>
    <row r="347" spans="2:36" ht="20.75" hidden="1" customHeight="1">
      <c r="M347" s="157" t="s">
        <v>1077</v>
      </c>
      <c r="N347" s="158" t="s">
        <v>113</v>
      </c>
      <c r="O347" s="158" t="s">
        <v>653</v>
      </c>
      <c r="P347" s="158" t="s">
        <v>1072</v>
      </c>
      <c r="Q347" s="159" t="s">
        <v>522</v>
      </c>
      <c r="R347" s="135"/>
      <c r="S347" s="136"/>
      <c r="T347" s="136"/>
      <c r="U347" s="136"/>
      <c r="V347" s="136"/>
      <c r="W347" s="136"/>
      <c r="X347" s="136"/>
      <c r="Y347" s="136"/>
      <c r="Z347" s="136"/>
      <c r="AA347" s="136"/>
      <c r="AB347" s="136"/>
      <c r="AC347" s="136"/>
      <c r="AD347" s="136"/>
      <c r="AE347" s="136"/>
    </row>
    <row r="349" spans="2:36" ht="27.75" customHeight="1">
      <c r="B349" s="924" t="s">
        <v>1078</v>
      </c>
      <c r="C349" s="924"/>
      <c r="D349" s="924"/>
      <c r="E349" s="924"/>
      <c r="F349" s="924"/>
      <c r="G349" s="924"/>
      <c r="H349" s="924"/>
      <c r="I349" s="924"/>
      <c r="J349" s="924"/>
      <c r="K349" s="924"/>
      <c r="L349" s="924"/>
      <c r="M349" s="924"/>
    </row>
    <row r="350" spans="2:36" ht="44.25" customHeight="1">
      <c r="B350" s="98"/>
      <c r="C350" s="98"/>
      <c r="D350" s="98"/>
      <c r="E350" s="4" t="s">
        <v>1079</v>
      </c>
      <c r="F350" s="4" t="s">
        <v>1080</v>
      </c>
      <c r="G350" s="4" t="s">
        <v>1081</v>
      </c>
      <c r="H350" s="4" t="s">
        <v>1082</v>
      </c>
      <c r="I350" s="4" t="s">
        <v>1083</v>
      </c>
      <c r="J350" s="340" t="s">
        <v>1403</v>
      </c>
      <c r="K350" s="4" t="s">
        <v>1084</v>
      </c>
      <c r="L350" s="4" t="s">
        <v>1085</v>
      </c>
      <c r="M350" s="4" t="s">
        <v>537</v>
      </c>
      <c r="AF350" s="4" t="s">
        <v>535</v>
      </c>
      <c r="AG350" s="311" t="s">
        <v>1395</v>
      </c>
      <c r="AH350" s="299" t="s">
        <v>1323</v>
      </c>
      <c r="AI350" s="311" t="s">
        <v>1337</v>
      </c>
      <c r="AJ350" s="311" t="s">
        <v>1396</v>
      </c>
    </row>
    <row r="351" spans="2:36" ht="32.25" customHeight="1">
      <c r="B351" s="99" t="s">
        <v>532</v>
      </c>
      <c r="C351" s="161" t="s">
        <v>1086</v>
      </c>
      <c r="D351" s="11" t="s">
        <v>264</v>
      </c>
      <c r="E351" s="100">
        <v>1</v>
      </c>
      <c r="F351" s="162"/>
      <c r="G351" s="162" t="s">
        <v>1087</v>
      </c>
      <c r="H351" s="22"/>
      <c r="I351" s="22"/>
      <c r="J351" s="22"/>
      <c r="K351" s="11" t="s">
        <v>1088</v>
      </c>
      <c r="L351" s="11" t="s">
        <v>47</v>
      </c>
      <c r="M351" s="11" t="s">
        <v>1089</v>
      </c>
      <c r="AF351" s="344" t="s">
        <v>1433</v>
      </c>
      <c r="AG351" s="300"/>
      <c r="AH351" s="300"/>
      <c r="AI351" s="326"/>
      <c r="AJ351" s="300"/>
    </row>
    <row r="352" spans="2:36" ht="28">
      <c r="B352" s="163" t="s">
        <v>524</v>
      </c>
      <c r="C352" s="164" t="s">
        <v>1327</v>
      </c>
      <c r="D352" s="40" t="s">
        <v>1333</v>
      </c>
      <c r="E352" s="38">
        <v>1</v>
      </c>
      <c r="F352" s="32"/>
      <c r="G352" s="32"/>
      <c r="H352" s="40"/>
      <c r="I352" s="40"/>
      <c r="J352" s="288"/>
      <c r="K352" s="40"/>
      <c r="L352" s="40"/>
      <c r="M352" s="26" t="s">
        <v>1090</v>
      </c>
      <c r="AF352" s="307" t="s">
        <v>1328</v>
      </c>
      <c r="AG352" s="300"/>
      <c r="AH352" s="300"/>
      <c r="AI352" s="326"/>
      <c r="AJ352" s="300"/>
    </row>
    <row r="353" spans="2:36" ht="20" customHeight="1">
      <c r="B353" s="101" t="s">
        <v>530</v>
      </c>
      <c r="C353" s="164" t="s">
        <v>91</v>
      </c>
      <c r="D353" s="26" t="s">
        <v>90</v>
      </c>
      <c r="E353" s="38">
        <v>100</v>
      </c>
      <c r="F353" s="32"/>
      <c r="G353" s="32"/>
      <c r="H353" s="40"/>
      <c r="I353" s="40"/>
      <c r="J353" s="288"/>
      <c r="K353" s="40"/>
      <c r="L353" s="40"/>
      <c r="M353" s="40"/>
      <c r="AF353" s="307" t="s">
        <v>1434</v>
      </c>
      <c r="AG353" s="300"/>
      <c r="AH353" s="300"/>
      <c r="AI353" s="326"/>
      <c r="AJ353" s="300"/>
    </row>
    <row r="354" spans="2:36" ht="20" customHeight="1">
      <c r="B354" s="101" t="s">
        <v>525</v>
      </c>
      <c r="C354" s="164" t="s">
        <v>160</v>
      </c>
      <c r="D354" s="26" t="s">
        <v>1091</v>
      </c>
      <c r="E354" s="38">
        <v>200</v>
      </c>
      <c r="F354" s="32" t="s">
        <v>47</v>
      </c>
      <c r="G354" s="32"/>
      <c r="H354" s="40"/>
      <c r="I354" s="40"/>
      <c r="J354" s="288"/>
      <c r="K354" s="40"/>
      <c r="L354" s="40"/>
      <c r="M354" s="40"/>
      <c r="AF354" s="345" t="s">
        <v>1435</v>
      </c>
      <c r="AG354" s="300"/>
      <c r="AH354" s="300"/>
      <c r="AI354" s="326"/>
      <c r="AJ354" s="300"/>
    </row>
    <row r="355" spans="2:36" ht="32" customHeight="1">
      <c r="B355" s="101" t="s">
        <v>538</v>
      </c>
      <c r="C355" s="164" t="s">
        <v>1092</v>
      </c>
      <c r="D355" s="26" t="s">
        <v>1093</v>
      </c>
      <c r="E355" s="38">
        <v>1</v>
      </c>
      <c r="F355" s="32"/>
      <c r="G355" s="32" t="s">
        <v>1094</v>
      </c>
      <c r="H355" s="40"/>
      <c r="I355" s="26" t="s">
        <v>50</v>
      </c>
      <c r="J355" s="26"/>
      <c r="K355" s="26" t="s">
        <v>59</v>
      </c>
      <c r="L355" s="26" t="s">
        <v>47</v>
      </c>
      <c r="M355" s="40"/>
      <c r="AF355" s="307" t="s">
        <v>1329</v>
      </c>
      <c r="AG355" s="300"/>
      <c r="AH355" s="300"/>
      <c r="AI355" s="326"/>
      <c r="AJ355" s="300"/>
    </row>
    <row r="356" spans="2:36" ht="35" customHeight="1">
      <c r="B356" s="163" t="s">
        <v>1095</v>
      </c>
      <c r="C356" s="164" t="s">
        <v>1096</v>
      </c>
      <c r="D356" s="26" t="s">
        <v>335</v>
      </c>
      <c r="E356" s="38">
        <v>1</v>
      </c>
      <c r="F356" s="32" t="s">
        <v>1097</v>
      </c>
      <c r="G356" s="32"/>
      <c r="H356" s="40"/>
      <c r="I356" s="26" t="s">
        <v>50</v>
      </c>
      <c r="J356" s="26"/>
      <c r="K356" s="26" t="s">
        <v>1098</v>
      </c>
      <c r="L356" s="38">
        <v>341473</v>
      </c>
      <c r="M356" s="26" t="s">
        <v>1099</v>
      </c>
      <c r="AF356" s="307" t="s">
        <v>1436</v>
      </c>
      <c r="AG356" s="300"/>
      <c r="AH356" s="300"/>
      <c r="AI356" s="326"/>
      <c r="AJ356" s="300"/>
    </row>
    <row r="357" spans="2:36" ht="20" customHeight="1">
      <c r="B357" s="101" t="s">
        <v>1100</v>
      </c>
      <c r="C357" s="164" t="s">
        <v>1101</v>
      </c>
      <c r="D357" s="26" t="s">
        <v>1102</v>
      </c>
      <c r="E357" s="38">
        <v>1</v>
      </c>
      <c r="F357" s="32"/>
      <c r="G357" s="32"/>
      <c r="H357" s="40"/>
      <c r="I357" s="26" t="s">
        <v>50</v>
      </c>
      <c r="J357" s="26"/>
      <c r="K357" s="26" t="s">
        <v>59</v>
      </c>
      <c r="L357" s="26" t="s">
        <v>47</v>
      </c>
      <c r="M357" s="26" t="s">
        <v>1103</v>
      </c>
      <c r="AF357" s="307" t="s">
        <v>1437</v>
      </c>
      <c r="AG357" s="300"/>
      <c r="AH357" s="300"/>
      <c r="AI357" s="326"/>
      <c r="AJ357" s="300"/>
    </row>
    <row r="358" spans="2:36" ht="20" customHeight="1">
      <c r="B358" s="101" t="s">
        <v>1104</v>
      </c>
      <c r="C358" s="164" t="s">
        <v>1105</v>
      </c>
      <c r="D358" s="26" t="s">
        <v>1106</v>
      </c>
      <c r="E358" s="38">
        <v>1</v>
      </c>
      <c r="F358" s="32"/>
      <c r="G358" s="32"/>
      <c r="H358" s="40"/>
      <c r="I358" s="40"/>
      <c r="J358" s="288"/>
      <c r="K358" s="40"/>
      <c r="L358" s="40"/>
      <c r="M358" s="26" t="s">
        <v>1107</v>
      </c>
      <c r="AF358" s="307" t="s">
        <v>1438</v>
      </c>
      <c r="AG358" s="300"/>
      <c r="AH358" s="300"/>
      <c r="AI358" s="326"/>
      <c r="AJ358" s="300"/>
    </row>
    <row r="359" spans="2:36" ht="31" customHeight="1">
      <c r="B359" s="101" t="s">
        <v>528</v>
      </c>
      <c r="C359" s="164" t="s">
        <v>1108</v>
      </c>
      <c r="D359" s="26" t="s">
        <v>279</v>
      </c>
      <c r="E359" s="38">
        <v>1</v>
      </c>
      <c r="F359" s="32"/>
      <c r="G359" s="32"/>
      <c r="H359" s="40"/>
      <c r="I359" s="40"/>
      <c r="J359" s="288"/>
      <c r="K359" s="40"/>
      <c r="L359" s="40"/>
      <c r="M359" s="26" t="s">
        <v>1109</v>
      </c>
      <c r="AF359" s="307" t="s">
        <v>1331</v>
      </c>
      <c r="AG359" s="300"/>
      <c r="AH359" s="300"/>
      <c r="AI359" s="326"/>
      <c r="AJ359" s="300"/>
    </row>
    <row r="360" spans="2:36" ht="20" customHeight="1">
      <c r="B360" s="101" t="s">
        <v>526</v>
      </c>
      <c r="C360" s="164" t="s">
        <v>174</v>
      </c>
      <c r="D360" s="26" t="s">
        <v>553</v>
      </c>
      <c r="E360" s="38">
        <v>350</v>
      </c>
      <c r="F360" s="32" t="s">
        <v>1110</v>
      </c>
      <c r="G360" s="32"/>
      <c r="H360" s="40"/>
      <c r="I360" s="40"/>
      <c r="J360" s="288"/>
      <c r="K360" s="40"/>
      <c r="L360" s="40"/>
      <c r="M360" s="40"/>
      <c r="AF360" s="307" t="s">
        <v>1332</v>
      </c>
      <c r="AG360" s="300"/>
      <c r="AH360" s="300"/>
      <c r="AI360" s="326"/>
      <c r="AJ360" s="300"/>
    </row>
    <row r="361" spans="2:36" ht="20" customHeight="1">
      <c r="B361" s="101" t="s">
        <v>533</v>
      </c>
      <c r="C361" s="164" t="s">
        <v>104</v>
      </c>
      <c r="D361" s="26" t="s">
        <v>1111</v>
      </c>
      <c r="E361" s="38">
        <v>15</v>
      </c>
      <c r="F361" s="32"/>
      <c r="G361" s="32"/>
      <c r="H361" s="40"/>
      <c r="I361" s="40"/>
      <c r="J361" s="288"/>
      <c r="K361" s="40"/>
      <c r="L361" s="40"/>
      <c r="M361" s="40"/>
      <c r="AF361" s="307" t="s">
        <v>1439</v>
      </c>
      <c r="AG361" s="300"/>
      <c r="AH361" s="300"/>
      <c r="AI361" s="326"/>
      <c r="AJ361" s="300"/>
    </row>
    <row r="362" spans="2:36" ht="88" customHeight="1">
      <c r="B362" s="101" t="s">
        <v>527</v>
      </c>
      <c r="C362" s="164" t="s">
        <v>1112</v>
      </c>
      <c r="D362" s="26" t="s">
        <v>1113</v>
      </c>
      <c r="E362" s="38">
        <v>1</v>
      </c>
      <c r="F362" s="32"/>
      <c r="G362" s="32"/>
      <c r="H362" s="40"/>
      <c r="I362" s="40"/>
      <c r="J362" s="288"/>
      <c r="K362" s="40"/>
      <c r="L362" s="40"/>
      <c r="M362" s="26" t="s">
        <v>1114</v>
      </c>
      <c r="AF362" s="308" t="s">
        <v>1335</v>
      </c>
      <c r="AG362" s="310" t="s">
        <v>1336</v>
      </c>
      <c r="AH362" s="300"/>
      <c r="AI362" s="326" t="s">
        <v>1334</v>
      </c>
      <c r="AJ362" s="300"/>
    </row>
    <row r="363" spans="2:36" ht="61" customHeight="1">
      <c r="B363" s="101" t="s">
        <v>527</v>
      </c>
      <c r="C363" s="164" t="s">
        <v>1115</v>
      </c>
      <c r="D363" s="26" t="s">
        <v>1113</v>
      </c>
      <c r="E363" s="38">
        <v>1</v>
      </c>
      <c r="F363" s="32"/>
      <c r="G363" s="32"/>
      <c r="H363" s="40"/>
      <c r="I363" s="40"/>
      <c r="J363" s="288"/>
      <c r="K363" s="40"/>
      <c r="L363" s="40"/>
      <c r="M363" s="26" t="s">
        <v>1114</v>
      </c>
      <c r="AF363" s="308" t="s">
        <v>1341</v>
      </c>
      <c r="AG363" s="309" t="s">
        <v>1342</v>
      </c>
      <c r="AI363" s="326" t="s">
        <v>1343</v>
      </c>
      <c r="AJ363" s="300"/>
    </row>
    <row r="364" spans="2:36" ht="27" customHeight="1">
      <c r="B364" s="101" t="s">
        <v>46</v>
      </c>
      <c r="C364" s="164" t="s">
        <v>549</v>
      </c>
      <c r="D364" s="26" t="s">
        <v>440</v>
      </c>
      <c r="E364" s="38">
        <v>60</v>
      </c>
      <c r="F364" s="32" t="s">
        <v>1116</v>
      </c>
      <c r="G364" s="32"/>
      <c r="H364" s="40"/>
      <c r="I364" s="40"/>
      <c r="J364" s="288"/>
      <c r="K364" s="40"/>
      <c r="L364" s="40"/>
      <c r="M364" s="26" t="s">
        <v>1117</v>
      </c>
      <c r="AF364" s="258" t="s">
        <v>1440</v>
      </c>
      <c r="AG364" s="309"/>
      <c r="AH364" s="300"/>
      <c r="AI364" s="326"/>
      <c r="AJ364" s="300"/>
    </row>
    <row r="365" spans="2:36" ht="20" customHeight="1">
      <c r="B365" s="101" t="s">
        <v>527</v>
      </c>
      <c r="C365" s="313" t="s">
        <v>1344</v>
      </c>
      <c r="D365" s="252" t="s">
        <v>1345</v>
      </c>
      <c r="E365" s="38">
        <v>1</v>
      </c>
      <c r="F365" s="32"/>
      <c r="G365" s="32"/>
      <c r="H365" s="40"/>
      <c r="I365" s="40"/>
      <c r="J365" s="288"/>
      <c r="K365" s="40"/>
      <c r="L365" s="40"/>
      <c r="M365" s="26" t="s">
        <v>1118</v>
      </c>
      <c r="AF365" s="308" t="s">
        <v>1441</v>
      </c>
      <c r="AG365" s="310" t="s">
        <v>1346</v>
      </c>
      <c r="AI365" s="327" t="s">
        <v>1347</v>
      </c>
      <c r="AJ365" s="312"/>
    </row>
    <row r="366" spans="2:36" ht="20" customHeight="1">
      <c r="B366" s="101" t="s">
        <v>1119</v>
      </c>
      <c r="C366" s="164" t="s">
        <v>1120</v>
      </c>
      <c r="D366" s="26" t="s">
        <v>436</v>
      </c>
      <c r="E366" s="38">
        <v>1</v>
      </c>
      <c r="F366" s="32" t="s">
        <v>1121</v>
      </c>
      <c r="G366" s="32"/>
      <c r="H366" s="40"/>
      <c r="I366" s="40"/>
      <c r="J366" s="288"/>
      <c r="K366" s="40"/>
      <c r="L366" s="40"/>
      <c r="M366" s="26" t="s">
        <v>1122</v>
      </c>
      <c r="AF366" s="307" t="s">
        <v>1442</v>
      </c>
      <c r="AH366" s="300"/>
      <c r="AI366" s="326"/>
      <c r="AJ366" s="300"/>
    </row>
    <row r="367" spans="2:36" ht="32" customHeight="1">
      <c r="B367" s="163" t="s">
        <v>538</v>
      </c>
      <c r="C367" s="164" t="s">
        <v>557</v>
      </c>
      <c r="D367" s="26" t="s">
        <v>378</v>
      </c>
      <c r="E367" s="38">
        <v>1</v>
      </c>
      <c r="F367" s="32" t="s">
        <v>1123</v>
      </c>
      <c r="G367" s="32"/>
      <c r="H367" s="40"/>
      <c r="I367" s="40"/>
      <c r="J367" s="288"/>
      <c r="K367" s="40"/>
      <c r="L367" s="40"/>
      <c r="M367" s="40"/>
      <c r="AF367" s="307" t="s">
        <v>1443</v>
      </c>
      <c r="AG367" s="300"/>
      <c r="AH367" s="300"/>
      <c r="AI367" s="326"/>
      <c r="AJ367" s="300"/>
    </row>
    <row r="368" spans="2:36" ht="32" customHeight="1">
      <c r="B368" s="101" t="s">
        <v>538</v>
      </c>
      <c r="C368" s="164" t="s">
        <v>1124</v>
      </c>
      <c r="D368" s="26" t="s">
        <v>236</v>
      </c>
      <c r="E368" s="38">
        <v>1</v>
      </c>
      <c r="F368" s="32"/>
      <c r="G368" s="32"/>
      <c r="H368" s="40"/>
      <c r="I368" s="40"/>
      <c r="J368" s="288"/>
      <c r="K368" s="40"/>
      <c r="L368" s="40"/>
      <c r="M368" s="26" t="s">
        <v>1125</v>
      </c>
      <c r="AF368" s="307" t="s">
        <v>1349</v>
      </c>
      <c r="AG368" s="314" t="s">
        <v>1348</v>
      </c>
      <c r="AH368" s="300"/>
      <c r="AI368" s="328" t="s">
        <v>1350</v>
      </c>
      <c r="AJ368" s="315"/>
    </row>
    <row r="369" spans="1:42" ht="36" customHeight="1">
      <c r="B369" s="101" t="s">
        <v>538</v>
      </c>
      <c r="C369" s="164" t="s">
        <v>1126</v>
      </c>
      <c r="D369" s="26" t="s">
        <v>236</v>
      </c>
      <c r="E369" s="38">
        <v>1</v>
      </c>
      <c r="F369" s="32"/>
      <c r="G369" s="32"/>
      <c r="H369" s="40"/>
      <c r="I369" s="40"/>
      <c r="J369" s="288"/>
      <c r="K369" s="40"/>
      <c r="L369" s="40"/>
      <c r="M369" s="26" t="s">
        <v>1125</v>
      </c>
      <c r="AF369" s="308" t="s">
        <v>1352</v>
      </c>
      <c r="AG369" s="314" t="s">
        <v>1351</v>
      </c>
      <c r="AH369" s="300"/>
      <c r="AI369" s="328" t="s">
        <v>1353</v>
      </c>
      <c r="AJ369" s="315"/>
    </row>
    <row r="370" spans="1:42" ht="35" customHeight="1">
      <c r="B370" s="101" t="s">
        <v>538</v>
      </c>
      <c r="C370" s="164" t="s">
        <v>1127</v>
      </c>
      <c r="D370" s="26" t="s">
        <v>236</v>
      </c>
      <c r="E370" s="38">
        <v>2</v>
      </c>
      <c r="F370" s="32"/>
      <c r="G370" s="32"/>
      <c r="H370" s="40"/>
      <c r="I370" s="40"/>
      <c r="J370" s="288"/>
      <c r="K370" s="40"/>
      <c r="L370" s="40"/>
      <c r="M370" s="26" t="s">
        <v>1125</v>
      </c>
      <c r="AF370" s="308" t="s">
        <v>1370</v>
      </c>
      <c r="AG370" s="314" t="s">
        <v>1368</v>
      </c>
      <c r="AH370" s="300"/>
      <c r="AI370" s="328" t="s">
        <v>1369</v>
      </c>
      <c r="AJ370" s="315"/>
    </row>
    <row r="371" spans="1:42" ht="20" customHeight="1">
      <c r="B371" s="101" t="s">
        <v>538</v>
      </c>
      <c r="C371" s="164" t="s">
        <v>1128</v>
      </c>
      <c r="D371" s="26" t="s">
        <v>236</v>
      </c>
      <c r="E371" s="38">
        <v>1</v>
      </c>
      <c r="F371" s="32"/>
      <c r="G371" s="32"/>
      <c r="H371" s="40"/>
      <c r="I371" s="40"/>
      <c r="J371" s="288"/>
      <c r="K371" s="40"/>
      <c r="L371" s="40"/>
      <c r="M371" s="26" t="s">
        <v>1125</v>
      </c>
      <c r="AF371" s="308" t="s">
        <v>1373</v>
      </c>
      <c r="AG371" s="312" t="s">
        <v>1371</v>
      </c>
      <c r="AH371" s="300"/>
      <c r="AI371" s="329" t="s">
        <v>1372</v>
      </c>
      <c r="AJ371" s="308"/>
    </row>
    <row r="372" spans="1:42" ht="38" customHeight="1">
      <c r="B372" s="101" t="s">
        <v>538</v>
      </c>
      <c r="C372" s="164" t="s">
        <v>1129</v>
      </c>
      <c r="D372" s="26" t="s">
        <v>236</v>
      </c>
      <c r="E372" s="38">
        <v>1</v>
      </c>
      <c r="F372" s="32"/>
      <c r="G372" s="32"/>
      <c r="H372" s="40"/>
      <c r="I372" s="40"/>
      <c r="J372" s="288"/>
      <c r="K372" s="40"/>
      <c r="L372" s="40"/>
      <c r="M372" s="26" t="s">
        <v>1125</v>
      </c>
      <c r="AF372" s="308" t="s">
        <v>1376</v>
      </c>
      <c r="AG372" s="314" t="s">
        <v>1374</v>
      </c>
      <c r="AH372" s="300"/>
      <c r="AI372" s="330" t="s">
        <v>1375</v>
      </c>
      <c r="AJ372" s="321"/>
    </row>
    <row r="373" spans="1:42" ht="29" customHeight="1">
      <c r="B373" s="101" t="s">
        <v>538</v>
      </c>
      <c r="C373" s="164" t="s">
        <v>1130</v>
      </c>
      <c r="D373" s="26" t="s">
        <v>236</v>
      </c>
      <c r="E373" s="38">
        <v>1</v>
      </c>
      <c r="F373" s="32"/>
      <c r="G373" s="32"/>
      <c r="H373" s="40"/>
      <c r="I373" s="40"/>
      <c r="J373" s="288"/>
      <c r="K373" s="40"/>
      <c r="L373" s="40"/>
      <c r="M373" s="26" t="s">
        <v>1125</v>
      </c>
      <c r="AF373" s="307" t="s">
        <v>1386</v>
      </c>
      <c r="AG373" s="314" t="s">
        <v>1384</v>
      </c>
      <c r="AH373" s="300"/>
      <c r="AI373" s="331" t="s">
        <v>1385</v>
      </c>
      <c r="AJ373" s="323"/>
    </row>
    <row r="374" spans="1:42" ht="26" customHeight="1">
      <c r="B374" s="101" t="s">
        <v>538</v>
      </c>
      <c r="C374" s="164" t="s">
        <v>1131</v>
      </c>
      <c r="D374" s="26" t="s">
        <v>236</v>
      </c>
      <c r="E374" s="38">
        <v>1</v>
      </c>
      <c r="F374" s="32"/>
      <c r="G374" s="32"/>
      <c r="H374" s="40"/>
      <c r="I374" s="40"/>
      <c r="J374" s="288"/>
      <c r="K374" s="40"/>
      <c r="L374" s="40"/>
      <c r="M374" s="26" t="s">
        <v>1125</v>
      </c>
      <c r="AF374" s="308" t="s">
        <v>1388</v>
      </c>
      <c r="AG374" s="314" t="s">
        <v>1387</v>
      </c>
      <c r="AH374" s="300"/>
      <c r="AI374" s="328" t="s">
        <v>1389</v>
      </c>
      <c r="AJ374" s="315"/>
    </row>
    <row r="375" spans="1:42" ht="33" customHeight="1">
      <c r="B375" s="101" t="s">
        <v>538</v>
      </c>
      <c r="C375" s="164" t="s">
        <v>1132</v>
      </c>
      <c r="D375" s="26" t="s">
        <v>236</v>
      </c>
      <c r="E375" s="38">
        <v>1</v>
      </c>
      <c r="F375" s="32"/>
      <c r="G375" s="32"/>
      <c r="H375" s="40"/>
      <c r="I375" s="40"/>
      <c r="J375" s="288"/>
      <c r="K375" s="40"/>
      <c r="L375" s="40"/>
      <c r="M375" s="26" t="s">
        <v>1125</v>
      </c>
      <c r="AF375" s="308" t="s">
        <v>1444</v>
      </c>
      <c r="AG375" s="324" t="s">
        <v>1390</v>
      </c>
      <c r="AH375" s="300"/>
      <c r="AI375" s="332" t="s">
        <v>1391</v>
      </c>
      <c r="AJ375" s="324"/>
    </row>
    <row r="376" spans="1:42" ht="33" customHeight="1">
      <c r="B376" s="101" t="s">
        <v>538</v>
      </c>
      <c r="C376" s="164" t="s">
        <v>1133</v>
      </c>
      <c r="D376" s="26" t="s">
        <v>236</v>
      </c>
      <c r="E376" s="38">
        <v>1</v>
      </c>
      <c r="F376" s="32"/>
      <c r="G376" s="32"/>
      <c r="H376" s="40"/>
      <c r="I376" s="40"/>
      <c r="J376" s="288"/>
      <c r="K376" s="40"/>
      <c r="L376" s="40"/>
      <c r="M376" s="26" t="s">
        <v>1125</v>
      </c>
      <c r="AF376" s="308" t="s">
        <v>1393</v>
      </c>
      <c r="AG376" s="314" t="s">
        <v>1392</v>
      </c>
      <c r="AH376" s="300"/>
      <c r="AI376" s="329" t="s">
        <v>1394</v>
      </c>
      <c r="AJ376" s="308"/>
    </row>
    <row r="377" spans="1:42" ht="20" customHeight="1">
      <c r="B377" s="101" t="s">
        <v>531</v>
      </c>
      <c r="C377" s="164" t="s">
        <v>81</v>
      </c>
      <c r="D377" s="26" t="s">
        <v>1134</v>
      </c>
      <c r="E377" s="38">
        <v>5</v>
      </c>
      <c r="F377" s="32"/>
      <c r="G377" s="32"/>
      <c r="H377" s="40"/>
      <c r="I377" s="40"/>
      <c r="J377" s="288"/>
      <c r="K377" s="40"/>
      <c r="L377" s="40"/>
      <c r="M377" s="40"/>
      <c r="AF377" s="307" t="s">
        <v>1445</v>
      </c>
      <c r="AG377" s="300"/>
      <c r="AH377" s="300"/>
      <c r="AI377" s="326"/>
      <c r="AJ377" s="300"/>
    </row>
    <row r="378" spans="1:42" ht="20" customHeight="1">
      <c r="B378" s="101" t="s">
        <v>116</v>
      </c>
      <c r="C378" s="164" t="s">
        <v>1135</v>
      </c>
      <c r="D378" s="26" t="s">
        <v>201</v>
      </c>
      <c r="E378" s="38">
        <v>1</v>
      </c>
      <c r="F378" s="32"/>
      <c r="G378" s="32"/>
      <c r="H378" s="40"/>
      <c r="I378" s="40"/>
      <c r="J378" s="288"/>
      <c r="K378" s="40"/>
      <c r="L378" s="40"/>
      <c r="M378" s="40"/>
      <c r="AF378" s="307" t="s">
        <v>1446</v>
      </c>
      <c r="AG378" s="300"/>
      <c r="AH378" s="300"/>
      <c r="AI378" s="326"/>
      <c r="AJ378" s="300"/>
    </row>
    <row r="379" spans="1:42" ht="53" customHeight="1">
      <c r="B379" s="101" t="s">
        <v>1136</v>
      </c>
      <c r="C379" s="313" t="s">
        <v>1137</v>
      </c>
      <c r="D379" s="26" t="s">
        <v>502</v>
      </c>
      <c r="E379" s="38">
        <v>4</v>
      </c>
      <c r="F379" s="32" t="s">
        <v>1138</v>
      </c>
      <c r="G379" s="32"/>
      <c r="H379" s="40"/>
      <c r="I379" s="40"/>
      <c r="J379" s="288"/>
      <c r="K379" s="40"/>
      <c r="L379" s="40"/>
      <c r="M379" s="40"/>
      <c r="AF379" s="307" t="s">
        <v>1447</v>
      </c>
      <c r="AG379" s="314" t="s">
        <v>1397</v>
      </c>
      <c r="AH379" s="314" t="s">
        <v>1398</v>
      </c>
      <c r="AI379" s="337" t="s">
        <v>1399</v>
      </c>
      <c r="AJ379" s="300"/>
    </row>
    <row r="380" spans="1:42" ht="32" customHeight="1">
      <c r="B380" s="101" t="s">
        <v>538</v>
      </c>
      <c r="C380" s="164" t="s">
        <v>1139</v>
      </c>
      <c r="D380" s="26" t="s">
        <v>1140</v>
      </c>
      <c r="E380" s="38">
        <v>1</v>
      </c>
      <c r="F380" s="32"/>
      <c r="G380" s="32"/>
      <c r="H380" s="40"/>
      <c r="I380" s="40"/>
      <c r="J380" s="288"/>
      <c r="K380" s="40"/>
      <c r="L380" s="40"/>
      <c r="M380" s="40"/>
      <c r="AF380" s="308" t="s">
        <v>1448</v>
      </c>
      <c r="AG380" s="314" t="s">
        <v>1404</v>
      </c>
      <c r="AH380" s="314" t="s">
        <v>1406</v>
      </c>
      <c r="AI380" s="332" t="s">
        <v>1405</v>
      </c>
      <c r="AJ380" s="300"/>
    </row>
    <row r="381" spans="1:42" ht="39" customHeight="1">
      <c r="B381" s="101" t="s">
        <v>538</v>
      </c>
      <c r="C381" s="164" t="s">
        <v>1141</v>
      </c>
      <c r="D381" s="26" t="s">
        <v>1142</v>
      </c>
      <c r="E381" s="38">
        <v>1</v>
      </c>
      <c r="F381" s="32"/>
      <c r="G381" s="32"/>
      <c r="H381" s="40"/>
      <c r="I381" s="40"/>
      <c r="J381" s="288"/>
      <c r="K381" s="40"/>
      <c r="L381" s="40"/>
      <c r="M381" s="40"/>
      <c r="AF381" s="308" t="s">
        <v>1449</v>
      </c>
      <c r="AG381" s="314" t="s">
        <v>1407</v>
      </c>
      <c r="AH381" s="300"/>
      <c r="AI381" s="332">
        <v>446266613</v>
      </c>
      <c r="AJ381" s="300"/>
    </row>
    <row r="382" spans="1:42" ht="35" customHeight="1">
      <c r="B382" s="101" t="s">
        <v>538</v>
      </c>
      <c r="C382" s="164" t="s">
        <v>1143</v>
      </c>
      <c r="D382" s="26" t="s">
        <v>1144</v>
      </c>
      <c r="E382" s="38">
        <v>2</v>
      </c>
      <c r="F382" s="32"/>
      <c r="G382" s="32"/>
      <c r="H382" s="40"/>
      <c r="I382" s="40"/>
      <c r="J382" s="288"/>
      <c r="K382" s="40"/>
      <c r="L382" s="40"/>
      <c r="M382" s="40"/>
      <c r="AF382" s="308" t="s">
        <v>1409</v>
      </c>
      <c r="AG382" s="314" t="s">
        <v>1408</v>
      </c>
      <c r="AH382" s="300"/>
      <c r="AI382" s="329" t="s">
        <v>1417</v>
      </c>
      <c r="AJ382" s="300"/>
    </row>
    <row r="383" spans="1:42" ht="42">
      <c r="B383" s="101" t="s">
        <v>538</v>
      </c>
      <c r="C383" s="164" t="s">
        <v>1145</v>
      </c>
      <c r="D383" s="26" t="s">
        <v>236</v>
      </c>
      <c r="E383" s="38">
        <v>1</v>
      </c>
      <c r="F383" s="32"/>
      <c r="G383" s="32"/>
      <c r="H383" s="40"/>
      <c r="I383" s="40"/>
      <c r="J383" s="288"/>
      <c r="K383" s="40"/>
      <c r="L383" s="40"/>
      <c r="M383" s="40"/>
      <c r="AF383" s="308" t="s">
        <v>1414</v>
      </c>
      <c r="AG383" s="314" t="s">
        <v>1412</v>
      </c>
      <c r="AH383" s="300"/>
      <c r="AI383" s="328" t="s">
        <v>1413</v>
      </c>
      <c r="AJ383" s="300"/>
    </row>
    <row r="384" spans="1:42" ht="28">
      <c r="A384" s="221"/>
      <c r="B384" s="101" t="s">
        <v>538</v>
      </c>
      <c r="C384" s="164" t="s">
        <v>1279</v>
      </c>
      <c r="D384" s="26" t="s">
        <v>1278</v>
      </c>
      <c r="E384" s="38">
        <v>1</v>
      </c>
      <c r="F384" s="32"/>
      <c r="G384" s="32"/>
      <c r="H384" s="266"/>
      <c r="I384" s="266"/>
      <c r="J384" s="288"/>
      <c r="K384" s="266"/>
      <c r="L384" s="266"/>
      <c r="M384" s="266"/>
      <c r="N384" s="221"/>
      <c r="O384" s="221"/>
      <c r="P384" s="221"/>
      <c r="Q384" s="221"/>
      <c r="R384" s="221"/>
      <c r="S384" s="221"/>
      <c r="T384" s="221"/>
      <c r="U384" s="221"/>
      <c r="V384" s="221"/>
      <c r="W384" s="221"/>
      <c r="X384" s="221"/>
      <c r="Y384" s="221"/>
      <c r="Z384" s="221"/>
      <c r="AA384" s="221"/>
      <c r="AB384" s="221"/>
      <c r="AC384" s="221"/>
      <c r="AD384" s="221"/>
      <c r="AE384" s="221"/>
      <c r="AF384" s="308" t="s">
        <v>1450</v>
      </c>
      <c r="AG384" s="314" t="s">
        <v>1415</v>
      </c>
      <c r="AH384" s="300"/>
      <c r="AI384" s="332" t="s">
        <v>1416</v>
      </c>
      <c r="AJ384" s="300"/>
      <c r="AK384" s="221"/>
      <c r="AL384" s="221"/>
      <c r="AM384" s="221"/>
      <c r="AN384" s="221"/>
      <c r="AO384" s="221"/>
      <c r="AP384" s="221"/>
    </row>
    <row r="385" spans="1:42" ht="28">
      <c r="A385" s="221"/>
      <c r="B385" s="101" t="s">
        <v>538</v>
      </c>
      <c r="C385" s="164" t="s">
        <v>1280</v>
      </c>
      <c r="D385" s="26" t="s">
        <v>1281</v>
      </c>
      <c r="E385" s="38">
        <v>1</v>
      </c>
      <c r="F385" s="32"/>
      <c r="G385" s="32"/>
      <c r="H385" s="266"/>
      <c r="I385" s="266"/>
      <c r="J385" s="288"/>
      <c r="K385" s="266"/>
      <c r="L385" s="266"/>
      <c r="M385" s="266"/>
      <c r="N385" s="221"/>
      <c r="O385" s="221"/>
      <c r="P385" s="221"/>
      <c r="Q385" s="221"/>
      <c r="R385" s="221"/>
      <c r="S385" s="221"/>
      <c r="T385" s="221"/>
      <c r="U385" s="221"/>
      <c r="V385" s="221"/>
      <c r="W385" s="221"/>
      <c r="X385" s="221"/>
      <c r="Y385" s="221"/>
      <c r="Z385" s="221"/>
      <c r="AA385" s="221"/>
      <c r="AB385" s="221"/>
      <c r="AC385" s="221"/>
      <c r="AD385" s="221"/>
      <c r="AE385" s="221"/>
      <c r="AF385" s="308" t="s">
        <v>1451</v>
      </c>
      <c r="AG385" s="314" t="s">
        <v>1418</v>
      </c>
      <c r="AH385" s="300"/>
      <c r="AI385" s="332" t="s">
        <v>1419</v>
      </c>
      <c r="AJ385" s="300"/>
      <c r="AK385" s="221"/>
      <c r="AL385" s="221"/>
      <c r="AM385" s="221"/>
      <c r="AN385" s="221"/>
      <c r="AO385" s="221"/>
      <c r="AP385" s="221"/>
    </row>
    <row r="386" spans="1:42" ht="28">
      <c r="A386" s="221"/>
      <c r="B386" s="101" t="s">
        <v>538</v>
      </c>
      <c r="C386" s="313" t="s">
        <v>1423</v>
      </c>
      <c r="D386" s="26" t="s">
        <v>1282</v>
      </c>
      <c r="E386" s="38">
        <v>1</v>
      </c>
      <c r="F386" s="32"/>
      <c r="G386" s="32"/>
      <c r="H386" s="266"/>
      <c r="I386" s="266"/>
      <c r="J386" s="288"/>
      <c r="K386" s="266"/>
      <c r="L386" s="266"/>
      <c r="M386" s="266"/>
      <c r="N386" s="221"/>
      <c r="O386" s="221"/>
      <c r="P386" s="221"/>
      <c r="Q386" s="221"/>
      <c r="R386" s="221"/>
      <c r="S386" s="221"/>
      <c r="T386" s="221"/>
      <c r="U386" s="221"/>
      <c r="V386" s="221"/>
      <c r="W386" s="221"/>
      <c r="X386" s="221"/>
      <c r="Y386" s="221"/>
      <c r="Z386" s="221"/>
      <c r="AA386" s="221"/>
      <c r="AB386" s="221"/>
      <c r="AC386" s="221"/>
      <c r="AD386" s="221"/>
      <c r="AE386" s="221"/>
      <c r="AF386" s="308" t="s">
        <v>1422</v>
      </c>
      <c r="AG386" s="314" t="s">
        <v>1420</v>
      </c>
      <c r="AH386" s="300"/>
      <c r="AI386" s="329" t="s">
        <v>1421</v>
      </c>
      <c r="AJ386" s="300"/>
      <c r="AK386" s="221"/>
      <c r="AL386" s="221"/>
      <c r="AM386" s="221"/>
      <c r="AN386" s="221"/>
      <c r="AO386" s="221"/>
      <c r="AP386" s="221"/>
    </row>
    <row r="387" spans="1:42" ht="28">
      <c r="A387" s="221"/>
      <c r="B387" s="101" t="s">
        <v>538</v>
      </c>
      <c r="C387" s="164" t="s">
        <v>1283</v>
      </c>
      <c r="D387" s="26" t="s">
        <v>1284</v>
      </c>
      <c r="E387" s="38">
        <v>1</v>
      </c>
      <c r="F387" s="32"/>
      <c r="G387" s="32"/>
      <c r="H387" s="266"/>
      <c r="I387" s="266"/>
      <c r="J387" s="288"/>
      <c r="K387" s="266"/>
      <c r="L387" s="266"/>
      <c r="M387" s="266"/>
      <c r="N387" s="221"/>
      <c r="O387" s="221"/>
      <c r="P387" s="221"/>
      <c r="Q387" s="221"/>
      <c r="R387" s="221"/>
      <c r="S387" s="221"/>
      <c r="T387" s="221"/>
      <c r="U387" s="221"/>
      <c r="V387" s="221"/>
      <c r="W387" s="221"/>
      <c r="X387" s="221"/>
      <c r="Y387" s="221"/>
      <c r="Z387" s="221"/>
      <c r="AA387" s="221"/>
      <c r="AB387" s="221"/>
      <c r="AC387" s="221"/>
      <c r="AD387" s="221"/>
      <c r="AE387" s="221"/>
      <c r="AF387" s="308" t="s">
        <v>1452</v>
      </c>
      <c r="AG387" s="314" t="s">
        <v>1425</v>
      </c>
      <c r="AH387" s="300"/>
      <c r="AI387" s="332" t="s">
        <v>1427</v>
      </c>
      <c r="AJ387" s="300"/>
      <c r="AK387" s="221"/>
      <c r="AL387" s="221"/>
      <c r="AM387" s="221"/>
      <c r="AN387" s="221"/>
      <c r="AO387" s="221"/>
      <c r="AP387" s="221"/>
    </row>
    <row r="388" spans="1:42" ht="38" customHeight="1">
      <c r="B388" s="101" t="s">
        <v>538</v>
      </c>
      <c r="C388" s="95" t="s">
        <v>1285</v>
      </c>
      <c r="D388" s="40" t="s">
        <v>1286</v>
      </c>
      <c r="E388" s="38">
        <v>1</v>
      </c>
      <c r="F388" s="32"/>
      <c r="G388" s="32"/>
      <c r="H388" s="40"/>
      <c r="I388" s="40"/>
      <c r="J388" s="288"/>
      <c r="K388" s="40"/>
      <c r="L388" s="40"/>
      <c r="M388" s="40"/>
      <c r="AF388" s="308" t="s">
        <v>1453</v>
      </c>
      <c r="AG388" s="324" t="s">
        <v>1426</v>
      </c>
      <c r="AH388" s="300"/>
      <c r="AI388" s="337" t="s">
        <v>1428</v>
      </c>
      <c r="AJ388" s="300"/>
    </row>
    <row r="389" spans="1:42" ht="28">
      <c r="B389" s="101" t="s">
        <v>538</v>
      </c>
      <c r="C389" s="95" t="s">
        <v>131</v>
      </c>
      <c r="D389" s="40" t="s">
        <v>539</v>
      </c>
      <c r="E389" s="38">
        <v>1</v>
      </c>
      <c r="F389" s="32"/>
      <c r="G389" s="32"/>
      <c r="H389" s="40"/>
      <c r="I389" s="40"/>
      <c r="J389" s="288"/>
      <c r="K389" s="40"/>
      <c r="L389" s="40"/>
      <c r="M389" s="40"/>
      <c r="AF389" s="307" t="s">
        <v>1454</v>
      </c>
      <c r="AG389" s="314" t="s">
        <v>1381</v>
      </c>
      <c r="AH389" s="314" t="s">
        <v>1383</v>
      </c>
      <c r="AI389" s="333" t="s">
        <v>1382</v>
      </c>
      <c r="AJ389" s="322"/>
    </row>
    <row r="390" spans="1:42" ht="45" customHeight="1">
      <c r="B390" s="103" t="s">
        <v>527</v>
      </c>
      <c r="C390" s="342" t="s">
        <v>1324</v>
      </c>
      <c r="D390" s="40" t="s">
        <v>1325</v>
      </c>
      <c r="E390" s="38">
        <v>1</v>
      </c>
      <c r="F390" s="32"/>
      <c r="G390" s="32"/>
      <c r="H390" s="40"/>
      <c r="I390" s="40"/>
      <c r="J390" s="288"/>
      <c r="K390" s="40"/>
      <c r="L390" s="40"/>
      <c r="M390" s="40"/>
      <c r="AF390" s="308" t="s">
        <v>1455</v>
      </c>
      <c r="AG390" s="314" t="s">
        <v>1429</v>
      </c>
      <c r="AH390" s="343" t="s">
        <v>1430</v>
      </c>
      <c r="AI390" s="349">
        <v>49304911438</v>
      </c>
      <c r="AJ390" s="300"/>
    </row>
    <row r="391" spans="1:42" ht="50" customHeight="1">
      <c r="A391" s="221"/>
      <c r="B391" s="302" t="s">
        <v>527</v>
      </c>
      <c r="C391" s="303" t="s">
        <v>1326</v>
      </c>
      <c r="D391" s="304" t="s">
        <v>1325</v>
      </c>
      <c r="E391" s="38">
        <v>1</v>
      </c>
      <c r="F391" s="305"/>
      <c r="G391" s="305"/>
      <c r="H391" s="304"/>
      <c r="I391" s="304"/>
      <c r="J391" s="304"/>
      <c r="K391" s="304"/>
      <c r="L391" s="304"/>
      <c r="M391" s="304"/>
      <c r="N391" s="221"/>
      <c r="O391" s="221"/>
      <c r="P391" s="221"/>
      <c r="Q391" s="221"/>
      <c r="R391" s="221"/>
      <c r="S391" s="221"/>
      <c r="T391" s="221"/>
      <c r="U391" s="221"/>
      <c r="V391" s="221"/>
      <c r="W391" s="221"/>
      <c r="X391" s="221"/>
      <c r="Y391" s="221"/>
      <c r="Z391" s="221"/>
      <c r="AA391" s="221"/>
      <c r="AB391" s="221"/>
      <c r="AC391" s="221"/>
      <c r="AD391" s="221"/>
      <c r="AE391" s="221"/>
      <c r="AF391" s="308" t="s">
        <v>1339</v>
      </c>
      <c r="AG391" s="310" t="s">
        <v>1340</v>
      </c>
      <c r="AH391" s="306"/>
      <c r="AI391" s="334" t="s">
        <v>1338</v>
      </c>
      <c r="AJ391" s="309"/>
      <c r="AK391" s="221"/>
      <c r="AL391" s="221"/>
      <c r="AM391" s="221"/>
      <c r="AN391" s="221"/>
      <c r="AO391" s="221"/>
      <c r="AP391" s="221"/>
    </row>
    <row r="392" spans="1:42" ht="42" customHeight="1">
      <c r="A392" s="221"/>
      <c r="B392" s="316" t="s">
        <v>538</v>
      </c>
      <c r="C392" s="317" t="s">
        <v>1355</v>
      </c>
      <c r="D392" s="276" t="s">
        <v>1354</v>
      </c>
      <c r="E392" s="304">
        <v>1</v>
      </c>
      <c r="F392" s="305"/>
      <c r="G392" s="305"/>
      <c r="H392" s="304"/>
      <c r="I392" s="304"/>
      <c r="J392" s="304"/>
      <c r="K392" s="304"/>
      <c r="L392" s="304"/>
      <c r="M392" s="304"/>
      <c r="N392" s="221"/>
      <c r="O392" s="221"/>
      <c r="P392" s="221"/>
      <c r="Q392" s="221"/>
      <c r="R392" s="221"/>
      <c r="S392" s="221"/>
      <c r="T392" s="221"/>
      <c r="U392" s="221"/>
      <c r="V392" s="221"/>
      <c r="W392" s="221"/>
      <c r="X392" s="221"/>
      <c r="Y392" s="221"/>
      <c r="Z392" s="221"/>
      <c r="AA392" s="221"/>
      <c r="AB392" s="221"/>
      <c r="AC392" s="221"/>
      <c r="AD392" s="221"/>
      <c r="AE392" s="221"/>
      <c r="AF392" s="320" t="s">
        <v>1358</v>
      </c>
      <c r="AG392" s="309" t="s">
        <v>1356</v>
      </c>
      <c r="AH392" s="306"/>
      <c r="AI392" s="335" t="s">
        <v>1357</v>
      </c>
      <c r="AJ392" s="319"/>
      <c r="AK392" s="221"/>
      <c r="AL392" s="221"/>
      <c r="AM392" s="221"/>
      <c r="AN392" s="221"/>
      <c r="AO392" s="221"/>
      <c r="AP392" s="221"/>
    </row>
    <row r="393" spans="1:42" ht="48" customHeight="1">
      <c r="A393" s="221"/>
      <c r="B393" s="316" t="s">
        <v>538</v>
      </c>
      <c r="C393" s="317" t="s">
        <v>1359</v>
      </c>
      <c r="D393" s="276" t="s">
        <v>1360</v>
      </c>
      <c r="E393" s="304">
        <v>1</v>
      </c>
      <c r="F393" s="305"/>
      <c r="G393" s="305"/>
      <c r="H393" s="304"/>
      <c r="I393" s="304"/>
      <c r="J393" s="304"/>
      <c r="K393" s="304"/>
      <c r="L393" s="304"/>
      <c r="M393" s="304"/>
      <c r="N393" s="221"/>
      <c r="O393" s="221"/>
      <c r="P393" s="221"/>
      <c r="Q393" s="221"/>
      <c r="R393" s="221"/>
      <c r="S393" s="221"/>
      <c r="T393" s="221"/>
      <c r="U393" s="221"/>
      <c r="V393" s="221"/>
      <c r="W393" s="221"/>
      <c r="X393" s="221"/>
      <c r="Y393" s="221"/>
      <c r="Z393" s="221"/>
      <c r="AA393" s="221"/>
      <c r="AB393" s="221"/>
      <c r="AC393" s="221"/>
      <c r="AD393" s="221"/>
      <c r="AE393" s="221"/>
      <c r="AF393" s="318" t="s">
        <v>1361</v>
      </c>
      <c r="AG393" s="309" t="s">
        <v>1362</v>
      </c>
      <c r="AH393" s="306"/>
      <c r="AI393" s="329" t="s">
        <v>1363</v>
      </c>
      <c r="AJ393" s="308"/>
      <c r="AK393" s="221"/>
      <c r="AL393" s="221"/>
      <c r="AM393" s="221"/>
      <c r="AN393" s="221"/>
      <c r="AO393" s="221"/>
      <c r="AP393" s="221"/>
    </row>
    <row r="394" spans="1:42" ht="48" customHeight="1">
      <c r="A394" s="221"/>
      <c r="B394" s="316" t="s">
        <v>538</v>
      </c>
      <c r="C394" s="317" t="s">
        <v>1364</v>
      </c>
      <c r="D394" s="276" t="s">
        <v>1360</v>
      </c>
      <c r="E394" s="304">
        <v>1</v>
      </c>
      <c r="F394" s="305"/>
      <c r="G394" s="305"/>
      <c r="H394" s="304"/>
      <c r="I394" s="304"/>
      <c r="J394" s="304"/>
      <c r="K394" s="304"/>
      <c r="L394" s="304"/>
      <c r="M394" s="304"/>
      <c r="N394" s="221"/>
      <c r="O394" s="221"/>
      <c r="P394" s="221"/>
      <c r="Q394" s="221"/>
      <c r="R394" s="221"/>
      <c r="S394" s="221"/>
      <c r="T394" s="221"/>
      <c r="U394" s="221"/>
      <c r="V394" s="221"/>
      <c r="W394" s="221"/>
      <c r="X394" s="221"/>
      <c r="Y394" s="221"/>
      <c r="Z394" s="221"/>
      <c r="AA394" s="221"/>
      <c r="AB394" s="221"/>
      <c r="AC394" s="221"/>
      <c r="AD394" s="221"/>
      <c r="AE394" s="221"/>
      <c r="AF394" s="318" t="s">
        <v>1365</v>
      </c>
      <c r="AG394" s="309" t="s">
        <v>1366</v>
      </c>
      <c r="AH394" s="306"/>
      <c r="AI394" s="329" t="s">
        <v>1367</v>
      </c>
      <c r="AJ394" s="308"/>
      <c r="AK394" s="221"/>
      <c r="AL394" s="221"/>
      <c r="AM394" s="221"/>
      <c r="AN394" s="221"/>
      <c r="AO394" s="221"/>
      <c r="AP394" s="221"/>
    </row>
    <row r="395" spans="1:42" ht="48" customHeight="1">
      <c r="A395" s="221"/>
      <c r="B395" s="316" t="s">
        <v>538</v>
      </c>
      <c r="C395" s="317" t="s">
        <v>1424</v>
      </c>
      <c r="D395" s="276" t="s">
        <v>1377</v>
      </c>
      <c r="E395" s="276">
        <v>1</v>
      </c>
      <c r="F395" s="305"/>
      <c r="G395" s="305"/>
      <c r="H395" s="304"/>
      <c r="I395" s="304"/>
      <c r="J395" s="304"/>
      <c r="K395" s="304"/>
      <c r="L395" s="304"/>
      <c r="M395" s="304"/>
      <c r="N395" s="221"/>
      <c r="O395" s="221"/>
      <c r="P395" s="221"/>
      <c r="Q395" s="221"/>
      <c r="R395" s="221"/>
      <c r="S395" s="221"/>
      <c r="T395" s="221"/>
      <c r="U395" s="221"/>
      <c r="V395" s="221"/>
      <c r="W395" s="221"/>
      <c r="X395" s="221"/>
      <c r="Y395" s="221"/>
      <c r="Z395" s="221"/>
      <c r="AA395" s="221"/>
      <c r="AB395" s="221"/>
      <c r="AC395" s="221"/>
      <c r="AD395" s="221"/>
      <c r="AE395" s="221"/>
      <c r="AF395" s="318" t="s">
        <v>1330</v>
      </c>
      <c r="AG395" s="309"/>
      <c r="AH395" s="306"/>
      <c r="AI395" s="329"/>
      <c r="AJ395" s="308"/>
      <c r="AK395" s="221"/>
      <c r="AL395" s="221"/>
      <c r="AM395" s="221"/>
      <c r="AN395" s="221"/>
      <c r="AO395" s="221"/>
      <c r="AP395" s="221"/>
    </row>
    <row r="396" spans="1:42" ht="48" customHeight="1">
      <c r="A396" s="221"/>
      <c r="B396" s="316" t="s">
        <v>538</v>
      </c>
      <c r="C396" s="317" t="s">
        <v>1378</v>
      </c>
      <c r="D396" s="276" t="s">
        <v>497</v>
      </c>
      <c r="E396" s="276"/>
      <c r="F396" s="305"/>
      <c r="G396" s="305"/>
      <c r="H396" s="304"/>
      <c r="I396" s="304"/>
      <c r="J396" s="304"/>
      <c r="K396" s="304"/>
      <c r="L396" s="304"/>
      <c r="M396" s="304"/>
      <c r="N396" s="221"/>
      <c r="O396" s="221"/>
      <c r="P396" s="221"/>
      <c r="Q396" s="221"/>
      <c r="R396" s="221"/>
      <c r="S396" s="221"/>
      <c r="T396" s="221"/>
      <c r="U396" s="221"/>
      <c r="V396" s="221"/>
      <c r="W396" s="221"/>
      <c r="X396" s="221"/>
      <c r="Y396" s="221"/>
      <c r="Z396" s="221"/>
      <c r="AA396" s="221"/>
      <c r="AB396" s="221"/>
      <c r="AC396" s="221"/>
      <c r="AD396" s="221"/>
      <c r="AE396" s="221"/>
      <c r="AF396" s="318" t="s">
        <v>1431</v>
      </c>
      <c r="AG396" s="309"/>
      <c r="AH396" s="306"/>
      <c r="AI396" s="329"/>
      <c r="AJ396" s="308"/>
      <c r="AK396" s="221"/>
      <c r="AL396" s="221"/>
      <c r="AM396" s="221"/>
      <c r="AN396" s="221"/>
      <c r="AO396" s="221"/>
      <c r="AP396" s="221"/>
    </row>
    <row r="397" spans="1:42" ht="48" customHeight="1">
      <c r="A397" s="221"/>
      <c r="B397" s="316" t="s">
        <v>538</v>
      </c>
      <c r="C397" s="317" t="s">
        <v>1379</v>
      </c>
      <c r="D397" s="276" t="s">
        <v>1380</v>
      </c>
      <c r="E397" s="276">
        <v>1</v>
      </c>
      <c r="F397" s="305"/>
      <c r="G397" s="305"/>
      <c r="H397" s="304"/>
      <c r="I397" s="304"/>
      <c r="J397" s="304"/>
      <c r="K397" s="304"/>
      <c r="L397" s="304"/>
      <c r="M397" s="304"/>
      <c r="N397" s="221"/>
      <c r="O397" s="221"/>
      <c r="P397" s="221"/>
      <c r="Q397" s="221"/>
      <c r="R397" s="221"/>
      <c r="S397" s="221"/>
      <c r="T397" s="221"/>
      <c r="U397" s="221"/>
      <c r="V397" s="221"/>
      <c r="W397" s="221"/>
      <c r="X397" s="221"/>
      <c r="Y397" s="221"/>
      <c r="Z397" s="221"/>
      <c r="AA397" s="221"/>
      <c r="AB397" s="221"/>
      <c r="AC397" s="221"/>
      <c r="AD397" s="221"/>
      <c r="AE397" s="221"/>
      <c r="AF397" s="318" t="s">
        <v>1432</v>
      </c>
      <c r="AG397" s="309"/>
      <c r="AH397" s="306"/>
      <c r="AI397" s="329"/>
      <c r="AJ397" s="308"/>
      <c r="AK397" s="221"/>
      <c r="AL397" s="221"/>
      <c r="AM397" s="221"/>
      <c r="AN397" s="221"/>
      <c r="AO397" s="221"/>
      <c r="AP397" s="221"/>
    </row>
    <row r="398" spans="1:42" ht="48" customHeight="1">
      <c r="A398" s="221"/>
      <c r="B398" s="316" t="s">
        <v>538</v>
      </c>
      <c r="C398" s="317" t="s">
        <v>563</v>
      </c>
      <c r="D398" s="276" t="s">
        <v>1402</v>
      </c>
      <c r="E398" s="276">
        <v>1</v>
      </c>
      <c r="F398" s="305"/>
      <c r="G398" s="305"/>
      <c r="H398" s="304"/>
      <c r="I398" s="304"/>
      <c r="J398" s="304"/>
      <c r="K398" s="304"/>
      <c r="L398" s="304"/>
      <c r="M398" s="304"/>
      <c r="N398" s="221"/>
      <c r="O398" s="221"/>
      <c r="P398" s="221"/>
      <c r="Q398" s="221"/>
      <c r="R398" s="221"/>
      <c r="S398" s="221"/>
      <c r="T398" s="221"/>
      <c r="U398" s="221"/>
      <c r="V398" s="221"/>
      <c r="W398" s="221"/>
      <c r="X398" s="221"/>
      <c r="Y398" s="221"/>
      <c r="Z398" s="221"/>
      <c r="AA398" s="221"/>
      <c r="AB398" s="221"/>
      <c r="AC398" s="221"/>
      <c r="AD398" s="221"/>
      <c r="AE398" s="221"/>
      <c r="AF398" s="320" t="s">
        <v>1400</v>
      </c>
      <c r="AG398" s="309" t="s">
        <v>1401</v>
      </c>
      <c r="AH398" s="338" t="s">
        <v>1402</v>
      </c>
      <c r="AI398" s="339" t="s">
        <v>566</v>
      </c>
      <c r="AJ398" s="308"/>
      <c r="AK398" s="221"/>
      <c r="AL398" s="221"/>
      <c r="AM398" s="221"/>
      <c r="AN398" s="221"/>
      <c r="AO398" s="221"/>
      <c r="AP398" s="221"/>
    </row>
    <row r="399" spans="1:42" ht="48" customHeight="1">
      <c r="A399" s="221"/>
      <c r="B399" s="316" t="s">
        <v>116</v>
      </c>
      <c r="C399" s="317" t="s">
        <v>1456</v>
      </c>
      <c r="D399" s="276" t="s">
        <v>1461</v>
      </c>
      <c r="E399" s="276">
        <v>1</v>
      </c>
      <c r="F399" s="305"/>
      <c r="G399" s="305"/>
      <c r="H399" s="304"/>
      <c r="I399" s="304"/>
      <c r="J399" s="304"/>
      <c r="K399" s="304"/>
      <c r="L399" s="304"/>
      <c r="M399" s="304"/>
      <c r="N399" s="221"/>
      <c r="O399" s="221"/>
      <c r="P399" s="221"/>
      <c r="Q399" s="221"/>
      <c r="R399" s="221"/>
      <c r="S399" s="221"/>
      <c r="T399" s="221"/>
      <c r="U399" s="221"/>
      <c r="V399" s="221"/>
      <c r="W399" s="221"/>
      <c r="X399" s="221"/>
      <c r="Y399" s="221"/>
      <c r="Z399" s="221"/>
      <c r="AA399" s="221"/>
      <c r="AB399" s="221"/>
      <c r="AC399" s="221"/>
      <c r="AD399" s="221"/>
      <c r="AE399" s="221"/>
      <c r="AF399" s="318" t="s">
        <v>1463</v>
      </c>
      <c r="AG399" s="309" t="s">
        <v>1462</v>
      </c>
      <c r="AH399" s="338" t="s">
        <v>1461</v>
      </c>
      <c r="AI399" s="265" t="s">
        <v>1464</v>
      </c>
      <c r="AJ399" s="308"/>
      <c r="AK399" s="221"/>
      <c r="AL399" s="221"/>
      <c r="AM399" s="221"/>
      <c r="AN399" s="221"/>
      <c r="AO399" s="221"/>
      <c r="AP399" s="221"/>
    </row>
    <row r="400" spans="1:42" ht="48" customHeight="1">
      <c r="A400" s="221"/>
      <c r="B400" s="316" t="s">
        <v>527</v>
      </c>
      <c r="C400" s="317" t="s">
        <v>1460</v>
      </c>
      <c r="D400" s="276" t="s">
        <v>1457</v>
      </c>
      <c r="E400" s="276">
        <v>20</v>
      </c>
      <c r="F400" s="305"/>
      <c r="G400" s="305"/>
      <c r="H400" s="304"/>
      <c r="I400" s="304"/>
      <c r="J400" s="304"/>
      <c r="K400" s="304"/>
      <c r="L400" s="304"/>
      <c r="M400" s="304"/>
      <c r="N400" s="221"/>
      <c r="O400" s="221"/>
      <c r="P400" s="221"/>
      <c r="Q400" s="221"/>
      <c r="R400" s="221"/>
      <c r="S400" s="221"/>
      <c r="T400" s="221"/>
      <c r="U400" s="221"/>
      <c r="V400" s="221"/>
      <c r="W400" s="221"/>
      <c r="X400" s="221"/>
      <c r="Y400" s="221"/>
      <c r="Z400" s="221"/>
      <c r="AA400" s="221"/>
      <c r="AB400" s="221"/>
      <c r="AC400" s="221"/>
      <c r="AD400" s="221"/>
      <c r="AE400" s="221"/>
      <c r="AF400" s="318"/>
      <c r="AG400" s="309"/>
      <c r="AH400" s="306"/>
      <c r="AI400" s="329"/>
      <c r="AJ400" s="308"/>
      <c r="AK400" s="221"/>
      <c r="AL400" s="221"/>
      <c r="AM400" s="221"/>
      <c r="AN400" s="221"/>
      <c r="AO400" s="221"/>
      <c r="AP400" s="221"/>
    </row>
    <row r="401" spans="1:42" ht="48" customHeight="1">
      <c r="A401" s="221"/>
      <c r="B401" s="316" t="s">
        <v>1458</v>
      </c>
      <c r="C401" s="265" t="s">
        <v>1459</v>
      </c>
      <c r="D401" s="276"/>
      <c r="E401" s="276">
        <v>1</v>
      </c>
      <c r="F401" s="305"/>
      <c r="G401" s="305"/>
      <c r="H401" s="304"/>
      <c r="I401" s="304"/>
      <c r="J401" s="304"/>
      <c r="K401" s="304"/>
      <c r="L401" s="304"/>
      <c r="M401" s="304"/>
      <c r="N401" s="221"/>
      <c r="O401" s="221"/>
      <c r="P401" s="221"/>
      <c r="Q401" s="221"/>
      <c r="R401" s="221"/>
      <c r="S401" s="221"/>
      <c r="T401" s="221"/>
      <c r="U401" s="221"/>
      <c r="V401" s="221"/>
      <c r="W401" s="221"/>
      <c r="X401" s="221"/>
      <c r="Y401" s="221"/>
      <c r="Z401" s="221"/>
      <c r="AA401" s="221"/>
      <c r="AB401" s="221"/>
      <c r="AC401" s="221"/>
      <c r="AD401" s="221"/>
      <c r="AE401" s="221"/>
      <c r="AF401" s="318"/>
      <c r="AG401" s="309"/>
      <c r="AH401" s="306"/>
      <c r="AI401" s="329"/>
      <c r="AJ401" s="308"/>
      <c r="AK401" s="221"/>
      <c r="AL401" s="221"/>
      <c r="AM401" s="221"/>
      <c r="AN401" s="221"/>
      <c r="AO401" s="221"/>
      <c r="AP401" s="221"/>
    </row>
    <row r="402" spans="1:42" ht="48" customHeight="1">
      <c r="A402" s="221"/>
      <c r="B402" s="316"/>
      <c r="C402" s="317"/>
      <c r="D402" s="276"/>
      <c r="E402" s="276"/>
      <c r="F402" s="305"/>
      <c r="G402" s="305"/>
      <c r="H402" s="304"/>
      <c r="I402" s="304"/>
      <c r="J402" s="304"/>
      <c r="K402" s="304"/>
      <c r="L402" s="304"/>
      <c r="M402" s="304"/>
      <c r="N402" s="221"/>
      <c r="O402" s="221"/>
      <c r="P402" s="221"/>
      <c r="Q402" s="221"/>
      <c r="R402" s="221"/>
      <c r="S402" s="221"/>
      <c r="T402" s="221"/>
      <c r="U402" s="221"/>
      <c r="V402" s="221"/>
      <c r="W402" s="221"/>
      <c r="X402" s="221"/>
      <c r="Y402" s="221"/>
      <c r="Z402" s="221"/>
      <c r="AA402" s="221"/>
      <c r="AB402" s="221"/>
      <c r="AC402" s="221"/>
      <c r="AD402" s="221"/>
      <c r="AE402" s="221"/>
      <c r="AF402" s="318"/>
      <c r="AG402" s="309"/>
      <c r="AH402" s="306"/>
      <c r="AI402" s="329"/>
      <c r="AJ402" s="308"/>
      <c r="AK402" s="221"/>
      <c r="AL402" s="221"/>
      <c r="AM402" s="221"/>
      <c r="AN402" s="221"/>
      <c r="AO402" s="221"/>
      <c r="AP402" s="221"/>
    </row>
    <row r="403" spans="1:42" ht="48" customHeight="1">
      <c r="A403" s="221"/>
      <c r="B403" s="316"/>
      <c r="C403" s="317"/>
      <c r="D403" s="276"/>
      <c r="E403" s="276"/>
      <c r="F403" s="305"/>
      <c r="G403" s="305"/>
      <c r="H403" s="304"/>
      <c r="I403" s="304"/>
      <c r="J403" s="304"/>
      <c r="K403" s="304"/>
      <c r="L403" s="304"/>
      <c r="M403" s="304"/>
      <c r="N403" s="221"/>
      <c r="O403" s="221"/>
      <c r="P403" s="221"/>
      <c r="Q403" s="221"/>
      <c r="R403" s="221"/>
      <c r="S403" s="221"/>
      <c r="T403" s="221"/>
      <c r="U403" s="221"/>
      <c r="V403" s="221"/>
      <c r="W403" s="221"/>
      <c r="X403" s="221"/>
      <c r="Y403" s="221"/>
      <c r="Z403" s="221"/>
      <c r="AA403" s="221"/>
      <c r="AB403" s="221"/>
      <c r="AC403" s="221"/>
      <c r="AD403" s="221"/>
      <c r="AE403" s="221"/>
      <c r="AF403" s="318"/>
      <c r="AG403" s="309"/>
      <c r="AH403" s="306"/>
      <c r="AI403" s="329"/>
      <c r="AJ403" s="308"/>
      <c r="AK403" s="221"/>
      <c r="AL403" s="221"/>
      <c r="AM403" s="221"/>
      <c r="AN403" s="221"/>
      <c r="AO403" s="221"/>
      <c r="AP403" s="221"/>
    </row>
    <row r="404" spans="1:42" ht="21.25" customHeight="1" thickBot="1">
      <c r="B404" s="165"/>
      <c r="C404" s="166"/>
      <c r="D404" s="65"/>
      <c r="E404" s="65"/>
      <c r="F404" s="62"/>
      <c r="G404" s="62"/>
      <c r="H404" s="65"/>
      <c r="I404" s="65"/>
      <c r="J404" s="65"/>
      <c r="K404" s="65"/>
      <c r="L404" s="65"/>
      <c r="M404" s="65"/>
      <c r="AF404" s="65"/>
      <c r="AH404" s="301"/>
      <c r="AI404" s="336"/>
      <c r="AJ404" s="301"/>
    </row>
    <row r="405" spans="1:42" ht="21.25" customHeight="1" thickTop="1">
      <c r="B405" s="167"/>
      <c r="C405" s="168"/>
      <c r="D405" s="79"/>
      <c r="E405" s="169">
        <f>SUM(E351:E404)</f>
        <v>798</v>
      </c>
      <c r="F405" s="89"/>
      <c r="G405" s="89"/>
      <c r="H405" s="79"/>
      <c r="I405" s="79"/>
      <c r="J405" s="79"/>
      <c r="K405" s="79"/>
      <c r="L405" s="79"/>
      <c r="M405" s="79"/>
      <c r="AF405" s="79"/>
      <c r="AH405" s="300"/>
      <c r="AI405" s="326"/>
      <c r="AJ405" s="300"/>
    </row>
    <row r="407" spans="1:42" ht="16" customHeight="1"/>
    <row r="408" spans="1:42" ht="26.5" customHeight="1">
      <c r="B408" s="934" t="s">
        <v>1146</v>
      </c>
      <c r="C408" s="934"/>
      <c r="D408" s="934"/>
      <c r="E408" s="934"/>
      <c r="F408" s="934"/>
      <c r="G408" s="934"/>
      <c r="H408" s="934"/>
      <c r="I408" s="934"/>
      <c r="J408" s="934"/>
      <c r="K408" s="934"/>
      <c r="L408" s="934"/>
      <c r="M408" s="934"/>
      <c r="N408" s="934"/>
      <c r="O408" s="934"/>
      <c r="P408" s="934"/>
      <c r="Q408" s="934"/>
      <c r="R408" s="934"/>
      <c r="S408" s="934"/>
      <c r="T408" s="934"/>
      <c r="U408" s="934"/>
      <c r="V408" s="934"/>
      <c r="W408" s="934"/>
    </row>
    <row r="409" spans="1:42" ht="14.5" customHeight="1">
      <c r="B409" s="171"/>
      <c r="C409" s="172" t="s">
        <v>1147</v>
      </c>
      <c r="D409" s="172" t="s">
        <v>1148</v>
      </c>
      <c r="E409" s="173" t="s">
        <v>1149</v>
      </c>
      <c r="F409" s="173" t="s">
        <v>1150</v>
      </c>
      <c r="G409" s="173" t="s">
        <v>1151</v>
      </c>
      <c r="H409" s="173" t="s">
        <v>1152</v>
      </c>
      <c r="I409" s="173" t="s">
        <v>1153</v>
      </c>
      <c r="J409" s="173"/>
      <c r="K409" s="172" t="s">
        <v>1154</v>
      </c>
      <c r="L409" s="172" t="s">
        <v>1155</v>
      </c>
      <c r="M409" s="172" t="s">
        <v>1156</v>
      </c>
      <c r="N409" s="172" t="s">
        <v>1157</v>
      </c>
      <c r="O409" s="173" t="s">
        <v>1158</v>
      </c>
      <c r="P409" s="174">
        <v>2018</v>
      </c>
      <c r="Q409" s="174">
        <v>2017</v>
      </c>
      <c r="R409" s="174">
        <v>2016</v>
      </c>
      <c r="S409" s="171"/>
      <c r="T409" s="171"/>
      <c r="U409" s="171"/>
      <c r="V409" s="171"/>
      <c r="W409" s="171"/>
    </row>
    <row r="410" spans="1:42" ht="14.25" customHeight="1">
      <c r="B410" s="175" t="s">
        <v>523</v>
      </c>
      <c r="C410" s="176">
        <v>10</v>
      </c>
      <c r="D410" s="177" t="b">
        <v>1</v>
      </c>
      <c r="E410" s="177">
        <v>10</v>
      </c>
      <c r="F410" s="178"/>
      <c r="G410" s="179">
        <f t="shared" ref="G410:G435" si="0">E410*F410</f>
        <v>0</v>
      </c>
      <c r="H410" s="180"/>
      <c r="I410" s="181"/>
      <c r="J410" s="181"/>
      <c r="K410" s="182"/>
      <c r="L410" s="183" t="b">
        <v>1</v>
      </c>
      <c r="M410" s="183" t="b">
        <v>0</v>
      </c>
      <c r="N410" s="183" t="b">
        <v>0</v>
      </c>
      <c r="O410" s="184">
        <f t="shared" ref="O410:O436" si="1">95*E410</f>
        <v>950</v>
      </c>
      <c r="P410" s="185"/>
      <c r="Q410" s="185"/>
      <c r="R410" s="185"/>
      <c r="S410" s="185"/>
      <c r="T410" s="185"/>
      <c r="U410" s="185"/>
      <c r="V410" s="185"/>
      <c r="W410" s="185"/>
    </row>
    <row r="411" spans="1:42" ht="14.25" customHeight="1">
      <c r="B411" s="186" t="s">
        <v>1159</v>
      </c>
      <c r="C411" s="187">
        <v>10</v>
      </c>
      <c r="D411" s="188" t="b">
        <v>0</v>
      </c>
      <c r="E411" s="189"/>
      <c r="F411" s="190"/>
      <c r="G411" s="191">
        <f t="shared" si="0"/>
        <v>0</v>
      </c>
      <c r="H411" s="192"/>
      <c r="I411" s="193"/>
      <c r="J411" s="193"/>
      <c r="K411" s="194"/>
      <c r="L411" s="195" t="b">
        <v>1</v>
      </c>
      <c r="M411" s="195" t="b">
        <v>0</v>
      </c>
      <c r="N411" s="195" t="b">
        <v>0</v>
      </c>
      <c r="O411" s="196">
        <f t="shared" si="1"/>
        <v>0</v>
      </c>
      <c r="P411" s="197"/>
      <c r="Q411" s="197"/>
      <c r="R411" s="197"/>
      <c r="S411" s="197"/>
      <c r="T411" s="197"/>
      <c r="U411" s="197"/>
      <c r="V411" s="197"/>
      <c r="W411" s="197"/>
    </row>
    <row r="412" spans="1:42" ht="14.25" customHeight="1">
      <c r="B412" s="186" t="s">
        <v>538</v>
      </c>
      <c r="C412" s="187">
        <v>100</v>
      </c>
      <c r="D412" s="188" t="b">
        <v>1</v>
      </c>
      <c r="E412" s="188">
        <v>100</v>
      </c>
      <c r="F412" s="190">
        <v>0</v>
      </c>
      <c r="G412" s="190">
        <f t="shared" si="0"/>
        <v>0</v>
      </c>
      <c r="H412" s="192"/>
      <c r="I412" s="198" t="s">
        <v>1160</v>
      </c>
      <c r="J412" s="198"/>
      <c r="K412" s="194"/>
      <c r="L412" s="195" t="b">
        <v>1</v>
      </c>
      <c r="M412" s="195" t="b">
        <v>0</v>
      </c>
      <c r="N412" s="195" t="b">
        <v>0</v>
      </c>
      <c r="O412" s="196">
        <f t="shared" si="1"/>
        <v>9500</v>
      </c>
      <c r="P412" s="197"/>
      <c r="Q412" s="197"/>
      <c r="R412" s="197"/>
      <c r="S412" s="197"/>
      <c r="T412" s="197"/>
      <c r="U412" s="197"/>
      <c r="V412" s="197"/>
      <c r="W412" s="197"/>
    </row>
    <row r="413" spans="1:42" ht="14.25" customHeight="1">
      <c r="B413" s="186" t="s">
        <v>1161</v>
      </c>
      <c r="C413" s="187">
        <v>3</v>
      </c>
      <c r="D413" s="188" t="b">
        <v>1</v>
      </c>
      <c r="E413" s="188">
        <v>1</v>
      </c>
      <c r="F413" s="190">
        <v>95</v>
      </c>
      <c r="G413" s="190">
        <f t="shared" si="0"/>
        <v>95</v>
      </c>
      <c r="H413" s="192"/>
      <c r="I413" s="193"/>
      <c r="J413" s="193"/>
      <c r="K413" s="194"/>
      <c r="L413" s="195" t="b">
        <v>1</v>
      </c>
      <c r="M413" s="195" t="b">
        <v>0</v>
      </c>
      <c r="N413" s="195" t="b">
        <v>0</v>
      </c>
      <c r="O413" s="196">
        <f t="shared" si="1"/>
        <v>95</v>
      </c>
      <c r="P413" s="197"/>
      <c r="Q413" s="197"/>
      <c r="R413" s="197"/>
      <c r="S413" s="197"/>
      <c r="T413" s="197"/>
      <c r="U413" s="197"/>
      <c r="V413" s="197"/>
      <c r="W413" s="197"/>
    </row>
    <row r="414" spans="1:42" ht="14.25" customHeight="1">
      <c r="B414" s="186" t="s">
        <v>1119</v>
      </c>
      <c r="C414" s="187">
        <v>1</v>
      </c>
      <c r="D414" s="188" t="b">
        <v>0</v>
      </c>
      <c r="E414" s="188">
        <v>1</v>
      </c>
      <c r="F414" s="190"/>
      <c r="G414" s="191">
        <f t="shared" si="0"/>
        <v>0</v>
      </c>
      <c r="H414" s="192"/>
      <c r="I414" s="193"/>
      <c r="J414" s="193"/>
      <c r="K414" s="194"/>
      <c r="L414" s="195" t="b">
        <v>1</v>
      </c>
      <c r="M414" s="195" t="b">
        <v>0</v>
      </c>
      <c r="N414" s="195" t="b">
        <v>0</v>
      </c>
      <c r="O414" s="196">
        <f t="shared" si="1"/>
        <v>95</v>
      </c>
      <c r="P414" s="197"/>
      <c r="Q414" s="197"/>
      <c r="R414" s="197"/>
      <c r="S414" s="197"/>
      <c r="T414" s="197"/>
      <c r="U414" s="197"/>
      <c r="V414" s="197"/>
      <c r="W414" s="197"/>
    </row>
    <row r="415" spans="1:42" ht="14.25" customHeight="1">
      <c r="B415" s="186" t="s">
        <v>1162</v>
      </c>
      <c r="C415" s="187">
        <v>75</v>
      </c>
      <c r="D415" s="188" t="b">
        <v>1</v>
      </c>
      <c r="E415" s="189"/>
      <c r="F415" s="190"/>
      <c r="G415" s="191">
        <f t="shared" si="0"/>
        <v>0</v>
      </c>
      <c r="H415" s="192"/>
      <c r="I415" s="193"/>
      <c r="J415" s="193"/>
      <c r="K415" s="194"/>
      <c r="L415" s="195" t="b">
        <v>1</v>
      </c>
      <c r="M415" s="195" t="b">
        <v>0</v>
      </c>
      <c r="N415" s="195" t="b">
        <v>0</v>
      </c>
      <c r="O415" s="196">
        <f t="shared" si="1"/>
        <v>0</v>
      </c>
      <c r="P415" s="197"/>
      <c r="Q415" s="197"/>
      <c r="R415" s="197"/>
      <c r="S415" s="197"/>
      <c r="T415" s="197"/>
      <c r="U415" s="197"/>
      <c r="V415" s="197"/>
      <c r="W415" s="197"/>
    </row>
    <row r="416" spans="1:42" ht="14.25" customHeight="1">
      <c r="B416" s="186" t="s">
        <v>527</v>
      </c>
      <c r="C416" s="187">
        <v>50</v>
      </c>
      <c r="D416" s="188" t="b">
        <v>0</v>
      </c>
      <c r="E416" s="188">
        <v>40</v>
      </c>
      <c r="F416" s="190">
        <v>0</v>
      </c>
      <c r="G416" s="190">
        <f t="shared" si="0"/>
        <v>0</v>
      </c>
      <c r="H416" s="192"/>
      <c r="I416" s="198" t="s">
        <v>1160</v>
      </c>
      <c r="J416" s="198"/>
      <c r="K416" s="194"/>
      <c r="L416" s="195" t="b">
        <v>1</v>
      </c>
      <c r="M416" s="195" t="b">
        <v>0</v>
      </c>
      <c r="N416" s="195" t="b">
        <v>0</v>
      </c>
      <c r="O416" s="196">
        <f t="shared" si="1"/>
        <v>3800</v>
      </c>
      <c r="P416" s="197"/>
      <c r="Q416" s="197"/>
      <c r="R416" s="197"/>
      <c r="S416" s="197"/>
      <c r="T416" s="197"/>
      <c r="U416" s="197"/>
      <c r="V416" s="197"/>
      <c r="W416" s="197"/>
    </row>
    <row r="417" spans="2:23" ht="14.25" customHeight="1">
      <c r="B417" s="186" t="s">
        <v>147</v>
      </c>
      <c r="C417" s="187">
        <v>5</v>
      </c>
      <c r="D417" s="188" t="b">
        <v>0</v>
      </c>
      <c r="E417" s="188">
        <v>20</v>
      </c>
      <c r="F417" s="190"/>
      <c r="G417" s="191">
        <f t="shared" si="0"/>
        <v>0</v>
      </c>
      <c r="H417" s="192"/>
      <c r="I417" s="193"/>
      <c r="J417" s="193"/>
      <c r="K417" s="194"/>
      <c r="L417" s="195" t="b">
        <v>1</v>
      </c>
      <c r="M417" s="195" t="b">
        <v>0</v>
      </c>
      <c r="N417" s="195" t="b">
        <v>0</v>
      </c>
      <c r="O417" s="196">
        <f t="shared" si="1"/>
        <v>1900</v>
      </c>
      <c r="P417" s="197"/>
      <c r="Q417" s="197"/>
      <c r="R417" s="197"/>
      <c r="S417" s="197"/>
      <c r="T417" s="197"/>
      <c r="U417" s="197"/>
      <c r="V417" s="197"/>
      <c r="W417" s="197"/>
    </row>
    <row r="418" spans="2:23" ht="38.25" customHeight="1">
      <c r="B418" s="186" t="s">
        <v>1163</v>
      </c>
      <c r="C418" s="187">
        <v>1</v>
      </c>
      <c r="D418" s="188" t="b">
        <v>1</v>
      </c>
      <c r="E418" s="189"/>
      <c r="F418" s="190"/>
      <c r="G418" s="191">
        <f t="shared" si="0"/>
        <v>0</v>
      </c>
      <c r="H418" s="192"/>
      <c r="I418" s="193"/>
      <c r="J418" s="193"/>
      <c r="K418" s="194"/>
      <c r="L418" s="195" t="b">
        <v>1</v>
      </c>
      <c r="M418" s="195" t="b">
        <v>0</v>
      </c>
      <c r="N418" s="195" t="b">
        <v>0</v>
      </c>
      <c r="O418" s="196">
        <f t="shared" si="1"/>
        <v>0</v>
      </c>
      <c r="P418" s="197"/>
      <c r="Q418" s="197"/>
      <c r="R418" s="197"/>
      <c r="S418" s="197"/>
      <c r="T418" s="197"/>
      <c r="U418" s="197"/>
      <c r="V418" s="197"/>
      <c r="W418" s="197"/>
    </row>
    <row r="419" spans="2:23" ht="14.25" customHeight="1">
      <c r="B419" s="186" t="s">
        <v>52</v>
      </c>
      <c r="C419" s="187">
        <v>50</v>
      </c>
      <c r="D419" s="188" t="b">
        <v>1</v>
      </c>
      <c r="E419" s="188">
        <v>40</v>
      </c>
      <c r="F419" s="190">
        <v>75</v>
      </c>
      <c r="G419" s="190">
        <f t="shared" si="0"/>
        <v>3000</v>
      </c>
      <c r="H419" s="192"/>
      <c r="I419" s="198" t="s">
        <v>1164</v>
      </c>
      <c r="J419" s="198"/>
      <c r="K419" s="194"/>
      <c r="L419" s="195" t="b">
        <v>1</v>
      </c>
      <c r="M419" s="195" t="b">
        <v>0</v>
      </c>
      <c r="N419" s="195" t="b">
        <v>0</v>
      </c>
      <c r="O419" s="196">
        <f t="shared" si="1"/>
        <v>3800</v>
      </c>
      <c r="P419" s="197"/>
      <c r="Q419" s="197"/>
      <c r="R419" s="197"/>
      <c r="S419" s="197"/>
      <c r="T419" s="197"/>
      <c r="U419" s="197"/>
      <c r="V419" s="197"/>
      <c r="W419" s="197"/>
    </row>
    <row r="420" spans="2:23" ht="14.25" customHeight="1">
      <c r="B420" s="186" t="s">
        <v>1165</v>
      </c>
      <c r="C420" s="187">
        <v>1</v>
      </c>
      <c r="D420" s="188" t="b">
        <v>1</v>
      </c>
      <c r="E420" s="188">
        <v>1</v>
      </c>
      <c r="F420" s="190"/>
      <c r="G420" s="191">
        <f t="shared" si="0"/>
        <v>0</v>
      </c>
      <c r="H420" s="192"/>
      <c r="I420" s="193"/>
      <c r="J420" s="193"/>
      <c r="K420" s="194"/>
      <c r="L420" s="195" t="b">
        <v>1</v>
      </c>
      <c r="M420" s="195" t="b">
        <v>0</v>
      </c>
      <c r="N420" s="195" t="b">
        <v>0</v>
      </c>
      <c r="O420" s="196">
        <f t="shared" si="1"/>
        <v>95</v>
      </c>
      <c r="P420" s="197"/>
      <c r="Q420" s="197"/>
      <c r="R420" s="197"/>
      <c r="S420" s="197"/>
      <c r="T420" s="197"/>
      <c r="U420" s="197"/>
      <c r="V420" s="197"/>
      <c r="W420" s="197"/>
    </row>
    <row r="421" spans="2:23" ht="14.25" customHeight="1">
      <c r="B421" s="186" t="s">
        <v>174</v>
      </c>
      <c r="C421" s="187">
        <v>300</v>
      </c>
      <c r="D421" s="188" t="b">
        <v>1</v>
      </c>
      <c r="E421" s="188">
        <v>350</v>
      </c>
      <c r="F421" s="190"/>
      <c r="G421" s="191">
        <f t="shared" si="0"/>
        <v>0</v>
      </c>
      <c r="H421" s="192"/>
      <c r="I421" s="198" t="s">
        <v>1166</v>
      </c>
      <c r="J421" s="198"/>
      <c r="K421" s="194"/>
      <c r="L421" s="195" t="b">
        <v>1</v>
      </c>
      <c r="M421" s="195" t="b">
        <v>0</v>
      </c>
      <c r="N421" s="195" t="b">
        <v>0</v>
      </c>
      <c r="O421" s="196">
        <f t="shared" si="1"/>
        <v>33250</v>
      </c>
      <c r="P421" s="197"/>
      <c r="Q421" s="197"/>
      <c r="R421" s="197"/>
      <c r="S421" s="197"/>
      <c r="T421" s="197"/>
      <c r="U421" s="197"/>
      <c r="V421" s="197"/>
      <c r="W421" s="197"/>
    </row>
    <row r="422" spans="2:23" ht="14.25" customHeight="1">
      <c r="B422" s="186" t="s">
        <v>1167</v>
      </c>
      <c r="C422" s="187">
        <v>20</v>
      </c>
      <c r="D422" s="188" t="b">
        <v>1</v>
      </c>
      <c r="E422" s="188">
        <v>20</v>
      </c>
      <c r="F422" s="190"/>
      <c r="G422" s="191">
        <f t="shared" si="0"/>
        <v>0</v>
      </c>
      <c r="H422" s="192"/>
      <c r="I422" s="193"/>
      <c r="J422" s="193"/>
      <c r="K422" s="194"/>
      <c r="L422" s="195" t="b">
        <v>1</v>
      </c>
      <c r="M422" s="195" t="b">
        <v>0</v>
      </c>
      <c r="N422" s="195" t="b">
        <v>0</v>
      </c>
      <c r="O422" s="196">
        <f t="shared" si="1"/>
        <v>1900</v>
      </c>
      <c r="P422" s="197"/>
      <c r="Q422" s="197"/>
      <c r="R422" s="197"/>
      <c r="S422" s="197"/>
      <c r="T422" s="197"/>
      <c r="U422" s="197"/>
      <c r="V422" s="197"/>
      <c r="W422" s="197"/>
    </row>
    <row r="423" spans="2:23" ht="48.25" customHeight="1">
      <c r="B423" s="186" t="s">
        <v>1168</v>
      </c>
      <c r="C423" s="187">
        <v>10</v>
      </c>
      <c r="D423" s="188" t="b">
        <v>1</v>
      </c>
      <c r="E423" s="188">
        <v>10</v>
      </c>
      <c r="F423" s="190"/>
      <c r="G423" s="191">
        <f t="shared" si="0"/>
        <v>0</v>
      </c>
      <c r="H423" s="192"/>
      <c r="I423" s="193"/>
      <c r="J423" s="193"/>
      <c r="K423" s="194"/>
      <c r="L423" s="195" t="b">
        <v>1</v>
      </c>
      <c r="M423" s="195" t="b">
        <v>0</v>
      </c>
      <c r="N423" s="195" t="b">
        <v>0</v>
      </c>
      <c r="O423" s="196">
        <f t="shared" si="1"/>
        <v>950</v>
      </c>
      <c r="P423" s="197"/>
      <c r="Q423" s="197"/>
      <c r="R423" s="197"/>
      <c r="S423" s="197"/>
      <c r="T423" s="197"/>
      <c r="U423" s="197"/>
      <c r="V423" s="197"/>
      <c r="W423" s="197"/>
    </row>
    <row r="424" spans="2:23" ht="26.25" customHeight="1">
      <c r="B424" s="186" t="s">
        <v>91</v>
      </c>
      <c r="C424" s="187">
        <v>100</v>
      </c>
      <c r="D424" s="188" t="b">
        <v>1</v>
      </c>
      <c r="E424" s="188">
        <v>60</v>
      </c>
      <c r="F424" s="190"/>
      <c r="G424" s="191">
        <f t="shared" si="0"/>
        <v>0</v>
      </c>
      <c r="H424" s="192"/>
      <c r="I424" s="199" t="s">
        <v>1169</v>
      </c>
      <c r="J424" s="199"/>
      <c r="K424" s="194"/>
      <c r="L424" s="195" t="b">
        <v>1</v>
      </c>
      <c r="M424" s="195" t="b">
        <v>0</v>
      </c>
      <c r="N424" s="195" t="b">
        <v>0</v>
      </c>
      <c r="O424" s="196">
        <f t="shared" si="1"/>
        <v>5700</v>
      </c>
      <c r="P424" s="197"/>
      <c r="Q424" s="197"/>
      <c r="R424" s="197"/>
      <c r="S424" s="197"/>
      <c r="T424" s="197"/>
      <c r="U424" s="197"/>
      <c r="V424" s="197"/>
      <c r="W424" s="197"/>
    </row>
    <row r="425" spans="2:23" ht="14.25" customHeight="1">
      <c r="B425" s="186" t="s">
        <v>104</v>
      </c>
      <c r="C425" s="187">
        <v>40</v>
      </c>
      <c r="D425" s="188" t="b">
        <v>1</v>
      </c>
      <c r="E425" s="188">
        <v>25</v>
      </c>
      <c r="F425" s="190"/>
      <c r="G425" s="191">
        <f t="shared" si="0"/>
        <v>0</v>
      </c>
      <c r="H425" s="192"/>
      <c r="I425" s="198" t="s">
        <v>1170</v>
      </c>
      <c r="J425" s="198"/>
      <c r="K425" s="194"/>
      <c r="L425" s="195" t="b">
        <v>1</v>
      </c>
      <c r="M425" s="195" t="b">
        <v>0</v>
      </c>
      <c r="N425" s="195" t="b">
        <v>0</v>
      </c>
      <c r="O425" s="196">
        <f t="shared" si="1"/>
        <v>2375</v>
      </c>
      <c r="P425" s="197"/>
      <c r="Q425" s="197"/>
      <c r="R425" s="197"/>
      <c r="S425" s="197"/>
      <c r="T425" s="197"/>
      <c r="U425" s="197"/>
      <c r="V425" s="197"/>
      <c r="W425" s="197"/>
    </row>
    <row r="426" spans="2:23" ht="14.25" customHeight="1">
      <c r="B426" s="186" t="s">
        <v>1171</v>
      </c>
      <c r="C426" s="187">
        <v>2</v>
      </c>
      <c r="D426" s="188" t="b">
        <v>0</v>
      </c>
      <c r="E426" s="188">
        <v>2</v>
      </c>
      <c r="F426" s="190"/>
      <c r="G426" s="191">
        <f t="shared" si="0"/>
        <v>0</v>
      </c>
      <c r="H426" s="192"/>
      <c r="I426" s="193"/>
      <c r="J426" s="193"/>
      <c r="K426" s="194"/>
      <c r="L426" s="195" t="b">
        <v>1</v>
      </c>
      <c r="M426" s="195" t="b">
        <v>0</v>
      </c>
      <c r="N426" s="195" t="b">
        <v>0</v>
      </c>
      <c r="O426" s="196">
        <f t="shared" si="1"/>
        <v>190</v>
      </c>
      <c r="P426" s="197"/>
      <c r="Q426" s="197"/>
      <c r="R426" s="197"/>
      <c r="S426" s="197"/>
      <c r="T426" s="197"/>
      <c r="U426" s="197"/>
      <c r="V426" s="197"/>
      <c r="W426" s="197"/>
    </row>
    <row r="427" spans="2:23" ht="14.25" customHeight="1">
      <c r="B427" s="186" t="s">
        <v>555</v>
      </c>
      <c r="C427" s="187">
        <v>300</v>
      </c>
      <c r="D427" s="188" t="b">
        <v>0</v>
      </c>
      <c r="E427" s="188">
        <v>200</v>
      </c>
      <c r="F427" s="190"/>
      <c r="G427" s="191">
        <f t="shared" si="0"/>
        <v>0</v>
      </c>
      <c r="H427" s="192"/>
      <c r="I427" s="198" t="s">
        <v>1172</v>
      </c>
      <c r="J427" s="198"/>
      <c r="K427" s="194"/>
      <c r="L427" s="195" t="b">
        <v>1</v>
      </c>
      <c r="M427" s="195" t="b">
        <v>0</v>
      </c>
      <c r="N427" s="195" t="b">
        <v>0</v>
      </c>
      <c r="O427" s="196">
        <f t="shared" si="1"/>
        <v>19000</v>
      </c>
      <c r="P427" s="197"/>
      <c r="Q427" s="197"/>
      <c r="R427" s="197"/>
      <c r="S427" s="197"/>
      <c r="T427" s="197"/>
      <c r="U427" s="197"/>
      <c r="V427" s="197"/>
      <c r="W427" s="197"/>
    </row>
    <row r="428" spans="2:23" ht="26.25" customHeight="1">
      <c r="B428" s="186" t="s">
        <v>1173</v>
      </c>
      <c r="C428" s="187">
        <v>1</v>
      </c>
      <c r="D428" s="188" t="b">
        <v>0</v>
      </c>
      <c r="E428" s="188">
        <v>1</v>
      </c>
      <c r="F428" s="190"/>
      <c r="G428" s="191">
        <f t="shared" si="0"/>
        <v>0</v>
      </c>
      <c r="H428" s="192"/>
      <c r="I428" s="198" t="s">
        <v>1174</v>
      </c>
      <c r="J428" s="198"/>
      <c r="K428" s="194"/>
      <c r="L428" s="195" t="b">
        <v>1</v>
      </c>
      <c r="M428" s="195" t="b">
        <v>0</v>
      </c>
      <c r="N428" s="195" t="b">
        <v>0</v>
      </c>
      <c r="O428" s="196">
        <f t="shared" si="1"/>
        <v>95</v>
      </c>
      <c r="P428" s="197"/>
      <c r="Q428" s="197"/>
      <c r="R428" s="197"/>
      <c r="S428" s="197"/>
      <c r="T428" s="197"/>
      <c r="U428" s="197"/>
      <c r="V428" s="197"/>
      <c r="W428" s="197"/>
    </row>
    <row r="429" spans="2:23" ht="14.25" customHeight="1">
      <c r="B429" s="186" t="s">
        <v>1175</v>
      </c>
      <c r="C429" s="187">
        <v>20</v>
      </c>
      <c r="D429" s="188" t="b">
        <v>1</v>
      </c>
      <c r="E429" s="188">
        <v>5</v>
      </c>
      <c r="F429" s="190">
        <v>80</v>
      </c>
      <c r="G429" s="190">
        <f t="shared" si="0"/>
        <v>400</v>
      </c>
      <c r="H429" s="192"/>
      <c r="I429" s="198" t="s">
        <v>1176</v>
      </c>
      <c r="J429" s="198"/>
      <c r="K429" s="194"/>
      <c r="L429" s="195" t="b">
        <v>1</v>
      </c>
      <c r="M429" s="195" t="b">
        <v>0</v>
      </c>
      <c r="N429" s="195" t="b">
        <v>0</v>
      </c>
      <c r="O429" s="196">
        <f t="shared" si="1"/>
        <v>475</v>
      </c>
      <c r="P429" s="197"/>
      <c r="Q429" s="197"/>
      <c r="R429" s="197"/>
      <c r="S429" s="197"/>
      <c r="T429" s="197"/>
      <c r="U429" s="197"/>
      <c r="V429" s="197"/>
      <c r="W429" s="197"/>
    </row>
    <row r="430" spans="2:23" ht="14.25" customHeight="1">
      <c r="B430" s="186" t="s">
        <v>1177</v>
      </c>
      <c r="C430" s="187">
        <v>100</v>
      </c>
      <c r="D430" s="188" t="b">
        <v>1</v>
      </c>
      <c r="E430" s="189"/>
      <c r="F430" s="190"/>
      <c r="G430" s="191">
        <f t="shared" si="0"/>
        <v>0</v>
      </c>
      <c r="H430" s="192"/>
      <c r="I430" s="193"/>
      <c r="J430" s="193"/>
      <c r="K430" s="194"/>
      <c r="L430" s="195" t="b">
        <v>0</v>
      </c>
      <c r="M430" s="195" t="b">
        <v>0</v>
      </c>
      <c r="N430" s="195" t="b">
        <v>0</v>
      </c>
      <c r="O430" s="196">
        <f t="shared" si="1"/>
        <v>0</v>
      </c>
      <c r="P430" s="197"/>
      <c r="Q430" s="197"/>
      <c r="R430" s="197"/>
      <c r="S430" s="197"/>
      <c r="T430" s="197"/>
      <c r="U430" s="197"/>
      <c r="V430" s="197"/>
      <c r="W430" s="197"/>
    </row>
    <row r="431" spans="2:23" ht="14.25" customHeight="1">
      <c r="B431" s="200"/>
      <c r="C431" s="201"/>
      <c r="D431" s="188" t="b">
        <v>0</v>
      </c>
      <c r="E431" s="189"/>
      <c r="F431" s="190"/>
      <c r="G431" s="191">
        <f t="shared" si="0"/>
        <v>0</v>
      </c>
      <c r="H431" s="192"/>
      <c r="I431" s="193"/>
      <c r="J431" s="193"/>
      <c r="K431" s="194"/>
      <c r="L431" s="195" t="b">
        <v>0</v>
      </c>
      <c r="M431" s="195" t="b">
        <v>0</v>
      </c>
      <c r="N431" s="195" t="b">
        <v>0</v>
      </c>
      <c r="O431" s="196">
        <f t="shared" si="1"/>
        <v>0</v>
      </c>
      <c r="P431" s="197"/>
      <c r="Q431" s="197"/>
      <c r="R431" s="197"/>
      <c r="S431" s="197"/>
      <c r="T431" s="197"/>
      <c r="U431" s="197"/>
      <c r="V431" s="197"/>
      <c r="W431" s="197"/>
    </row>
    <row r="432" spans="2:23" ht="14.25" customHeight="1">
      <c r="B432" s="200"/>
      <c r="C432" s="201"/>
      <c r="D432" s="188" t="b">
        <v>0</v>
      </c>
      <c r="E432" s="189"/>
      <c r="F432" s="190"/>
      <c r="G432" s="191">
        <f t="shared" si="0"/>
        <v>0</v>
      </c>
      <c r="H432" s="192"/>
      <c r="I432" s="193"/>
      <c r="J432" s="193"/>
      <c r="K432" s="194"/>
      <c r="L432" s="195" t="b">
        <v>0</v>
      </c>
      <c r="M432" s="195" t="b">
        <v>0</v>
      </c>
      <c r="N432" s="195" t="b">
        <v>0</v>
      </c>
      <c r="O432" s="196">
        <f t="shared" si="1"/>
        <v>0</v>
      </c>
      <c r="P432" s="197"/>
      <c r="Q432" s="197"/>
      <c r="R432" s="197"/>
      <c r="S432" s="197"/>
      <c r="T432" s="197"/>
      <c r="U432" s="197"/>
      <c r="V432" s="197"/>
      <c r="W432" s="197"/>
    </row>
    <row r="433" spans="2:23" ht="14.25" customHeight="1">
      <c r="B433" s="200"/>
      <c r="C433" s="201"/>
      <c r="D433" s="188" t="b">
        <v>0</v>
      </c>
      <c r="E433" s="189"/>
      <c r="F433" s="190"/>
      <c r="G433" s="191">
        <f t="shared" si="0"/>
        <v>0</v>
      </c>
      <c r="H433" s="192"/>
      <c r="I433" s="193"/>
      <c r="J433" s="193"/>
      <c r="K433" s="194"/>
      <c r="L433" s="195" t="b">
        <v>0</v>
      </c>
      <c r="M433" s="195" t="b">
        <v>0</v>
      </c>
      <c r="N433" s="195" t="b">
        <v>0</v>
      </c>
      <c r="O433" s="196">
        <f t="shared" si="1"/>
        <v>0</v>
      </c>
      <c r="P433" s="197"/>
      <c r="Q433" s="197"/>
      <c r="R433" s="197"/>
      <c r="S433" s="197"/>
      <c r="T433" s="197"/>
      <c r="U433" s="197"/>
      <c r="V433" s="197"/>
      <c r="W433" s="197"/>
    </row>
    <row r="434" spans="2:23" ht="15.75" customHeight="1">
      <c r="B434" s="200"/>
      <c r="C434" s="201"/>
      <c r="D434" s="188" t="b">
        <v>0</v>
      </c>
      <c r="E434" s="189"/>
      <c r="F434" s="190"/>
      <c r="G434" s="191">
        <f t="shared" si="0"/>
        <v>0</v>
      </c>
      <c r="H434" s="192"/>
      <c r="I434" s="193"/>
      <c r="J434" s="193"/>
      <c r="K434" s="194"/>
      <c r="L434" s="195" t="b">
        <v>0</v>
      </c>
      <c r="M434" s="195" t="b">
        <v>0</v>
      </c>
      <c r="N434" s="195" t="b">
        <v>0</v>
      </c>
      <c r="O434" s="196">
        <f t="shared" si="1"/>
        <v>0</v>
      </c>
      <c r="P434" s="197"/>
      <c r="Q434" s="197"/>
      <c r="R434" s="197"/>
      <c r="S434" s="197"/>
      <c r="T434" s="197"/>
      <c r="U434" s="197"/>
      <c r="V434" s="197"/>
      <c r="W434" s="197"/>
    </row>
    <row r="435" spans="2:23" ht="15.75" customHeight="1" thickBot="1">
      <c r="B435" s="202" t="s">
        <v>1178</v>
      </c>
      <c r="C435" s="203">
        <v>50</v>
      </c>
      <c r="D435" s="204" t="b">
        <v>0</v>
      </c>
      <c r="E435" s="204">
        <v>64</v>
      </c>
      <c r="F435" s="205"/>
      <c r="G435" s="206">
        <f t="shared" si="0"/>
        <v>0</v>
      </c>
      <c r="H435" s="207"/>
      <c r="I435" s="208"/>
      <c r="J435" s="208"/>
      <c r="K435" s="209"/>
      <c r="L435" s="210" t="b">
        <v>0</v>
      </c>
      <c r="M435" s="210" t="b">
        <v>0</v>
      </c>
      <c r="N435" s="210" t="b">
        <v>0</v>
      </c>
      <c r="O435" s="211">
        <f t="shared" si="1"/>
        <v>6080</v>
      </c>
      <c r="P435" s="212"/>
      <c r="Q435" s="212"/>
      <c r="R435" s="212"/>
      <c r="S435" s="212"/>
      <c r="T435" s="212"/>
      <c r="U435" s="212"/>
      <c r="V435" s="212"/>
      <c r="W435" s="212"/>
    </row>
    <row r="436" spans="2:23" ht="20" customHeight="1" thickTop="1">
      <c r="B436" s="213" t="s">
        <v>1179</v>
      </c>
      <c r="C436" s="214">
        <f>SUM(C410:C435)</f>
        <v>1249</v>
      </c>
      <c r="D436" s="215">
        <f>SUM(D410:D435)</f>
        <v>0</v>
      </c>
      <c r="E436" s="215">
        <f>SUM(E410:E435)</f>
        <v>950</v>
      </c>
      <c r="F436" s="216"/>
      <c r="G436" s="217">
        <f>SUM(G410:G435)</f>
        <v>3495</v>
      </c>
      <c r="H436" s="216"/>
      <c r="I436" s="218" t="s">
        <v>1180</v>
      </c>
      <c r="J436" s="218"/>
      <c r="K436" s="219"/>
      <c r="L436" s="219"/>
      <c r="M436" s="219"/>
      <c r="N436" s="219"/>
      <c r="O436" s="220">
        <f t="shared" si="1"/>
        <v>90250</v>
      </c>
      <c r="P436" s="219"/>
      <c r="Q436" s="219"/>
      <c r="R436" s="219"/>
      <c r="S436" s="219"/>
      <c r="T436" s="219"/>
      <c r="U436" s="219"/>
      <c r="V436" s="219"/>
      <c r="W436" s="219"/>
    </row>
  </sheetData>
  <mergeCells count="3">
    <mergeCell ref="B349:M349"/>
    <mergeCell ref="B408:W408"/>
    <mergeCell ref="B1:C1"/>
  </mergeCells>
  <hyperlinks>
    <hyperlink ref="AG362" r:id="rId1" display="https://www.tenuedeville.com/suppliers/www.meinewand.de" xr:uid="{41FE7628-4F07-6547-A6C7-18F6349770FB}"/>
    <hyperlink ref="AI393" r:id="rId2" tooltip="Appeler avec Hangouts" display="https://www.google.be/search?hl=fr&amp;source=hp&amp;ei=bXCsXOuGEZKckwXek4oY&amp;q=verpoorten+verfdistributie+bvba+herentals&amp;oq=verpoorten+verf&amp;gs_l=psy-ab.1.4.0i19l3j0i22i30i19l7.1590.9423..12703...0.0..0.159.1081.15j1......0....1..gws-wiz.....0..35i39i19j35i39j0j0i131j0i67j0i131i67j0i10i67j0i203j0i10i203j0i22i30j0i13i30.zK4k5HJ4OdU" xr:uid="{B5171C7E-3577-0849-B5CF-BEA40FF971E1}"/>
    <hyperlink ref="AI394" r:id="rId3" tooltip="Appeler avec Hangouts" display="https://www.google.com/search?client=safari&amp;rls=en&amp;q=pergamene&amp;ie=UTF-8&amp;oe=UTF-8" xr:uid="{D19C3B39-3E81-6B4C-A805-8ECFC1ADDE35}"/>
    <hyperlink ref="AI371" r:id="rId4" tooltip="Appeler avec Hangouts" display="https://www.google.com/search?client=safari&amp;rls=en&amp;q=colora+deinze&amp;ie=UTF-8&amp;oe=UTF-8" xr:uid="{82EB06C0-8407-D844-816E-51C98ABFD7FD}"/>
    <hyperlink ref="AI376" r:id="rId5" display="tel:+3292728292" xr:uid="{99F5D38A-5B00-964E-8452-585DE12CDCC0}"/>
    <hyperlink ref="AI382" r:id="rId6" display="tel:+3254333783" xr:uid="{8DEDE096-23C7-8442-B502-69EED291B143}"/>
    <hyperlink ref="AI386" r:id="rId7" tooltip="Appeler avec Hangouts" display="https://www.google.com/search?client=safari&amp;rls=en&amp;q=de+smaele+st+niklaas&amp;ie=UTF-8&amp;oe=UTF-8" xr:uid="{B74CC770-1838-7B4A-B1A7-7CA4E6AFAD52}"/>
    <hyperlink ref="AG391" r:id="rId8" display="http://unico-interiors.de/" xr:uid="{2A4AF355-00B9-E648-BDF2-FFFC57E322DD}"/>
    <hyperlink ref="AF386" r:id="rId9" xr:uid="{9493482C-E0E9-0E4D-9F42-08F4402247EE}"/>
    <hyperlink ref="AF383" r:id="rId10" display="mailto:colora.waregem@colora.be" xr:uid="{D950DA0B-6AD4-6F43-B0C1-73FC50455C11}"/>
    <hyperlink ref="AF382" r:id="rId11" display="mailto:ninove@schellaert.be" xr:uid="{DF0A3D29-4058-8044-8235-F1EC581807F6}"/>
    <hyperlink ref="AF376" r:id="rId12" display="mailto:info@ecostore.be?subject=Contact%20via%20website" xr:uid="{B152369D-13F4-8A4F-BEA4-24D682943A94}"/>
    <hyperlink ref="AF374" r:id="rId13" display="mailto:colora.grimbergen@colora.be" xr:uid="{3232A532-7813-1A4F-B929-F5974CD65851}"/>
    <hyperlink ref="AF373" r:id="rId14" xr:uid="{3ED2ABE2-CBA1-B542-8867-2C89B3CD2F3C}"/>
    <hyperlink ref="AF372" r:id="rId15" display="mailto:uniek.decoratie@telenet.be?__xts__=" xr:uid="{11891445-55DE-6E42-AA96-BB8968955588}"/>
    <hyperlink ref="AF371" r:id="rId16" display="mailto:colora.deinze@colora.be" xr:uid="{A3F3E1D3-36BF-7D40-9CFF-5550AF982B1D}"/>
    <hyperlink ref="AF370" r:id="rId17" display="mailto:colora.brugge2@colora.be" xr:uid="{31A99578-0CB7-054F-840D-65A65484D3ED}"/>
    <hyperlink ref="AF394" r:id="rId18" xr:uid="{FB9064FA-5D85-E140-9CC0-FB3CE4AACBBD}"/>
    <hyperlink ref="AF393" r:id="rId19" xr:uid="{B83083C7-9AE1-184B-8E0E-5AB6C5BBF533}"/>
    <hyperlink ref="AF392" r:id="rId20" display="administratie@mertens-interieur.be" xr:uid="{0ABE8EB3-801B-0D43-84F4-B9239FFFF9B5}"/>
    <hyperlink ref="AF369" r:id="rId21" display="mailto:colora.brugge@colora.be" xr:uid="{D8F543AA-81D9-1F4E-B238-E083AA8B0D2C}"/>
    <hyperlink ref="AF368" r:id="rId22" xr:uid="{3B1BCA10-B11C-DD4E-9139-19A6097E794D}"/>
    <hyperlink ref="AF363" r:id="rId23" xr:uid="{BE653B20-3643-9F43-8F44-6E7C4B184FD2}"/>
    <hyperlink ref="AF391" r:id="rId24" display="mailto:info@unico-interiors.de" xr:uid="{3C5DD8D2-1F73-6848-9FF9-F305CABFCD69}"/>
    <hyperlink ref="AF362" r:id="rId25" display="mailto:info@meinewand.de" xr:uid="{00F88326-8061-EC45-A624-408421EFB464}"/>
    <hyperlink ref="AF360" r:id="rId26" xr:uid="{2CF80BBE-2053-3C43-A7A6-EF573D05318A}"/>
    <hyperlink ref="AF355" r:id="rId27" xr:uid="{5D0071FE-F112-D447-AA61-09967259C7C4}"/>
    <hyperlink ref="AF352" r:id="rId28" display="psaieg@casagarda.cl" xr:uid="{33BC159B-DD0D-2E4C-8A58-122763F9ACFC}"/>
    <hyperlink ref="AF351" r:id="rId29" xr:uid="{0FA47173-E835-2E4B-8317-3B2BE2E38671}"/>
    <hyperlink ref="AF353" r:id="rId30" xr:uid="{09E22F48-A3D8-C847-AAA3-E11D9BA61F03}"/>
    <hyperlink ref="AF354" r:id="rId31" xr:uid="{7296E4AE-988B-3D45-B941-FE90D106C1EA}"/>
    <hyperlink ref="AF356" r:id="rId32" xr:uid="{4113EA03-40B8-0248-B9D2-4AE520475CA6}"/>
    <hyperlink ref="AF357" r:id="rId33" xr:uid="{9FACE80C-C31A-3840-81B8-C2D33DCBF655}"/>
    <hyperlink ref="AF358" r:id="rId34" xr:uid="{BBF09857-9D72-DC43-B582-528FE6796A79}"/>
    <hyperlink ref="AF361" r:id="rId35" xr:uid="{D68543A8-85FD-AB46-B5D5-068DCC499CA5}"/>
    <hyperlink ref="AF365" r:id="rId36" xr:uid="{68D43386-49A7-324B-8FB6-596331F55E9C}"/>
    <hyperlink ref="AF366" r:id="rId37" xr:uid="{B6B3E80C-F22E-A349-9D73-10B46E47DA85}"/>
    <hyperlink ref="AF367" r:id="rId38" xr:uid="{FC4C56C0-B911-A34B-B9C4-876E8192ABD8}"/>
    <hyperlink ref="AF375" r:id="rId39" xr:uid="{E367117B-B59D-CD42-950A-327E3D418BF8}"/>
    <hyperlink ref="AF377" r:id="rId40" xr:uid="{A91EC094-2169-234C-84A6-C1B303E360ED}"/>
    <hyperlink ref="AF378" r:id="rId41" xr:uid="{CDA8B628-815C-AA4B-ABEC-0494A7A54EC2}"/>
    <hyperlink ref="AF379" r:id="rId42" xr:uid="{0E7A7E19-ED6D-1148-B4C9-42926D653415}"/>
    <hyperlink ref="AF380" r:id="rId43" xr:uid="{D25AAF5F-EED2-4F4D-B3E6-B0EA16ADA2AD}"/>
    <hyperlink ref="AF381" r:id="rId44" xr:uid="{8B73C02E-8A8F-4F40-8031-2B2A5F8BD3BF}"/>
    <hyperlink ref="AF384" r:id="rId45" xr:uid="{C0C4A222-943D-2A42-96DA-D7F2180D0964}"/>
    <hyperlink ref="AF385" r:id="rId46" xr:uid="{C0713003-0BF6-2D4D-85DF-4E67707031F8}"/>
    <hyperlink ref="AF387" r:id="rId47" xr:uid="{B4AE4A6B-7D21-3145-8865-66D0B260144F}"/>
    <hyperlink ref="AF388" r:id="rId48" xr:uid="{042138B3-AE3C-9D43-A136-EBD54415FF64}"/>
    <hyperlink ref="AF389" r:id="rId49" xr:uid="{261502DC-B679-B842-8D99-FDB5E87E9194}"/>
    <hyperlink ref="AF390" r:id="rId50" xr:uid="{04891803-26CB-1C41-8848-644D869C9FB8}"/>
  </hyperlinks>
  <pageMargins left="1" right="1" top="1" bottom="1" header="0.25" footer="0.25"/>
  <pageSetup orientation="portrait"/>
  <headerFooter>
    <oddFooter>&amp;C&amp;"Helvetica Neue,Regular"&amp;12&amp;K000000&amp;P</oddFooter>
  </headerFooter>
  <legacyDrawing r:id="rId5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pageSetUpPr fitToPage="1"/>
  </sheetPr>
  <dimension ref="A1:IV14"/>
  <sheetViews>
    <sheetView showGridLines="0" workbookViewId="0">
      <pane xSplit="1" ySplit="2" topLeftCell="B3" activePane="bottomRight" state="frozen"/>
      <selection pane="topRight"/>
      <selection pane="bottomLeft"/>
      <selection pane="bottomRight" activeCell="H26" sqref="H26"/>
    </sheetView>
  </sheetViews>
  <sheetFormatPr baseColWidth="10" defaultColWidth="16.33203125" defaultRowHeight="18.75" customHeight="1"/>
  <cols>
    <col min="1" max="5" width="16.33203125" style="104" customWidth="1"/>
    <col min="6" max="6" width="16" style="104" customWidth="1"/>
    <col min="7" max="7" width="14.83203125" style="104" customWidth="1"/>
    <col min="8" max="8" width="16.83203125" style="104" customWidth="1"/>
    <col min="9" max="9" width="14.1640625" style="104" customWidth="1"/>
    <col min="10" max="10" width="15.33203125" style="104" customWidth="1"/>
    <col min="11" max="11" width="25.6640625" style="104" customWidth="1"/>
    <col min="12" max="256" width="16.33203125" style="104" customWidth="1"/>
  </cols>
  <sheetData>
    <row r="1" spans="1:15" ht="25.75" customHeight="1">
      <c r="A1" s="935" t="s">
        <v>0</v>
      </c>
      <c r="B1" s="935"/>
      <c r="C1" s="935"/>
      <c r="D1" s="935"/>
      <c r="E1" s="935"/>
      <c r="F1" s="935"/>
      <c r="G1" s="935"/>
      <c r="H1" s="935"/>
      <c r="I1" s="935"/>
      <c r="J1" s="935"/>
      <c r="K1" s="935"/>
      <c r="L1" s="935"/>
      <c r="M1" s="935"/>
      <c r="N1" s="935"/>
      <c r="O1" s="935"/>
    </row>
    <row r="2" spans="1:15" ht="19.25" customHeight="1">
      <c r="A2" s="105"/>
      <c r="B2" s="105"/>
      <c r="C2" s="105"/>
      <c r="D2" s="105"/>
      <c r="E2" s="105"/>
      <c r="F2" s="106" t="s">
        <v>77</v>
      </c>
      <c r="G2" s="106" t="s">
        <v>40</v>
      </c>
      <c r="H2" s="106" t="s">
        <v>41</v>
      </c>
      <c r="I2" s="106" t="s">
        <v>42</v>
      </c>
      <c r="J2" s="106" t="s">
        <v>43</v>
      </c>
      <c r="K2" s="106" t="s">
        <v>535</v>
      </c>
      <c r="L2" s="106" t="s">
        <v>536</v>
      </c>
      <c r="M2" s="106" t="s">
        <v>537</v>
      </c>
      <c r="N2" s="105"/>
      <c r="O2" s="105"/>
    </row>
    <row r="3" spans="1:15" ht="30.25" customHeight="1">
      <c r="A3" s="107" t="s">
        <v>538</v>
      </c>
      <c r="B3" s="108" t="s">
        <v>131</v>
      </c>
      <c r="C3" s="109" t="s">
        <v>44</v>
      </c>
      <c r="D3" s="109" t="s">
        <v>539</v>
      </c>
      <c r="E3" s="109" t="s">
        <v>540</v>
      </c>
      <c r="F3" s="109" t="s">
        <v>133</v>
      </c>
      <c r="G3" s="109" t="s">
        <v>133</v>
      </c>
      <c r="H3" s="109" t="s">
        <v>133</v>
      </c>
      <c r="I3" s="109" t="s">
        <v>133</v>
      </c>
      <c r="J3" s="109" t="s">
        <v>133</v>
      </c>
      <c r="K3" s="109" t="s">
        <v>541</v>
      </c>
      <c r="L3" s="109" t="s">
        <v>542</v>
      </c>
      <c r="M3" s="110"/>
      <c r="N3" s="110"/>
      <c r="O3" s="110"/>
    </row>
    <row r="4" spans="1:15" ht="30" customHeight="1">
      <c r="A4" s="111" t="s">
        <v>538</v>
      </c>
      <c r="B4" s="112" t="s">
        <v>543</v>
      </c>
      <c r="C4" s="113" t="s">
        <v>67</v>
      </c>
      <c r="D4" s="113" t="s">
        <v>544</v>
      </c>
      <c r="E4" s="113" t="s">
        <v>358</v>
      </c>
      <c r="F4" s="114" t="s">
        <v>133</v>
      </c>
      <c r="G4" s="115" t="s">
        <v>133</v>
      </c>
      <c r="H4" s="113" t="s">
        <v>133</v>
      </c>
      <c r="I4" s="113" t="s">
        <v>133</v>
      </c>
      <c r="J4" s="113" t="s">
        <v>133</v>
      </c>
      <c r="K4" s="113" t="s">
        <v>545</v>
      </c>
      <c r="L4" s="113" t="s">
        <v>546</v>
      </c>
      <c r="M4" s="116"/>
      <c r="N4" s="116"/>
      <c r="O4" s="116"/>
    </row>
    <row r="5" spans="1:15" ht="19" customHeight="1">
      <c r="A5" s="111" t="s">
        <v>538</v>
      </c>
      <c r="B5" s="112" t="s">
        <v>547</v>
      </c>
      <c r="C5" s="113" t="s">
        <v>67</v>
      </c>
      <c r="D5" s="113" t="s">
        <v>548</v>
      </c>
      <c r="E5" s="116"/>
      <c r="F5" s="114" t="s">
        <v>462</v>
      </c>
      <c r="G5" s="115" t="s">
        <v>462</v>
      </c>
      <c r="H5" s="113" t="s">
        <v>462</v>
      </c>
      <c r="I5" s="113" t="s">
        <v>462</v>
      </c>
      <c r="J5" s="113" t="s">
        <v>462</v>
      </c>
      <c r="K5" s="116"/>
      <c r="L5" s="113"/>
      <c r="M5" s="116"/>
      <c r="N5" s="116"/>
      <c r="O5" s="116"/>
    </row>
    <row r="6" spans="1:15" ht="19" customHeight="1">
      <c r="A6" s="111" t="s">
        <v>534</v>
      </c>
      <c r="B6" s="112" t="s">
        <v>549</v>
      </c>
      <c r="C6" s="113" t="s">
        <v>44</v>
      </c>
      <c r="D6" s="113" t="s">
        <v>550</v>
      </c>
      <c r="E6" s="113" t="s">
        <v>551</v>
      </c>
      <c r="F6" s="114" t="s">
        <v>55</v>
      </c>
      <c r="G6" s="115" t="s">
        <v>55</v>
      </c>
      <c r="H6" s="113" t="s">
        <v>55</v>
      </c>
      <c r="I6" s="113" t="s">
        <v>55</v>
      </c>
      <c r="J6" s="113" t="s">
        <v>55</v>
      </c>
      <c r="K6" s="116"/>
      <c r="L6" s="113"/>
      <c r="M6" s="116"/>
      <c r="N6" s="116"/>
      <c r="O6" s="116"/>
    </row>
    <row r="7" spans="1:15" ht="30" customHeight="1">
      <c r="A7" s="111" t="s">
        <v>526</v>
      </c>
      <c r="B7" s="112" t="s">
        <v>174</v>
      </c>
      <c r="C7" s="113" t="s">
        <v>44</v>
      </c>
      <c r="D7" s="113" t="s">
        <v>552</v>
      </c>
      <c r="E7" s="113" t="s">
        <v>553</v>
      </c>
      <c r="F7" s="113" t="s">
        <v>554</v>
      </c>
      <c r="G7" s="113" t="s">
        <v>554</v>
      </c>
      <c r="H7" s="113" t="s">
        <v>65</v>
      </c>
      <c r="I7" s="113" t="s">
        <v>65</v>
      </c>
      <c r="J7" s="113" t="s">
        <v>65</v>
      </c>
      <c r="K7" s="116"/>
      <c r="L7" s="113"/>
      <c r="M7" s="116"/>
      <c r="N7" s="116"/>
      <c r="O7" s="116"/>
    </row>
    <row r="8" spans="1:15" ht="19" customHeight="1">
      <c r="A8" s="111" t="s">
        <v>525</v>
      </c>
      <c r="B8" s="112" t="s">
        <v>555</v>
      </c>
      <c r="C8" s="113" t="s">
        <v>44</v>
      </c>
      <c r="D8" s="116"/>
      <c r="E8" s="113" t="s">
        <v>556</v>
      </c>
      <c r="F8" s="113" t="s">
        <v>462</v>
      </c>
      <c r="G8" s="113" t="s">
        <v>462</v>
      </c>
      <c r="H8" s="113" t="s">
        <v>462</v>
      </c>
      <c r="I8" s="113" t="s">
        <v>462</v>
      </c>
      <c r="J8" s="113" t="s">
        <v>462</v>
      </c>
      <c r="K8" s="116"/>
      <c r="L8" s="113"/>
      <c r="M8" s="116"/>
      <c r="N8" s="116"/>
      <c r="O8" s="116"/>
    </row>
    <row r="9" spans="1:15" ht="19" customHeight="1">
      <c r="A9" s="111" t="s">
        <v>538</v>
      </c>
      <c r="B9" s="112" t="s">
        <v>557</v>
      </c>
      <c r="C9" s="113" t="s">
        <v>67</v>
      </c>
      <c r="D9" s="113" t="s">
        <v>558</v>
      </c>
      <c r="E9" s="113" t="s">
        <v>378</v>
      </c>
      <c r="F9" s="113" t="s">
        <v>376</v>
      </c>
      <c r="G9" s="113" t="s">
        <v>376</v>
      </c>
      <c r="H9" s="113" t="s">
        <v>133</v>
      </c>
      <c r="I9" s="113" t="s">
        <v>376</v>
      </c>
      <c r="J9" s="113" t="s">
        <v>133</v>
      </c>
      <c r="K9" s="116"/>
      <c r="L9" s="113"/>
      <c r="M9" s="116"/>
      <c r="N9" s="116"/>
      <c r="O9" s="116"/>
    </row>
    <row r="10" spans="1:15" ht="20" customHeight="1">
      <c r="A10" s="111" t="s">
        <v>538</v>
      </c>
      <c r="B10" s="112" t="s">
        <v>559</v>
      </c>
      <c r="C10" s="113" t="s">
        <v>67</v>
      </c>
      <c r="D10" s="113" t="s">
        <v>560</v>
      </c>
      <c r="E10" s="113" t="s">
        <v>366</v>
      </c>
      <c r="F10" s="113" t="s">
        <v>376</v>
      </c>
      <c r="G10" s="113" t="s">
        <v>376</v>
      </c>
      <c r="H10" s="113" t="s">
        <v>376</v>
      </c>
      <c r="I10" s="113" t="s">
        <v>376</v>
      </c>
      <c r="J10" s="113" t="s">
        <v>376</v>
      </c>
      <c r="K10" s="26" t="s">
        <v>561</v>
      </c>
      <c r="L10" s="113" t="s">
        <v>562</v>
      </c>
      <c r="M10" s="116"/>
      <c r="N10" s="116"/>
      <c r="O10" s="116"/>
    </row>
    <row r="11" spans="1:15" ht="30" customHeight="1">
      <c r="A11" s="111" t="s">
        <v>538</v>
      </c>
      <c r="B11" s="112" t="s">
        <v>563</v>
      </c>
      <c r="C11" s="113" t="s">
        <v>67</v>
      </c>
      <c r="D11" s="113" t="s">
        <v>560</v>
      </c>
      <c r="E11" s="113" t="s">
        <v>564</v>
      </c>
      <c r="F11" s="113" t="s">
        <v>554</v>
      </c>
      <c r="G11" s="113" t="s">
        <v>133</v>
      </c>
      <c r="H11" s="113" t="s">
        <v>554</v>
      </c>
      <c r="I11" s="113" t="s">
        <v>133</v>
      </c>
      <c r="J11" s="113" t="s">
        <v>133</v>
      </c>
      <c r="K11" s="113" t="s">
        <v>565</v>
      </c>
      <c r="L11" s="113" t="s">
        <v>566</v>
      </c>
      <c r="M11" s="116"/>
      <c r="N11" s="116"/>
      <c r="O11" s="116"/>
    </row>
    <row r="12" spans="1:15" ht="19" customHeight="1">
      <c r="A12" s="111" t="s">
        <v>116</v>
      </c>
      <c r="B12" s="117"/>
      <c r="C12" s="116"/>
      <c r="D12" s="116"/>
      <c r="E12" s="116"/>
      <c r="F12" s="113" t="s">
        <v>462</v>
      </c>
      <c r="G12" s="113" t="s">
        <v>462</v>
      </c>
      <c r="H12" s="113" t="s">
        <v>462</v>
      </c>
      <c r="I12" s="113" t="s">
        <v>462</v>
      </c>
      <c r="J12" s="113" t="s">
        <v>462</v>
      </c>
      <c r="K12" s="116"/>
      <c r="L12" s="113"/>
      <c r="M12" s="116"/>
      <c r="N12" s="116"/>
      <c r="O12" s="116"/>
    </row>
    <row r="13" spans="1:15" ht="26">
      <c r="A13" s="111" t="s">
        <v>1095</v>
      </c>
      <c r="B13" s="117" t="s">
        <v>1096</v>
      </c>
      <c r="C13" s="116"/>
      <c r="D13" s="116" t="s">
        <v>1095</v>
      </c>
      <c r="E13" s="116" t="s">
        <v>335</v>
      </c>
      <c r="F13" s="113" t="s">
        <v>554</v>
      </c>
      <c r="G13" s="113" t="s">
        <v>554</v>
      </c>
      <c r="H13" s="113" t="s">
        <v>1313</v>
      </c>
      <c r="I13" s="113" t="s">
        <v>554</v>
      </c>
      <c r="J13" s="113" t="s">
        <v>1313</v>
      </c>
      <c r="K13" s="308" t="s">
        <v>1753</v>
      </c>
      <c r="L13" s="113" t="s">
        <v>1754</v>
      </c>
      <c r="M13" s="116"/>
      <c r="N13" s="116"/>
      <c r="O13" s="116"/>
    </row>
    <row r="14" spans="1:15" ht="26">
      <c r="A14" s="111" t="s">
        <v>538</v>
      </c>
      <c r="B14" s="263" t="s">
        <v>1264</v>
      </c>
      <c r="C14" s="113" t="s">
        <v>67</v>
      </c>
      <c r="D14" s="264" t="s">
        <v>1265</v>
      </c>
      <c r="E14" s="113" t="s">
        <v>497</v>
      </c>
      <c r="F14" s="113" t="s">
        <v>554</v>
      </c>
      <c r="G14" s="113" t="s">
        <v>554</v>
      </c>
      <c r="H14" s="113" t="s">
        <v>554</v>
      </c>
      <c r="I14" s="113" t="s">
        <v>554</v>
      </c>
      <c r="J14" s="113" t="s">
        <v>133</v>
      </c>
      <c r="K14" s="116"/>
      <c r="L14" s="113"/>
      <c r="M14" s="116"/>
      <c r="N14" s="116"/>
      <c r="O14" s="116"/>
    </row>
  </sheetData>
  <mergeCells count="1">
    <mergeCell ref="A1:O1"/>
  </mergeCells>
  <hyperlinks>
    <hyperlink ref="K3" r:id="rId1" xr:uid="{00000000-0004-0000-0300-000000000000}"/>
    <hyperlink ref="K4" r:id="rId2" xr:uid="{00000000-0004-0000-0300-000001000000}"/>
    <hyperlink ref="K10" r:id="rId3" xr:uid="{00000000-0004-0000-0300-000002000000}"/>
    <hyperlink ref="K11" r:id="rId4" xr:uid="{00000000-0004-0000-0300-000003000000}"/>
    <hyperlink ref="K13" r:id="rId5" display="mailto:Ankie@todayfurnishing.com" xr:uid="{12025B99-06E2-264A-8160-7DE54FC9E687}"/>
  </hyperlinks>
  <pageMargins left="1" right="1" top="1" bottom="1" header="0.25" footer="0.25"/>
  <pageSetup orientation="portrait"/>
  <headerFooter>
    <oddFooter>&amp;C&amp;"Helvetica Neue,Regular"&amp;12&amp;K000000&amp;P</oddFooter>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A2E646-8DAA-6A42-A5E8-E1B616FBDA5A}">
  <sheetPr codeName="Feuil4"/>
  <dimension ref="A1:AI59"/>
  <sheetViews>
    <sheetView workbookViewId="0">
      <pane ySplit="1" topLeftCell="A27" activePane="bottomLeft" state="frozen"/>
      <selection pane="bottomLeft" activeCell="O34" sqref="O34:O55"/>
    </sheetView>
  </sheetViews>
  <sheetFormatPr baseColWidth="10" defaultRowHeight="13"/>
  <cols>
    <col min="1" max="1" width="15.1640625" customWidth="1"/>
    <col min="2" max="2" width="22.83203125" customWidth="1"/>
    <col min="3" max="3" width="16" customWidth="1"/>
    <col min="4" max="4" width="9" style="370" customWidth="1"/>
    <col min="5" max="5" width="6.33203125" style="365" bestFit="1" customWidth="1"/>
    <col min="6" max="6" width="13.33203125" style="365" customWidth="1"/>
    <col min="7" max="7" width="9" style="365" bestFit="1" customWidth="1"/>
    <col min="8" max="8" width="7.5" style="365" customWidth="1"/>
    <col min="9" max="9" width="17.83203125" style="365" customWidth="1"/>
    <col min="10" max="10" width="10.83203125" style="365"/>
    <col min="11" max="11" width="8.5" style="365" customWidth="1"/>
    <col min="12" max="12" width="30.83203125" customWidth="1"/>
    <col min="13" max="13" width="34.33203125" customWidth="1"/>
    <col min="14" max="14" width="14.83203125" customWidth="1"/>
    <col min="15" max="15" width="23.5" customWidth="1"/>
    <col min="16" max="16" width="15.5" customWidth="1"/>
    <col min="17" max="17" width="28.33203125" customWidth="1"/>
    <col min="18" max="18" width="26.1640625" customWidth="1"/>
  </cols>
  <sheetData>
    <row r="1" spans="1:35" ht="70">
      <c r="A1" s="98" t="s">
        <v>1479</v>
      </c>
      <c r="B1" s="98" t="s">
        <v>1480</v>
      </c>
      <c r="C1" s="98" t="s">
        <v>1478</v>
      </c>
      <c r="D1" s="366" t="s">
        <v>1079</v>
      </c>
      <c r="E1" s="353" t="s">
        <v>1080</v>
      </c>
      <c r="F1" s="353" t="s">
        <v>1081</v>
      </c>
      <c r="G1" s="353" t="s">
        <v>1082</v>
      </c>
      <c r="H1" s="353" t="s">
        <v>1083</v>
      </c>
      <c r="I1" s="354" t="s">
        <v>1403</v>
      </c>
      <c r="J1" s="353" t="s">
        <v>1084</v>
      </c>
      <c r="K1" s="353" t="s">
        <v>1085</v>
      </c>
      <c r="L1" s="4" t="s">
        <v>535</v>
      </c>
      <c r="M1" s="311" t="s">
        <v>1395</v>
      </c>
      <c r="N1" s="299" t="s">
        <v>1323</v>
      </c>
      <c r="O1" s="311" t="s">
        <v>1337</v>
      </c>
      <c r="P1" s="299" t="s">
        <v>1591</v>
      </c>
      <c r="Q1" s="4" t="s">
        <v>537</v>
      </c>
      <c r="R1" s="221"/>
      <c r="S1" s="221"/>
      <c r="T1" s="221"/>
      <c r="U1" s="221"/>
      <c r="V1" s="221"/>
      <c r="W1" s="221"/>
      <c r="X1" s="221"/>
      <c r="Y1" s="221"/>
      <c r="Z1" s="221"/>
      <c r="AA1" s="221"/>
      <c r="AB1" s="221"/>
      <c r="AC1" s="221"/>
      <c r="AD1" s="221"/>
      <c r="AE1" s="4" t="s">
        <v>535</v>
      </c>
      <c r="AF1" s="311" t="s">
        <v>1395</v>
      </c>
      <c r="AG1" s="299" t="s">
        <v>1323</v>
      </c>
      <c r="AH1" s="311" t="s">
        <v>1337</v>
      </c>
      <c r="AI1" s="311" t="s">
        <v>1396</v>
      </c>
    </row>
    <row r="2" spans="1:35" ht="25" customHeight="1">
      <c r="A2" s="99" t="s">
        <v>538</v>
      </c>
      <c r="B2" s="161" t="s">
        <v>1092</v>
      </c>
      <c r="C2" s="11" t="s">
        <v>1093</v>
      </c>
      <c r="D2" s="21">
        <v>1</v>
      </c>
      <c r="E2" s="355"/>
      <c r="F2" s="401" t="s">
        <v>1544</v>
      </c>
      <c r="G2" s="427" t="s">
        <v>1622</v>
      </c>
      <c r="H2" s="400" t="s">
        <v>50</v>
      </c>
      <c r="I2" s="408" t="s">
        <v>1571</v>
      </c>
      <c r="J2" s="355" t="s">
        <v>59</v>
      </c>
      <c r="K2" s="355" t="s">
        <v>47</v>
      </c>
      <c r="L2" s="344" t="s">
        <v>1329</v>
      </c>
      <c r="M2" s="300" t="s">
        <v>1314</v>
      </c>
      <c r="N2" s="300"/>
      <c r="O2" s="326"/>
      <c r="P2" s="300"/>
      <c r="Q2" s="22"/>
      <c r="R2" s="221"/>
      <c r="S2" s="221" t="s">
        <v>1645</v>
      </c>
      <c r="T2" s="221"/>
      <c r="U2" s="221"/>
      <c r="V2" s="221"/>
      <c r="W2" s="221"/>
      <c r="X2" s="221"/>
      <c r="Y2" s="221"/>
      <c r="Z2" s="221"/>
      <c r="AA2" s="221"/>
      <c r="AB2" s="221"/>
      <c r="AC2" s="221"/>
      <c r="AD2" s="221"/>
      <c r="AE2" s="344" t="s">
        <v>1433</v>
      </c>
      <c r="AF2" s="300"/>
      <c r="AG2" s="300"/>
      <c r="AH2" s="326"/>
      <c r="AI2" s="300"/>
    </row>
    <row r="3" spans="1:35" ht="25" customHeight="1">
      <c r="A3" s="163" t="s">
        <v>538</v>
      </c>
      <c r="B3" s="164" t="s">
        <v>557</v>
      </c>
      <c r="C3" s="26" t="s">
        <v>378</v>
      </c>
      <c r="D3" s="46">
        <v>1</v>
      </c>
      <c r="E3" s="356" t="s">
        <v>1123</v>
      </c>
      <c r="F3" s="401" t="s">
        <v>1509</v>
      </c>
      <c r="G3" s="400" t="s">
        <v>412</v>
      </c>
      <c r="H3" s="400" t="s">
        <v>50</v>
      </c>
      <c r="I3" s="357">
        <v>165999147</v>
      </c>
      <c r="J3" s="400" t="s">
        <v>59</v>
      </c>
      <c r="K3" s="355" t="s">
        <v>47</v>
      </c>
      <c r="L3" s="307" t="s">
        <v>1443</v>
      </c>
      <c r="M3" s="300" t="s">
        <v>1314</v>
      </c>
      <c r="N3" s="300"/>
      <c r="O3" s="326"/>
      <c r="P3" s="300"/>
      <c r="Q3" s="350"/>
      <c r="R3" s="221"/>
      <c r="S3" s="221"/>
      <c r="T3" s="221"/>
      <c r="U3" s="221"/>
      <c r="V3" s="221"/>
      <c r="W3" s="221"/>
      <c r="X3" s="221"/>
      <c r="Y3" s="221"/>
      <c r="Z3" s="221"/>
      <c r="AA3" s="221"/>
      <c r="AB3" s="221"/>
      <c r="AC3" s="221"/>
      <c r="AD3" s="221"/>
      <c r="AE3" s="307" t="s">
        <v>1328</v>
      </c>
      <c r="AF3" s="300"/>
      <c r="AG3" s="300"/>
      <c r="AH3" s="326"/>
      <c r="AI3" s="300"/>
    </row>
    <row r="4" spans="1:35" ht="25" customHeight="1">
      <c r="A4" s="101" t="s">
        <v>538</v>
      </c>
      <c r="B4" s="164" t="s">
        <v>1124</v>
      </c>
      <c r="C4" s="26" t="s">
        <v>236</v>
      </c>
      <c r="D4" s="46">
        <v>1</v>
      </c>
      <c r="E4" s="356"/>
      <c r="F4" s="401" t="s">
        <v>1545</v>
      </c>
      <c r="G4" s="427" t="s">
        <v>1623</v>
      </c>
      <c r="H4" s="400" t="s">
        <v>50</v>
      </c>
      <c r="I4" s="407" t="s">
        <v>1570</v>
      </c>
      <c r="J4" s="400" t="s">
        <v>59</v>
      </c>
      <c r="K4" s="355" t="s">
        <v>47</v>
      </c>
      <c r="L4" s="307" t="s">
        <v>1349</v>
      </c>
      <c r="M4" s="314" t="s">
        <v>1348</v>
      </c>
      <c r="N4" s="300"/>
      <c r="O4" s="432" t="s">
        <v>1350</v>
      </c>
      <c r="P4" s="394"/>
      <c r="Q4" s="26" t="s">
        <v>1125</v>
      </c>
      <c r="R4" s="221"/>
      <c r="S4" s="221" t="s">
        <v>1645</v>
      </c>
      <c r="T4" s="221"/>
      <c r="U4" s="221"/>
      <c r="V4" s="221"/>
      <c r="W4" s="221"/>
      <c r="X4" s="221"/>
      <c r="Y4" s="221"/>
      <c r="Z4" s="221"/>
      <c r="AA4" s="221"/>
      <c r="AB4" s="221"/>
      <c r="AC4" s="221"/>
      <c r="AD4" s="221"/>
      <c r="AE4" s="307" t="s">
        <v>1434</v>
      </c>
      <c r="AF4" s="300"/>
      <c r="AG4" s="300"/>
      <c r="AH4" s="326"/>
      <c r="AI4" s="300"/>
    </row>
    <row r="5" spans="1:35" ht="25" customHeight="1">
      <c r="A5" s="101" t="s">
        <v>538</v>
      </c>
      <c r="B5" s="433" t="s">
        <v>1126</v>
      </c>
      <c r="C5" s="26" t="s">
        <v>236</v>
      </c>
      <c r="D5" s="46">
        <v>1</v>
      </c>
      <c r="E5" s="356"/>
      <c r="F5" s="401" t="s">
        <v>1546</v>
      </c>
      <c r="G5" s="427" t="s">
        <v>1624</v>
      </c>
      <c r="H5" s="400" t="s">
        <v>50</v>
      </c>
      <c r="I5" s="408" t="s">
        <v>1569</v>
      </c>
      <c r="J5" s="400" t="s">
        <v>59</v>
      </c>
      <c r="K5" s="355" t="s">
        <v>47</v>
      </c>
      <c r="L5" s="308" t="s">
        <v>1352</v>
      </c>
      <c r="M5" s="314" t="s">
        <v>1351</v>
      </c>
      <c r="N5" s="300"/>
      <c r="O5" s="432" t="s">
        <v>1353</v>
      </c>
      <c r="P5" s="435" t="s">
        <v>1650</v>
      </c>
      <c r="Q5" s="26" t="s">
        <v>1125</v>
      </c>
      <c r="R5" s="221"/>
      <c r="S5" s="221" t="s">
        <v>1645</v>
      </c>
      <c r="T5" s="221"/>
      <c r="U5" s="221"/>
      <c r="V5" s="221"/>
      <c r="W5" s="221"/>
      <c r="X5" s="221"/>
      <c r="Y5" s="221"/>
      <c r="Z5" s="221"/>
      <c r="AA5" s="221"/>
      <c r="AB5" s="221"/>
      <c r="AC5" s="221"/>
      <c r="AD5" s="221"/>
      <c r="AE5" s="345" t="s">
        <v>1435</v>
      </c>
      <c r="AF5" s="300"/>
      <c r="AG5" s="300"/>
      <c r="AH5" s="326"/>
      <c r="AI5" s="300"/>
    </row>
    <row r="6" spans="1:35" ht="25" customHeight="1">
      <c r="A6" s="101" t="s">
        <v>538</v>
      </c>
      <c r="B6" s="434" t="s">
        <v>1127</v>
      </c>
      <c r="C6" s="26" t="s">
        <v>236</v>
      </c>
      <c r="D6" s="46">
        <v>1</v>
      </c>
      <c r="E6" s="356"/>
      <c r="F6" s="401" t="s">
        <v>1547</v>
      </c>
      <c r="G6" s="357"/>
      <c r="H6" s="357"/>
      <c r="I6" s="408" t="s">
        <v>1572</v>
      </c>
      <c r="J6" s="400" t="s">
        <v>59</v>
      </c>
      <c r="K6" s="355" t="s">
        <v>47</v>
      </c>
      <c r="L6" s="307" t="s">
        <v>1648</v>
      </c>
      <c r="M6" s="314" t="s">
        <v>1368</v>
      </c>
      <c r="N6" s="421" t="s">
        <v>1649</v>
      </c>
      <c r="O6" s="432" t="s">
        <v>1369</v>
      </c>
      <c r="P6" s="435" t="s">
        <v>1650</v>
      </c>
      <c r="Q6" s="26" t="s">
        <v>1125</v>
      </c>
      <c r="R6" s="410" t="s">
        <v>1589</v>
      </c>
      <c r="S6" s="221"/>
      <c r="T6" s="221"/>
      <c r="U6" s="221"/>
      <c r="V6" s="221"/>
      <c r="W6" s="221"/>
      <c r="X6" s="221"/>
      <c r="Y6" s="221"/>
      <c r="Z6" s="221"/>
      <c r="AA6" s="221"/>
      <c r="AB6" s="221"/>
      <c r="AC6" s="221"/>
      <c r="AD6" s="221"/>
      <c r="AE6" s="307" t="s">
        <v>1329</v>
      </c>
      <c r="AF6" s="300"/>
      <c r="AG6" s="300"/>
      <c r="AH6" s="326"/>
      <c r="AI6" s="300"/>
    </row>
    <row r="7" spans="1:35" ht="25" customHeight="1">
      <c r="A7" s="101" t="s">
        <v>538</v>
      </c>
      <c r="B7" s="164" t="s">
        <v>1128</v>
      </c>
      <c r="C7" s="26" t="s">
        <v>236</v>
      </c>
      <c r="D7" s="46">
        <v>1</v>
      </c>
      <c r="E7" s="356"/>
      <c r="F7" s="401" t="s">
        <v>191</v>
      </c>
      <c r="G7" s="428" t="s">
        <v>1626</v>
      </c>
      <c r="H7" s="400" t="s">
        <v>50</v>
      </c>
      <c r="I7" s="408"/>
      <c r="J7" s="400" t="s">
        <v>59</v>
      </c>
      <c r="K7" s="355" t="s">
        <v>47</v>
      </c>
      <c r="L7" s="307" t="s">
        <v>1373</v>
      </c>
      <c r="M7" s="411" t="s">
        <v>1371</v>
      </c>
      <c r="N7" s="300" t="s">
        <v>1610</v>
      </c>
      <c r="O7" s="389" t="s">
        <v>1372</v>
      </c>
      <c r="P7" s="421" t="s">
        <v>1611</v>
      </c>
      <c r="Q7" s="26" t="s">
        <v>1125</v>
      </c>
      <c r="R7" s="410" t="s">
        <v>1589</v>
      </c>
      <c r="S7" s="221" t="s">
        <v>1645</v>
      </c>
      <c r="T7" s="221"/>
      <c r="U7" s="221"/>
      <c r="V7" s="221"/>
      <c r="W7" s="221"/>
      <c r="X7" s="221"/>
      <c r="Y7" s="221"/>
      <c r="Z7" s="221"/>
      <c r="AA7" s="221"/>
      <c r="AB7" s="221"/>
      <c r="AC7" s="221"/>
      <c r="AD7" s="221"/>
      <c r="AE7" s="307" t="s">
        <v>1436</v>
      </c>
      <c r="AF7" s="300"/>
      <c r="AG7" s="300"/>
      <c r="AH7" s="326"/>
      <c r="AI7" s="300"/>
    </row>
    <row r="8" spans="1:35" ht="25" customHeight="1">
      <c r="A8" s="101" t="s">
        <v>538</v>
      </c>
      <c r="B8" s="164" t="s">
        <v>1129</v>
      </c>
      <c r="C8" s="26" t="s">
        <v>236</v>
      </c>
      <c r="D8" s="46">
        <v>1</v>
      </c>
      <c r="E8" s="356"/>
      <c r="F8" s="401" t="s">
        <v>1548</v>
      </c>
      <c r="G8" s="400" t="s">
        <v>1625</v>
      </c>
      <c r="H8" s="400" t="s">
        <v>50</v>
      </c>
      <c r="I8" s="408" t="s">
        <v>1573</v>
      </c>
      <c r="J8" s="400" t="s">
        <v>59</v>
      </c>
      <c r="K8" s="355" t="s">
        <v>47</v>
      </c>
      <c r="L8" s="307" t="s">
        <v>1376</v>
      </c>
      <c r="M8" s="314" t="s">
        <v>1374</v>
      </c>
      <c r="N8" s="300"/>
      <c r="O8" s="391" t="s">
        <v>1375</v>
      </c>
      <c r="P8" s="396"/>
      <c r="Q8" s="26" t="s">
        <v>1125</v>
      </c>
      <c r="R8" s="221"/>
      <c r="S8" s="221" t="s">
        <v>1645</v>
      </c>
      <c r="T8" s="221"/>
      <c r="U8" s="221"/>
      <c r="V8" s="221"/>
      <c r="W8" s="221"/>
      <c r="X8" s="221"/>
      <c r="Y8" s="221"/>
      <c r="Z8" s="221"/>
      <c r="AA8" s="221"/>
      <c r="AB8" s="221"/>
      <c r="AC8" s="221"/>
      <c r="AD8" s="221"/>
      <c r="AE8" s="307" t="s">
        <v>1437</v>
      </c>
      <c r="AF8" s="300"/>
      <c r="AG8" s="300"/>
      <c r="AH8" s="326"/>
      <c r="AI8" s="300"/>
    </row>
    <row r="9" spans="1:35" ht="25" customHeight="1">
      <c r="A9" s="101" t="s">
        <v>538</v>
      </c>
      <c r="B9" s="164" t="s">
        <v>1130</v>
      </c>
      <c r="C9" s="26" t="s">
        <v>236</v>
      </c>
      <c r="D9" s="46">
        <v>1</v>
      </c>
      <c r="E9" s="356"/>
      <c r="F9" s="356" t="s">
        <v>1681</v>
      </c>
      <c r="G9" s="357" t="s">
        <v>1682</v>
      </c>
      <c r="H9" s="357" t="s">
        <v>50</v>
      </c>
      <c r="I9" s="408">
        <v>168383500</v>
      </c>
      <c r="J9" s="400" t="s">
        <v>59</v>
      </c>
      <c r="K9" s="355" t="s">
        <v>47</v>
      </c>
      <c r="L9" s="307" t="s">
        <v>1386</v>
      </c>
      <c r="M9" s="314" t="s">
        <v>1384</v>
      </c>
      <c r="N9" s="300"/>
      <c r="O9" s="393" t="s">
        <v>1385</v>
      </c>
      <c r="P9" s="397"/>
      <c r="Q9" s="26" t="s">
        <v>1125</v>
      </c>
      <c r="R9" s="410" t="s">
        <v>1589</v>
      </c>
      <c r="S9" s="221"/>
      <c r="T9" s="221"/>
      <c r="U9" s="221"/>
      <c r="V9" s="221"/>
      <c r="W9" s="221"/>
      <c r="X9" s="221"/>
      <c r="Y9" s="221"/>
      <c r="Z9" s="221"/>
      <c r="AA9" s="221"/>
      <c r="AB9" s="221"/>
      <c r="AC9" s="221"/>
      <c r="AD9" s="221"/>
      <c r="AE9" s="307" t="s">
        <v>1438</v>
      </c>
      <c r="AF9" s="300"/>
      <c r="AG9" s="300"/>
      <c r="AH9" s="326"/>
      <c r="AI9" s="300"/>
    </row>
    <row r="10" spans="1:35" ht="25" customHeight="1">
      <c r="A10" s="101" t="s">
        <v>538</v>
      </c>
      <c r="B10" s="164" t="s">
        <v>1131</v>
      </c>
      <c r="C10" s="26" t="s">
        <v>236</v>
      </c>
      <c r="D10" s="46">
        <v>1</v>
      </c>
      <c r="E10" s="356"/>
      <c r="F10" s="401" t="s">
        <v>1524</v>
      </c>
      <c r="G10" s="400" t="s">
        <v>1527</v>
      </c>
      <c r="H10" s="400" t="s">
        <v>50</v>
      </c>
      <c r="I10" s="357">
        <v>166040572</v>
      </c>
      <c r="J10" s="400" t="s">
        <v>59</v>
      </c>
      <c r="K10" s="355" t="s">
        <v>47</v>
      </c>
      <c r="L10" s="307" t="s">
        <v>1388</v>
      </c>
      <c r="M10" s="314" t="s">
        <v>1387</v>
      </c>
      <c r="N10" s="300"/>
      <c r="O10" s="386" t="s">
        <v>1389</v>
      </c>
      <c r="P10" s="394"/>
      <c r="Q10" s="26" t="s">
        <v>1125</v>
      </c>
      <c r="R10" s="221"/>
      <c r="S10" s="221" t="s">
        <v>1645</v>
      </c>
      <c r="T10" s="221"/>
      <c r="U10" s="221"/>
      <c r="V10" s="221"/>
      <c r="W10" s="221"/>
      <c r="X10" s="221"/>
      <c r="Y10" s="221"/>
      <c r="Z10" s="221"/>
      <c r="AA10" s="221"/>
      <c r="AB10" s="221"/>
      <c r="AC10" s="221"/>
      <c r="AD10" s="221"/>
      <c r="AE10" s="307" t="s">
        <v>1331</v>
      </c>
      <c r="AF10" s="300"/>
      <c r="AG10" s="300"/>
      <c r="AH10" s="326"/>
      <c r="AI10" s="300"/>
    </row>
    <row r="11" spans="1:35" ht="25" customHeight="1">
      <c r="A11" s="101" t="s">
        <v>538</v>
      </c>
      <c r="B11" s="164" t="s">
        <v>1132</v>
      </c>
      <c r="C11" s="26" t="s">
        <v>236</v>
      </c>
      <c r="D11" s="46">
        <v>1</v>
      </c>
      <c r="E11" s="356"/>
      <c r="F11" s="406" t="s">
        <v>1549</v>
      </c>
      <c r="G11" s="400" t="s">
        <v>1627</v>
      </c>
      <c r="H11" s="400" t="s">
        <v>50</v>
      </c>
      <c r="I11" s="408" t="s">
        <v>1574</v>
      </c>
      <c r="J11" s="400" t="s">
        <v>59</v>
      </c>
      <c r="K11" s="355" t="s">
        <v>47</v>
      </c>
      <c r="L11" s="307" t="s">
        <v>1444</v>
      </c>
      <c r="M11" s="380" t="s">
        <v>1390</v>
      </c>
      <c r="N11" s="300"/>
      <c r="O11" s="390" t="s">
        <v>1391</v>
      </c>
      <c r="P11" s="380"/>
      <c r="Q11" s="26" t="s">
        <v>1125</v>
      </c>
      <c r="R11" s="221"/>
      <c r="S11" s="221" t="s">
        <v>1645</v>
      </c>
      <c r="T11" s="221"/>
      <c r="U11" s="221"/>
      <c r="V11" s="221"/>
      <c r="W11" s="221"/>
      <c r="X11" s="221"/>
      <c r="Y11" s="221"/>
      <c r="Z11" s="221"/>
      <c r="AA11" s="221"/>
      <c r="AB11" s="221"/>
      <c r="AC11" s="221"/>
      <c r="AD11" s="221"/>
      <c r="AE11" s="307" t="s">
        <v>1332</v>
      </c>
      <c r="AF11" s="300"/>
      <c r="AG11" s="300"/>
      <c r="AH11" s="326"/>
      <c r="AI11" s="300"/>
    </row>
    <row r="12" spans="1:35" ht="25" customHeight="1">
      <c r="A12" s="101" t="s">
        <v>538</v>
      </c>
      <c r="B12" s="313" t="s">
        <v>1613</v>
      </c>
      <c r="C12" s="26" t="s">
        <v>236</v>
      </c>
      <c r="D12" s="46">
        <v>1</v>
      </c>
      <c r="E12" s="356"/>
      <c r="F12" s="420" t="s">
        <v>1620</v>
      </c>
      <c r="G12" s="429" t="s">
        <v>1628</v>
      </c>
      <c r="H12" s="400" t="s">
        <v>50</v>
      </c>
      <c r="I12" s="426" t="s">
        <v>1621</v>
      </c>
      <c r="J12" s="400" t="s">
        <v>59</v>
      </c>
      <c r="K12" s="355" t="s">
        <v>47</v>
      </c>
      <c r="L12" s="307" t="s">
        <v>1615</v>
      </c>
      <c r="M12" s="314" t="s">
        <v>1392</v>
      </c>
      <c r="N12" s="417" t="s">
        <v>1612</v>
      </c>
      <c r="O12" s="389" t="s">
        <v>1394</v>
      </c>
      <c r="P12" s="422" t="s">
        <v>1614</v>
      </c>
      <c r="Q12" s="26" t="s">
        <v>1125</v>
      </c>
      <c r="R12" s="410" t="s">
        <v>1589</v>
      </c>
      <c r="S12" s="221" t="s">
        <v>1645</v>
      </c>
      <c r="T12" s="221"/>
      <c r="U12" s="221"/>
      <c r="V12" s="221"/>
      <c r="W12" s="221"/>
      <c r="X12" s="221"/>
      <c r="Y12" s="221"/>
      <c r="Z12" s="221"/>
      <c r="AA12" s="221"/>
      <c r="AB12" s="221"/>
      <c r="AC12" s="221"/>
      <c r="AD12" s="221"/>
      <c r="AE12" s="307" t="s">
        <v>1439</v>
      </c>
      <c r="AF12" s="300"/>
      <c r="AG12" s="300"/>
      <c r="AH12" s="326"/>
      <c r="AI12" s="300"/>
    </row>
    <row r="13" spans="1:35" ht="25" customHeight="1">
      <c r="A13" s="101" t="s">
        <v>538</v>
      </c>
      <c r="B13" s="164" t="s">
        <v>1139</v>
      </c>
      <c r="C13" s="26" t="s">
        <v>1140</v>
      </c>
      <c r="D13" s="46">
        <v>1</v>
      </c>
      <c r="E13" s="356"/>
      <c r="F13" s="406" t="s">
        <v>1550</v>
      </c>
      <c r="G13" s="428" t="s">
        <v>1629</v>
      </c>
      <c r="H13" s="400" t="s">
        <v>50</v>
      </c>
      <c r="I13" s="408" t="s">
        <v>1575</v>
      </c>
      <c r="J13" s="400" t="s">
        <v>59</v>
      </c>
      <c r="K13" s="355" t="s">
        <v>47</v>
      </c>
      <c r="L13" s="308" t="s">
        <v>1448</v>
      </c>
      <c r="M13" s="381" t="s">
        <v>1404</v>
      </c>
      <c r="N13" s="314" t="s">
        <v>1406</v>
      </c>
      <c r="O13" s="390" t="s">
        <v>1405</v>
      </c>
      <c r="P13" s="300"/>
      <c r="Q13" s="350"/>
      <c r="R13" s="221"/>
      <c r="S13" s="221" t="s">
        <v>1645</v>
      </c>
      <c r="T13" s="221"/>
      <c r="U13" s="221"/>
      <c r="V13" s="221"/>
      <c r="W13" s="221"/>
      <c r="X13" s="221"/>
      <c r="Y13" s="221"/>
      <c r="Z13" s="221"/>
      <c r="AA13" s="221"/>
      <c r="AB13" s="221"/>
      <c r="AC13" s="221"/>
      <c r="AD13" s="221"/>
      <c r="AE13" s="308" t="s">
        <v>1335</v>
      </c>
      <c r="AF13" s="310" t="s">
        <v>1336</v>
      </c>
      <c r="AG13" s="300"/>
      <c r="AH13" s="326" t="s">
        <v>1334</v>
      </c>
      <c r="AI13" s="300"/>
    </row>
    <row r="14" spans="1:35" ht="25" customHeight="1">
      <c r="A14" s="101" t="s">
        <v>538</v>
      </c>
      <c r="B14" s="164" t="s">
        <v>1141</v>
      </c>
      <c r="C14" s="26" t="s">
        <v>1142</v>
      </c>
      <c r="D14" s="46">
        <v>1</v>
      </c>
      <c r="E14" s="356"/>
      <c r="F14" s="406" t="s">
        <v>1551</v>
      </c>
      <c r="G14" s="428" t="s">
        <v>1630</v>
      </c>
      <c r="H14" s="400" t="s">
        <v>50</v>
      </c>
      <c r="I14" s="408" t="s">
        <v>1576</v>
      </c>
      <c r="J14" s="400" t="s">
        <v>59</v>
      </c>
      <c r="K14" s="355" t="s">
        <v>47</v>
      </c>
      <c r="L14" s="308" t="s">
        <v>1449</v>
      </c>
      <c r="M14" s="381" t="s">
        <v>1407</v>
      </c>
      <c r="N14" s="352"/>
      <c r="O14" s="390">
        <v>446266613</v>
      </c>
      <c r="P14" s="300"/>
      <c r="Q14" s="350"/>
      <c r="R14" s="221"/>
      <c r="S14" s="221" t="s">
        <v>1645</v>
      </c>
      <c r="T14" s="221"/>
      <c r="U14" s="221"/>
      <c r="V14" s="221"/>
      <c r="W14" s="221"/>
      <c r="X14" s="221"/>
      <c r="Y14" s="221"/>
      <c r="Z14" s="221"/>
      <c r="AA14" s="221"/>
      <c r="AB14" s="221"/>
      <c r="AC14" s="221"/>
      <c r="AD14" s="221"/>
      <c r="AE14" s="308" t="s">
        <v>1341</v>
      </c>
      <c r="AF14" s="309" t="s">
        <v>1342</v>
      </c>
      <c r="AG14" s="221"/>
      <c r="AH14" s="326" t="s">
        <v>1343</v>
      </c>
      <c r="AI14" s="300"/>
    </row>
    <row r="15" spans="1:35" ht="25" customHeight="1">
      <c r="A15" s="101" t="s">
        <v>538</v>
      </c>
      <c r="B15" s="164" t="s">
        <v>1143</v>
      </c>
      <c r="C15" s="26" t="s">
        <v>1144</v>
      </c>
      <c r="D15" s="46">
        <v>1</v>
      </c>
      <c r="E15" s="356"/>
      <c r="F15" s="406" t="s">
        <v>1552</v>
      </c>
      <c r="G15" s="428" t="s">
        <v>1631</v>
      </c>
      <c r="H15" s="400" t="s">
        <v>50</v>
      </c>
      <c r="I15" s="408" t="s">
        <v>1577</v>
      </c>
      <c r="J15" s="400" t="s">
        <v>59</v>
      </c>
      <c r="K15" s="355" t="s">
        <v>47</v>
      </c>
      <c r="L15" s="307" t="s">
        <v>1409</v>
      </c>
      <c r="M15" s="381" t="s">
        <v>1408</v>
      </c>
      <c r="N15" s="300"/>
      <c r="O15" s="389" t="s">
        <v>1417</v>
      </c>
      <c r="P15" s="300"/>
      <c r="Q15" s="350"/>
      <c r="R15" s="221"/>
      <c r="S15" s="221" t="s">
        <v>1645</v>
      </c>
      <c r="T15" s="221"/>
      <c r="U15" s="221"/>
      <c r="V15" s="221"/>
      <c r="W15" s="221"/>
      <c r="X15" s="221"/>
      <c r="Y15" s="221"/>
      <c r="Z15" s="221"/>
      <c r="AA15" s="221"/>
      <c r="AB15" s="221"/>
      <c r="AC15" s="221"/>
      <c r="AD15" s="221"/>
      <c r="AE15" s="258" t="s">
        <v>1440</v>
      </c>
      <c r="AF15" s="309"/>
      <c r="AG15" s="300"/>
      <c r="AH15" s="326"/>
      <c r="AI15" s="300"/>
    </row>
    <row r="16" spans="1:35" ht="25" customHeight="1">
      <c r="A16" s="101" t="s">
        <v>538</v>
      </c>
      <c r="B16" s="164" t="s">
        <v>1145</v>
      </c>
      <c r="C16" s="26" t="s">
        <v>236</v>
      </c>
      <c r="D16" s="46">
        <v>1</v>
      </c>
      <c r="E16" s="356"/>
      <c r="F16" s="406" t="s">
        <v>1553</v>
      </c>
      <c r="G16" s="428" t="s">
        <v>1632</v>
      </c>
      <c r="H16" s="400" t="s">
        <v>50</v>
      </c>
      <c r="I16" s="400" t="s">
        <v>1578</v>
      </c>
      <c r="J16" s="400" t="s">
        <v>59</v>
      </c>
      <c r="K16" s="355" t="s">
        <v>47</v>
      </c>
      <c r="L16" s="308" t="s">
        <v>1414</v>
      </c>
      <c r="M16" s="381" t="s">
        <v>1412</v>
      </c>
      <c r="N16" s="352"/>
      <c r="O16" s="328" t="s">
        <v>1413</v>
      </c>
      <c r="P16" s="352"/>
      <c r="Q16" s="350"/>
      <c r="R16" s="221"/>
      <c r="S16" s="221" t="s">
        <v>1645</v>
      </c>
      <c r="T16" s="221"/>
      <c r="U16" s="221"/>
      <c r="V16" s="221"/>
      <c r="W16" s="221"/>
      <c r="X16" s="221"/>
      <c r="Y16" s="221"/>
      <c r="Z16" s="221"/>
      <c r="AA16" s="221"/>
      <c r="AB16" s="221"/>
      <c r="AC16" s="221"/>
      <c r="AD16" s="221"/>
      <c r="AE16" s="308" t="s">
        <v>1441</v>
      </c>
      <c r="AF16" s="310" t="s">
        <v>1346</v>
      </c>
      <c r="AG16" s="221"/>
      <c r="AH16" s="327" t="s">
        <v>1347</v>
      </c>
      <c r="AI16" s="312"/>
    </row>
    <row r="17" spans="1:35" ht="25" customHeight="1">
      <c r="A17" s="101" t="s">
        <v>538</v>
      </c>
      <c r="B17" s="164" t="s">
        <v>1279</v>
      </c>
      <c r="C17" s="26" t="s">
        <v>1278</v>
      </c>
      <c r="D17" s="46">
        <v>1</v>
      </c>
      <c r="E17" s="356"/>
      <c r="F17" s="406" t="s">
        <v>1554</v>
      </c>
      <c r="G17" s="428" t="s">
        <v>1633</v>
      </c>
      <c r="H17" s="400" t="s">
        <v>50</v>
      </c>
      <c r="I17" s="408" t="s">
        <v>1579</v>
      </c>
      <c r="J17" s="400" t="s">
        <v>59</v>
      </c>
      <c r="K17" s="355" t="s">
        <v>47</v>
      </c>
      <c r="L17" s="307" t="s">
        <v>1450</v>
      </c>
      <c r="M17" s="381" t="s">
        <v>1415</v>
      </c>
      <c r="N17" s="300"/>
      <c r="O17" s="390" t="s">
        <v>1416</v>
      </c>
      <c r="P17" s="300"/>
      <c r="Q17" s="350"/>
      <c r="R17" s="221"/>
      <c r="S17" s="221" t="s">
        <v>1645</v>
      </c>
      <c r="T17" s="221"/>
      <c r="U17" s="221"/>
      <c r="V17" s="221"/>
      <c r="W17" s="221"/>
      <c r="X17" s="221"/>
      <c r="Y17" s="221"/>
      <c r="Z17" s="221"/>
      <c r="AA17" s="221"/>
      <c r="AB17" s="221"/>
      <c r="AC17" s="221"/>
      <c r="AD17" s="221"/>
      <c r="AE17" s="307" t="s">
        <v>1442</v>
      </c>
      <c r="AF17" s="221"/>
      <c r="AG17" s="300"/>
      <c r="AH17" s="326"/>
      <c r="AI17" s="300"/>
    </row>
    <row r="18" spans="1:35" ht="25" customHeight="1">
      <c r="A18" s="101" t="s">
        <v>538</v>
      </c>
      <c r="B18" s="164" t="s">
        <v>1280</v>
      </c>
      <c r="C18" s="26" t="s">
        <v>1281</v>
      </c>
      <c r="D18" s="46">
        <v>1</v>
      </c>
      <c r="E18" s="356"/>
      <c r="F18" s="406" t="s">
        <v>1555</v>
      </c>
      <c r="G18" s="428" t="s">
        <v>1634</v>
      </c>
      <c r="H18" s="400" t="s">
        <v>50</v>
      </c>
      <c r="I18" s="408" t="s">
        <v>1580</v>
      </c>
      <c r="J18" s="400" t="s">
        <v>59</v>
      </c>
      <c r="K18" s="355" t="s">
        <v>47</v>
      </c>
      <c r="L18" s="307" t="s">
        <v>1451</v>
      </c>
      <c r="M18" s="314" t="s">
        <v>1418</v>
      </c>
      <c r="N18" s="423"/>
      <c r="O18" s="390" t="s">
        <v>1419</v>
      </c>
      <c r="P18" s="300"/>
      <c r="Q18" s="350"/>
      <c r="R18" s="221"/>
      <c r="S18" s="221" t="s">
        <v>1645</v>
      </c>
      <c r="T18" s="221"/>
      <c r="U18" s="221"/>
      <c r="V18" s="221"/>
      <c r="W18" s="221"/>
      <c r="X18" s="221"/>
      <c r="Y18" s="221"/>
      <c r="Z18" s="221"/>
      <c r="AA18" s="221"/>
      <c r="AB18" s="221"/>
      <c r="AC18" s="221"/>
      <c r="AD18" s="221"/>
      <c r="AE18" s="307" t="s">
        <v>1443</v>
      </c>
      <c r="AF18" s="300"/>
      <c r="AG18" s="300"/>
      <c r="AH18" s="326"/>
      <c r="AI18" s="300"/>
    </row>
    <row r="19" spans="1:35" ht="25" customHeight="1">
      <c r="A19" s="101" t="s">
        <v>538</v>
      </c>
      <c r="B19" s="424" t="s">
        <v>1616</v>
      </c>
      <c r="C19" s="26" t="s">
        <v>1282</v>
      </c>
      <c r="D19" s="46">
        <v>1</v>
      </c>
      <c r="E19" s="356"/>
      <c r="F19" s="420" t="s">
        <v>1619</v>
      </c>
      <c r="G19" s="428" t="s">
        <v>1647</v>
      </c>
      <c r="H19" s="400" t="s">
        <v>50</v>
      </c>
      <c r="I19" s="425" t="s">
        <v>1618</v>
      </c>
      <c r="J19" s="400" t="s">
        <v>59</v>
      </c>
      <c r="K19" s="355" t="s">
        <v>47</v>
      </c>
      <c r="L19" s="307" t="s">
        <v>1422</v>
      </c>
      <c r="M19" s="314" t="s">
        <v>1420</v>
      </c>
      <c r="N19" s="424" t="s">
        <v>1617</v>
      </c>
      <c r="O19" s="329" t="s">
        <v>1421</v>
      </c>
      <c r="P19" s="431" t="s">
        <v>1646</v>
      </c>
      <c r="Q19" s="350"/>
      <c r="R19" s="410" t="s">
        <v>1589</v>
      </c>
      <c r="S19" s="221" t="s">
        <v>1645</v>
      </c>
      <c r="T19" s="221"/>
      <c r="U19" s="221"/>
      <c r="V19" s="221"/>
      <c r="W19" s="221"/>
      <c r="X19" s="221"/>
      <c r="Y19" s="221"/>
      <c r="Z19" s="221"/>
      <c r="AA19" s="221"/>
      <c r="AB19" s="221"/>
      <c r="AC19" s="221"/>
      <c r="AD19" s="221"/>
      <c r="AE19" s="307" t="s">
        <v>1349</v>
      </c>
      <c r="AF19" s="314" t="s">
        <v>1348</v>
      </c>
      <c r="AG19" s="300"/>
      <c r="AH19" s="328" t="s">
        <v>1350</v>
      </c>
      <c r="AI19" s="315"/>
    </row>
    <row r="20" spans="1:35" ht="25" customHeight="1">
      <c r="A20" s="101" t="s">
        <v>538</v>
      </c>
      <c r="B20" s="164" t="s">
        <v>1283</v>
      </c>
      <c r="C20" s="26" t="s">
        <v>1284</v>
      </c>
      <c r="D20" s="46">
        <v>1</v>
      </c>
      <c r="E20" s="356"/>
      <c r="F20" s="406" t="s">
        <v>1556</v>
      </c>
      <c r="G20" s="428" t="s">
        <v>1635</v>
      </c>
      <c r="H20" s="400" t="s">
        <v>50</v>
      </c>
      <c r="I20" s="408" t="s">
        <v>1581</v>
      </c>
      <c r="J20" s="400" t="s">
        <v>59</v>
      </c>
      <c r="K20" s="355" t="s">
        <v>47</v>
      </c>
      <c r="L20" s="308" t="s">
        <v>1452</v>
      </c>
      <c r="M20" s="314" t="s">
        <v>1425</v>
      </c>
      <c r="N20" s="300"/>
      <c r="O20" s="332" t="s">
        <v>1427</v>
      </c>
      <c r="P20" s="352"/>
      <c r="Q20" s="350"/>
      <c r="R20" s="221"/>
      <c r="S20" s="221" t="s">
        <v>1645</v>
      </c>
      <c r="T20" s="221"/>
      <c r="U20" s="221"/>
      <c r="V20" s="221"/>
      <c r="W20" s="221"/>
      <c r="X20" s="221"/>
      <c r="Y20" s="221"/>
      <c r="Z20" s="221"/>
      <c r="AA20" s="221"/>
      <c r="AB20" s="221"/>
      <c r="AC20" s="221"/>
      <c r="AD20" s="221"/>
      <c r="AE20" s="308" t="s">
        <v>1352</v>
      </c>
      <c r="AF20" s="314" t="s">
        <v>1351</v>
      </c>
      <c r="AG20" s="300"/>
      <c r="AH20" s="328" t="s">
        <v>1353</v>
      </c>
      <c r="AI20" s="315"/>
    </row>
    <row r="21" spans="1:35" ht="25" customHeight="1">
      <c r="A21" s="101" t="s">
        <v>538</v>
      </c>
      <c r="B21" s="95" t="s">
        <v>1285</v>
      </c>
      <c r="C21" s="350" t="s">
        <v>1286</v>
      </c>
      <c r="D21" s="46">
        <v>1</v>
      </c>
      <c r="E21" s="356"/>
      <c r="F21" s="406" t="s">
        <v>1557</v>
      </c>
      <c r="G21" s="428" t="s">
        <v>1636</v>
      </c>
      <c r="H21" s="400" t="s">
        <v>50</v>
      </c>
      <c r="I21" s="408" t="s">
        <v>1582</v>
      </c>
      <c r="J21" s="400" t="s">
        <v>59</v>
      </c>
      <c r="K21" s="355" t="s">
        <v>47</v>
      </c>
      <c r="L21" s="308" t="s">
        <v>1453</v>
      </c>
      <c r="M21" s="380" t="s">
        <v>1426</v>
      </c>
      <c r="N21" s="300"/>
      <c r="O21" s="387" t="s">
        <v>1428</v>
      </c>
      <c r="P21" s="352"/>
      <c r="Q21" s="350"/>
      <c r="R21" s="221"/>
      <c r="S21" s="221" t="s">
        <v>1645</v>
      </c>
      <c r="T21" s="221"/>
      <c r="U21" s="221"/>
      <c r="V21" s="221"/>
      <c r="W21" s="221"/>
      <c r="X21" s="221"/>
      <c r="Y21" s="221"/>
      <c r="Z21" s="221"/>
      <c r="AA21" s="221"/>
      <c r="AB21" s="221"/>
      <c r="AC21" s="221"/>
      <c r="AD21" s="221"/>
      <c r="AE21" s="308" t="s">
        <v>1370</v>
      </c>
      <c r="AF21" s="314" t="s">
        <v>1368</v>
      </c>
      <c r="AG21" s="300"/>
      <c r="AH21" s="328" t="s">
        <v>1369</v>
      </c>
      <c r="AI21" s="315"/>
    </row>
    <row r="22" spans="1:35" ht="25" customHeight="1">
      <c r="A22" s="101" t="s">
        <v>538</v>
      </c>
      <c r="B22" s="95" t="s">
        <v>131</v>
      </c>
      <c r="C22" s="350" t="s">
        <v>539</v>
      </c>
      <c r="D22" s="46">
        <v>1</v>
      </c>
      <c r="E22" s="356"/>
      <c r="F22" s="406" t="s">
        <v>1558</v>
      </c>
      <c r="G22" s="428" t="s">
        <v>1637</v>
      </c>
      <c r="H22" s="400" t="s">
        <v>50</v>
      </c>
      <c r="I22" s="408" t="s">
        <v>1583</v>
      </c>
      <c r="J22" s="400" t="s">
        <v>59</v>
      </c>
      <c r="K22" s="355" t="s">
        <v>47</v>
      </c>
      <c r="L22" s="377" t="s">
        <v>1454</v>
      </c>
      <c r="M22" s="381" t="s">
        <v>1381</v>
      </c>
      <c r="N22" s="314" t="s">
        <v>1383</v>
      </c>
      <c r="O22" s="333" t="s">
        <v>1382</v>
      </c>
      <c r="P22" s="322"/>
      <c r="Q22" s="350"/>
      <c r="R22" s="221"/>
      <c r="S22" s="221" t="s">
        <v>1645</v>
      </c>
      <c r="T22" s="221"/>
      <c r="U22" s="221"/>
      <c r="V22" s="221"/>
      <c r="W22" s="221"/>
      <c r="X22" s="221"/>
      <c r="Y22" s="221"/>
      <c r="Z22" s="221"/>
      <c r="AA22" s="221"/>
      <c r="AB22" s="221"/>
      <c r="AC22" s="221"/>
      <c r="AD22" s="221"/>
      <c r="AE22" s="308" t="s">
        <v>1373</v>
      </c>
      <c r="AF22" s="312" t="s">
        <v>1371</v>
      </c>
      <c r="AG22" s="300"/>
      <c r="AH22" s="329" t="s">
        <v>1372</v>
      </c>
      <c r="AI22" s="308"/>
    </row>
    <row r="23" spans="1:35" ht="25" customHeight="1">
      <c r="A23" s="346" t="s">
        <v>538</v>
      </c>
      <c r="B23" s="342" t="s">
        <v>1355</v>
      </c>
      <c r="C23" s="258" t="s">
        <v>1354</v>
      </c>
      <c r="D23" s="53">
        <v>1</v>
      </c>
      <c r="E23" s="356"/>
      <c r="F23" s="406" t="s">
        <v>1559</v>
      </c>
      <c r="G23" s="428" t="s">
        <v>1638</v>
      </c>
      <c r="H23" s="400" t="s">
        <v>50</v>
      </c>
      <c r="I23" s="408" t="s">
        <v>1584</v>
      </c>
      <c r="J23" s="400" t="s">
        <v>59</v>
      </c>
      <c r="K23" s="355" t="s">
        <v>47</v>
      </c>
      <c r="L23" s="378" t="s">
        <v>1358</v>
      </c>
      <c r="M23" s="314" t="s">
        <v>1356</v>
      </c>
      <c r="N23" s="300"/>
      <c r="O23" s="335" t="s">
        <v>1357</v>
      </c>
      <c r="P23" s="319"/>
      <c r="Q23" s="350"/>
      <c r="R23" s="221"/>
      <c r="S23" s="221" t="s">
        <v>1645</v>
      </c>
      <c r="T23" s="221"/>
      <c r="U23" s="221"/>
      <c r="V23" s="221"/>
      <c r="W23" s="221"/>
      <c r="X23" s="221"/>
      <c r="Y23" s="221"/>
      <c r="Z23" s="221"/>
      <c r="AA23" s="221"/>
      <c r="AB23" s="221"/>
      <c r="AC23" s="221"/>
      <c r="AD23" s="221"/>
      <c r="AE23" s="308" t="s">
        <v>1376</v>
      </c>
      <c r="AF23" s="314" t="s">
        <v>1374</v>
      </c>
      <c r="AG23" s="300"/>
      <c r="AH23" s="330" t="s">
        <v>1375</v>
      </c>
      <c r="AI23" s="321"/>
    </row>
    <row r="24" spans="1:35" ht="25" customHeight="1">
      <c r="A24" s="346" t="s">
        <v>538</v>
      </c>
      <c r="B24" s="342" t="s">
        <v>1359</v>
      </c>
      <c r="C24" s="258" t="s">
        <v>1360</v>
      </c>
      <c r="D24" s="53">
        <v>1</v>
      </c>
      <c r="E24" s="356"/>
      <c r="F24" s="406" t="s">
        <v>1560</v>
      </c>
      <c r="G24" s="428" t="s">
        <v>1639</v>
      </c>
      <c r="H24" s="400" t="s">
        <v>50</v>
      </c>
      <c r="I24" s="408" t="s">
        <v>1585</v>
      </c>
      <c r="J24" s="400" t="s">
        <v>59</v>
      </c>
      <c r="K24" s="355" t="s">
        <v>47</v>
      </c>
      <c r="L24" s="307" t="s">
        <v>1361</v>
      </c>
      <c r="M24" s="314" t="s">
        <v>1362</v>
      </c>
      <c r="N24" s="300"/>
      <c r="O24" s="329" t="s">
        <v>1363</v>
      </c>
      <c r="P24" s="308"/>
      <c r="Q24" s="350"/>
      <c r="R24" s="221"/>
      <c r="S24" s="221" t="s">
        <v>1645</v>
      </c>
      <c r="T24" s="221"/>
      <c r="U24" s="221"/>
      <c r="V24" s="221"/>
      <c r="W24" s="221"/>
      <c r="X24" s="221"/>
      <c r="Y24" s="221"/>
      <c r="Z24" s="221"/>
      <c r="AA24" s="221"/>
      <c r="AB24" s="221"/>
      <c r="AC24" s="221"/>
      <c r="AD24" s="221"/>
      <c r="AE24" s="307" t="s">
        <v>1386</v>
      </c>
      <c r="AF24" s="314" t="s">
        <v>1384</v>
      </c>
      <c r="AG24" s="300"/>
      <c r="AH24" s="331" t="s">
        <v>1385</v>
      </c>
      <c r="AI24" s="323"/>
    </row>
    <row r="25" spans="1:35" ht="25" customHeight="1">
      <c r="A25" s="346" t="s">
        <v>538</v>
      </c>
      <c r="B25" s="342" t="s">
        <v>1364</v>
      </c>
      <c r="C25" s="258" t="s">
        <v>1360</v>
      </c>
      <c r="D25" s="53">
        <v>1</v>
      </c>
      <c r="E25" s="356"/>
      <c r="F25" s="420" t="s">
        <v>1608</v>
      </c>
      <c r="G25" s="428" t="s">
        <v>1640</v>
      </c>
      <c r="H25" s="400" t="s">
        <v>50</v>
      </c>
      <c r="I25" s="400" t="s">
        <v>1609</v>
      </c>
      <c r="J25" s="400" t="s">
        <v>59</v>
      </c>
      <c r="K25" s="355" t="s">
        <v>47</v>
      </c>
      <c r="L25" s="377" t="s">
        <v>1365</v>
      </c>
      <c r="M25" s="314" t="s">
        <v>1366</v>
      </c>
      <c r="N25" s="300" t="s">
        <v>1590</v>
      </c>
      <c r="O25" s="329" t="s">
        <v>1367</v>
      </c>
      <c r="P25" s="308" t="s">
        <v>1592</v>
      </c>
      <c r="Q25" s="350"/>
      <c r="R25" s="410"/>
      <c r="S25" s="221" t="s">
        <v>1645</v>
      </c>
      <c r="T25" s="221"/>
      <c r="U25" s="221"/>
      <c r="V25" s="221"/>
      <c r="W25" s="221"/>
      <c r="X25" s="221"/>
      <c r="Y25" s="221"/>
      <c r="Z25" s="221"/>
      <c r="AA25" s="221"/>
      <c r="AB25" s="221"/>
      <c r="AC25" s="221"/>
      <c r="AD25" s="221"/>
      <c r="AE25" s="308" t="s">
        <v>1388</v>
      </c>
      <c r="AF25" s="314" t="s">
        <v>1387</v>
      </c>
      <c r="AG25" s="300"/>
      <c r="AH25" s="328" t="s">
        <v>1389</v>
      </c>
      <c r="AI25" s="315"/>
    </row>
    <row r="26" spans="1:35" ht="25" customHeight="1">
      <c r="A26" s="346" t="s">
        <v>538</v>
      </c>
      <c r="B26" s="342" t="s">
        <v>1588</v>
      </c>
      <c r="C26" s="258" t="s">
        <v>1377</v>
      </c>
      <c r="D26" s="375">
        <v>1</v>
      </c>
      <c r="E26" s="356"/>
      <c r="F26" s="401" t="s">
        <v>1541</v>
      </c>
      <c r="G26" s="409" t="s">
        <v>1587</v>
      </c>
      <c r="H26" s="400" t="s">
        <v>50</v>
      </c>
      <c r="I26" s="357">
        <v>166048409</v>
      </c>
      <c r="J26" s="400" t="s">
        <v>59</v>
      </c>
      <c r="K26" s="355" t="s">
        <v>47</v>
      </c>
      <c r="L26" s="377" t="s">
        <v>1330</v>
      </c>
      <c r="M26" s="381" t="s">
        <v>1486</v>
      </c>
      <c r="N26" s="300" t="s">
        <v>1377</v>
      </c>
      <c r="O26" s="329" t="s">
        <v>1487</v>
      </c>
      <c r="P26" s="308"/>
      <c r="Q26" s="279" t="s">
        <v>1103</v>
      </c>
      <c r="R26" s="221"/>
      <c r="S26" s="221" t="s">
        <v>1645</v>
      </c>
      <c r="T26" s="221"/>
      <c r="U26" s="221"/>
      <c r="V26" s="221"/>
      <c r="W26" s="221"/>
      <c r="X26" s="221"/>
      <c r="Y26" s="221"/>
      <c r="Z26" s="221"/>
      <c r="AA26" s="221"/>
      <c r="AB26" s="221"/>
      <c r="AC26" s="221"/>
      <c r="AD26" s="221"/>
      <c r="AE26" s="308" t="s">
        <v>1444</v>
      </c>
      <c r="AF26" s="324" t="s">
        <v>1390</v>
      </c>
      <c r="AG26" s="300"/>
      <c r="AH26" s="332" t="s">
        <v>1391</v>
      </c>
      <c r="AI26" s="324"/>
    </row>
    <row r="27" spans="1:35" ht="25" customHeight="1">
      <c r="A27" s="346" t="s">
        <v>538</v>
      </c>
      <c r="B27" s="342" t="s">
        <v>1378</v>
      </c>
      <c r="C27" s="258" t="s">
        <v>497</v>
      </c>
      <c r="D27" s="375">
        <v>1</v>
      </c>
      <c r="E27" s="401" t="s">
        <v>47</v>
      </c>
      <c r="F27" s="401" t="s">
        <v>1514</v>
      </c>
      <c r="G27" s="400" t="s">
        <v>1515</v>
      </c>
      <c r="H27" s="400" t="s">
        <v>50</v>
      </c>
      <c r="I27" s="357">
        <v>166024835</v>
      </c>
      <c r="J27" s="400" t="s">
        <v>59</v>
      </c>
      <c r="K27" s="355" t="s">
        <v>47</v>
      </c>
      <c r="L27" s="377" t="s">
        <v>1431</v>
      </c>
      <c r="M27" s="300" t="s">
        <v>1593</v>
      </c>
      <c r="N27" s="300" t="s">
        <v>497</v>
      </c>
      <c r="O27" s="329"/>
      <c r="P27" s="308"/>
      <c r="Q27" s="350"/>
      <c r="R27" s="221"/>
      <c r="S27" s="221" t="s">
        <v>1645</v>
      </c>
      <c r="T27" s="221"/>
      <c r="U27" s="221"/>
      <c r="V27" s="221"/>
      <c r="W27" s="221"/>
      <c r="X27" s="221"/>
      <c r="Y27" s="221"/>
      <c r="Z27" s="221"/>
      <c r="AA27" s="221"/>
      <c r="AB27" s="221"/>
      <c r="AC27" s="221"/>
      <c r="AD27" s="221"/>
      <c r="AE27" s="308" t="s">
        <v>1393</v>
      </c>
      <c r="AF27" s="314" t="s">
        <v>1392</v>
      </c>
      <c r="AG27" s="300"/>
      <c r="AH27" s="329" t="s">
        <v>1394</v>
      </c>
      <c r="AI27" s="308"/>
    </row>
    <row r="28" spans="1:35" ht="25" customHeight="1">
      <c r="A28" s="346" t="s">
        <v>538</v>
      </c>
      <c r="B28" s="342" t="s">
        <v>1379</v>
      </c>
      <c r="C28" s="258" t="s">
        <v>1380</v>
      </c>
      <c r="D28" s="375">
        <v>1</v>
      </c>
      <c r="E28" s="401" t="s">
        <v>47</v>
      </c>
      <c r="F28" s="401" t="s">
        <v>1539</v>
      </c>
      <c r="G28" s="400" t="s">
        <v>1540</v>
      </c>
      <c r="H28" s="400" t="s">
        <v>50</v>
      </c>
      <c r="I28" s="50">
        <v>166047709</v>
      </c>
      <c r="J28" s="400" t="s">
        <v>59</v>
      </c>
      <c r="K28" s="355" t="s">
        <v>47</v>
      </c>
      <c r="L28" s="307" t="s">
        <v>1432</v>
      </c>
      <c r="M28" s="300" t="s">
        <v>1594</v>
      </c>
      <c r="N28" s="300" t="s">
        <v>1595</v>
      </c>
      <c r="O28" s="389" t="s">
        <v>1596</v>
      </c>
      <c r="P28" s="395"/>
      <c r="Q28" s="350"/>
      <c r="R28" s="221"/>
      <c r="S28" s="221" t="s">
        <v>1645</v>
      </c>
      <c r="T28" s="221"/>
      <c r="U28" s="221"/>
      <c r="V28" s="221"/>
      <c r="W28" s="221"/>
      <c r="X28" s="221"/>
      <c r="Y28" s="221"/>
      <c r="Z28" s="221"/>
      <c r="AA28" s="221"/>
      <c r="AB28" s="221"/>
      <c r="AC28" s="221"/>
      <c r="AD28" s="221"/>
      <c r="AE28" s="307" t="s">
        <v>1445</v>
      </c>
      <c r="AF28" s="300"/>
      <c r="AG28" s="300"/>
      <c r="AH28" s="326"/>
      <c r="AI28" s="300"/>
    </row>
    <row r="29" spans="1:35" ht="25" customHeight="1">
      <c r="A29" s="346" t="s">
        <v>538</v>
      </c>
      <c r="B29" s="342" t="s">
        <v>563</v>
      </c>
      <c r="C29" s="258" t="s">
        <v>1402</v>
      </c>
      <c r="D29" s="375">
        <v>1</v>
      </c>
      <c r="E29" s="356"/>
      <c r="F29" s="406" t="s">
        <v>1561</v>
      </c>
      <c r="G29" s="428" t="s">
        <v>1641</v>
      </c>
      <c r="H29" s="400" t="s">
        <v>50</v>
      </c>
      <c r="I29" s="408" t="s">
        <v>1586</v>
      </c>
      <c r="J29" s="400" t="s">
        <v>59</v>
      </c>
      <c r="K29" s="355" t="s">
        <v>47</v>
      </c>
      <c r="L29" s="379" t="s">
        <v>1400</v>
      </c>
      <c r="M29" s="314" t="s">
        <v>1401</v>
      </c>
      <c r="N29" s="314" t="s">
        <v>1402</v>
      </c>
      <c r="O29" s="392" t="s">
        <v>566</v>
      </c>
      <c r="P29" s="395"/>
      <c r="Q29" s="350"/>
      <c r="R29" s="221"/>
      <c r="S29" s="221" t="s">
        <v>1645</v>
      </c>
      <c r="T29" s="221"/>
      <c r="U29" s="221"/>
      <c r="V29" s="221"/>
      <c r="W29" s="221"/>
      <c r="X29" s="221"/>
      <c r="Y29" s="221"/>
      <c r="Z29" s="221"/>
      <c r="AA29" s="221"/>
      <c r="AB29" s="221"/>
      <c r="AC29" s="221"/>
      <c r="AD29" s="221"/>
      <c r="AE29" s="307" t="s">
        <v>1446</v>
      </c>
      <c r="AF29" s="300"/>
      <c r="AG29" s="300"/>
      <c r="AH29" s="326"/>
      <c r="AI29" s="300"/>
    </row>
    <row r="30" spans="1:35" ht="25" customHeight="1">
      <c r="A30" s="103" t="s">
        <v>538</v>
      </c>
      <c r="B30" s="342" t="s">
        <v>1707</v>
      </c>
      <c r="C30" s="258"/>
      <c r="D30" s="375">
        <v>1</v>
      </c>
      <c r="E30" s="356"/>
      <c r="F30" s="450"/>
      <c r="G30" s="451"/>
      <c r="H30" s="400"/>
      <c r="I30" s="408"/>
      <c r="J30" s="400"/>
      <c r="K30" s="355"/>
      <c r="L30" s="379"/>
      <c r="M30" s="314"/>
      <c r="N30" s="314"/>
      <c r="O30" s="392"/>
      <c r="P30" s="395"/>
      <c r="Q30" s="436"/>
      <c r="R30" s="221"/>
      <c r="S30" s="221"/>
      <c r="T30" s="221"/>
      <c r="U30" s="221"/>
      <c r="V30" s="221"/>
      <c r="W30" s="221"/>
      <c r="X30" s="221"/>
      <c r="Y30" s="221"/>
      <c r="Z30" s="221"/>
      <c r="AA30" s="221"/>
      <c r="AB30" s="221"/>
      <c r="AC30" s="221"/>
      <c r="AD30" s="221"/>
      <c r="AE30" s="307"/>
      <c r="AF30" s="300"/>
      <c r="AG30" s="300"/>
      <c r="AH30" s="326"/>
      <c r="AI30" s="300"/>
    </row>
    <row r="31" spans="1:35" ht="25" customHeight="1">
      <c r="A31" s="346"/>
      <c r="B31" s="342"/>
      <c r="C31" s="258"/>
      <c r="D31" s="375"/>
      <c r="E31" s="356"/>
      <c r="F31" s="450"/>
      <c r="G31" s="451"/>
      <c r="H31" s="400"/>
      <c r="I31" s="408"/>
      <c r="J31" s="400"/>
      <c r="K31" s="355"/>
      <c r="L31" s="379"/>
      <c r="M31" s="314"/>
      <c r="N31" s="314"/>
      <c r="O31" s="392"/>
      <c r="P31" s="395"/>
      <c r="Q31" s="436"/>
      <c r="R31" s="221"/>
      <c r="S31" s="221"/>
      <c r="T31" s="221"/>
      <c r="U31" s="221"/>
      <c r="V31" s="221"/>
      <c r="W31" s="221"/>
      <c r="X31" s="221"/>
      <c r="Y31" s="221"/>
      <c r="Z31" s="221"/>
      <c r="AA31" s="221"/>
      <c r="AB31" s="221"/>
      <c r="AC31" s="221"/>
      <c r="AD31" s="221"/>
      <c r="AE31" s="307"/>
      <c r="AF31" s="300"/>
      <c r="AG31" s="300"/>
      <c r="AH31" s="326"/>
      <c r="AI31" s="300"/>
    </row>
    <row r="32" spans="1:35" ht="25" customHeight="1">
      <c r="A32" s="346"/>
      <c r="B32" s="342"/>
      <c r="C32" s="258"/>
      <c r="D32" s="375"/>
      <c r="E32" s="356"/>
      <c r="F32" s="450"/>
      <c r="G32" s="451"/>
      <c r="H32" s="400"/>
      <c r="I32" s="408"/>
      <c r="J32" s="400"/>
      <c r="K32" s="355"/>
      <c r="L32" s="379"/>
      <c r="M32" s="314"/>
      <c r="N32" s="314"/>
      <c r="O32" s="392"/>
      <c r="P32" s="395"/>
      <c r="Q32" s="436"/>
      <c r="R32" s="221"/>
      <c r="S32" s="221"/>
      <c r="T32" s="221"/>
      <c r="U32" s="221"/>
      <c r="V32" s="221"/>
      <c r="W32" s="221"/>
      <c r="X32" s="221"/>
      <c r="Y32" s="221"/>
      <c r="Z32" s="221"/>
      <c r="AA32" s="221"/>
      <c r="AB32" s="221"/>
      <c r="AC32" s="221"/>
      <c r="AD32" s="221"/>
      <c r="AE32" s="307"/>
      <c r="AF32" s="300"/>
      <c r="AG32" s="300"/>
      <c r="AH32" s="326"/>
      <c r="AI32" s="300"/>
    </row>
    <row r="33" spans="1:35" ht="25" customHeight="1">
      <c r="A33" s="163" t="s">
        <v>524</v>
      </c>
      <c r="B33" s="164" t="s">
        <v>1327</v>
      </c>
      <c r="C33" s="350" t="s">
        <v>1333</v>
      </c>
      <c r="D33" s="46">
        <v>1</v>
      </c>
      <c r="E33" s="356" t="s">
        <v>47</v>
      </c>
      <c r="F33" s="356" t="s">
        <v>1482</v>
      </c>
      <c r="G33" s="357" t="s">
        <v>1483</v>
      </c>
      <c r="H33" s="357" t="s">
        <v>50</v>
      </c>
      <c r="I33" s="357">
        <v>165927074</v>
      </c>
      <c r="J33" s="357" t="s">
        <v>59</v>
      </c>
      <c r="K33" s="355" t="s">
        <v>47</v>
      </c>
      <c r="L33" s="307" t="s">
        <v>1328</v>
      </c>
      <c r="M33" s="300"/>
      <c r="N33" s="300"/>
      <c r="O33" s="326"/>
      <c r="P33" s="300"/>
      <c r="Q33" s="26" t="s">
        <v>1090</v>
      </c>
      <c r="R33" s="221"/>
      <c r="S33" s="221"/>
      <c r="T33" s="221"/>
      <c r="U33" s="221"/>
      <c r="V33" s="221"/>
      <c r="W33" s="221"/>
      <c r="X33" s="221"/>
      <c r="Y33" s="221"/>
      <c r="Z33" s="221"/>
      <c r="AA33" s="221"/>
      <c r="AB33" s="221"/>
      <c r="AC33" s="221"/>
      <c r="AD33" s="221"/>
      <c r="AE33" s="307" t="s">
        <v>1447</v>
      </c>
      <c r="AF33" s="314" t="s">
        <v>1397</v>
      </c>
      <c r="AG33" s="314" t="s">
        <v>1398</v>
      </c>
      <c r="AH33" s="337" t="s">
        <v>1399</v>
      </c>
      <c r="AI33" s="300"/>
    </row>
    <row r="34" spans="1:35" ht="25" customHeight="1">
      <c r="A34" s="101" t="s">
        <v>525</v>
      </c>
      <c r="B34" s="164" t="s">
        <v>160</v>
      </c>
      <c r="C34" s="26" t="s">
        <v>1091</v>
      </c>
      <c r="D34" s="46">
        <v>200</v>
      </c>
      <c r="E34" s="356" t="s">
        <v>47</v>
      </c>
      <c r="F34" s="356" t="s">
        <v>47</v>
      </c>
      <c r="G34" s="357" t="s">
        <v>1467</v>
      </c>
      <c r="H34" s="357" t="s">
        <v>118</v>
      </c>
      <c r="I34" s="357" t="s">
        <v>47</v>
      </c>
      <c r="J34" s="357" t="s">
        <v>160</v>
      </c>
      <c r="K34" s="355" t="s">
        <v>47</v>
      </c>
      <c r="L34" s="345" t="s">
        <v>1435</v>
      </c>
      <c r="M34" s="300"/>
      <c r="N34" s="300"/>
      <c r="O34" s="388"/>
      <c r="P34" s="300"/>
      <c r="Q34" s="350"/>
      <c r="R34" s="221"/>
      <c r="S34" s="221"/>
      <c r="T34" s="221"/>
      <c r="U34" s="221"/>
      <c r="V34" s="221"/>
      <c r="W34" s="221"/>
      <c r="X34" s="221"/>
      <c r="Y34" s="221"/>
      <c r="Z34" s="221"/>
      <c r="AA34" s="221"/>
      <c r="AB34" s="221"/>
      <c r="AC34" s="221"/>
      <c r="AD34" s="221"/>
      <c r="AE34" s="308" t="s">
        <v>1448</v>
      </c>
      <c r="AF34" s="314" t="s">
        <v>1404</v>
      </c>
      <c r="AG34" s="314" t="s">
        <v>1406</v>
      </c>
      <c r="AH34" s="332" t="s">
        <v>1405</v>
      </c>
      <c r="AI34" s="300"/>
    </row>
    <row r="35" spans="1:35" ht="25" customHeight="1">
      <c r="A35" s="101" t="s">
        <v>1136</v>
      </c>
      <c r="B35" s="313" t="s">
        <v>1137</v>
      </c>
      <c r="C35" s="26" t="s">
        <v>502</v>
      </c>
      <c r="D35" s="405">
        <v>4</v>
      </c>
      <c r="E35" s="402" t="s">
        <v>1696</v>
      </c>
      <c r="F35" s="402"/>
      <c r="G35" s="403"/>
      <c r="H35" s="403"/>
      <c r="I35" s="403"/>
      <c r="J35" s="403"/>
      <c r="K35" s="355" t="s">
        <v>47</v>
      </c>
      <c r="L35" s="377" t="s">
        <v>1447</v>
      </c>
      <c r="M35" s="300" t="s">
        <v>1397</v>
      </c>
      <c r="N35" s="314" t="s">
        <v>1398</v>
      </c>
      <c r="O35" s="387" t="s">
        <v>1399</v>
      </c>
      <c r="P35" s="300"/>
      <c r="Q35" s="350"/>
      <c r="R35" s="410" t="s">
        <v>1599</v>
      </c>
      <c r="S35" s="221"/>
      <c r="T35" s="221"/>
      <c r="U35" s="221"/>
      <c r="V35" s="221"/>
      <c r="W35" s="221"/>
      <c r="X35" s="221"/>
      <c r="Y35" s="221"/>
      <c r="Z35" s="221"/>
      <c r="AA35" s="221"/>
      <c r="AB35" s="221"/>
      <c r="AC35" s="221"/>
      <c r="AD35" s="221"/>
      <c r="AE35" s="308" t="s">
        <v>1449</v>
      </c>
      <c r="AF35" s="314" t="s">
        <v>1407</v>
      </c>
      <c r="AG35" s="300"/>
      <c r="AH35" s="332">
        <v>446266613</v>
      </c>
      <c r="AI35" s="300"/>
    </row>
    <row r="36" spans="1:35" ht="25" customHeight="1">
      <c r="A36" s="101" t="s">
        <v>1119</v>
      </c>
      <c r="B36" s="164" t="s">
        <v>1120</v>
      </c>
      <c r="C36" s="26" t="s">
        <v>436</v>
      </c>
      <c r="D36" s="46">
        <v>1</v>
      </c>
      <c r="E36" s="356" t="s">
        <v>1121</v>
      </c>
      <c r="F36" s="356"/>
      <c r="G36" s="357"/>
      <c r="H36" s="357"/>
      <c r="I36" s="357"/>
      <c r="J36" s="357"/>
      <c r="K36" s="355" t="s">
        <v>47</v>
      </c>
      <c r="L36" s="377" t="s">
        <v>1442</v>
      </c>
      <c r="M36" s="384"/>
      <c r="N36" s="300"/>
      <c r="O36" s="388"/>
      <c r="P36" s="300"/>
      <c r="Q36" s="26" t="s">
        <v>1122</v>
      </c>
      <c r="R36" s="410"/>
      <c r="S36" s="221"/>
      <c r="T36" s="221"/>
      <c r="U36" s="221"/>
      <c r="V36" s="221"/>
      <c r="W36" s="221"/>
      <c r="X36" s="221"/>
      <c r="Y36" s="221"/>
      <c r="Z36" s="221"/>
      <c r="AA36" s="221"/>
      <c r="AB36" s="221"/>
      <c r="AC36" s="221"/>
      <c r="AD36" s="221"/>
      <c r="AE36" s="308" t="s">
        <v>1409</v>
      </c>
      <c r="AF36" s="314" t="s">
        <v>1408</v>
      </c>
      <c r="AG36" s="300"/>
      <c r="AH36" s="329" t="s">
        <v>1417</v>
      </c>
      <c r="AI36" s="300"/>
    </row>
    <row r="37" spans="1:35" ht="25" customHeight="1">
      <c r="A37" s="101" t="s">
        <v>526</v>
      </c>
      <c r="B37" s="164" t="s">
        <v>174</v>
      </c>
      <c r="C37" s="26" t="s">
        <v>553</v>
      </c>
      <c r="D37" s="46">
        <v>350</v>
      </c>
      <c r="E37" s="356" t="s">
        <v>1110</v>
      </c>
      <c r="F37" s="402"/>
      <c r="G37" s="403"/>
      <c r="H37" s="403"/>
      <c r="I37" s="403"/>
      <c r="J37" s="403"/>
      <c r="K37" s="404" t="s">
        <v>47</v>
      </c>
      <c r="L37" s="377" t="s">
        <v>1332</v>
      </c>
      <c r="M37" s="300"/>
      <c r="N37" s="300"/>
      <c r="O37" s="388"/>
      <c r="P37" s="300"/>
      <c r="Q37" s="350"/>
      <c r="R37" s="410"/>
      <c r="S37" s="221"/>
      <c r="T37" s="221"/>
      <c r="U37" s="221"/>
      <c r="V37" s="221"/>
      <c r="W37" s="221"/>
      <c r="X37" s="221"/>
      <c r="Y37" s="221"/>
      <c r="Z37" s="221"/>
      <c r="AA37" s="221"/>
      <c r="AB37" s="221"/>
      <c r="AC37" s="221"/>
      <c r="AD37" s="221"/>
      <c r="AE37" s="308" t="s">
        <v>1414</v>
      </c>
      <c r="AF37" s="314" t="s">
        <v>1412</v>
      </c>
      <c r="AG37" s="300"/>
      <c r="AH37" s="328" t="s">
        <v>1413</v>
      </c>
      <c r="AI37" s="300"/>
    </row>
    <row r="38" spans="1:35" ht="46" customHeight="1">
      <c r="A38" s="413" t="s">
        <v>527</v>
      </c>
      <c r="B38" s="164" t="s">
        <v>1112</v>
      </c>
      <c r="C38" s="26" t="s">
        <v>1113</v>
      </c>
      <c r="D38" s="46">
        <v>1</v>
      </c>
      <c r="E38" s="356"/>
      <c r="F38" s="406" t="s">
        <v>1562</v>
      </c>
      <c r="G38" s="430"/>
      <c r="H38" s="357"/>
      <c r="I38" s="357"/>
      <c r="J38" s="357"/>
      <c r="K38" s="355" t="s">
        <v>47</v>
      </c>
      <c r="L38" s="308" t="s">
        <v>1335</v>
      </c>
      <c r="M38" s="787" t="s">
        <v>1336</v>
      </c>
      <c r="N38" s="300"/>
      <c r="O38" s="388" t="s">
        <v>1334</v>
      </c>
      <c r="P38" s="417" t="s">
        <v>1602</v>
      </c>
      <c r="Q38" s="26" t="s">
        <v>1114</v>
      </c>
      <c r="R38" s="410" t="s">
        <v>1601</v>
      </c>
      <c r="S38" s="221"/>
      <c r="T38" s="221"/>
      <c r="U38" s="221"/>
      <c r="V38" s="221"/>
      <c r="W38" s="221"/>
      <c r="X38" s="221"/>
      <c r="Y38" s="221"/>
      <c r="Z38" s="221"/>
      <c r="AA38" s="221"/>
      <c r="AB38" s="221"/>
      <c r="AC38" s="221"/>
      <c r="AD38" s="221"/>
      <c r="AE38" s="308" t="s">
        <v>1450</v>
      </c>
      <c r="AF38" s="314" t="s">
        <v>1415</v>
      </c>
      <c r="AG38" s="300"/>
      <c r="AH38" s="332" t="s">
        <v>1416</v>
      </c>
      <c r="AI38" s="300"/>
    </row>
    <row r="39" spans="1:35" ht="25" customHeight="1">
      <c r="A39" s="413" t="s">
        <v>527</v>
      </c>
      <c r="B39" s="164" t="s">
        <v>1115</v>
      </c>
      <c r="C39" s="26" t="s">
        <v>1113</v>
      </c>
      <c r="D39" s="46">
        <v>1</v>
      </c>
      <c r="E39" s="356"/>
      <c r="F39" s="406" t="s">
        <v>1563</v>
      </c>
      <c r="G39" s="430"/>
      <c r="H39" s="357"/>
      <c r="I39" s="357"/>
      <c r="J39" s="357"/>
      <c r="K39" s="355" t="s">
        <v>47</v>
      </c>
      <c r="L39" s="308" t="s">
        <v>1341</v>
      </c>
      <c r="M39" s="382" t="s">
        <v>1342</v>
      </c>
      <c r="N39" s="384"/>
      <c r="O39" s="388" t="s">
        <v>1343</v>
      </c>
      <c r="P39" s="417" t="s">
        <v>1603</v>
      </c>
      <c r="Q39" s="26" t="s">
        <v>1114</v>
      </c>
      <c r="R39" s="410" t="s">
        <v>1601</v>
      </c>
      <c r="S39" s="221"/>
      <c r="T39" s="221"/>
      <c r="U39" s="221"/>
      <c r="V39" s="221"/>
      <c r="W39" s="221"/>
      <c r="X39" s="221"/>
      <c r="Y39" s="221"/>
      <c r="Z39" s="221"/>
      <c r="AA39" s="221"/>
      <c r="AB39" s="221"/>
      <c r="AC39" s="221"/>
      <c r="AD39" s="221"/>
      <c r="AE39" s="308" t="s">
        <v>1451</v>
      </c>
      <c r="AF39" s="314" t="s">
        <v>1418</v>
      </c>
      <c r="AG39" s="300"/>
      <c r="AH39" s="332" t="s">
        <v>1419</v>
      </c>
      <c r="AI39" s="300"/>
    </row>
    <row r="40" spans="1:35" ht="25" customHeight="1">
      <c r="A40" s="413" t="s">
        <v>527</v>
      </c>
      <c r="B40" s="313" t="s">
        <v>1344</v>
      </c>
      <c r="C40" s="252" t="s">
        <v>1345</v>
      </c>
      <c r="D40" s="46">
        <v>1</v>
      </c>
      <c r="E40" s="356"/>
      <c r="F40" s="406" t="s">
        <v>1564</v>
      </c>
      <c r="G40" s="430"/>
      <c r="H40" s="357"/>
      <c r="I40" s="357"/>
      <c r="J40" s="357"/>
      <c r="K40" s="355" t="s">
        <v>47</v>
      </c>
      <c r="L40" s="308" t="s">
        <v>1441</v>
      </c>
      <c r="M40" s="383" t="s">
        <v>1346</v>
      </c>
      <c r="N40" s="384"/>
      <c r="O40" s="416" t="s">
        <v>1347</v>
      </c>
      <c r="P40" s="417" t="s">
        <v>1604</v>
      </c>
      <c r="Q40" s="26" t="s">
        <v>1118</v>
      </c>
      <c r="R40" s="410" t="s">
        <v>1601</v>
      </c>
      <c r="S40" s="221"/>
      <c r="T40" s="221"/>
      <c r="U40" s="221"/>
      <c r="V40" s="221"/>
      <c r="W40" s="221"/>
      <c r="X40" s="221"/>
      <c r="Y40" s="221"/>
      <c r="Z40" s="221"/>
      <c r="AA40" s="221"/>
      <c r="AB40" s="221"/>
      <c r="AC40" s="221"/>
      <c r="AD40" s="221"/>
      <c r="AE40" s="308" t="s">
        <v>1422</v>
      </c>
      <c r="AF40" s="314" t="s">
        <v>1420</v>
      </c>
      <c r="AG40" s="300"/>
      <c r="AH40" s="329" t="s">
        <v>1421</v>
      </c>
      <c r="AI40" s="300"/>
    </row>
    <row r="41" spans="1:35" ht="25" customHeight="1">
      <c r="A41" s="414" t="s">
        <v>527</v>
      </c>
      <c r="B41" s="342" t="s">
        <v>1324</v>
      </c>
      <c r="C41" s="350" t="s">
        <v>1325</v>
      </c>
      <c r="D41" s="46">
        <v>1</v>
      </c>
      <c r="E41" s="356"/>
      <c r="F41" s="406" t="s">
        <v>1565</v>
      </c>
      <c r="G41" s="430"/>
      <c r="H41" s="357"/>
      <c r="I41" s="357"/>
      <c r="J41" s="357"/>
      <c r="K41" s="355" t="s">
        <v>47</v>
      </c>
      <c r="L41" s="308" t="s">
        <v>1455</v>
      </c>
      <c r="M41" s="300" t="s">
        <v>1429</v>
      </c>
      <c r="N41" s="385" t="s">
        <v>1430</v>
      </c>
      <c r="O41" s="349" t="s">
        <v>1543</v>
      </c>
      <c r="P41" s="417" t="s">
        <v>1605</v>
      </c>
      <c r="Q41" s="350"/>
      <c r="R41" s="410" t="s">
        <v>1601</v>
      </c>
      <c r="S41" s="221"/>
      <c r="T41" s="221"/>
      <c r="U41" s="221"/>
      <c r="V41" s="221"/>
      <c r="W41" s="221"/>
      <c r="X41" s="221"/>
      <c r="Y41" s="221"/>
      <c r="Z41" s="221"/>
      <c r="AA41" s="221"/>
      <c r="AB41" s="221"/>
      <c r="AC41" s="221"/>
      <c r="AD41" s="221"/>
      <c r="AE41" s="308" t="s">
        <v>1452</v>
      </c>
      <c r="AF41" s="314" t="s">
        <v>1425</v>
      </c>
      <c r="AG41" s="300"/>
      <c r="AH41" s="332" t="s">
        <v>1427</v>
      </c>
      <c r="AI41" s="300"/>
    </row>
    <row r="42" spans="1:35" ht="25" customHeight="1">
      <c r="A42" s="414" t="s">
        <v>527</v>
      </c>
      <c r="B42" s="95" t="s">
        <v>1326</v>
      </c>
      <c r="C42" s="350" t="s">
        <v>1325</v>
      </c>
      <c r="D42" s="46">
        <v>1</v>
      </c>
      <c r="E42" s="356"/>
      <c r="F42" s="406" t="s">
        <v>1566</v>
      </c>
      <c r="G42" s="430"/>
      <c r="H42" s="357"/>
      <c r="I42" s="357"/>
      <c r="J42" s="357"/>
      <c r="K42" s="355" t="s">
        <v>47</v>
      </c>
      <c r="L42" s="308" t="s">
        <v>1339</v>
      </c>
      <c r="M42" s="381" t="s">
        <v>1340</v>
      </c>
      <c r="N42" s="300"/>
      <c r="O42" s="419" t="s">
        <v>1338</v>
      </c>
      <c r="P42" s="417" t="s">
        <v>1606</v>
      </c>
      <c r="Q42" s="350"/>
      <c r="R42" s="410" t="s">
        <v>1601</v>
      </c>
      <c r="S42" s="221"/>
      <c r="T42" s="221"/>
      <c r="U42" s="221"/>
      <c r="V42" s="221"/>
      <c r="W42" s="221"/>
      <c r="X42" s="221"/>
      <c r="Y42" s="221"/>
      <c r="Z42" s="221"/>
      <c r="AA42" s="221"/>
      <c r="AB42" s="221"/>
      <c r="AC42" s="221"/>
      <c r="AD42" s="221"/>
      <c r="AE42" s="308" t="s">
        <v>1453</v>
      </c>
      <c r="AF42" s="324" t="s">
        <v>1426</v>
      </c>
      <c r="AG42" s="300"/>
      <c r="AH42" s="337" t="s">
        <v>1428</v>
      </c>
      <c r="AI42" s="300"/>
    </row>
    <row r="43" spans="1:35" ht="56">
      <c r="A43" s="415" t="s">
        <v>527</v>
      </c>
      <c r="B43" s="342" t="s">
        <v>1460</v>
      </c>
      <c r="C43" s="258" t="s">
        <v>1457</v>
      </c>
      <c r="D43" s="375">
        <v>20</v>
      </c>
      <c r="E43" s="356"/>
      <c r="F43" s="406" t="s">
        <v>1567</v>
      </c>
      <c r="G43" s="430"/>
      <c r="H43" s="357"/>
      <c r="I43" s="357"/>
      <c r="J43" s="357"/>
      <c r="K43" s="355" t="s">
        <v>47</v>
      </c>
      <c r="L43" s="307" t="s">
        <v>1516</v>
      </c>
      <c r="M43" s="314" t="s">
        <v>1517</v>
      </c>
      <c r="N43" s="300"/>
      <c r="O43" s="329"/>
      <c r="P43" s="418"/>
      <c r="Q43" s="350"/>
      <c r="R43" s="410" t="s">
        <v>1601</v>
      </c>
      <c r="S43" s="221"/>
      <c r="T43" s="221"/>
      <c r="U43" s="221"/>
      <c r="V43" s="221"/>
      <c r="W43" s="221"/>
      <c r="X43" s="221"/>
      <c r="Y43" s="221"/>
      <c r="Z43" s="221"/>
      <c r="AA43" s="221"/>
      <c r="AB43" s="221"/>
      <c r="AC43" s="221"/>
      <c r="AD43" s="221"/>
      <c r="AE43" s="307" t="s">
        <v>1454</v>
      </c>
      <c r="AF43" s="314" t="s">
        <v>1381</v>
      </c>
      <c r="AG43" s="314" t="s">
        <v>1383</v>
      </c>
      <c r="AH43" s="333" t="s">
        <v>1382</v>
      </c>
      <c r="AI43" s="322"/>
    </row>
    <row r="44" spans="1:35" ht="25" customHeight="1">
      <c r="A44" s="415" t="s">
        <v>1458</v>
      </c>
      <c r="B44" s="372" t="s">
        <v>1459</v>
      </c>
      <c r="C44" s="258"/>
      <c r="D44" s="375">
        <v>1</v>
      </c>
      <c r="E44" s="356"/>
      <c r="F44" s="406" t="s">
        <v>1568</v>
      </c>
      <c r="G44" s="430"/>
      <c r="H44" s="357"/>
      <c r="I44" s="357"/>
      <c r="J44" s="357"/>
      <c r="K44" s="355" t="s">
        <v>47</v>
      </c>
      <c r="L44" s="308" t="s">
        <v>1536</v>
      </c>
      <c r="M44" s="314" t="s">
        <v>1535</v>
      </c>
      <c r="N44" s="352"/>
      <c r="O44" s="416" t="str">
        <f>B39</f>
        <v>Fausel Biskamp - D-Dusseldorf</v>
      </c>
      <c r="P44" s="417" t="s">
        <v>1607</v>
      </c>
      <c r="Q44" s="350"/>
      <c r="R44" s="410" t="s">
        <v>1601</v>
      </c>
      <c r="S44" s="221"/>
      <c r="T44" s="221"/>
      <c r="U44" s="221"/>
      <c r="V44" s="221"/>
      <c r="W44" s="221"/>
      <c r="X44" s="221"/>
      <c r="Y44" s="221"/>
      <c r="Z44" s="221"/>
      <c r="AA44" s="221"/>
      <c r="AB44" s="221"/>
      <c r="AC44" s="221"/>
      <c r="AD44" s="221"/>
      <c r="AE44" s="308" t="s">
        <v>1455</v>
      </c>
      <c r="AF44" s="314" t="s">
        <v>1429</v>
      </c>
      <c r="AG44" s="343" t="s">
        <v>1430</v>
      </c>
      <c r="AH44" s="349">
        <v>49304911438</v>
      </c>
      <c r="AI44" s="300"/>
    </row>
    <row r="45" spans="1:35" ht="25" customHeight="1">
      <c r="A45" s="347" t="s">
        <v>528</v>
      </c>
      <c r="B45" s="348" t="s">
        <v>1108</v>
      </c>
      <c r="C45" s="279" t="s">
        <v>279</v>
      </c>
      <c r="D45" s="46">
        <v>1</v>
      </c>
      <c r="E45" s="398" t="s">
        <v>47</v>
      </c>
      <c r="F45" s="398" t="s">
        <v>1533</v>
      </c>
      <c r="G45" s="360" t="s">
        <v>1534</v>
      </c>
      <c r="H45" s="360" t="s">
        <v>50</v>
      </c>
      <c r="I45" s="359">
        <v>166043517</v>
      </c>
      <c r="J45" s="360" t="s">
        <v>59</v>
      </c>
      <c r="K45" s="355" t="s">
        <v>47</v>
      </c>
      <c r="L45" s="377" t="s">
        <v>1331</v>
      </c>
      <c r="M45" s="300"/>
      <c r="N45" s="306"/>
      <c r="O45" s="388"/>
      <c r="P45" s="352"/>
      <c r="Q45" s="279" t="s">
        <v>1109</v>
      </c>
      <c r="R45" s="412"/>
      <c r="S45" s="221"/>
      <c r="T45" s="221"/>
      <c r="U45" s="221"/>
      <c r="V45" s="221"/>
      <c r="W45" s="221"/>
      <c r="X45" s="221"/>
      <c r="Y45" s="221"/>
      <c r="Z45" s="221"/>
      <c r="AA45" s="221"/>
      <c r="AB45" s="221"/>
      <c r="AC45" s="221"/>
      <c r="AD45" s="221"/>
      <c r="AE45" s="308" t="s">
        <v>1339</v>
      </c>
      <c r="AF45" s="310" t="s">
        <v>1340</v>
      </c>
      <c r="AG45" s="306"/>
      <c r="AH45" s="334" t="s">
        <v>1338</v>
      </c>
      <c r="AI45" s="309"/>
    </row>
    <row r="46" spans="1:35" ht="25" customHeight="1">
      <c r="A46" s="371" t="s">
        <v>1095</v>
      </c>
      <c r="B46" s="348" t="s">
        <v>1096</v>
      </c>
      <c r="C46" s="279" t="s">
        <v>335</v>
      </c>
      <c r="D46" s="374">
        <v>1</v>
      </c>
      <c r="E46" s="358" t="s">
        <v>1097</v>
      </c>
      <c r="F46" s="398" t="s">
        <v>1518</v>
      </c>
      <c r="G46" s="360" t="s">
        <v>1519</v>
      </c>
      <c r="H46" s="358" t="s">
        <v>50</v>
      </c>
      <c r="I46" s="398" t="s">
        <v>1520</v>
      </c>
      <c r="J46" s="358" t="s">
        <v>1098</v>
      </c>
      <c r="K46" s="376">
        <v>341473</v>
      </c>
      <c r="L46" s="318" t="s">
        <v>1436</v>
      </c>
      <c r="M46" s="300"/>
      <c r="N46" s="306"/>
      <c r="O46" s="388"/>
      <c r="P46" s="352"/>
      <c r="Q46" s="279" t="s">
        <v>1099</v>
      </c>
      <c r="R46" s="221"/>
      <c r="S46" s="221"/>
      <c r="T46" s="221"/>
      <c r="U46" s="221"/>
      <c r="V46" s="221"/>
      <c r="W46" s="221"/>
      <c r="X46" s="221"/>
      <c r="Y46" s="221"/>
      <c r="Z46" s="221"/>
      <c r="AA46" s="221"/>
      <c r="AB46" s="221"/>
      <c r="AC46" s="221"/>
      <c r="AD46" s="221"/>
      <c r="AE46" s="320" t="s">
        <v>1358</v>
      </c>
      <c r="AF46" s="309" t="s">
        <v>1356</v>
      </c>
      <c r="AG46" s="306"/>
      <c r="AH46" s="335" t="s">
        <v>1357</v>
      </c>
      <c r="AI46" s="319"/>
    </row>
    <row r="47" spans="1:35" ht="25" customHeight="1">
      <c r="A47" s="347" t="s">
        <v>530</v>
      </c>
      <c r="B47" s="348" t="s">
        <v>91</v>
      </c>
      <c r="C47" s="279" t="s">
        <v>90</v>
      </c>
      <c r="D47" s="374">
        <v>100</v>
      </c>
      <c r="E47" s="358"/>
      <c r="F47" s="398" t="s">
        <v>1643</v>
      </c>
      <c r="G47" s="428" t="s">
        <v>1642</v>
      </c>
      <c r="H47" s="360" t="s">
        <v>1198</v>
      </c>
      <c r="I47" s="359"/>
      <c r="J47" s="359"/>
      <c r="K47" s="360" t="s">
        <v>47</v>
      </c>
      <c r="L47" s="318" t="s">
        <v>1434</v>
      </c>
      <c r="M47" s="300"/>
      <c r="N47" s="306"/>
      <c r="O47" s="388"/>
      <c r="P47" s="352"/>
      <c r="Q47" s="304"/>
      <c r="R47" s="410" t="s">
        <v>1597</v>
      </c>
      <c r="S47" s="221"/>
      <c r="T47" s="221"/>
      <c r="U47" s="221"/>
      <c r="V47" s="221"/>
      <c r="W47" s="221"/>
      <c r="X47" s="221"/>
      <c r="Y47" s="221"/>
      <c r="Z47" s="221"/>
      <c r="AA47" s="221"/>
      <c r="AB47" s="221"/>
      <c r="AC47" s="221"/>
      <c r="AD47" s="221"/>
      <c r="AE47" s="318" t="s">
        <v>1361</v>
      </c>
      <c r="AF47" s="309" t="s">
        <v>1362</v>
      </c>
      <c r="AG47" s="306"/>
      <c r="AH47" s="329" t="s">
        <v>1363</v>
      </c>
      <c r="AI47" s="308"/>
    </row>
    <row r="48" spans="1:35" ht="25" customHeight="1">
      <c r="A48" s="347" t="s">
        <v>531</v>
      </c>
      <c r="B48" s="348" t="s">
        <v>81</v>
      </c>
      <c r="C48" s="279" t="s">
        <v>1134</v>
      </c>
      <c r="D48" s="374">
        <v>5</v>
      </c>
      <c r="E48" s="398" t="s">
        <v>47</v>
      </c>
      <c r="F48" s="398" t="s">
        <v>1489</v>
      </c>
      <c r="G48" s="360" t="s">
        <v>1490</v>
      </c>
      <c r="H48" s="360" t="s">
        <v>1496</v>
      </c>
      <c r="I48" s="359"/>
      <c r="J48" s="359"/>
      <c r="K48" s="360" t="s">
        <v>47</v>
      </c>
      <c r="L48" s="318" t="s">
        <v>1445</v>
      </c>
      <c r="M48" s="300"/>
      <c r="N48" s="306"/>
      <c r="O48" s="388"/>
      <c r="P48" s="352"/>
      <c r="Q48" s="304"/>
      <c r="R48" s="221"/>
      <c r="S48" s="221"/>
      <c r="T48" s="221"/>
      <c r="U48" s="221"/>
      <c r="V48" s="221"/>
      <c r="W48" s="221"/>
      <c r="X48" s="221"/>
      <c r="Y48" s="221"/>
      <c r="Z48" s="221"/>
      <c r="AA48" s="221"/>
      <c r="AB48" s="221"/>
      <c r="AC48" s="221"/>
      <c r="AD48" s="221"/>
      <c r="AE48" s="318" t="s">
        <v>1365</v>
      </c>
      <c r="AF48" s="309" t="s">
        <v>1366</v>
      </c>
      <c r="AG48" s="306"/>
      <c r="AH48" s="329" t="s">
        <v>1367</v>
      </c>
      <c r="AI48" s="308"/>
    </row>
    <row r="49" spans="1:35" ht="25" customHeight="1">
      <c r="A49" s="347" t="s">
        <v>1100</v>
      </c>
      <c r="B49" s="348" t="s">
        <v>1101</v>
      </c>
      <c r="C49" s="279" t="s">
        <v>1102</v>
      </c>
      <c r="D49" s="374">
        <v>1</v>
      </c>
      <c r="E49" s="358"/>
      <c r="F49" s="398" t="s">
        <v>1541</v>
      </c>
      <c r="G49" s="360" t="s">
        <v>1644</v>
      </c>
      <c r="H49" s="358" t="s">
        <v>50</v>
      </c>
      <c r="I49" s="398" t="s">
        <v>1598</v>
      </c>
      <c r="J49" s="358" t="s">
        <v>59</v>
      </c>
      <c r="K49" s="360" t="s">
        <v>47</v>
      </c>
      <c r="L49" s="318" t="s">
        <v>1437</v>
      </c>
      <c r="M49" s="300"/>
      <c r="N49" s="306"/>
      <c r="O49" s="388"/>
      <c r="P49" s="352"/>
      <c r="Q49" s="279" t="s">
        <v>1103</v>
      </c>
      <c r="R49" s="221"/>
      <c r="S49" s="221"/>
      <c r="T49" s="221"/>
      <c r="U49" s="221"/>
      <c r="V49" s="221"/>
      <c r="W49" s="221"/>
      <c r="X49" s="221"/>
      <c r="Y49" s="221"/>
      <c r="Z49" s="221"/>
      <c r="AA49" s="221"/>
      <c r="AB49" s="221"/>
      <c r="AC49" s="221"/>
      <c r="AD49" s="221"/>
      <c r="AE49" s="318" t="s">
        <v>1330</v>
      </c>
      <c r="AF49" s="309"/>
      <c r="AG49" s="306"/>
      <c r="AH49" s="329"/>
      <c r="AI49" s="308"/>
    </row>
    <row r="50" spans="1:35" ht="25" customHeight="1">
      <c r="A50" s="347" t="s">
        <v>532</v>
      </c>
      <c r="B50" s="348" t="s">
        <v>1086</v>
      </c>
      <c r="C50" s="279" t="s">
        <v>264</v>
      </c>
      <c r="D50" s="374">
        <v>1</v>
      </c>
      <c r="E50" s="358"/>
      <c r="F50" s="358" t="s">
        <v>1087</v>
      </c>
      <c r="G50" s="359"/>
      <c r="H50" s="359"/>
      <c r="I50" s="359"/>
      <c r="J50" s="358" t="s">
        <v>1088</v>
      </c>
      <c r="K50" s="360" t="s">
        <v>47</v>
      </c>
      <c r="L50" s="318" t="s">
        <v>1433</v>
      </c>
      <c r="M50" s="300" t="s">
        <v>1484</v>
      </c>
      <c r="N50" s="306"/>
      <c r="O50" s="388"/>
      <c r="P50" s="352"/>
      <c r="Q50" s="279" t="s">
        <v>1089</v>
      </c>
      <c r="R50" s="221"/>
      <c r="S50" s="221"/>
      <c r="T50" s="221"/>
      <c r="U50" s="221"/>
      <c r="V50" s="221"/>
      <c r="W50" s="221"/>
      <c r="X50" s="221"/>
      <c r="Y50" s="221"/>
      <c r="Z50" s="221"/>
      <c r="AA50" s="221"/>
      <c r="AB50" s="221"/>
      <c r="AC50" s="221"/>
      <c r="AD50" s="221"/>
      <c r="AE50" s="318" t="s">
        <v>1431</v>
      </c>
      <c r="AF50" s="309"/>
      <c r="AG50" s="306"/>
      <c r="AH50" s="329"/>
      <c r="AI50" s="308"/>
    </row>
    <row r="51" spans="1:35" ht="25" customHeight="1">
      <c r="A51" s="347" t="s">
        <v>533</v>
      </c>
      <c r="B51" s="348" t="s">
        <v>104</v>
      </c>
      <c r="C51" s="279" t="s">
        <v>1111</v>
      </c>
      <c r="D51" s="374">
        <v>15</v>
      </c>
      <c r="E51" s="358" t="s">
        <v>47</v>
      </c>
      <c r="F51" s="358" t="s">
        <v>1485</v>
      </c>
      <c r="G51" s="359" t="s">
        <v>1475</v>
      </c>
      <c r="H51" s="359" t="s">
        <v>50</v>
      </c>
      <c r="I51" s="359">
        <v>165715653</v>
      </c>
      <c r="J51" s="360" t="s">
        <v>59</v>
      </c>
      <c r="K51" s="360" t="s">
        <v>47</v>
      </c>
      <c r="L51" s="318" t="s">
        <v>1439</v>
      </c>
      <c r="M51" s="314" t="s">
        <v>1530</v>
      </c>
      <c r="N51" s="306"/>
      <c r="O51" s="388"/>
      <c r="P51" s="352"/>
      <c r="Q51" s="304"/>
      <c r="R51" s="221"/>
      <c r="S51" s="221"/>
      <c r="T51" s="221"/>
      <c r="U51" s="221"/>
      <c r="V51" s="221"/>
      <c r="W51" s="221"/>
      <c r="X51" s="221"/>
      <c r="Y51" s="221"/>
      <c r="Z51" s="221"/>
      <c r="AA51" s="221"/>
      <c r="AB51" s="221"/>
      <c r="AC51" s="221"/>
      <c r="AD51" s="221"/>
      <c r="AE51" s="318" t="s">
        <v>1432</v>
      </c>
      <c r="AF51" s="309"/>
      <c r="AG51" s="306"/>
      <c r="AH51" s="329"/>
      <c r="AI51" s="308"/>
    </row>
    <row r="52" spans="1:35" ht="25" customHeight="1">
      <c r="A52" s="347" t="s">
        <v>46</v>
      </c>
      <c r="B52" s="348" t="s">
        <v>549</v>
      </c>
      <c r="C52" s="279" t="s">
        <v>440</v>
      </c>
      <c r="D52" s="374">
        <v>60</v>
      </c>
      <c r="E52" s="358" t="s">
        <v>1116</v>
      </c>
      <c r="F52" s="398" t="s">
        <v>1513</v>
      </c>
      <c r="G52" s="360" t="s">
        <v>1512</v>
      </c>
      <c r="H52" s="360" t="s">
        <v>50</v>
      </c>
      <c r="I52" s="359">
        <v>166019274</v>
      </c>
      <c r="J52" s="360" t="s">
        <v>549</v>
      </c>
      <c r="K52" s="360" t="s">
        <v>47</v>
      </c>
      <c r="L52" s="276" t="s">
        <v>1440</v>
      </c>
      <c r="M52" s="382" t="s">
        <v>191</v>
      </c>
      <c r="N52" s="306"/>
      <c r="O52" s="388"/>
      <c r="P52" s="352"/>
      <c r="Q52" s="279" t="s">
        <v>1117</v>
      </c>
      <c r="R52" s="221"/>
      <c r="S52" s="221"/>
      <c r="T52" s="221"/>
      <c r="U52" s="221"/>
      <c r="V52" s="221"/>
      <c r="W52" s="221"/>
      <c r="X52" s="221"/>
      <c r="Y52" s="221"/>
      <c r="Z52" s="221"/>
      <c r="AA52" s="221"/>
      <c r="AB52" s="221"/>
      <c r="AC52" s="221"/>
      <c r="AD52" s="221"/>
      <c r="AE52" s="320" t="s">
        <v>1400</v>
      </c>
      <c r="AF52" s="309" t="s">
        <v>1401</v>
      </c>
      <c r="AG52" s="338" t="s">
        <v>1402</v>
      </c>
      <c r="AH52" s="339" t="s">
        <v>566</v>
      </c>
      <c r="AI52" s="308"/>
    </row>
    <row r="53" spans="1:35" ht="25" customHeight="1">
      <c r="A53" s="347" t="s">
        <v>1104</v>
      </c>
      <c r="B53" s="348" t="s">
        <v>1105</v>
      </c>
      <c r="C53" s="279" t="s">
        <v>1106</v>
      </c>
      <c r="D53" s="374">
        <v>1</v>
      </c>
      <c r="E53" s="358"/>
      <c r="F53" s="358" t="s">
        <v>1314</v>
      </c>
      <c r="G53" s="359" t="s">
        <v>47</v>
      </c>
      <c r="H53" s="359" t="s">
        <v>50</v>
      </c>
      <c r="I53" s="359"/>
      <c r="J53" s="359" t="s">
        <v>1762</v>
      </c>
      <c r="K53" s="360" t="s">
        <v>47</v>
      </c>
      <c r="L53" s="318" t="s">
        <v>1438</v>
      </c>
      <c r="M53" s="300" t="s">
        <v>1737</v>
      </c>
      <c r="N53" s="306"/>
      <c r="O53" s="388"/>
      <c r="P53" s="352"/>
      <c r="Q53" s="268" t="s">
        <v>1600</v>
      </c>
      <c r="R53" s="410" t="s">
        <v>1599</v>
      </c>
      <c r="S53" s="221"/>
      <c r="T53" s="221"/>
      <c r="U53" s="221"/>
      <c r="V53" s="221"/>
      <c r="W53" s="221"/>
      <c r="X53" s="221"/>
      <c r="Y53" s="221"/>
      <c r="Z53" s="221"/>
      <c r="AA53" s="221"/>
      <c r="AB53" s="221"/>
      <c r="AC53" s="221"/>
      <c r="AD53" s="221"/>
      <c r="AE53" s="318" t="s">
        <v>1463</v>
      </c>
      <c r="AF53" s="309" t="s">
        <v>1462</v>
      </c>
      <c r="AG53" s="338" t="s">
        <v>1461</v>
      </c>
      <c r="AH53" s="265" t="s">
        <v>1464</v>
      </c>
      <c r="AI53" s="308"/>
    </row>
    <row r="54" spans="1:35" ht="25" customHeight="1">
      <c r="A54" s="347" t="s">
        <v>116</v>
      </c>
      <c r="B54" s="348" t="s">
        <v>1135</v>
      </c>
      <c r="C54" s="279" t="s">
        <v>201</v>
      </c>
      <c r="D54" s="374">
        <v>1</v>
      </c>
      <c r="E54" s="358"/>
      <c r="F54" s="358"/>
      <c r="G54" s="359"/>
      <c r="H54" s="359"/>
      <c r="I54" s="359"/>
      <c r="J54" s="359"/>
      <c r="K54" s="360" t="s">
        <v>47</v>
      </c>
      <c r="L54" s="318" t="s">
        <v>1446</v>
      </c>
      <c r="M54" s="300"/>
      <c r="N54" s="306"/>
      <c r="O54" s="388"/>
      <c r="P54" s="352"/>
      <c r="Q54" s="304"/>
      <c r="R54" s="410" t="s">
        <v>1599</v>
      </c>
      <c r="S54" s="221"/>
      <c r="T54" s="221"/>
      <c r="U54" s="221"/>
      <c r="V54" s="221"/>
      <c r="W54" s="221"/>
      <c r="X54" s="221"/>
      <c r="Y54" s="221"/>
      <c r="Z54" s="221"/>
      <c r="AA54" s="221"/>
      <c r="AB54" s="221"/>
      <c r="AC54" s="221"/>
      <c r="AD54" s="221"/>
      <c r="AE54" s="318"/>
      <c r="AF54" s="309"/>
      <c r="AG54" s="306"/>
      <c r="AH54" s="329"/>
      <c r="AI54" s="308"/>
    </row>
    <row r="55" spans="1:35" ht="25" customHeight="1">
      <c r="A55" s="316" t="s">
        <v>116</v>
      </c>
      <c r="B55" s="373" t="s">
        <v>1456</v>
      </c>
      <c r="C55" s="276" t="s">
        <v>1461</v>
      </c>
      <c r="D55" s="367">
        <v>1</v>
      </c>
      <c r="E55" s="358"/>
      <c r="F55" s="358"/>
      <c r="G55" s="359"/>
      <c r="H55" s="359"/>
      <c r="I55" s="359"/>
      <c r="J55" s="359"/>
      <c r="K55" s="360" t="s">
        <v>47</v>
      </c>
      <c r="L55" s="318" t="s">
        <v>1463</v>
      </c>
      <c r="M55" s="381" t="s">
        <v>1481</v>
      </c>
      <c r="N55" s="338" t="s">
        <v>1461</v>
      </c>
      <c r="O55" s="265" t="s">
        <v>1464</v>
      </c>
      <c r="P55" s="308"/>
      <c r="Q55" s="304"/>
      <c r="R55" s="410" t="s">
        <v>1599</v>
      </c>
      <c r="S55" s="221"/>
      <c r="T55" s="221"/>
      <c r="U55" s="221"/>
      <c r="V55" s="221"/>
      <c r="W55" s="221"/>
      <c r="X55" s="221"/>
      <c r="Y55" s="221"/>
      <c r="Z55" s="221"/>
      <c r="AA55" s="221"/>
      <c r="AB55" s="221"/>
      <c r="AC55" s="221"/>
      <c r="AD55" s="221"/>
      <c r="AE55" s="318"/>
      <c r="AF55" s="309"/>
      <c r="AG55" s="306"/>
      <c r="AH55" s="329"/>
      <c r="AI55" s="308"/>
    </row>
    <row r="56" spans="1:35" ht="25" customHeight="1">
      <c r="A56" s="316"/>
      <c r="B56" s="317"/>
      <c r="C56" s="276"/>
      <c r="D56" s="367"/>
      <c r="E56" s="358"/>
      <c r="F56" s="358"/>
      <c r="G56" s="359"/>
      <c r="H56" s="359"/>
      <c r="I56" s="359"/>
      <c r="J56" s="359"/>
      <c r="K56" s="360" t="s">
        <v>47</v>
      </c>
      <c r="L56" s="318"/>
      <c r="M56" s="309"/>
      <c r="N56" s="306"/>
      <c r="O56" s="329"/>
      <c r="P56" s="308"/>
      <c r="Q56" s="304"/>
      <c r="R56" s="221"/>
      <c r="S56" s="221"/>
      <c r="T56" s="221"/>
      <c r="U56" s="221"/>
      <c r="V56" s="221"/>
      <c r="W56" s="221"/>
      <c r="X56" s="221"/>
      <c r="Y56" s="221"/>
      <c r="Z56" s="221"/>
      <c r="AA56" s="221"/>
      <c r="AB56" s="221"/>
      <c r="AC56" s="221"/>
      <c r="AD56" s="221"/>
      <c r="AE56" s="318"/>
      <c r="AF56" s="309"/>
      <c r="AG56" s="306"/>
      <c r="AH56" s="329"/>
      <c r="AI56" s="308"/>
    </row>
    <row r="57" spans="1:35" ht="25" customHeight="1">
      <c r="A57" s="316"/>
      <c r="B57" s="317"/>
      <c r="C57" s="276"/>
      <c r="D57" s="367"/>
      <c r="E57" s="358"/>
      <c r="F57" s="358"/>
      <c r="G57" s="359"/>
      <c r="H57" s="359"/>
      <c r="I57" s="359"/>
      <c r="J57" s="359"/>
      <c r="K57" s="360" t="s">
        <v>47</v>
      </c>
      <c r="L57" s="318"/>
      <c r="M57" s="309"/>
      <c r="N57" s="306"/>
      <c r="O57" s="329"/>
      <c r="P57" s="308"/>
      <c r="Q57" s="304"/>
      <c r="R57" s="221"/>
      <c r="S57" s="221"/>
      <c r="T57" s="221"/>
      <c r="U57" s="221"/>
      <c r="V57" s="221"/>
      <c r="W57" s="221"/>
      <c r="X57" s="221"/>
      <c r="Y57" s="221"/>
      <c r="Z57" s="221"/>
      <c r="AA57" s="221"/>
      <c r="AB57" s="221"/>
      <c r="AC57" s="221"/>
      <c r="AD57" s="221"/>
      <c r="AE57" s="318"/>
      <c r="AF57" s="309"/>
      <c r="AG57" s="306"/>
      <c r="AH57" s="329"/>
      <c r="AI57" s="308"/>
    </row>
    <row r="58" spans="1:35" ht="25" customHeight="1" thickBot="1">
      <c r="A58" s="165"/>
      <c r="B58" s="166"/>
      <c r="C58" s="65"/>
      <c r="D58" s="368"/>
      <c r="E58" s="362"/>
      <c r="F58" s="362"/>
      <c r="G58" s="361"/>
      <c r="H58" s="361"/>
      <c r="I58" s="361"/>
      <c r="J58" s="361"/>
      <c r="K58" s="360" t="s">
        <v>47</v>
      </c>
      <c r="L58" s="65"/>
      <c r="M58" s="221"/>
      <c r="N58" s="301"/>
      <c r="O58" s="336"/>
      <c r="P58" s="301"/>
      <c r="Q58" s="65"/>
      <c r="R58" s="221"/>
      <c r="S58" s="221"/>
      <c r="T58" s="221"/>
      <c r="U58" s="221"/>
      <c r="V58" s="221"/>
      <c r="W58" s="221"/>
      <c r="X58" s="221"/>
      <c r="Y58" s="221"/>
      <c r="Z58" s="221"/>
      <c r="AA58" s="221"/>
      <c r="AB58" s="221"/>
      <c r="AC58" s="221"/>
      <c r="AD58" s="221"/>
      <c r="AE58" s="65"/>
      <c r="AF58" s="221"/>
      <c r="AG58" s="301"/>
      <c r="AH58" s="336"/>
      <c r="AI58" s="301"/>
    </row>
    <row r="59" spans="1:35" ht="14" thickTop="1">
      <c r="A59" s="167"/>
      <c r="B59" s="168"/>
      <c r="C59" s="79"/>
      <c r="D59" s="369">
        <f>SUM(D2:D58)</f>
        <v>798</v>
      </c>
      <c r="E59" s="363"/>
      <c r="F59" s="363"/>
      <c r="G59" s="364"/>
      <c r="H59" s="364"/>
      <c r="I59" s="364"/>
      <c r="J59" s="364"/>
      <c r="K59" s="364"/>
      <c r="L59" s="79"/>
      <c r="M59" s="221"/>
      <c r="N59" s="300"/>
      <c r="O59" s="326"/>
      <c r="P59" s="300"/>
      <c r="Q59" s="79"/>
      <c r="R59" s="221"/>
      <c r="S59" s="221"/>
      <c r="T59" s="221"/>
      <c r="U59" s="221"/>
      <c r="V59" s="221"/>
      <c r="W59" s="221"/>
      <c r="X59" s="221"/>
      <c r="Y59" s="221"/>
      <c r="Z59" s="221"/>
      <c r="AA59" s="221"/>
      <c r="AB59" s="221"/>
      <c r="AC59" s="221"/>
      <c r="AD59" s="221"/>
      <c r="AE59" s="79"/>
      <c r="AF59" s="221"/>
      <c r="AG59" s="300"/>
      <c r="AH59" s="326"/>
      <c r="AI59" s="300"/>
    </row>
  </sheetData>
  <sortState xmlns:xlrd2="http://schemas.microsoft.com/office/spreadsheetml/2017/richdata2" ref="A2:Q59">
    <sortCondition ref="A1"/>
  </sortState>
  <hyperlinks>
    <hyperlink ref="AF13" r:id="rId1" display="https://www.tenuedeville.com/suppliers/www.meinewand.de" xr:uid="{B14C1F12-B4F4-F24E-A8AD-BEE5C9B8396D}"/>
    <hyperlink ref="AH47" r:id="rId2" tooltip="Appeler avec Hangouts" display="https://www.google.be/search?hl=fr&amp;source=hp&amp;ei=bXCsXOuGEZKckwXek4oY&amp;q=verpoorten+verfdistributie+bvba+herentals&amp;oq=verpoorten+verf&amp;gs_l=psy-ab.1.4.0i19l3j0i22i30i19l7.1590.9423..12703...0.0..0.159.1081.15j1......0....1..gws-wiz.....0..35i39i19j35i39j0j0i131j0i67j0i131i67j0i10i67j0i203j0i10i203j0i22i30j0i13i30.zK4k5HJ4OdU" xr:uid="{872B05E5-ED16-A642-B9D7-E7AD86BBE81E}"/>
    <hyperlink ref="AH48" r:id="rId3" tooltip="Appeler avec Hangouts" display="https://www.google.com/search?client=safari&amp;rls=en&amp;q=pergamene&amp;ie=UTF-8&amp;oe=UTF-8" xr:uid="{778B63E2-6A32-1645-BC6D-4FD799D1B6F8}"/>
    <hyperlink ref="AH22" r:id="rId4" tooltip="Appeler avec Hangouts" display="https://www.google.com/search?client=safari&amp;rls=en&amp;q=colora+deinze&amp;ie=UTF-8&amp;oe=UTF-8" xr:uid="{F9E2683D-324C-5C4E-9B81-ACBD7109F719}"/>
    <hyperlink ref="AH27" r:id="rId5" display="tel:+3292728292" xr:uid="{110CF157-51F8-A947-B7E4-86BF457826AD}"/>
    <hyperlink ref="AH36" r:id="rId6" display="tel:+3254333783" xr:uid="{23E9F34B-BA53-7445-AC2B-B923843A6025}"/>
    <hyperlink ref="AH40" r:id="rId7" tooltip="Appeler avec Hangouts" display="https://www.google.com/search?client=safari&amp;rls=en&amp;q=de+smaele+st+niklaas&amp;ie=UTF-8&amp;oe=UTF-8" xr:uid="{A3323B40-A85E-9C47-97FF-E60C1029B3F6}"/>
    <hyperlink ref="AF45" r:id="rId8" display="http://unico-interiors.de/" xr:uid="{0EFB42C2-619E-EB42-8EE2-185FBFE09AFE}"/>
    <hyperlink ref="AE40" r:id="rId9" xr:uid="{17D47E55-FA00-624A-8B29-F694C933E3E9}"/>
    <hyperlink ref="AE37" r:id="rId10" display="mailto:colora.waregem@colora.be" xr:uid="{7F46572C-E78F-204A-8C31-6C82BF16C19E}"/>
    <hyperlink ref="AE36" r:id="rId11" display="mailto:ninove@schellaert.be" xr:uid="{8F9F50DE-C0A5-BC4A-80A2-8C1206B51C0C}"/>
    <hyperlink ref="AE27" r:id="rId12" display="mailto:info@ecostore.be?subject=Contact%20via%20website" xr:uid="{85F8D251-B26C-6A42-A0E1-A4D55BE6C3EB}"/>
    <hyperlink ref="AE25" r:id="rId13" display="mailto:colora.grimbergen@colora.be" xr:uid="{3E06F63D-D905-284E-AF04-C1CB51CFD792}"/>
    <hyperlink ref="AE24" r:id="rId14" xr:uid="{FED5CAA9-8509-C247-8505-2CD923336B83}"/>
    <hyperlink ref="AE23" r:id="rId15" display="mailto:uniek.decoratie@telenet.be?__xts__=" xr:uid="{18682012-E77D-AE41-9B74-A45372D3152F}"/>
    <hyperlink ref="AE22" r:id="rId16" display="mailto:colora.deinze@colora.be" xr:uid="{2FB1F35E-51F1-2443-B43D-B2C15EF063AD}"/>
    <hyperlink ref="AE21" r:id="rId17" display="mailto:colora.brugge2@colora.be" xr:uid="{1FD25CC0-4A4C-B94D-B677-745B85143573}"/>
    <hyperlink ref="AE48" r:id="rId18" xr:uid="{6F593B7E-8394-874A-A1FD-1983539C8BB7}"/>
    <hyperlink ref="AE47" r:id="rId19" xr:uid="{338A9DFA-20E4-EE49-936F-82B175F4FB63}"/>
    <hyperlink ref="AE46" r:id="rId20" display="administratie@mertens-interieur.be" xr:uid="{B4F8EA01-D429-EB47-8451-2CA12D98E5B2}"/>
    <hyperlink ref="AE20" r:id="rId21" display="mailto:colora.brugge@colora.be" xr:uid="{3EAA9176-1E75-2E44-938F-274AB573F30D}"/>
    <hyperlink ref="AE19" r:id="rId22" xr:uid="{30AE5E95-C19B-9A4B-8BE5-609B02FA81E8}"/>
    <hyperlink ref="AE14" r:id="rId23" xr:uid="{915ABDF9-E65D-3D44-96F0-0C93D9199AD5}"/>
    <hyperlink ref="AE45" r:id="rId24" display="mailto:info@unico-interiors.de" xr:uid="{4D6D9340-A7B2-5B43-8068-180EECA6008C}"/>
    <hyperlink ref="AE13" r:id="rId25" display="mailto:info@meinewand.de" xr:uid="{929739D5-DC6A-4D45-8B3C-06906ABBD2C5}"/>
    <hyperlink ref="AE11" r:id="rId26" xr:uid="{B21EE934-2B1D-6849-881E-3EE910D87457}"/>
    <hyperlink ref="AE6" r:id="rId27" xr:uid="{E4784123-9253-8C41-8134-1FF24B6BF488}"/>
    <hyperlink ref="AE3" r:id="rId28" display="psaieg@casagarda.cl" xr:uid="{F3B5441E-2EF6-204C-A93B-C7AE251749FA}"/>
    <hyperlink ref="AE2" r:id="rId29" xr:uid="{46B3FD9D-04D3-C849-8023-3B0B09CF8699}"/>
    <hyperlink ref="AE4" r:id="rId30" xr:uid="{149E26AB-06A2-0248-B7EB-6B446B02A3F6}"/>
    <hyperlink ref="AE5" r:id="rId31" xr:uid="{920372F5-D79A-EA4E-A076-C022E153CC01}"/>
    <hyperlink ref="AE7" r:id="rId32" xr:uid="{549D0543-6278-F74C-B7C9-E23A20EBBE29}"/>
    <hyperlink ref="AE8" r:id="rId33" xr:uid="{8D157293-7C4A-624E-8C7F-265ACB8ABF6B}"/>
    <hyperlink ref="AE9" r:id="rId34" xr:uid="{2A5CC5CC-1107-E74A-A637-C371F40F592C}"/>
    <hyperlink ref="AE12" r:id="rId35" xr:uid="{6BB02D6C-88B6-BF4B-8BB7-8A3220B0ECC5}"/>
    <hyperlink ref="AE16" r:id="rId36" xr:uid="{419C11E8-CEE5-DB47-9A84-800C4E7E54EB}"/>
    <hyperlink ref="AE17" r:id="rId37" xr:uid="{40C52D28-39E9-9E43-BF6C-D2E21D0F2A4E}"/>
    <hyperlink ref="AE18" r:id="rId38" xr:uid="{B707BCC8-BEDF-8345-819B-DE6C31FE9306}"/>
    <hyperlink ref="AE26" r:id="rId39" xr:uid="{C265DC9C-07BE-BC4C-8182-396A632835A7}"/>
    <hyperlink ref="AE28" r:id="rId40" xr:uid="{CC4AE3E7-7523-174A-B7D3-6BF7CB1BB20E}"/>
    <hyperlink ref="AE29" r:id="rId41" xr:uid="{D5C9C9A4-1F7D-E340-ADB6-48BCB855FCAD}"/>
    <hyperlink ref="AE33" r:id="rId42" xr:uid="{CE917F5F-5961-9B42-92FB-D3119A13BEB2}"/>
    <hyperlink ref="AE34" r:id="rId43" xr:uid="{F891A7A2-3C29-2F4C-9A7B-6167AEDB84F7}"/>
    <hyperlink ref="AE35" r:id="rId44" xr:uid="{1728B617-FABA-D94A-9099-AAE913179FEA}"/>
    <hyperlink ref="AE38" r:id="rId45" xr:uid="{8E8703F4-5F05-D546-B747-0ED11CF87F9E}"/>
    <hyperlink ref="AE39" r:id="rId46" xr:uid="{8B1C21FC-9C00-9E4D-999D-48A7FF8E8103}"/>
    <hyperlink ref="AE41" r:id="rId47" xr:uid="{0E2B284D-9B3A-D14D-9C62-492BAA662433}"/>
    <hyperlink ref="AE42" r:id="rId48" xr:uid="{B09EAB92-7244-B24D-9D3C-B800DAE9F5E1}"/>
    <hyperlink ref="AE43" r:id="rId49" xr:uid="{A1F489A3-9504-1D47-AA0E-864F98751849}"/>
    <hyperlink ref="AE44" r:id="rId50" xr:uid="{528BA4D8-C1B1-004F-8053-861B2FA66BE6}"/>
    <hyperlink ref="M38" r:id="rId51" display="https://www.tenuedeville.com/suppliers/www.meinewand.de" xr:uid="{484720DA-B4C0-4D45-AF03-CD07C653C18F}"/>
    <hyperlink ref="O24" r:id="rId52" tooltip="Appeler avec Hangouts" display="https://www.google.be/search?hl=fr&amp;source=hp&amp;ei=bXCsXOuGEZKckwXek4oY&amp;q=verpoorten+verfdistributie+bvba+herentals&amp;oq=verpoorten+verf&amp;gs_l=psy-ab.1.4.0i19l3j0i22i30i19l7.1590.9423..12703...0.0..0.159.1081.15j1......0....1..gws-wiz.....0..35i39i19j35i39j0j0i131j0i67j0i131i67j0i10i67j0i203j0i10i203j0i22i30j0i13i30.zK4k5HJ4OdU" xr:uid="{3C440358-BEB6-1E42-AF0C-17506E1DB33A}"/>
    <hyperlink ref="O25" r:id="rId53" tooltip="Appeler avec Hangouts" display="https://www.google.com/search?client=safari&amp;rls=en&amp;q=pergamene&amp;ie=UTF-8&amp;oe=UTF-8" xr:uid="{DEDE7E38-A42F-4C4D-8285-36509CECCE29}"/>
    <hyperlink ref="O7" r:id="rId54" tooltip="Appeler avec Hangouts" display="https://www.google.com/search?client=safari&amp;rls=en&amp;q=colora+deinze&amp;ie=UTF-8&amp;oe=UTF-8" xr:uid="{D031F835-B53C-304B-9174-1E157F73C430}"/>
    <hyperlink ref="O12" r:id="rId55" display="tel:+3292728292" xr:uid="{80E6B57B-A1EE-5E4A-B2BA-7CD5C5C4231C}"/>
    <hyperlink ref="O15" r:id="rId56" display="tel:+3254333783" xr:uid="{9B09CB45-C189-A341-AC15-2612C451A93A}"/>
    <hyperlink ref="O19" r:id="rId57" tooltip="Appeler avec Hangouts" display="https://www.google.com/search?client=safari&amp;rls=en&amp;q=de+smaele+st+niklaas&amp;ie=UTF-8&amp;oe=UTF-8" xr:uid="{E5542C5E-B14D-3F46-8731-D04E2101AAA3}"/>
    <hyperlink ref="M42" r:id="rId58" display="http://unico-interiors.de/" xr:uid="{FBAEE6D9-6C86-854D-8CA8-47C79ED323FE}"/>
    <hyperlink ref="L19" r:id="rId59" xr:uid="{658E30B6-7A95-B542-A8F8-3210791214E9}"/>
    <hyperlink ref="L16" r:id="rId60" display="mailto:colora.waregem@colora.be" xr:uid="{4224D8B5-1BDF-0B4F-BC06-20283CC0E877}"/>
    <hyperlink ref="L15" r:id="rId61" display="mailto:ninove@schellaert.be" xr:uid="{3707119B-AE6A-A345-910E-43F7D6927958}"/>
    <hyperlink ref="L12" r:id="rId62" display="mailto:info@ecostore.be?subject=Contact%20via%20website" xr:uid="{169FAA26-FDD4-034D-8A7B-4AFCB460F481}"/>
    <hyperlink ref="L10" r:id="rId63" display="mailto:colora.grimbergen@colora.be" xr:uid="{CBDBA1FB-681F-2D41-8382-3A60892B6A19}"/>
    <hyperlink ref="L9" r:id="rId64" xr:uid="{C5103D39-A1EB-0E4E-8CDF-86964D75C594}"/>
    <hyperlink ref="L8" r:id="rId65" display="mailto:uniek.decoratie@telenet.be?__xts__=" xr:uid="{0872825D-7D32-434F-B2E1-B03BC92BEE18}"/>
    <hyperlink ref="L7" r:id="rId66" xr:uid="{6D4A4DC0-FD22-B744-8240-794CA1D85AF8}"/>
    <hyperlink ref="L6" r:id="rId67" display="colora.brugge2@colora.be" xr:uid="{7C3EBB97-7C0D-6E46-A957-904762160731}"/>
    <hyperlink ref="L25" r:id="rId68" xr:uid="{AAD09667-4C18-C84B-BA6B-A68F347355F3}"/>
    <hyperlink ref="L24" r:id="rId69" xr:uid="{6A90283F-C54F-4C46-AC17-A1BC8F8017F1}"/>
    <hyperlink ref="L23" r:id="rId70" display="administratie@mertens-interieur.be" xr:uid="{96AA13C2-FBD7-0B47-8C29-F4BB3A94231A}"/>
    <hyperlink ref="L5" r:id="rId71" display="mailto:colora.brugge@colora.be" xr:uid="{89C90CA9-396F-7C4F-9BAC-25993B86B71D}"/>
    <hyperlink ref="L4" r:id="rId72" xr:uid="{4A6D5AAA-3566-1D4C-92F1-DB0FC26BFDB6}"/>
    <hyperlink ref="L39" r:id="rId73" xr:uid="{C1383B15-5652-B548-AA23-877A352D6BE8}"/>
    <hyperlink ref="L42" r:id="rId74" display="mailto:info@unico-interiors.de" xr:uid="{8E92A186-E9B2-C546-9C57-27F7323ECA72}"/>
    <hyperlink ref="L38" r:id="rId75" xr:uid="{599C0B6A-C783-214D-9CC3-B371039AA0C6}"/>
    <hyperlink ref="L37" r:id="rId76" xr:uid="{3A3F6BBD-F96E-7248-A0D3-0FE2A4412659}"/>
    <hyperlink ref="L2" r:id="rId77" xr:uid="{E2206C87-5FD6-9844-971E-0553F625BC52}"/>
    <hyperlink ref="L33" r:id="rId78" display="psaieg@casagarda.cl" xr:uid="{54FD14B8-D6FF-F642-89E1-61E842B00325}"/>
    <hyperlink ref="L50" r:id="rId79" xr:uid="{6D3ECDB2-2BEE-2B41-A5DA-2CEB8387577B}"/>
    <hyperlink ref="L47" r:id="rId80" xr:uid="{91FE0808-CFEF-6C4F-A798-BA2A8DC235F7}"/>
    <hyperlink ref="L34" r:id="rId81" xr:uid="{814321F1-1F21-2840-A2C8-DBCCD2088C6A}"/>
    <hyperlink ref="L46" r:id="rId82" xr:uid="{0BA4DD8F-0E83-3C49-BEB0-2C1E6A856EDE}"/>
    <hyperlink ref="L53" r:id="rId83" xr:uid="{149A00F0-D861-8641-91A8-ADE7194102E0}"/>
    <hyperlink ref="L51" r:id="rId84" xr:uid="{26B7D716-D89F-4141-A28A-A463849840B7}"/>
    <hyperlink ref="L40" r:id="rId85" xr:uid="{CAAAABC0-A79A-C940-B2D0-24E5FB831E00}"/>
    <hyperlink ref="L36" r:id="rId86" xr:uid="{50A1B5F5-68E7-CE4D-B48C-58C7523ABCC1}"/>
    <hyperlink ref="L3" r:id="rId87" xr:uid="{452D2AB6-3CC3-2243-BD8D-7F0ADD421196}"/>
    <hyperlink ref="L11" r:id="rId88" xr:uid="{B2CF3465-FFEB-2943-AF14-2704359E2B20}"/>
    <hyperlink ref="L48" r:id="rId89" xr:uid="{C70F6D38-6363-834E-A395-8731BC54AEBE}"/>
    <hyperlink ref="L54" r:id="rId90" xr:uid="{C88BB463-1191-D742-9F11-1A045E62F329}"/>
    <hyperlink ref="L35" r:id="rId91" xr:uid="{F51E7AE9-B7E9-A047-8D09-97350ED2C2A5}"/>
    <hyperlink ref="L13" r:id="rId92" xr:uid="{B4E32234-BB89-124D-B11D-B9DBE12AC142}"/>
    <hyperlink ref="L14" r:id="rId93" xr:uid="{C34E6196-7890-A646-9DBB-2E366E3831D5}"/>
    <hyperlink ref="L17" r:id="rId94" xr:uid="{A96D5E16-3128-A548-8AE2-2EE0CC64A7FC}"/>
    <hyperlink ref="L18" r:id="rId95" xr:uid="{A8763D9D-908A-C741-9451-1FB692D76662}"/>
    <hyperlink ref="L20" r:id="rId96" xr:uid="{9D4F14CD-CC62-FC4E-A922-ACAE8486FF08}"/>
    <hyperlink ref="L21" r:id="rId97" xr:uid="{2E7CC709-EFDE-FB40-BFE5-963C8FB22AF1}"/>
    <hyperlink ref="L22" r:id="rId98" xr:uid="{D085DAFD-6621-3F4E-9E9F-B889C932E74B}"/>
    <hyperlink ref="L41" r:id="rId99" xr:uid="{934E4FCA-A3C6-5644-A3A1-49408CDD73D6}"/>
    <hyperlink ref="L44" r:id="rId100" display="mailto: info@schaefer-tapeten.de" xr:uid="{32D15A0C-513E-134F-9E53-5D26D273D880}"/>
    <hyperlink ref="L49" r:id="rId101" xr:uid="{01CA21F8-2D2C-364E-A2E3-D00BD3D5F42C}"/>
  </hyperlinks>
  <pageMargins left="0.7" right="0.7" top="0.75" bottom="0.75" header="0.3" footer="0.3"/>
  <pageSetup paperSize="9" orientation="landscape" horizontalDpi="0" verticalDpi="0"/>
  <legacyDrawing r:id="rId10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7D92C9-DEA9-A14A-B6C2-F40DB425CE6E}">
  <sheetPr codeName="Feuil13">
    <tabColor theme="9"/>
  </sheetPr>
  <dimension ref="C2:AY29"/>
  <sheetViews>
    <sheetView tabSelected="1" workbookViewId="0">
      <selection activeCell="M17" sqref="M17"/>
    </sheetView>
  </sheetViews>
  <sheetFormatPr baseColWidth="10" defaultRowHeight="13"/>
  <cols>
    <col min="1" max="2" width="10.83203125" style="863"/>
    <col min="3" max="3" width="16.83203125" style="863" customWidth="1"/>
    <col min="4" max="4" width="23.1640625" style="863" customWidth="1"/>
    <col min="5" max="6" width="7.33203125" style="863" customWidth="1"/>
    <col min="7" max="7" width="9.33203125" style="863" customWidth="1"/>
    <col min="8" max="8" width="16.1640625" style="863" customWidth="1"/>
    <col min="9" max="48" width="10.83203125" style="863"/>
    <col min="49" max="49" width="11.6640625" style="863" customWidth="1"/>
    <col min="50" max="50" width="10.83203125" style="863"/>
    <col min="51" max="51" width="13.83203125" style="863" customWidth="1"/>
    <col min="52" max="16384" width="10.83203125" style="863"/>
  </cols>
  <sheetData>
    <row r="2" spans="3:51" ht="83" customHeight="1">
      <c r="C2" s="879"/>
      <c r="H2" s="880"/>
      <c r="I2" s="880"/>
      <c r="J2" s="880"/>
      <c r="K2" s="880"/>
      <c r="M2" s="881"/>
      <c r="N2" s="880"/>
      <c r="O2" s="882"/>
      <c r="Q2" s="881"/>
      <c r="R2" s="880"/>
      <c r="S2" s="882"/>
      <c r="U2" s="881"/>
      <c r="V2" s="880"/>
      <c r="W2" s="882"/>
      <c r="Y2" s="881"/>
      <c r="Z2" s="880"/>
      <c r="AA2" s="882"/>
      <c r="AC2" s="881"/>
      <c r="AD2" s="880"/>
      <c r="AE2" s="882"/>
      <c r="AG2" s="881"/>
      <c r="AH2" s="880"/>
      <c r="AI2" s="882"/>
      <c r="AK2" s="881"/>
      <c r="AL2" s="880"/>
      <c r="AM2" s="882"/>
      <c r="AO2" s="881"/>
      <c r="AP2" s="880"/>
      <c r="AQ2" s="882"/>
      <c r="AS2" s="881"/>
      <c r="AT2" s="880"/>
      <c r="AU2" s="882"/>
      <c r="AW2" s="881"/>
      <c r="AX2" s="880"/>
      <c r="AY2" s="882"/>
    </row>
    <row r="4" spans="3:51" s="861" customFormat="1" ht="17">
      <c r="C4" s="874" t="s">
        <v>3096</v>
      </c>
      <c r="D4" s="864"/>
    </row>
    <row r="5" spans="3:51" s="861" customFormat="1" ht="16">
      <c r="C5" s="875"/>
    </row>
    <row r="6" spans="3:51" s="861" customFormat="1" ht="17">
      <c r="C6" s="874" t="s">
        <v>3097</v>
      </c>
      <c r="D6" s="865"/>
    </row>
    <row r="7" spans="3:51" s="861" customFormat="1" ht="16">
      <c r="C7" s="875"/>
    </row>
    <row r="8" spans="3:51" s="861" customFormat="1" ht="17">
      <c r="C8" s="874" t="s">
        <v>3098</v>
      </c>
      <c r="D8" s="864"/>
      <c r="E8" s="872"/>
      <c r="F8" s="873"/>
      <c r="G8" s="862"/>
    </row>
    <row r="9" spans="3:51" s="861" customFormat="1" ht="17">
      <c r="C9" s="874" t="s">
        <v>3099</v>
      </c>
      <c r="D9" s="864"/>
      <c r="E9" s="872"/>
      <c r="F9" s="873"/>
      <c r="G9" s="862"/>
    </row>
    <row r="10" spans="3:51" s="861" customFormat="1" ht="17">
      <c r="C10" s="874" t="s">
        <v>3100</v>
      </c>
      <c r="D10" s="864"/>
      <c r="E10" s="872"/>
      <c r="F10" s="873"/>
      <c r="G10" s="862"/>
    </row>
    <row r="11" spans="3:51" s="861" customFormat="1" ht="17">
      <c r="C11" s="874" t="s">
        <v>3101</v>
      </c>
      <c r="D11" s="864"/>
      <c r="E11" s="872"/>
      <c r="F11" s="873"/>
      <c r="G11" s="862"/>
    </row>
    <row r="12" spans="3:51" s="861" customFormat="1" ht="17">
      <c r="C12" s="874" t="s">
        <v>3102</v>
      </c>
      <c r="D12" s="864"/>
      <c r="E12" s="872"/>
      <c r="F12" s="873"/>
      <c r="G12" s="862"/>
    </row>
    <row r="13" spans="3:51" s="861" customFormat="1" ht="17">
      <c r="C13" s="874" t="s">
        <v>3103</v>
      </c>
      <c r="D13" s="864"/>
      <c r="E13" s="872"/>
      <c r="F13" s="873"/>
      <c r="G13" s="862"/>
    </row>
    <row r="14" spans="3:51" s="861" customFormat="1" ht="17">
      <c r="C14" s="874" t="s">
        <v>3104</v>
      </c>
      <c r="D14" s="864"/>
      <c r="E14" s="872"/>
      <c r="F14" s="873"/>
      <c r="G14" s="862"/>
    </row>
    <row r="15" spans="3:51" s="861" customFormat="1" ht="17">
      <c r="C15" s="874" t="s">
        <v>3105</v>
      </c>
      <c r="D15" s="864"/>
      <c r="E15" s="872"/>
      <c r="F15" s="873"/>
      <c r="G15" s="862"/>
    </row>
    <row r="16" spans="3:51" s="861" customFormat="1" ht="17">
      <c r="C16" s="874" t="s">
        <v>3106</v>
      </c>
      <c r="D16" s="864"/>
      <c r="E16" s="872"/>
      <c r="F16" s="873"/>
      <c r="G16" s="862"/>
    </row>
    <row r="17" spans="3:7" s="861" customFormat="1" ht="17">
      <c r="C17" s="874" t="s">
        <v>3107</v>
      </c>
      <c r="D17" s="864"/>
      <c r="E17" s="872"/>
      <c r="F17" s="873"/>
      <c r="G17" s="862"/>
    </row>
    <row r="18" spans="3:7" s="861" customFormat="1" ht="16">
      <c r="C18" s="875"/>
    </row>
    <row r="19" spans="3:7" s="861" customFormat="1" ht="34">
      <c r="C19" s="874" t="s">
        <v>3108</v>
      </c>
      <c r="D19" s="864"/>
    </row>
    <row r="20" spans="3:7" s="861" customFormat="1" ht="16">
      <c r="C20" s="875"/>
    </row>
    <row r="21" spans="3:7" s="861" customFormat="1" ht="17">
      <c r="C21" s="874" t="s">
        <v>3109</v>
      </c>
      <c r="D21" s="864"/>
    </row>
    <row r="22" spans="3:7" s="861" customFormat="1" ht="16">
      <c r="C22" s="875"/>
    </row>
    <row r="23" spans="3:7" s="861" customFormat="1" ht="17">
      <c r="C23" s="874" t="s">
        <v>653</v>
      </c>
      <c r="D23" s="864"/>
    </row>
    <row r="24" spans="3:7" s="861" customFormat="1" ht="16">
      <c r="C24" s="875"/>
    </row>
    <row r="25" spans="3:7" s="861" customFormat="1" ht="17">
      <c r="C25" s="874" t="s">
        <v>3110</v>
      </c>
      <c r="D25" s="864"/>
    </row>
    <row r="26" spans="3:7" s="861" customFormat="1" ht="16">
      <c r="C26" s="875"/>
    </row>
    <row r="27" spans="3:7" s="861" customFormat="1" ht="34">
      <c r="C27" s="874" t="s">
        <v>3111</v>
      </c>
      <c r="D27" s="864"/>
    </row>
    <row r="28" spans="3:7" s="861" customFormat="1" ht="16"/>
    <row r="29" spans="3:7" s="861" customFormat="1" ht="16"/>
  </sheetData>
  <sheetProtection selectLockedCells="1"/>
  <phoneticPr fontId="63" type="noConversion"/>
  <conditionalFormatting sqref="D25">
    <cfRule type="containsText" dxfId="1" priority="1" operator="containsText" text="oui">
      <formula>NOT(ISERROR(SEARCH("oui",D25)))</formula>
    </cfRule>
  </conditionalFormatting>
  <dataValidations count="7">
    <dataValidation type="whole" operator="greaterThan" allowBlank="1" showInputMessage="1" promptTitle="Référence du transporteur" prompt="Inscrire le numéro de suivi sur l'étiquette du transporteur, pour assurer un meilleur suivi. Ceci est applicable seulement si l'étiquette est fournie en même temps que la commande au fournisseur (pas de digitaux). " sqref="D27" xr:uid="{73AF8AF7-00AA-B14F-BF9D-0B61C1331431}">
      <formula1>1</formula1>
    </dataValidation>
    <dataValidation type="whole" allowBlank="1" showInputMessage="1" showErrorMessage="1" errorTitle="Erreur" error="Minimum 1 article " promptTitle="Quantité" prompt="Minimum 1 " sqref="E8:E17" xr:uid="{6A3FFBAD-C2AE-0746-984D-9E281DA0FD73}">
      <formula1>1</formula1>
      <formula2>150</formula2>
    </dataValidation>
    <dataValidation type="decimal" allowBlank="1" showInputMessage="1" showErrorMessage="1" errorTitle="Erreur" error="Erreur dans la saisie - saisir un chiffre entre 0 et 1. L'affichage en pourcentage se fait automatiquement. " promptTitle="Réduction" prompt="entrer le pourcentage d'une réduction exceptionnelle non reprise dans les listes de prix standards (ex: remise showroom...). " sqref="F8:F17" xr:uid="{24F62BEB-6EE2-BA4C-A865-EA50C7793648}">
      <formula1>0</formula1>
      <formula2>1</formula2>
    </dataValidation>
    <dataValidation allowBlank="1" showInputMessage="1" showErrorMessage="1" promptTitle="Digital" prompt="Cette commande comprend-elle des références digitales? (au moins une)" sqref="D23" xr:uid="{D17E9BD2-4D61-9D40-9F3C-D3EE98E8CA8A}"/>
    <dataValidation allowBlank="1" showInputMessage="1" showErrorMessage="1" promptTitle="Référence du devis" prompt="Un devis a-t-il été fourni au client pour validation/acceptation au préalable? Si oui, quelle en est la référence? " sqref="D21" xr:uid="{70BECD9C-952E-D146-961C-11606ABCBC1E}"/>
    <dataValidation allowBlank="1" showInputMessage="1" showErrorMessage="1" promptTitle="Référence du client" prompt="Il s'agit du numéro de commande sur le bon du client (sa référence). " sqref="D19" xr:uid="{AF1766B8-89BB-E445-94F2-9D26031628CB}"/>
    <dataValidation type="date" operator="greaterThan" allowBlank="1" showInputMessage="1" showErrorMessage="1" promptTitle="Date" prompt="Saisir la date du jour!" sqref="D6" xr:uid="{D21AF3C2-ADBF-124B-BDDC-63B8F1B3AE91}">
      <formula1>42216</formula1>
    </dataValidation>
  </dataValidations>
  <pageMargins left="0.7" right="0.7" top="0.75" bottom="0.75" header="0.3" footer="0.3"/>
  <drawing r:id="rId1"/>
  <extLst>
    <ext xmlns:x14="http://schemas.microsoft.com/office/spreadsheetml/2009/9/main" uri="{CCE6A557-97BC-4b89-ADB6-D9C93CAAB3DF}">
      <x14:dataValidations xmlns:xm="http://schemas.microsoft.com/office/excel/2006/main" count="4">
        <x14:dataValidation type="list" allowBlank="1" showInputMessage="1" showErrorMessage="1" errorTitle="Erreur" error="Veuillez choisir un produit de la sélection uniquement. Minimum une référence est à introduire pour valider le fomulaire. Si le produit n'existe pas, il faut le créer dans l'onglet &quot;produits&quot;. " promptTitle="Référence" prompt="Saisir au moins une référence pour valider cette commande " xr:uid="{09CEA701-3F85-8C44-871D-28F92CF3AB8B}">
          <x14:formula1>
            <xm:f>PRODUITS!$B$2:$B$634</xm:f>
          </x14:formula1>
          <xm:sqref>D8</xm:sqref>
        </x14:dataValidation>
        <x14:dataValidation type="list" allowBlank="1" showInputMessage="1" showErrorMessage="1" promptTitle="Custom" prompt="Est-ce qu'un custom du digital est requis? Si oui, informer Alexia dès l'envoi de la commande auprès du fournisseur. " xr:uid="{B800A50E-6E0B-6C42-B97A-AED1D2FAC275}">
          <x14:formula1>
            <xm:f>SHIPMENT!$A$1:$A$2</xm:f>
          </x14:formula1>
          <xm:sqref>D25</xm:sqref>
        </x14:dataValidation>
        <x14:dataValidation type="list" allowBlank="1" showInputMessage="1" showErrorMessage="1" errorTitle="Erreur" error="Veuillez choisir un produit de la sélection uniquement. Minimum une référence est à introduire pour valider le fomulaire. Si le produit n'existe pas, il faut le créer dans l'onglet &quot;produits&quot;. " promptTitle="Référence" prompt="Inclure la référence de chaque article séparément. S'il y a plus de 20 articles, effectuer une deuxième saisie de commande (2 formulaires) ou plus, selon les besoins. " xr:uid="{279F5939-F39F-8647-8921-1227660B6045}">
          <x14:formula1>
            <xm:f>PRODUITS!$B$2:$B$634</xm:f>
          </x14:formula1>
          <xm:sqref>D9:D17</xm:sqref>
        </x14:dataValidation>
        <x14:dataValidation type="list" allowBlank="1" showInputMessage="1" showErrorMessage="1" errorTitle="Erreur" error="Saisir un client de la liste. Si le client n'est pas repris, il faut lui créer une fiche dans l'onglet &quot;cients&quot;. " promptTitle="Client" prompt="Les clients sont disponible via la liste client. Si le client n'est pas encore créer, le créer dans l'onglet adéquat. " xr:uid="{7BE9D06D-896B-7146-B04A-C4648D0BD873}">
          <x14:formula1>
            <xm:f>CLIENTS!$B$2:$B$6</xm:f>
          </x14:formula1>
          <xm:sqref>D4</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C16523-A1CD-B14D-B0CB-889CA403FD4C}">
  <sheetPr codeName="Feuil9">
    <tabColor theme="9"/>
  </sheetPr>
  <dimension ref="A1:AY28"/>
  <sheetViews>
    <sheetView workbookViewId="0">
      <selection activeCell="A2" sqref="A2"/>
    </sheetView>
  </sheetViews>
  <sheetFormatPr baseColWidth="10" defaultRowHeight="13"/>
  <cols>
    <col min="1" max="1" width="9.6640625" bestFit="1" customWidth="1"/>
    <col min="2" max="2" width="20.1640625" customWidth="1"/>
    <col min="3" max="3" width="11.5" style="250" customWidth="1"/>
    <col min="4" max="4" width="8" bestFit="1" customWidth="1"/>
    <col min="5" max="5" width="5.1640625" bestFit="1" customWidth="1"/>
    <col min="6" max="6" width="5.6640625" bestFit="1" customWidth="1"/>
    <col min="7" max="7" width="7.1640625" bestFit="1" customWidth="1"/>
    <col min="8" max="8" width="10.33203125" style="851" bestFit="1" customWidth="1"/>
    <col min="9" max="9" width="8.33203125" style="851" customWidth="1"/>
    <col min="10" max="10" width="11.1640625" style="851" bestFit="1" customWidth="1"/>
    <col min="11" max="11" width="7.83203125" style="851" bestFit="1" customWidth="1"/>
    <col min="12" max="12" width="13.1640625" customWidth="1"/>
    <col min="13" max="13" width="7" style="852" bestFit="1" customWidth="1"/>
    <col min="14" max="14" width="9.33203125" bestFit="1" customWidth="1"/>
    <col min="15" max="15" width="7.6640625" style="886" bestFit="1" customWidth="1"/>
    <col min="16" max="16" width="13" customWidth="1"/>
    <col min="17" max="17" width="7" style="852" bestFit="1" customWidth="1"/>
    <col min="18" max="18" width="9.33203125" bestFit="1" customWidth="1"/>
    <col min="19" max="19" width="7.6640625" style="886" bestFit="1" customWidth="1"/>
    <col min="20" max="20" width="15.5" customWidth="1"/>
    <col min="21" max="21" width="9.33203125" style="852" bestFit="1" customWidth="1"/>
    <col min="22" max="22" width="9.33203125" bestFit="1" customWidth="1"/>
    <col min="23" max="23" width="10" style="886" bestFit="1" customWidth="1"/>
    <col min="24" max="24" width="15.6640625" customWidth="1"/>
    <col min="25" max="25" width="9.33203125" style="852" bestFit="1" customWidth="1"/>
    <col min="26" max="26" width="9.33203125" bestFit="1" customWidth="1"/>
    <col min="27" max="27" width="10" style="886" bestFit="1" customWidth="1"/>
    <col min="28" max="28" width="15.33203125" customWidth="1"/>
    <col min="29" max="29" width="9.33203125" style="852" bestFit="1" customWidth="1"/>
    <col min="30" max="30" width="9.33203125" bestFit="1" customWidth="1"/>
    <col min="31" max="31" width="10" style="886" bestFit="1" customWidth="1"/>
    <col min="32" max="32" width="15.33203125" customWidth="1"/>
    <col min="33" max="33" width="9.33203125" style="852" bestFit="1" customWidth="1"/>
    <col min="34" max="34" width="9.33203125" bestFit="1" customWidth="1"/>
    <col min="35" max="35" width="10" style="886" bestFit="1" customWidth="1"/>
    <col min="36" max="36" width="17.33203125" customWidth="1"/>
    <col min="37" max="37" width="10.83203125" style="852" customWidth="1"/>
    <col min="38" max="38" width="9.33203125" bestFit="1" customWidth="1"/>
    <col min="39" max="39" width="10" style="886" bestFit="1" customWidth="1"/>
    <col min="40" max="40" width="15.5" customWidth="1"/>
    <col min="41" max="41" width="9.33203125" style="852" bestFit="1" customWidth="1"/>
    <col min="42" max="42" width="9.33203125" bestFit="1" customWidth="1"/>
    <col min="43" max="43" width="10" style="886" bestFit="1" customWidth="1"/>
    <col min="44" max="44" width="15.5" customWidth="1"/>
    <col min="45" max="45" width="9.33203125" style="852" bestFit="1" customWidth="1"/>
    <col min="46" max="46" width="9.33203125" bestFit="1" customWidth="1"/>
    <col min="47" max="47" width="10" style="886" bestFit="1" customWidth="1"/>
    <col min="48" max="48" width="15.5" customWidth="1"/>
    <col min="49" max="49" width="11.6640625" style="852" customWidth="1"/>
    <col min="50" max="50" width="9.33203125" bestFit="1" customWidth="1"/>
    <col min="51" max="51" width="13.83203125" style="886" customWidth="1"/>
  </cols>
  <sheetData>
    <row r="1" spans="1:51" ht="42">
      <c r="A1" s="425" t="s">
        <v>3119</v>
      </c>
      <c r="B1" s="425" t="s">
        <v>5</v>
      </c>
      <c r="C1" s="877" t="s">
        <v>3097</v>
      </c>
      <c r="D1" s="425" t="s">
        <v>3130</v>
      </c>
      <c r="E1" s="425" t="s">
        <v>3131</v>
      </c>
      <c r="F1" s="425" t="s">
        <v>653</v>
      </c>
      <c r="G1" s="425" t="s">
        <v>3110</v>
      </c>
      <c r="H1" s="876" t="s">
        <v>3132</v>
      </c>
      <c r="I1" s="876" t="s">
        <v>3133</v>
      </c>
      <c r="J1" s="876" t="s">
        <v>3135</v>
      </c>
      <c r="K1" s="876" t="s">
        <v>3134</v>
      </c>
      <c r="L1" s="425" t="s">
        <v>3120</v>
      </c>
      <c r="M1" s="853" t="s">
        <v>3137</v>
      </c>
      <c r="N1" s="425" t="s">
        <v>3136</v>
      </c>
      <c r="O1" s="878" t="s">
        <v>3138</v>
      </c>
      <c r="P1" s="425" t="s">
        <v>3121</v>
      </c>
      <c r="Q1" s="853" t="s">
        <v>3139</v>
      </c>
      <c r="R1" s="425" t="s">
        <v>3141</v>
      </c>
      <c r="S1" s="878" t="s">
        <v>3140</v>
      </c>
      <c r="T1" s="425" t="s">
        <v>3122</v>
      </c>
      <c r="U1" s="853" t="s">
        <v>3142</v>
      </c>
      <c r="V1" s="425" t="s">
        <v>3143</v>
      </c>
      <c r="W1" s="878" t="s">
        <v>3144</v>
      </c>
      <c r="X1" s="425" t="s">
        <v>3123</v>
      </c>
      <c r="Y1" s="853" t="s">
        <v>3145</v>
      </c>
      <c r="Z1" s="425" t="s">
        <v>3146</v>
      </c>
      <c r="AA1" s="878" t="s">
        <v>3147</v>
      </c>
      <c r="AB1" s="425" t="s">
        <v>3124</v>
      </c>
      <c r="AC1" s="853" t="s">
        <v>3148</v>
      </c>
      <c r="AD1" s="425" t="s">
        <v>3149</v>
      </c>
      <c r="AE1" s="878" t="s">
        <v>3150</v>
      </c>
      <c r="AF1" s="425" t="s">
        <v>3125</v>
      </c>
      <c r="AG1" s="853" t="s">
        <v>3151</v>
      </c>
      <c r="AH1" s="425" t="s">
        <v>3152</v>
      </c>
      <c r="AI1" s="878" t="s">
        <v>3153</v>
      </c>
      <c r="AJ1" s="425" t="s">
        <v>3126</v>
      </c>
      <c r="AK1" s="853" t="s">
        <v>3154</v>
      </c>
      <c r="AL1" s="425" t="s">
        <v>3155</v>
      </c>
      <c r="AM1" s="878" t="s">
        <v>3156</v>
      </c>
      <c r="AN1" s="425" t="s">
        <v>3127</v>
      </c>
      <c r="AO1" s="853" t="s">
        <v>3157</v>
      </c>
      <c r="AP1" s="425" t="s">
        <v>3158</v>
      </c>
      <c r="AQ1" s="878" t="s">
        <v>3159</v>
      </c>
      <c r="AR1" s="425" t="s">
        <v>3128</v>
      </c>
      <c r="AS1" s="853" t="s">
        <v>3160</v>
      </c>
      <c r="AT1" s="425" t="s">
        <v>3161</v>
      </c>
      <c r="AU1" s="878" t="s">
        <v>3162</v>
      </c>
      <c r="AV1" s="425" t="s">
        <v>3129</v>
      </c>
      <c r="AW1" s="853" t="s">
        <v>3163</v>
      </c>
      <c r="AX1" s="425" t="s">
        <v>3164</v>
      </c>
      <c r="AY1" s="878" t="s">
        <v>3165</v>
      </c>
    </row>
    <row r="2" spans="1:51">
      <c r="A2" s="425"/>
      <c r="B2" s="425"/>
      <c r="C2" s="877"/>
      <c r="D2" s="425"/>
      <c r="E2" s="425"/>
      <c r="F2" s="425"/>
      <c r="G2" s="425"/>
      <c r="H2" s="876"/>
      <c r="I2" s="876"/>
      <c r="J2" s="876"/>
      <c r="K2" s="876"/>
      <c r="L2" s="425"/>
      <c r="M2" s="853"/>
      <c r="N2" s="425"/>
      <c r="O2" s="878"/>
      <c r="P2" s="425"/>
      <c r="Q2" s="853"/>
      <c r="R2" s="425"/>
      <c r="S2" s="878"/>
      <c r="T2" s="425"/>
      <c r="U2" s="853"/>
      <c r="V2" s="425"/>
      <c r="W2" s="878"/>
      <c r="X2" s="425"/>
      <c r="Y2" s="853"/>
      <c r="Z2" s="425"/>
      <c r="AA2" s="878"/>
      <c r="AB2" s="425"/>
      <c r="AC2" s="853"/>
      <c r="AD2" s="425"/>
      <c r="AE2" s="878"/>
      <c r="AF2" s="425"/>
      <c r="AG2" s="853"/>
      <c r="AH2" s="425"/>
      <c r="AI2" s="878"/>
      <c r="AJ2" s="425"/>
      <c r="AK2" s="853"/>
      <c r="AL2" s="425"/>
      <c r="AM2" s="878"/>
      <c r="AN2" s="425"/>
      <c r="AO2" s="853"/>
      <c r="AP2" s="425"/>
      <c r="AQ2" s="878"/>
      <c r="AR2" s="425"/>
      <c r="AS2" s="853"/>
      <c r="AT2" s="425"/>
      <c r="AU2" s="878"/>
      <c r="AV2" s="425"/>
      <c r="AW2" s="853"/>
      <c r="AX2" s="425"/>
      <c r="AY2" s="878"/>
    </row>
    <row r="3" spans="1:51">
      <c r="A3" s="425"/>
      <c r="B3" s="425"/>
      <c r="C3" s="877"/>
      <c r="D3" s="425"/>
      <c r="E3" s="425"/>
      <c r="F3" s="425"/>
      <c r="G3" s="425"/>
      <c r="H3" s="876"/>
      <c r="I3" s="876"/>
      <c r="J3" s="876"/>
      <c r="K3" s="876"/>
      <c r="L3" s="425"/>
      <c r="M3" s="853"/>
      <c r="N3" s="876"/>
      <c r="O3" s="878"/>
      <c r="P3" s="425"/>
      <c r="Q3" s="853"/>
      <c r="R3" s="876"/>
      <c r="S3" s="878"/>
      <c r="T3" s="425"/>
      <c r="U3" s="853"/>
      <c r="V3" s="876"/>
      <c r="W3" s="878"/>
      <c r="X3" s="425"/>
      <c r="Y3" s="853"/>
      <c r="Z3" s="876"/>
      <c r="AA3" s="878"/>
      <c r="AB3" s="425"/>
      <c r="AC3" s="853"/>
      <c r="AD3" s="876"/>
      <c r="AE3" s="878"/>
      <c r="AF3" s="425"/>
      <c r="AG3" s="853"/>
      <c r="AH3" s="876"/>
      <c r="AI3" s="878"/>
      <c r="AJ3" s="425"/>
      <c r="AK3" s="853"/>
      <c r="AL3" s="876"/>
      <c r="AM3" s="878"/>
      <c r="AN3" s="425"/>
      <c r="AO3" s="853"/>
      <c r="AP3" s="876"/>
      <c r="AQ3" s="878"/>
      <c r="AR3" s="425"/>
      <c r="AS3" s="853"/>
      <c r="AT3" s="876"/>
      <c r="AU3" s="878"/>
      <c r="AV3" s="425"/>
      <c r="AW3" s="853"/>
      <c r="AX3" s="876"/>
      <c r="AY3" s="878"/>
    </row>
    <row r="4" spans="1:51">
      <c r="A4" s="425"/>
      <c r="B4" s="425"/>
      <c r="C4" s="877"/>
      <c r="D4" s="425"/>
      <c r="E4" s="425"/>
      <c r="F4" s="425"/>
      <c r="G4" s="425"/>
      <c r="H4" s="876"/>
      <c r="I4" s="876"/>
      <c r="J4" s="876"/>
      <c r="K4" s="876"/>
      <c r="L4" s="425"/>
      <c r="M4" s="853"/>
      <c r="N4" s="425"/>
      <c r="O4" s="878"/>
      <c r="P4" s="425"/>
      <c r="Q4" s="853"/>
      <c r="R4" s="425"/>
      <c r="S4" s="878"/>
      <c r="T4" s="425"/>
      <c r="U4" s="853"/>
      <c r="V4" s="425"/>
      <c r="W4" s="878"/>
      <c r="X4" s="425"/>
      <c r="Y4" s="853"/>
      <c r="Z4" s="425"/>
      <c r="AA4" s="878"/>
      <c r="AB4" s="425"/>
      <c r="AC4" s="853"/>
      <c r="AD4" s="425"/>
      <c r="AE4" s="878"/>
      <c r="AF4" s="425"/>
      <c r="AG4" s="853"/>
      <c r="AH4" s="425"/>
      <c r="AI4" s="878"/>
      <c r="AJ4" s="425"/>
      <c r="AK4" s="853"/>
      <c r="AL4" s="425"/>
      <c r="AM4" s="878"/>
      <c r="AN4" s="425"/>
      <c r="AO4" s="853"/>
      <c r="AP4" s="425"/>
      <c r="AQ4" s="878"/>
      <c r="AR4" s="425"/>
      <c r="AS4" s="853"/>
      <c r="AT4" s="425"/>
      <c r="AU4" s="878"/>
      <c r="AV4" s="425"/>
      <c r="AW4" s="853"/>
      <c r="AX4" s="425"/>
      <c r="AY4" s="878"/>
    </row>
    <row r="5" spans="1:51">
      <c r="A5" s="425"/>
      <c r="B5" s="425"/>
      <c r="C5" s="877"/>
      <c r="D5" s="425"/>
      <c r="E5" s="425"/>
      <c r="F5" s="425"/>
      <c r="G5" s="425"/>
      <c r="H5" s="876"/>
      <c r="I5" s="876"/>
      <c r="J5" s="876"/>
      <c r="K5" s="876"/>
      <c r="L5" s="425"/>
      <c r="M5" s="853"/>
      <c r="N5" s="425"/>
      <c r="O5" s="878"/>
      <c r="P5" s="425"/>
      <c r="Q5" s="885"/>
      <c r="R5" s="425"/>
      <c r="S5" s="878"/>
      <c r="T5" s="425"/>
      <c r="U5" s="853"/>
      <c r="V5" s="425"/>
      <c r="W5" s="878"/>
      <c r="X5" s="425"/>
      <c r="Y5" s="853"/>
      <c r="Z5" s="425"/>
      <c r="AA5" s="878"/>
      <c r="AB5" s="425"/>
      <c r="AC5" s="853"/>
      <c r="AD5" s="425"/>
      <c r="AE5" s="878"/>
      <c r="AF5" s="425"/>
      <c r="AG5" s="853"/>
      <c r="AH5" s="425"/>
      <c r="AI5" s="878"/>
      <c r="AJ5" s="425"/>
      <c r="AK5" s="853"/>
      <c r="AL5" s="425"/>
      <c r="AM5" s="878"/>
      <c r="AN5" s="425"/>
      <c r="AO5" s="853"/>
      <c r="AP5" s="425"/>
      <c r="AQ5" s="878"/>
      <c r="AR5" s="425"/>
      <c r="AS5" s="853"/>
      <c r="AT5" s="425"/>
      <c r="AU5" s="878"/>
      <c r="AV5" s="425"/>
      <c r="AW5" s="853"/>
      <c r="AX5" s="425"/>
      <c r="AY5" s="878"/>
    </row>
    <row r="6" spans="1:51">
      <c r="A6" s="425"/>
      <c r="B6" s="425"/>
      <c r="C6" s="877"/>
      <c r="D6" s="425"/>
      <c r="E6" s="425"/>
      <c r="F6" s="425"/>
      <c r="G6" s="425"/>
      <c r="H6" s="876"/>
      <c r="I6" s="876"/>
      <c r="J6" s="876"/>
      <c r="K6" s="876"/>
      <c r="L6" s="425"/>
      <c r="M6" s="853"/>
      <c r="N6" s="425"/>
      <c r="O6" s="878"/>
      <c r="P6" s="425"/>
      <c r="Q6" s="853"/>
      <c r="R6" s="425"/>
      <c r="S6" s="878"/>
      <c r="T6" s="425"/>
      <c r="U6" s="853"/>
      <c r="V6" s="425"/>
      <c r="W6" s="878"/>
      <c r="X6" s="425"/>
      <c r="Y6" s="853"/>
      <c r="Z6" s="425"/>
      <c r="AA6" s="878"/>
    </row>
    <row r="28" ht="21" customHeight="1"/>
  </sheetData>
  <phoneticPr fontId="63"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08BFC9-B0E1-D640-8B67-47F5ED3233E6}">
  <sheetPr codeName="Feuil12">
    <tabColor theme="9"/>
  </sheetPr>
  <dimension ref="A1"/>
  <sheetViews>
    <sheetView workbookViewId="0">
      <selection activeCell="F24" sqref="F24"/>
    </sheetView>
  </sheetViews>
  <sheetFormatPr baseColWidth="10" defaultRowHeight="13"/>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7A91D40-DFC5-3643-8204-52EF2219415F}">
  <sheetPr codeName="Feuil10">
    <tabColor theme="9"/>
  </sheetPr>
  <dimension ref="A1:BE711"/>
  <sheetViews>
    <sheetView zoomScaleNormal="100" workbookViewId="0">
      <pane xSplit="2" ySplit="1" topLeftCell="S111" activePane="bottomRight" state="frozen"/>
      <selection pane="topRight" activeCell="C1" sqref="C1"/>
      <selection pane="bottomLeft" activeCell="A2" sqref="A2"/>
      <selection pane="bottomRight" activeCell="AP150" sqref="AP150"/>
    </sheetView>
  </sheetViews>
  <sheetFormatPr baseColWidth="10" defaultRowHeight="13"/>
  <cols>
    <col min="1" max="1" width="7" style="856" customWidth="1"/>
    <col min="2" max="2" width="12.33203125" bestFit="1" customWidth="1"/>
    <col min="5" max="5" width="10.33203125" customWidth="1"/>
    <col min="6" max="6" width="13.5" customWidth="1"/>
    <col min="7" max="7" width="7.83203125" customWidth="1"/>
    <col min="8" max="9" width="10.83203125" style="852"/>
    <col min="10" max="10" width="13.33203125" style="852" customWidth="1"/>
    <col min="11" max="11" width="7.6640625" style="852" customWidth="1"/>
    <col min="12" max="12" width="9" customWidth="1"/>
    <col min="14" max="14" width="10.83203125" style="370"/>
    <col min="15" max="15" width="15.1640625" customWidth="1"/>
    <col min="16" max="16" width="22.1640625" style="858" customWidth="1"/>
    <col min="17" max="17" width="12.83203125" bestFit="1" customWidth="1"/>
    <col min="34" max="39" width="13.6640625" customWidth="1"/>
    <col min="40" max="41" width="13.6640625" hidden="1" customWidth="1"/>
    <col min="42" max="42" width="13.6640625" customWidth="1"/>
  </cols>
  <sheetData>
    <row r="1" spans="1:46" ht="60">
      <c r="A1" s="849" t="s">
        <v>3112</v>
      </c>
      <c r="B1" s="849" t="s">
        <v>2234</v>
      </c>
      <c r="C1" s="849" t="s">
        <v>576</v>
      </c>
      <c r="D1" s="849" t="s">
        <v>2248</v>
      </c>
      <c r="E1" s="849" t="s">
        <v>2235</v>
      </c>
      <c r="F1" s="849" t="s">
        <v>2236</v>
      </c>
      <c r="G1" s="849" t="s">
        <v>2504</v>
      </c>
      <c r="H1" s="855" t="s">
        <v>2498</v>
      </c>
      <c r="I1" s="855" t="s">
        <v>2499</v>
      </c>
      <c r="J1" s="855" t="s">
        <v>2588</v>
      </c>
      <c r="K1" s="855" t="s">
        <v>2392</v>
      </c>
      <c r="L1" s="849" t="s">
        <v>2589</v>
      </c>
      <c r="M1" s="849" t="s">
        <v>2590</v>
      </c>
      <c r="N1" s="849" t="s">
        <v>2388</v>
      </c>
      <c r="O1" s="849" t="s">
        <v>2247</v>
      </c>
      <c r="P1" s="857" t="s">
        <v>2381</v>
      </c>
      <c r="Q1" s="849" t="s">
        <v>2384</v>
      </c>
      <c r="R1" s="849" t="s">
        <v>2475</v>
      </c>
      <c r="S1" s="849" t="s">
        <v>2476</v>
      </c>
      <c r="T1" s="849" t="s">
        <v>2477</v>
      </c>
      <c r="U1" s="849" t="s">
        <v>2478</v>
      </c>
      <c r="V1" s="849" t="s">
        <v>2479</v>
      </c>
      <c r="W1" s="849" t="s">
        <v>2480</v>
      </c>
      <c r="X1" s="849" t="s">
        <v>2482</v>
      </c>
      <c r="Y1" s="849" t="s">
        <v>2481</v>
      </c>
      <c r="Z1" s="849" t="s">
        <v>2484</v>
      </c>
      <c r="AA1" s="849" t="s">
        <v>2483</v>
      </c>
      <c r="AB1" s="849" t="s">
        <v>2485</v>
      </c>
      <c r="AC1" s="849" t="s">
        <v>2486</v>
      </c>
      <c r="AD1" s="849" t="s">
        <v>2487</v>
      </c>
      <c r="AE1" s="849" t="s">
        <v>2488</v>
      </c>
      <c r="AF1" s="849" t="s">
        <v>2489</v>
      </c>
      <c r="AG1" s="849" t="s">
        <v>2490</v>
      </c>
      <c r="AH1" s="849" t="s">
        <v>2492</v>
      </c>
      <c r="AI1" s="849" t="s">
        <v>2491</v>
      </c>
      <c r="AJ1" s="849" t="s">
        <v>3116</v>
      </c>
      <c r="AK1" s="849" t="s">
        <v>3115</v>
      </c>
      <c r="AL1" s="849" t="s">
        <v>3114</v>
      </c>
      <c r="AM1" s="849" t="s">
        <v>3113</v>
      </c>
      <c r="AN1" s="849" t="s">
        <v>3094</v>
      </c>
      <c r="AO1" s="849" t="s">
        <v>3095</v>
      </c>
      <c r="AP1" s="849" t="s">
        <v>3093</v>
      </c>
      <c r="AQ1" s="849" t="s">
        <v>2591</v>
      </c>
      <c r="AR1" s="849" t="s">
        <v>2592</v>
      </c>
      <c r="AS1" s="849" t="s">
        <v>2593</v>
      </c>
      <c r="AT1" s="849"/>
    </row>
    <row r="2" spans="1:46" ht="14">
      <c r="A2" s="856">
        <v>1</v>
      </c>
      <c r="B2" s="425" t="s">
        <v>2493</v>
      </c>
      <c r="C2" s="425" t="s">
        <v>2249</v>
      </c>
      <c r="D2" s="425" t="s">
        <v>157</v>
      </c>
      <c r="E2" s="425" t="s">
        <v>39</v>
      </c>
      <c r="F2" s="425" t="s">
        <v>47</v>
      </c>
      <c r="G2" s="425">
        <v>1</v>
      </c>
      <c r="H2" s="853">
        <v>55</v>
      </c>
      <c r="I2" s="853">
        <v>55</v>
      </c>
      <c r="K2" s="852">
        <v>5</v>
      </c>
      <c r="L2">
        <v>0</v>
      </c>
      <c r="M2" s="425" t="s">
        <v>47</v>
      </c>
      <c r="N2" s="370">
        <v>2019</v>
      </c>
      <c r="O2" s="425" t="s">
        <v>47</v>
      </c>
      <c r="P2" s="854" t="s">
        <v>47</v>
      </c>
      <c r="Q2" s="850" t="s">
        <v>157</v>
      </c>
      <c r="R2" s="851">
        <v>95</v>
      </c>
      <c r="S2" s="851">
        <v>0</v>
      </c>
      <c r="T2" s="851">
        <v>95</v>
      </c>
      <c r="U2" s="851">
        <v>0</v>
      </c>
      <c r="V2" s="851">
        <v>95</v>
      </c>
      <c r="W2" s="851">
        <v>0</v>
      </c>
      <c r="X2" s="851">
        <v>95</v>
      </c>
      <c r="Y2" s="851">
        <v>0</v>
      </c>
      <c r="Z2" s="851">
        <v>95</v>
      </c>
      <c r="AA2" s="851">
        <v>0</v>
      </c>
      <c r="AB2" s="851">
        <v>95</v>
      </c>
      <c r="AC2" s="851">
        <v>0</v>
      </c>
      <c r="AD2" s="851">
        <v>120</v>
      </c>
      <c r="AE2" s="851">
        <v>0</v>
      </c>
      <c r="AF2" s="851">
        <v>99.17</v>
      </c>
      <c r="AG2" s="851">
        <v>0</v>
      </c>
      <c r="AH2" s="851">
        <v>99.17</v>
      </c>
      <c r="AI2" s="851">
        <v>0</v>
      </c>
      <c r="AJ2" s="851"/>
      <c r="AK2" s="851"/>
      <c r="AL2" s="851"/>
      <c r="AM2" s="851"/>
      <c r="AN2" s="851"/>
      <c r="AO2" s="851"/>
      <c r="AP2" s="851">
        <v>67.31</v>
      </c>
    </row>
    <row r="3" spans="1:46" ht="14">
      <c r="A3" s="856">
        <v>2</v>
      </c>
      <c r="B3" s="425" t="s">
        <v>2494</v>
      </c>
      <c r="C3" s="425" t="s">
        <v>41</v>
      </c>
      <c r="D3" s="425" t="s">
        <v>1476</v>
      </c>
      <c r="E3" s="425" t="s">
        <v>41</v>
      </c>
      <c r="F3" s="425" t="s">
        <v>47</v>
      </c>
      <c r="G3" s="425">
        <v>1</v>
      </c>
      <c r="H3" s="853">
        <v>55</v>
      </c>
      <c r="I3" s="853">
        <v>55</v>
      </c>
      <c r="K3" s="852">
        <v>5</v>
      </c>
      <c r="L3">
        <v>0</v>
      </c>
      <c r="M3" s="425" t="s">
        <v>47</v>
      </c>
      <c r="N3" s="370">
        <v>2020</v>
      </c>
      <c r="O3" s="425" t="s">
        <v>47</v>
      </c>
      <c r="P3" s="854" t="s">
        <v>47</v>
      </c>
      <c r="Q3" s="850" t="s">
        <v>157</v>
      </c>
      <c r="R3" s="851">
        <v>95</v>
      </c>
      <c r="S3" s="851">
        <v>0</v>
      </c>
      <c r="T3" s="851">
        <v>95</v>
      </c>
      <c r="U3" s="851">
        <v>0</v>
      </c>
      <c r="V3" s="851">
        <v>95</v>
      </c>
      <c r="W3" s="851">
        <v>0</v>
      </c>
      <c r="X3" s="851">
        <v>95</v>
      </c>
      <c r="Y3" s="851">
        <v>0</v>
      </c>
      <c r="Z3" s="851">
        <v>95</v>
      </c>
      <c r="AA3" s="851">
        <v>0</v>
      </c>
      <c r="AB3" s="851">
        <v>95</v>
      </c>
      <c r="AC3" s="851">
        <v>0</v>
      </c>
      <c r="AD3" s="851">
        <v>120</v>
      </c>
      <c r="AE3" s="851">
        <v>0</v>
      </c>
      <c r="AF3" s="851">
        <v>99.17</v>
      </c>
      <c r="AG3" s="851">
        <v>0</v>
      </c>
      <c r="AH3" s="851">
        <v>99.17</v>
      </c>
      <c r="AI3" s="851">
        <v>0</v>
      </c>
      <c r="AJ3" s="851"/>
      <c r="AK3" s="851"/>
      <c r="AL3" s="851"/>
      <c r="AM3" s="851"/>
      <c r="AN3" s="851"/>
      <c r="AO3" s="851"/>
      <c r="AP3" s="851">
        <v>78.52</v>
      </c>
    </row>
    <row r="4" spans="1:46" ht="14">
      <c r="A4" s="856">
        <v>3</v>
      </c>
      <c r="B4" s="425" t="s">
        <v>2495</v>
      </c>
      <c r="C4" s="425" t="s">
        <v>42</v>
      </c>
      <c r="D4" s="425" t="s">
        <v>1476</v>
      </c>
      <c r="E4" s="425" t="s">
        <v>42</v>
      </c>
      <c r="F4" s="425" t="s">
        <v>47</v>
      </c>
      <c r="G4" s="425">
        <v>1</v>
      </c>
      <c r="H4" s="853">
        <v>55</v>
      </c>
      <c r="I4" s="853">
        <v>55</v>
      </c>
      <c r="K4" s="852">
        <v>5</v>
      </c>
      <c r="L4">
        <v>0</v>
      </c>
      <c r="M4" s="425" t="s">
        <v>47</v>
      </c>
      <c r="N4" s="370">
        <v>2021</v>
      </c>
      <c r="O4" s="425" t="s">
        <v>47</v>
      </c>
      <c r="P4" s="854" t="s">
        <v>47</v>
      </c>
      <c r="Q4" s="850" t="s">
        <v>157</v>
      </c>
      <c r="R4" s="851">
        <v>95</v>
      </c>
      <c r="S4" s="851">
        <v>0</v>
      </c>
      <c r="T4" s="851">
        <v>95</v>
      </c>
      <c r="U4" s="851">
        <v>0</v>
      </c>
      <c r="V4" s="851">
        <v>95</v>
      </c>
      <c r="W4" s="851">
        <v>0</v>
      </c>
      <c r="X4" s="851">
        <v>95</v>
      </c>
      <c r="Y4" s="851">
        <v>0</v>
      </c>
      <c r="Z4" s="851">
        <v>95</v>
      </c>
      <c r="AA4" s="851">
        <v>0</v>
      </c>
      <c r="AB4" s="851">
        <v>95</v>
      </c>
      <c r="AC4" s="851">
        <v>0</v>
      </c>
      <c r="AD4" s="851">
        <v>120</v>
      </c>
      <c r="AE4" s="851">
        <v>0</v>
      </c>
      <c r="AF4" s="851">
        <v>99.17</v>
      </c>
      <c r="AG4" s="851">
        <v>0</v>
      </c>
      <c r="AH4" s="851">
        <v>99.17</v>
      </c>
      <c r="AI4" s="851">
        <v>0</v>
      </c>
      <c r="AJ4" s="851"/>
      <c r="AK4" s="851"/>
      <c r="AL4" s="851"/>
      <c r="AM4" s="851"/>
      <c r="AN4" s="851"/>
      <c r="AO4" s="851"/>
      <c r="AP4" s="851">
        <v>70</v>
      </c>
    </row>
    <row r="5" spans="1:46" ht="14">
      <c r="A5" s="856">
        <v>4</v>
      </c>
      <c r="B5" s="425" t="s">
        <v>2496</v>
      </c>
      <c r="C5" s="425" t="s">
        <v>40</v>
      </c>
      <c r="D5" s="425" t="s">
        <v>1476</v>
      </c>
      <c r="E5" s="425" t="s">
        <v>40</v>
      </c>
      <c r="F5" s="425" t="s">
        <v>47</v>
      </c>
      <c r="G5" s="425">
        <v>1</v>
      </c>
      <c r="H5" s="853">
        <v>55</v>
      </c>
      <c r="I5" s="853">
        <v>55</v>
      </c>
      <c r="K5" s="852">
        <v>5</v>
      </c>
      <c r="L5">
        <v>0</v>
      </c>
      <c r="M5" s="425" t="s">
        <v>47</v>
      </c>
      <c r="N5" s="370">
        <v>2019</v>
      </c>
      <c r="O5" s="425" t="s">
        <v>47</v>
      </c>
      <c r="P5" s="854" t="s">
        <v>47</v>
      </c>
      <c r="Q5" s="850" t="s">
        <v>157</v>
      </c>
      <c r="R5" s="851">
        <v>95</v>
      </c>
      <c r="S5" s="851">
        <v>0</v>
      </c>
      <c r="T5" s="851">
        <v>95</v>
      </c>
      <c r="U5" s="851">
        <v>0</v>
      </c>
      <c r="V5" s="851">
        <v>95</v>
      </c>
      <c r="W5" s="851">
        <v>0</v>
      </c>
      <c r="X5" s="851">
        <v>95</v>
      </c>
      <c r="Y5" s="851">
        <v>0</v>
      </c>
      <c r="Z5" s="851">
        <v>95</v>
      </c>
      <c r="AA5" s="851">
        <v>0</v>
      </c>
      <c r="AB5" s="851">
        <v>95</v>
      </c>
      <c r="AC5" s="851">
        <v>0</v>
      </c>
      <c r="AD5" s="851">
        <v>120</v>
      </c>
      <c r="AE5" s="851">
        <v>0</v>
      </c>
      <c r="AF5" s="851">
        <v>99.17</v>
      </c>
      <c r="AG5" s="851">
        <v>0</v>
      </c>
      <c r="AH5" s="851">
        <v>99.17</v>
      </c>
      <c r="AI5" s="851">
        <v>0</v>
      </c>
      <c r="AJ5" s="851"/>
      <c r="AK5" s="851"/>
      <c r="AL5" s="851"/>
      <c r="AM5" s="851"/>
      <c r="AN5" s="851"/>
      <c r="AO5" s="851"/>
      <c r="AP5" s="851">
        <v>54.73</v>
      </c>
    </row>
    <row r="6" spans="1:46" ht="14">
      <c r="A6" s="856">
        <v>5</v>
      </c>
      <c r="B6" s="425" t="s">
        <v>2497</v>
      </c>
      <c r="C6" s="425" t="s">
        <v>43</v>
      </c>
      <c r="D6" s="425" t="s">
        <v>1476</v>
      </c>
      <c r="E6" s="425" t="s">
        <v>43</v>
      </c>
      <c r="F6" s="425" t="s">
        <v>47</v>
      </c>
      <c r="G6" s="425">
        <v>1</v>
      </c>
      <c r="H6" s="853">
        <v>55</v>
      </c>
      <c r="I6" s="853">
        <v>55</v>
      </c>
      <c r="K6" s="852">
        <v>5</v>
      </c>
      <c r="L6">
        <v>0</v>
      </c>
      <c r="M6" s="425" t="s">
        <v>47</v>
      </c>
      <c r="N6" s="370">
        <v>2022</v>
      </c>
      <c r="O6" s="425" t="s">
        <v>47</v>
      </c>
      <c r="P6" s="854" t="s">
        <v>47</v>
      </c>
      <c r="Q6" s="850" t="s">
        <v>157</v>
      </c>
      <c r="R6" s="851">
        <v>95</v>
      </c>
      <c r="S6" s="851">
        <v>0</v>
      </c>
      <c r="T6" s="851">
        <v>95</v>
      </c>
      <c r="U6" s="851">
        <v>0</v>
      </c>
      <c r="V6" s="851">
        <v>95</v>
      </c>
      <c r="W6" s="851">
        <v>0</v>
      </c>
      <c r="X6" s="851">
        <v>95</v>
      </c>
      <c r="Y6" s="851">
        <v>0</v>
      </c>
      <c r="Z6" s="851">
        <v>95</v>
      </c>
      <c r="AA6" s="851">
        <v>0</v>
      </c>
      <c r="AB6" s="851">
        <v>95</v>
      </c>
      <c r="AC6" s="851">
        <v>0</v>
      </c>
      <c r="AD6" s="851">
        <v>120</v>
      </c>
      <c r="AE6" s="851">
        <v>0</v>
      </c>
      <c r="AF6" s="851">
        <v>99.17</v>
      </c>
      <c r="AG6" s="851">
        <v>0</v>
      </c>
      <c r="AH6" s="851">
        <v>99.17</v>
      </c>
      <c r="AI6" s="851">
        <v>0</v>
      </c>
      <c r="AJ6" s="851"/>
      <c r="AK6" s="851"/>
      <c r="AL6" s="851">
        <v>63.37</v>
      </c>
      <c r="AM6" s="851">
        <v>63.37</v>
      </c>
      <c r="AN6" s="851"/>
      <c r="AO6" s="851"/>
      <c r="AP6" s="851">
        <v>63.99</v>
      </c>
    </row>
    <row r="7" spans="1:46" ht="14">
      <c r="A7" s="856">
        <v>6</v>
      </c>
      <c r="B7" t="s">
        <v>781</v>
      </c>
      <c r="C7" s="425" t="s">
        <v>39</v>
      </c>
      <c r="D7" s="425" t="s">
        <v>2377</v>
      </c>
      <c r="E7" s="425" t="s">
        <v>2378</v>
      </c>
      <c r="F7" s="425" t="s">
        <v>2379</v>
      </c>
      <c r="G7" s="425">
        <v>1</v>
      </c>
      <c r="H7" s="853">
        <v>0.53</v>
      </c>
      <c r="I7" s="853">
        <v>10.050000000000001</v>
      </c>
      <c r="J7" s="852">
        <f>H7*I7*G7</f>
        <v>5.3265000000000002</v>
      </c>
      <c r="K7" s="852">
        <f>J7*130/1000</f>
        <v>0.69244500000000009</v>
      </c>
      <c r="L7">
        <v>53</v>
      </c>
      <c r="M7" s="425" t="s">
        <v>2380</v>
      </c>
      <c r="N7" s="370">
        <v>2019</v>
      </c>
      <c r="O7" s="425" t="s">
        <v>2383</v>
      </c>
      <c r="P7" s="854" t="s">
        <v>2382</v>
      </c>
      <c r="Q7" s="850" t="s">
        <v>2385</v>
      </c>
      <c r="R7" s="851">
        <v>12.5</v>
      </c>
      <c r="S7" s="851">
        <v>0</v>
      </c>
      <c r="T7" s="851">
        <v>15.6</v>
      </c>
      <c r="U7" s="851">
        <v>0</v>
      </c>
      <c r="V7" s="851">
        <v>13.75</v>
      </c>
      <c r="W7" s="851">
        <v>0</v>
      </c>
      <c r="X7" s="851">
        <v>17.2</v>
      </c>
      <c r="Y7" s="851">
        <v>0</v>
      </c>
      <c r="Z7" s="851">
        <v>31.2</v>
      </c>
      <c r="AA7" s="851">
        <v>0</v>
      </c>
      <c r="AB7" s="851">
        <v>43.7</v>
      </c>
      <c r="AC7" s="851">
        <v>0</v>
      </c>
      <c r="AD7" s="851">
        <v>75.7</v>
      </c>
      <c r="AE7" s="851">
        <v>0</v>
      </c>
      <c r="AF7" s="851">
        <v>34.299999999999997</v>
      </c>
      <c r="AG7" s="851">
        <v>0</v>
      </c>
      <c r="AH7" s="851">
        <v>62.5</v>
      </c>
      <c r="AI7" s="851">
        <v>0</v>
      </c>
      <c r="AJ7" s="851"/>
      <c r="AK7" s="851"/>
      <c r="AL7" s="851"/>
      <c r="AM7" s="851"/>
      <c r="AN7" s="851"/>
      <c r="AO7" s="851"/>
      <c r="AP7" s="851">
        <v>8</v>
      </c>
    </row>
    <row r="8" spans="1:46" ht="14">
      <c r="A8" s="856">
        <v>7</v>
      </c>
      <c r="B8" t="s">
        <v>784</v>
      </c>
      <c r="C8" s="425" t="s">
        <v>39</v>
      </c>
      <c r="D8" s="425" t="s">
        <v>2377</v>
      </c>
      <c r="E8" s="425" t="s">
        <v>2378</v>
      </c>
      <c r="F8" s="425" t="s">
        <v>2386</v>
      </c>
      <c r="G8">
        <v>1</v>
      </c>
      <c r="H8" s="853">
        <v>0.53</v>
      </c>
      <c r="I8" s="853">
        <v>10.050000000000001</v>
      </c>
      <c r="J8" s="852">
        <f t="shared" ref="J8:J9" si="0">H8*I8*G8</f>
        <v>5.3265000000000002</v>
      </c>
      <c r="K8" s="852">
        <f t="shared" ref="K8:K71" si="1">J8*130/1000</f>
        <v>0.69244500000000009</v>
      </c>
      <c r="L8">
        <v>53</v>
      </c>
      <c r="M8" s="425" t="s">
        <v>2380</v>
      </c>
      <c r="N8" s="370">
        <v>2019</v>
      </c>
      <c r="O8" s="425" t="s">
        <v>2383</v>
      </c>
      <c r="P8" s="854" t="s">
        <v>2389</v>
      </c>
      <c r="Q8" s="850" t="s">
        <v>2385</v>
      </c>
      <c r="R8" s="851">
        <v>12.5</v>
      </c>
      <c r="S8" s="851">
        <v>0</v>
      </c>
      <c r="T8" s="851">
        <v>15.6</v>
      </c>
      <c r="U8" s="851">
        <v>0</v>
      </c>
      <c r="V8" s="851">
        <v>13.75</v>
      </c>
      <c r="W8" s="851">
        <v>0</v>
      </c>
      <c r="X8" s="851">
        <v>17.2</v>
      </c>
      <c r="Y8" s="851">
        <v>0</v>
      </c>
      <c r="Z8" s="851">
        <v>31.2</v>
      </c>
      <c r="AA8" s="851">
        <v>0</v>
      </c>
      <c r="AB8" s="851">
        <v>43.7</v>
      </c>
      <c r="AC8" s="851">
        <v>0</v>
      </c>
      <c r="AD8" s="851">
        <v>75.7</v>
      </c>
      <c r="AE8" s="851">
        <v>0</v>
      </c>
      <c r="AF8" s="851">
        <v>34.299999999999997</v>
      </c>
      <c r="AG8" s="851">
        <v>0</v>
      </c>
      <c r="AH8" s="851">
        <v>62.5</v>
      </c>
      <c r="AI8" s="851">
        <v>0</v>
      </c>
      <c r="AJ8" s="851"/>
      <c r="AK8" s="851"/>
      <c r="AL8" s="851"/>
      <c r="AM8" s="851"/>
      <c r="AN8" s="851"/>
      <c r="AO8" s="851"/>
      <c r="AP8" s="851">
        <v>8</v>
      </c>
    </row>
    <row r="9" spans="1:46" ht="14">
      <c r="A9" s="856">
        <v>8</v>
      </c>
      <c r="B9" s="425" t="s">
        <v>786</v>
      </c>
      <c r="C9" s="425" t="s">
        <v>39</v>
      </c>
      <c r="D9" s="425" t="s">
        <v>2377</v>
      </c>
      <c r="E9" s="425" t="s">
        <v>2378</v>
      </c>
      <c r="F9" s="425" t="s">
        <v>2387</v>
      </c>
      <c r="G9">
        <v>1</v>
      </c>
      <c r="H9" s="853">
        <v>0.53</v>
      </c>
      <c r="I9" s="853">
        <v>10.050000000000001</v>
      </c>
      <c r="J9" s="852">
        <f t="shared" si="0"/>
        <v>5.3265000000000002</v>
      </c>
      <c r="K9" s="852">
        <f t="shared" si="1"/>
        <v>0.69244500000000009</v>
      </c>
      <c r="L9">
        <v>53</v>
      </c>
      <c r="M9" s="425" t="s">
        <v>2380</v>
      </c>
      <c r="N9" s="370">
        <v>2019</v>
      </c>
      <c r="O9" s="425" t="s">
        <v>2383</v>
      </c>
      <c r="P9" s="854" t="s">
        <v>2390</v>
      </c>
      <c r="Q9" s="850" t="s">
        <v>2385</v>
      </c>
      <c r="R9" s="851">
        <v>12.5</v>
      </c>
      <c r="S9" s="851">
        <v>0</v>
      </c>
      <c r="T9" s="851">
        <v>15.6</v>
      </c>
      <c r="U9" s="851">
        <v>0</v>
      </c>
      <c r="V9" s="851">
        <v>13.75</v>
      </c>
      <c r="W9" s="851">
        <v>0</v>
      </c>
      <c r="X9" s="851">
        <v>17.2</v>
      </c>
      <c r="Y9" s="851">
        <v>0</v>
      </c>
      <c r="Z9" s="851">
        <v>31.2</v>
      </c>
      <c r="AA9" s="851">
        <v>0</v>
      </c>
      <c r="AB9" s="851">
        <v>43.7</v>
      </c>
      <c r="AC9" s="851">
        <v>0</v>
      </c>
      <c r="AD9" s="851">
        <v>75.7</v>
      </c>
      <c r="AE9" s="851">
        <v>0</v>
      </c>
      <c r="AF9" s="851">
        <v>34.299999999999997</v>
      </c>
      <c r="AG9" s="851">
        <v>0</v>
      </c>
      <c r="AH9" s="851">
        <v>62.5</v>
      </c>
      <c r="AI9" s="851">
        <v>0</v>
      </c>
      <c r="AJ9" s="851"/>
      <c r="AK9" s="851"/>
      <c r="AL9" s="851"/>
      <c r="AM9" s="851"/>
      <c r="AN9" s="851"/>
      <c r="AO9" s="851"/>
      <c r="AP9" s="851">
        <v>8</v>
      </c>
    </row>
    <row r="10" spans="1:46" ht="14">
      <c r="A10" s="856">
        <v>9</v>
      </c>
      <c r="B10" s="425" t="s">
        <v>788</v>
      </c>
      <c r="C10" s="425" t="s">
        <v>39</v>
      </c>
      <c r="D10" s="425" t="s">
        <v>2377</v>
      </c>
      <c r="E10" s="425" t="s">
        <v>2391</v>
      </c>
      <c r="F10" s="425" t="s">
        <v>2379</v>
      </c>
      <c r="G10">
        <v>1</v>
      </c>
      <c r="H10" s="853">
        <v>0.53</v>
      </c>
      <c r="I10" s="853">
        <v>10.050000000000001</v>
      </c>
      <c r="J10" s="852">
        <f t="shared" ref="J10" si="2">H10*I10*G10</f>
        <v>5.3265000000000002</v>
      </c>
      <c r="K10" s="852">
        <f t="shared" si="1"/>
        <v>0.69244500000000009</v>
      </c>
      <c r="L10">
        <v>0</v>
      </c>
      <c r="M10" s="425" t="s">
        <v>47</v>
      </c>
      <c r="N10" s="370">
        <v>2019</v>
      </c>
      <c r="O10" s="425" t="s">
        <v>2383</v>
      </c>
      <c r="P10" s="854" t="s">
        <v>2393</v>
      </c>
      <c r="Q10" s="850" t="s">
        <v>2385</v>
      </c>
      <c r="R10" s="851">
        <v>12.5</v>
      </c>
      <c r="S10" s="851">
        <v>0</v>
      </c>
      <c r="T10" s="851">
        <v>15.6</v>
      </c>
      <c r="U10" s="851">
        <v>0</v>
      </c>
      <c r="V10" s="851">
        <v>13.75</v>
      </c>
      <c r="W10" s="851">
        <v>0</v>
      </c>
      <c r="X10" s="851">
        <v>17.2</v>
      </c>
      <c r="Y10" s="851">
        <v>0</v>
      </c>
      <c r="Z10" s="851">
        <v>31.2</v>
      </c>
      <c r="AA10" s="851">
        <v>0</v>
      </c>
      <c r="AB10" s="851">
        <v>43.7</v>
      </c>
      <c r="AC10" s="851">
        <v>0</v>
      </c>
      <c r="AD10" s="851">
        <v>75.7</v>
      </c>
      <c r="AE10" s="851">
        <v>0</v>
      </c>
      <c r="AF10" s="851">
        <v>34.299999999999997</v>
      </c>
      <c r="AG10" s="851">
        <v>0</v>
      </c>
      <c r="AH10" s="851">
        <v>62.5</v>
      </c>
      <c r="AI10" s="851">
        <v>0</v>
      </c>
      <c r="AJ10" s="851"/>
      <c r="AK10" s="851"/>
      <c r="AL10" s="851"/>
      <c r="AM10" s="851"/>
      <c r="AN10" s="851"/>
      <c r="AO10" s="851"/>
      <c r="AP10" s="851">
        <v>8</v>
      </c>
    </row>
    <row r="11" spans="1:46" ht="14">
      <c r="A11" s="856">
        <v>10</v>
      </c>
      <c r="B11" s="425" t="s">
        <v>790</v>
      </c>
      <c r="C11" s="425" t="s">
        <v>39</v>
      </c>
      <c r="D11" s="425" t="s">
        <v>2377</v>
      </c>
      <c r="E11" s="425" t="s">
        <v>2391</v>
      </c>
      <c r="F11" s="425" t="s">
        <v>791</v>
      </c>
      <c r="G11">
        <v>1</v>
      </c>
      <c r="H11" s="853">
        <v>0.53</v>
      </c>
      <c r="I11" s="853">
        <v>10.050000000000001</v>
      </c>
      <c r="J11" s="852">
        <f t="shared" ref="J11:J51" si="3">H11*I11*G11</f>
        <v>5.3265000000000002</v>
      </c>
      <c r="K11" s="852">
        <f t="shared" si="1"/>
        <v>0.69244500000000009</v>
      </c>
      <c r="L11">
        <v>0</v>
      </c>
      <c r="M11" s="425" t="s">
        <v>47</v>
      </c>
      <c r="N11" s="370">
        <v>2019</v>
      </c>
      <c r="O11" s="425" t="s">
        <v>2383</v>
      </c>
      <c r="P11" s="854" t="s">
        <v>2394</v>
      </c>
      <c r="Q11" s="850" t="s">
        <v>2385</v>
      </c>
      <c r="R11" s="851">
        <v>12.5</v>
      </c>
      <c r="S11" s="851">
        <v>0</v>
      </c>
      <c r="T11" s="851">
        <v>15.6</v>
      </c>
      <c r="U11" s="851">
        <v>0</v>
      </c>
      <c r="V11" s="851">
        <v>13.75</v>
      </c>
      <c r="W11" s="851">
        <v>0</v>
      </c>
      <c r="X11" s="851">
        <v>17.2</v>
      </c>
      <c r="Y11" s="851">
        <v>0</v>
      </c>
      <c r="Z11" s="851">
        <v>31.2</v>
      </c>
      <c r="AA11" s="851">
        <v>0</v>
      </c>
      <c r="AB11" s="851">
        <v>43.7</v>
      </c>
      <c r="AC11" s="851">
        <v>0</v>
      </c>
      <c r="AD11" s="851">
        <v>75.7</v>
      </c>
      <c r="AE11" s="851">
        <v>0</v>
      </c>
      <c r="AF11" s="851">
        <v>34.299999999999997</v>
      </c>
      <c r="AG11" s="851">
        <v>0</v>
      </c>
      <c r="AH11" s="851">
        <v>62.5</v>
      </c>
      <c r="AI11" s="851">
        <v>0</v>
      </c>
      <c r="AJ11" s="851"/>
      <c r="AK11" s="851"/>
      <c r="AL11" s="851"/>
      <c r="AM11" s="851"/>
      <c r="AN11" s="851"/>
      <c r="AO11" s="851"/>
      <c r="AP11" s="851">
        <v>8</v>
      </c>
    </row>
    <row r="12" spans="1:46" ht="14">
      <c r="A12" s="856">
        <v>11</v>
      </c>
      <c r="B12" s="425" t="s">
        <v>792</v>
      </c>
      <c r="C12" s="425" t="s">
        <v>39</v>
      </c>
      <c r="D12" s="425" t="s">
        <v>2377</v>
      </c>
      <c r="E12" s="425" t="s">
        <v>2391</v>
      </c>
      <c r="F12" s="425" t="s">
        <v>793</v>
      </c>
      <c r="G12">
        <v>1</v>
      </c>
      <c r="H12" s="853">
        <v>0.53</v>
      </c>
      <c r="I12" s="853">
        <v>10.050000000000001</v>
      </c>
      <c r="J12" s="852">
        <f t="shared" si="3"/>
        <v>5.3265000000000002</v>
      </c>
      <c r="K12" s="852">
        <f t="shared" si="1"/>
        <v>0.69244500000000009</v>
      </c>
      <c r="L12">
        <v>0</v>
      </c>
      <c r="M12" s="425" t="s">
        <v>47</v>
      </c>
      <c r="N12" s="370">
        <v>2019</v>
      </c>
      <c r="O12" s="425" t="s">
        <v>2383</v>
      </c>
      <c r="P12" s="854" t="s">
        <v>2395</v>
      </c>
      <c r="Q12" s="850" t="s">
        <v>2385</v>
      </c>
      <c r="R12" s="851">
        <v>12.5</v>
      </c>
      <c r="S12" s="851">
        <v>0</v>
      </c>
      <c r="T12" s="851">
        <v>15.6</v>
      </c>
      <c r="U12" s="851">
        <v>0</v>
      </c>
      <c r="V12" s="851">
        <v>13.75</v>
      </c>
      <c r="W12" s="851">
        <v>0</v>
      </c>
      <c r="X12" s="851">
        <v>17.2</v>
      </c>
      <c r="Y12" s="851">
        <v>0</v>
      </c>
      <c r="Z12" s="851">
        <v>31.2</v>
      </c>
      <c r="AA12" s="851">
        <v>0</v>
      </c>
      <c r="AB12" s="851">
        <v>43.7</v>
      </c>
      <c r="AC12" s="851">
        <v>0</v>
      </c>
      <c r="AD12" s="851">
        <v>75.7</v>
      </c>
      <c r="AE12" s="851">
        <v>0</v>
      </c>
      <c r="AF12" s="851">
        <v>34.299999999999997</v>
      </c>
      <c r="AG12" s="851">
        <v>0</v>
      </c>
      <c r="AH12" s="851">
        <v>62.5</v>
      </c>
      <c r="AI12" s="851">
        <v>0</v>
      </c>
      <c r="AJ12" s="851"/>
      <c r="AK12" s="851"/>
      <c r="AL12" s="851"/>
      <c r="AM12" s="851"/>
      <c r="AN12" s="851"/>
      <c r="AO12" s="851"/>
      <c r="AP12" s="851">
        <v>8</v>
      </c>
    </row>
    <row r="13" spans="1:46" ht="14">
      <c r="A13" s="856">
        <v>12</v>
      </c>
      <c r="B13" s="425" t="s">
        <v>794</v>
      </c>
      <c r="C13" s="425" t="s">
        <v>39</v>
      </c>
      <c r="D13" s="425" t="s">
        <v>2377</v>
      </c>
      <c r="E13" s="425" t="s">
        <v>2391</v>
      </c>
      <c r="F13" s="425" t="s">
        <v>795</v>
      </c>
      <c r="G13">
        <v>1</v>
      </c>
      <c r="H13" s="853">
        <v>0.53</v>
      </c>
      <c r="I13" s="853">
        <v>10.050000000000001</v>
      </c>
      <c r="J13" s="852">
        <f t="shared" si="3"/>
        <v>5.3265000000000002</v>
      </c>
      <c r="K13" s="852">
        <f t="shared" si="1"/>
        <v>0.69244500000000009</v>
      </c>
      <c r="L13">
        <v>0</v>
      </c>
      <c r="M13" s="425" t="s">
        <v>47</v>
      </c>
      <c r="N13" s="370">
        <v>2019</v>
      </c>
      <c r="O13" s="425" t="s">
        <v>2383</v>
      </c>
      <c r="P13" s="854" t="s">
        <v>2396</v>
      </c>
      <c r="Q13" s="850" t="s">
        <v>2385</v>
      </c>
      <c r="R13" s="851">
        <v>12.5</v>
      </c>
      <c r="S13" s="851">
        <v>0</v>
      </c>
      <c r="T13" s="851">
        <v>15.6</v>
      </c>
      <c r="U13" s="851">
        <v>0</v>
      </c>
      <c r="V13" s="851">
        <v>13.75</v>
      </c>
      <c r="W13" s="851">
        <v>0</v>
      </c>
      <c r="X13" s="851">
        <v>17.2</v>
      </c>
      <c r="Y13" s="851">
        <v>0</v>
      </c>
      <c r="Z13" s="851">
        <v>31.2</v>
      </c>
      <c r="AA13" s="851">
        <v>0</v>
      </c>
      <c r="AB13" s="851">
        <v>43.7</v>
      </c>
      <c r="AC13" s="851">
        <v>0</v>
      </c>
      <c r="AD13" s="851">
        <v>75.7</v>
      </c>
      <c r="AE13" s="851">
        <v>0</v>
      </c>
      <c r="AF13" s="851">
        <v>34.299999999999997</v>
      </c>
      <c r="AG13" s="851">
        <v>0</v>
      </c>
      <c r="AH13" s="851">
        <v>62.5</v>
      </c>
      <c r="AI13" s="851">
        <v>0</v>
      </c>
      <c r="AJ13" s="851"/>
      <c r="AK13" s="851"/>
      <c r="AL13" s="851"/>
      <c r="AM13" s="851"/>
      <c r="AN13" s="851"/>
      <c r="AO13" s="851"/>
      <c r="AP13" s="851">
        <v>8</v>
      </c>
    </row>
    <row r="14" spans="1:46" ht="14">
      <c r="A14" s="856">
        <v>13</v>
      </c>
      <c r="B14" s="425" t="s">
        <v>796</v>
      </c>
      <c r="C14" s="425" t="s">
        <v>39</v>
      </c>
      <c r="D14" s="425" t="s">
        <v>2377</v>
      </c>
      <c r="E14" s="425" t="s">
        <v>2397</v>
      </c>
      <c r="F14" s="425" t="s">
        <v>650</v>
      </c>
      <c r="G14">
        <v>1</v>
      </c>
      <c r="H14" s="853">
        <v>0.53</v>
      </c>
      <c r="I14" s="853">
        <v>10.050000000000001</v>
      </c>
      <c r="J14" s="852">
        <f t="shared" si="3"/>
        <v>5.3265000000000002</v>
      </c>
      <c r="K14" s="852">
        <f t="shared" si="1"/>
        <v>0.69244500000000009</v>
      </c>
      <c r="L14">
        <v>64</v>
      </c>
      <c r="M14" s="425" t="s">
        <v>2380</v>
      </c>
      <c r="N14" s="370">
        <v>2019</v>
      </c>
      <c r="O14" s="425" t="s">
        <v>2383</v>
      </c>
      <c r="P14" s="854" t="s">
        <v>2398</v>
      </c>
      <c r="Q14" s="850" t="s">
        <v>2385</v>
      </c>
      <c r="R14" s="851">
        <v>12.5</v>
      </c>
      <c r="S14" s="851">
        <v>0</v>
      </c>
      <c r="T14" s="851">
        <v>15.6</v>
      </c>
      <c r="U14" s="851">
        <v>0</v>
      </c>
      <c r="V14" s="851">
        <v>13.75</v>
      </c>
      <c r="W14" s="851">
        <v>0</v>
      </c>
      <c r="X14" s="851">
        <v>17.2</v>
      </c>
      <c r="Y14" s="851">
        <v>0</v>
      </c>
      <c r="Z14" s="851">
        <v>31.2</v>
      </c>
      <c r="AA14" s="851">
        <v>0</v>
      </c>
      <c r="AB14" s="851">
        <v>43.7</v>
      </c>
      <c r="AC14" s="851">
        <v>0</v>
      </c>
      <c r="AD14" s="851">
        <v>75.7</v>
      </c>
      <c r="AE14" s="851">
        <v>0</v>
      </c>
      <c r="AF14" s="851">
        <v>34.299999999999997</v>
      </c>
      <c r="AG14" s="851">
        <v>0</v>
      </c>
      <c r="AH14" s="851">
        <v>62.5</v>
      </c>
      <c r="AI14" s="851">
        <v>0</v>
      </c>
      <c r="AJ14" s="851"/>
      <c r="AK14" s="851"/>
      <c r="AL14" s="851"/>
      <c r="AM14" s="851"/>
      <c r="AN14" s="851"/>
      <c r="AO14" s="851"/>
      <c r="AP14" s="851">
        <v>8</v>
      </c>
    </row>
    <row r="15" spans="1:46" ht="14">
      <c r="A15" s="856">
        <v>14</v>
      </c>
      <c r="B15" s="425" t="s">
        <v>798</v>
      </c>
      <c r="C15" s="425" t="s">
        <v>39</v>
      </c>
      <c r="D15" s="425" t="s">
        <v>2377</v>
      </c>
      <c r="E15" s="425" t="s">
        <v>2397</v>
      </c>
      <c r="F15" s="425" t="s">
        <v>2399</v>
      </c>
      <c r="G15">
        <v>1</v>
      </c>
      <c r="H15" s="853">
        <v>0.53</v>
      </c>
      <c r="I15" s="853">
        <v>10.050000000000001</v>
      </c>
      <c r="J15" s="852">
        <f t="shared" si="3"/>
        <v>5.3265000000000002</v>
      </c>
      <c r="K15" s="852">
        <f t="shared" si="1"/>
        <v>0.69244500000000009</v>
      </c>
      <c r="L15">
        <v>64</v>
      </c>
      <c r="M15" s="425" t="s">
        <v>2380</v>
      </c>
      <c r="N15" s="370">
        <v>2019</v>
      </c>
      <c r="O15" s="425" t="s">
        <v>2383</v>
      </c>
      <c r="P15" s="854" t="s">
        <v>2402</v>
      </c>
      <c r="Q15" s="850" t="s">
        <v>2385</v>
      </c>
      <c r="R15" s="851">
        <v>12.5</v>
      </c>
      <c r="S15" s="851">
        <v>0</v>
      </c>
      <c r="T15" s="851">
        <v>15.6</v>
      </c>
      <c r="U15" s="851">
        <v>0</v>
      </c>
      <c r="V15" s="851">
        <v>13.75</v>
      </c>
      <c r="W15" s="851">
        <v>0</v>
      </c>
      <c r="X15" s="851">
        <v>17.2</v>
      </c>
      <c r="Y15" s="851">
        <v>0</v>
      </c>
      <c r="Z15" s="851">
        <v>31.2</v>
      </c>
      <c r="AA15" s="851">
        <v>0</v>
      </c>
      <c r="AB15" s="851">
        <v>43.7</v>
      </c>
      <c r="AC15" s="851">
        <v>0</v>
      </c>
      <c r="AD15" s="851">
        <v>75.7</v>
      </c>
      <c r="AE15" s="851">
        <v>0</v>
      </c>
      <c r="AF15" s="851">
        <v>34.299999999999997</v>
      </c>
      <c r="AG15" s="851">
        <v>0</v>
      </c>
      <c r="AH15" s="851">
        <v>62.5</v>
      </c>
      <c r="AI15" s="851">
        <v>0</v>
      </c>
      <c r="AJ15" s="851"/>
      <c r="AK15" s="851"/>
      <c r="AL15" s="851"/>
      <c r="AM15" s="851"/>
      <c r="AN15" s="851"/>
      <c r="AO15" s="851"/>
      <c r="AP15" s="851">
        <v>8</v>
      </c>
    </row>
    <row r="16" spans="1:46" ht="14">
      <c r="A16" s="856">
        <v>15</v>
      </c>
      <c r="B16" s="425" t="s">
        <v>800</v>
      </c>
      <c r="C16" s="425" t="s">
        <v>39</v>
      </c>
      <c r="D16" s="425" t="s">
        <v>2377</v>
      </c>
      <c r="E16" s="425" t="s">
        <v>2397</v>
      </c>
      <c r="F16" s="425" t="s">
        <v>2400</v>
      </c>
      <c r="G16">
        <v>1</v>
      </c>
      <c r="H16" s="853">
        <v>0.53</v>
      </c>
      <c r="I16" s="853">
        <v>10.050000000000001</v>
      </c>
      <c r="J16" s="852">
        <f t="shared" si="3"/>
        <v>5.3265000000000002</v>
      </c>
      <c r="K16" s="852">
        <f t="shared" si="1"/>
        <v>0.69244500000000009</v>
      </c>
      <c r="L16">
        <v>64</v>
      </c>
      <c r="M16" s="425" t="s">
        <v>2380</v>
      </c>
      <c r="N16" s="370">
        <v>2019</v>
      </c>
      <c r="O16" s="425" t="s">
        <v>2383</v>
      </c>
      <c r="P16" s="854" t="s">
        <v>2403</v>
      </c>
      <c r="Q16" s="850" t="s">
        <v>2385</v>
      </c>
      <c r="R16" s="851">
        <v>12.5</v>
      </c>
      <c r="S16" s="851">
        <v>0</v>
      </c>
      <c r="T16" s="851">
        <v>15.6</v>
      </c>
      <c r="U16" s="851">
        <v>0</v>
      </c>
      <c r="V16" s="851">
        <v>13.75</v>
      </c>
      <c r="W16" s="851">
        <v>0</v>
      </c>
      <c r="X16" s="851">
        <v>17.2</v>
      </c>
      <c r="Y16" s="851">
        <v>0</v>
      </c>
      <c r="Z16" s="851">
        <v>31.2</v>
      </c>
      <c r="AA16" s="851">
        <v>0</v>
      </c>
      <c r="AB16" s="851">
        <v>43.7</v>
      </c>
      <c r="AC16" s="851">
        <v>0</v>
      </c>
      <c r="AD16" s="851">
        <v>75.7</v>
      </c>
      <c r="AE16" s="851">
        <v>0</v>
      </c>
      <c r="AF16" s="851">
        <v>34.299999999999997</v>
      </c>
      <c r="AG16" s="851">
        <v>0</v>
      </c>
      <c r="AH16" s="851">
        <v>62.5</v>
      </c>
      <c r="AI16" s="851">
        <v>0</v>
      </c>
      <c r="AJ16" s="851"/>
      <c r="AK16" s="851"/>
      <c r="AL16" s="851"/>
      <c r="AM16" s="851"/>
      <c r="AN16" s="851"/>
      <c r="AO16" s="851"/>
      <c r="AP16" s="851">
        <v>8</v>
      </c>
    </row>
    <row r="17" spans="1:42" ht="14">
      <c r="A17" s="856">
        <v>16</v>
      </c>
      <c r="B17" s="425" t="s">
        <v>801</v>
      </c>
      <c r="C17" s="425" t="s">
        <v>39</v>
      </c>
      <c r="D17" s="425" t="s">
        <v>2377</v>
      </c>
      <c r="E17" s="425" t="s">
        <v>2397</v>
      </c>
      <c r="F17" s="425" t="s">
        <v>2401</v>
      </c>
      <c r="G17">
        <v>1</v>
      </c>
      <c r="H17" s="853">
        <v>0.53</v>
      </c>
      <c r="I17" s="853">
        <v>10.050000000000001</v>
      </c>
      <c r="J17" s="852">
        <f t="shared" si="3"/>
        <v>5.3265000000000002</v>
      </c>
      <c r="K17" s="852">
        <f t="shared" si="1"/>
        <v>0.69244500000000009</v>
      </c>
      <c r="L17">
        <v>64</v>
      </c>
      <c r="M17" s="425" t="s">
        <v>2380</v>
      </c>
      <c r="N17" s="370">
        <v>2019</v>
      </c>
      <c r="O17" s="425" t="s">
        <v>2383</v>
      </c>
      <c r="P17" s="854" t="s">
        <v>2404</v>
      </c>
      <c r="Q17" s="850" t="s">
        <v>2385</v>
      </c>
      <c r="R17" s="851">
        <v>12.5</v>
      </c>
      <c r="S17" s="851">
        <v>0</v>
      </c>
      <c r="T17" s="851">
        <v>15.6</v>
      </c>
      <c r="U17" s="851">
        <v>0</v>
      </c>
      <c r="V17" s="851">
        <v>13.75</v>
      </c>
      <c r="W17" s="851">
        <v>0</v>
      </c>
      <c r="X17" s="851">
        <v>17.2</v>
      </c>
      <c r="Y17" s="851">
        <v>0</v>
      </c>
      <c r="Z17" s="851">
        <v>31.2</v>
      </c>
      <c r="AA17" s="851">
        <v>0</v>
      </c>
      <c r="AB17" s="851">
        <v>43.7</v>
      </c>
      <c r="AC17" s="851">
        <v>0</v>
      </c>
      <c r="AD17" s="851">
        <v>75.7</v>
      </c>
      <c r="AE17" s="851">
        <v>0</v>
      </c>
      <c r="AF17" s="851">
        <v>34.299999999999997</v>
      </c>
      <c r="AG17" s="851">
        <v>0</v>
      </c>
      <c r="AH17" s="851">
        <v>62.5</v>
      </c>
      <c r="AI17" s="851">
        <v>0</v>
      </c>
      <c r="AJ17" s="851"/>
      <c r="AK17" s="851"/>
      <c r="AL17" s="851"/>
      <c r="AM17" s="851"/>
      <c r="AN17" s="851"/>
      <c r="AO17" s="851"/>
      <c r="AP17" s="851">
        <v>8</v>
      </c>
    </row>
    <row r="18" spans="1:42" ht="14">
      <c r="A18" s="856">
        <v>17</v>
      </c>
      <c r="B18" s="425" t="s">
        <v>802</v>
      </c>
      <c r="C18" s="425" t="s">
        <v>39</v>
      </c>
      <c r="D18" s="425" t="s">
        <v>2377</v>
      </c>
      <c r="E18" s="425" t="s">
        <v>2405</v>
      </c>
      <c r="F18" s="425" t="s">
        <v>980</v>
      </c>
      <c r="G18">
        <v>1</v>
      </c>
      <c r="H18" s="853">
        <v>0.53</v>
      </c>
      <c r="I18" s="853">
        <v>10.050000000000001</v>
      </c>
      <c r="J18" s="852">
        <f t="shared" si="3"/>
        <v>5.3265000000000002</v>
      </c>
      <c r="K18" s="852">
        <f t="shared" si="1"/>
        <v>0.69244500000000009</v>
      </c>
      <c r="L18">
        <v>26.5</v>
      </c>
      <c r="M18" s="425" t="s">
        <v>2380</v>
      </c>
      <c r="N18" s="370">
        <v>2019</v>
      </c>
      <c r="O18" s="425" t="s">
        <v>2383</v>
      </c>
      <c r="P18" s="854" t="s">
        <v>2407</v>
      </c>
      <c r="Q18" s="850" t="s">
        <v>2385</v>
      </c>
      <c r="R18" s="851">
        <v>12.5</v>
      </c>
      <c r="S18" s="851">
        <v>0</v>
      </c>
      <c r="T18" s="851">
        <v>15.6</v>
      </c>
      <c r="U18" s="851">
        <v>0</v>
      </c>
      <c r="V18" s="851">
        <v>13.75</v>
      </c>
      <c r="W18" s="851">
        <v>0</v>
      </c>
      <c r="X18" s="851">
        <v>17.2</v>
      </c>
      <c r="Y18" s="851">
        <v>0</v>
      </c>
      <c r="Z18" s="851">
        <v>31.2</v>
      </c>
      <c r="AA18" s="851">
        <v>0</v>
      </c>
      <c r="AB18" s="851">
        <v>43.7</v>
      </c>
      <c r="AC18" s="851">
        <v>0</v>
      </c>
      <c r="AD18" s="851">
        <v>75.7</v>
      </c>
      <c r="AE18" s="851">
        <v>0</v>
      </c>
      <c r="AF18" s="851">
        <v>34.299999999999997</v>
      </c>
      <c r="AG18" s="851">
        <v>0</v>
      </c>
      <c r="AH18" s="851">
        <v>62.5</v>
      </c>
      <c r="AI18" s="851">
        <v>0</v>
      </c>
      <c r="AJ18" s="851"/>
      <c r="AK18" s="851"/>
      <c r="AL18" s="851"/>
      <c r="AM18" s="851"/>
      <c r="AN18" s="851"/>
      <c r="AO18" s="851"/>
      <c r="AP18" s="851">
        <v>8</v>
      </c>
    </row>
    <row r="19" spans="1:42" ht="14">
      <c r="A19" s="856">
        <v>18</v>
      </c>
      <c r="B19" s="425" t="s">
        <v>805</v>
      </c>
      <c r="C19" s="425" t="s">
        <v>39</v>
      </c>
      <c r="D19" s="425" t="s">
        <v>2377</v>
      </c>
      <c r="E19" s="425" t="s">
        <v>2405</v>
      </c>
      <c r="F19" s="425" t="s">
        <v>2401</v>
      </c>
      <c r="G19">
        <v>1</v>
      </c>
      <c r="H19" s="853">
        <v>0.53</v>
      </c>
      <c r="I19" s="853">
        <v>10.050000000000001</v>
      </c>
      <c r="J19" s="852">
        <f t="shared" si="3"/>
        <v>5.3265000000000002</v>
      </c>
      <c r="K19" s="852">
        <f t="shared" si="1"/>
        <v>0.69244500000000009</v>
      </c>
      <c r="L19">
        <v>26.5</v>
      </c>
      <c r="M19" s="425" t="s">
        <v>2380</v>
      </c>
      <c r="N19" s="370">
        <v>2019</v>
      </c>
      <c r="O19" s="425" t="s">
        <v>2383</v>
      </c>
      <c r="P19" s="854" t="s">
        <v>2408</v>
      </c>
      <c r="Q19" s="850" t="s">
        <v>2385</v>
      </c>
      <c r="R19" s="851">
        <v>12.5</v>
      </c>
      <c r="S19" s="851">
        <v>0</v>
      </c>
      <c r="T19" s="851">
        <v>15.6</v>
      </c>
      <c r="U19" s="851">
        <v>0</v>
      </c>
      <c r="V19" s="851">
        <v>13.75</v>
      </c>
      <c r="W19" s="851">
        <v>0</v>
      </c>
      <c r="X19" s="851">
        <v>17.2</v>
      </c>
      <c r="Y19" s="851">
        <v>0</v>
      </c>
      <c r="Z19" s="851">
        <v>31.2</v>
      </c>
      <c r="AA19" s="851">
        <v>0</v>
      </c>
      <c r="AB19" s="851">
        <v>43.7</v>
      </c>
      <c r="AC19" s="851">
        <v>0</v>
      </c>
      <c r="AD19" s="851">
        <v>75.7</v>
      </c>
      <c r="AE19" s="851">
        <v>0</v>
      </c>
      <c r="AF19" s="851">
        <v>34.299999999999997</v>
      </c>
      <c r="AG19" s="851">
        <v>0</v>
      </c>
      <c r="AH19" s="851">
        <v>62.5</v>
      </c>
      <c r="AI19" s="851">
        <v>0</v>
      </c>
      <c r="AJ19" s="851"/>
      <c r="AK19" s="851"/>
      <c r="AL19" s="851"/>
      <c r="AM19" s="851"/>
      <c r="AN19" s="851"/>
      <c r="AO19" s="851"/>
      <c r="AP19" s="851">
        <v>8</v>
      </c>
    </row>
    <row r="20" spans="1:42" ht="14">
      <c r="A20" s="856">
        <v>19</v>
      </c>
      <c r="B20" s="425" t="s">
        <v>806</v>
      </c>
      <c r="C20" s="425" t="s">
        <v>39</v>
      </c>
      <c r="D20" s="425" t="s">
        <v>2377</v>
      </c>
      <c r="E20" s="425" t="s">
        <v>2405</v>
      </c>
      <c r="F20" s="425" t="s">
        <v>2406</v>
      </c>
      <c r="G20">
        <v>1</v>
      </c>
      <c r="H20" s="853">
        <v>0.53</v>
      </c>
      <c r="I20" s="853">
        <v>10.050000000000001</v>
      </c>
      <c r="J20" s="852">
        <f t="shared" si="3"/>
        <v>5.3265000000000002</v>
      </c>
      <c r="K20" s="852">
        <f t="shared" si="1"/>
        <v>0.69244500000000009</v>
      </c>
      <c r="L20">
        <v>26.5</v>
      </c>
      <c r="M20" s="425" t="s">
        <v>2380</v>
      </c>
      <c r="N20" s="370">
        <v>2019</v>
      </c>
      <c r="O20" s="425" t="s">
        <v>2383</v>
      </c>
      <c r="P20" s="854" t="s">
        <v>2409</v>
      </c>
      <c r="Q20" s="850" t="s">
        <v>2385</v>
      </c>
      <c r="R20" s="851">
        <v>12.5</v>
      </c>
      <c r="S20" s="851">
        <v>0</v>
      </c>
      <c r="T20" s="851">
        <v>15.6</v>
      </c>
      <c r="U20" s="851">
        <v>0</v>
      </c>
      <c r="V20" s="851">
        <v>13.75</v>
      </c>
      <c r="W20" s="851">
        <v>0</v>
      </c>
      <c r="X20" s="851">
        <v>17.2</v>
      </c>
      <c r="Y20" s="851">
        <v>0</v>
      </c>
      <c r="Z20" s="851">
        <v>31.2</v>
      </c>
      <c r="AA20" s="851">
        <v>0</v>
      </c>
      <c r="AB20" s="851">
        <v>43.7</v>
      </c>
      <c r="AC20" s="851">
        <v>0</v>
      </c>
      <c r="AD20" s="851">
        <v>75.7</v>
      </c>
      <c r="AE20" s="851">
        <v>0</v>
      </c>
      <c r="AF20" s="851">
        <v>34.299999999999997</v>
      </c>
      <c r="AG20" s="851">
        <v>0</v>
      </c>
      <c r="AH20" s="851">
        <v>62.5</v>
      </c>
      <c r="AI20" s="851">
        <v>0</v>
      </c>
      <c r="AJ20" s="851"/>
      <c r="AK20" s="851"/>
      <c r="AL20" s="851"/>
      <c r="AM20" s="851"/>
      <c r="AN20" s="851"/>
      <c r="AO20" s="851"/>
      <c r="AP20" s="851">
        <v>8</v>
      </c>
    </row>
    <row r="21" spans="1:42" ht="14">
      <c r="A21" s="856">
        <v>20</v>
      </c>
      <c r="B21" s="425" t="s">
        <v>808</v>
      </c>
      <c r="C21" s="425" t="s">
        <v>39</v>
      </c>
      <c r="D21" s="425" t="s">
        <v>2377</v>
      </c>
      <c r="E21" s="425" t="s">
        <v>809</v>
      </c>
      <c r="F21" s="425" t="s">
        <v>522</v>
      </c>
      <c r="G21">
        <v>1</v>
      </c>
      <c r="H21" s="853">
        <v>0.53</v>
      </c>
      <c r="I21" s="853">
        <v>10.050000000000001</v>
      </c>
      <c r="J21" s="852">
        <f t="shared" si="3"/>
        <v>5.3265000000000002</v>
      </c>
      <c r="K21" s="852">
        <f t="shared" si="1"/>
        <v>0.69244500000000009</v>
      </c>
      <c r="L21">
        <v>53</v>
      </c>
      <c r="M21" s="425" t="s">
        <v>2380</v>
      </c>
      <c r="N21" s="370">
        <v>2019</v>
      </c>
      <c r="O21" s="425" t="s">
        <v>2383</v>
      </c>
      <c r="P21" s="854" t="s">
        <v>2410</v>
      </c>
      <c r="Q21" s="850" t="s">
        <v>2385</v>
      </c>
      <c r="R21" s="851">
        <v>12.5</v>
      </c>
      <c r="S21" s="851">
        <v>0</v>
      </c>
      <c r="T21" s="851">
        <v>15.6</v>
      </c>
      <c r="U21" s="851">
        <v>0</v>
      </c>
      <c r="V21" s="851">
        <v>13.75</v>
      </c>
      <c r="W21" s="851">
        <v>0</v>
      </c>
      <c r="X21" s="851">
        <v>17.2</v>
      </c>
      <c r="Y21" s="851">
        <v>0</v>
      </c>
      <c r="Z21" s="851">
        <v>31.2</v>
      </c>
      <c r="AA21" s="851">
        <v>0</v>
      </c>
      <c r="AB21" s="851">
        <v>43.7</v>
      </c>
      <c r="AC21" s="851">
        <v>0</v>
      </c>
      <c r="AD21" s="851">
        <v>75.7</v>
      </c>
      <c r="AE21" s="851">
        <v>0</v>
      </c>
      <c r="AF21" s="851">
        <v>34.299999999999997</v>
      </c>
      <c r="AG21" s="851">
        <v>0</v>
      </c>
      <c r="AH21" s="851">
        <v>62.5</v>
      </c>
      <c r="AI21" s="851">
        <v>0</v>
      </c>
      <c r="AJ21" s="851"/>
      <c r="AK21" s="851"/>
      <c r="AL21" s="851"/>
      <c r="AM21" s="851"/>
      <c r="AN21" s="851"/>
      <c r="AO21" s="851"/>
      <c r="AP21" s="851">
        <v>8</v>
      </c>
    </row>
    <row r="22" spans="1:42" ht="14">
      <c r="A22" s="856">
        <v>21</v>
      </c>
      <c r="B22" s="425" t="s">
        <v>810</v>
      </c>
      <c r="C22" s="425" t="s">
        <v>39</v>
      </c>
      <c r="D22" s="425" t="s">
        <v>2377</v>
      </c>
      <c r="E22" s="425" t="s">
        <v>809</v>
      </c>
      <c r="F22" s="425" t="s">
        <v>804</v>
      </c>
      <c r="G22">
        <v>1</v>
      </c>
      <c r="H22" s="853">
        <v>0.53</v>
      </c>
      <c r="I22" s="853">
        <v>10.050000000000001</v>
      </c>
      <c r="J22" s="852">
        <f t="shared" si="3"/>
        <v>5.3265000000000002</v>
      </c>
      <c r="K22" s="852">
        <f t="shared" si="1"/>
        <v>0.69244500000000009</v>
      </c>
      <c r="L22">
        <v>53</v>
      </c>
      <c r="M22" s="425" t="s">
        <v>2380</v>
      </c>
      <c r="N22" s="370">
        <v>2019</v>
      </c>
      <c r="O22" s="425" t="s">
        <v>2383</v>
      </c>
      <c r="P22" s="854" t="s">
        <v>2411</v>
      </c>
      <c r="Q22" s="850" t="s">
        <v>2385</v>
      </c>
      <c r="R22" s="851">
        <v>12.5</v>
      </c>
      <c r="S22" s="851">
        <v>0</v>
      </c>
      <c r="T22" s="851">
        <v>15.6</v>
      </c>
      <c r="U22" s="851">
        <v>0</v>
      </c>
      <c r="V22" s="851">
        <v>13.75</v>
      </c>
      <c r="W22" s="851">
        <v>0</v>
      </c>
      <c r="X22" s="851">
        <v>17.2</v>
      </c>
      <c r="Y22" s="851">
        <v>0</v>
      </c>
      <c r="Z22" s="851">
        <v>31.2</v>
      </c>
      <c r="AA22" s="851">
        <v>0</v>
      </c>
      <c r="AB22" s="851">
        <v>43.7</v>
      </c>
      <c r="AC22" s="851">
        <v>0</v>
      </c>
      <c r="AD22" s="851">
        <v>75.7</v>
      </c>
      <c r="AE22" s="851">
        <v>0</v>
      </c>
      <c r="AF22" s="851">
        <v>34.299999999999997</v>
      </c>
      <c r="AG22" s="851">
        <v>0</v>
      </c>
      <c r="AH22" s="851">
        <v>62.5</v>
      </c>
      <c r="AI22" s="851">
        <v>0</v>
      </c>
      <c r="AJ22" s="851"/>
      <c r="AK22" s="851"/>
      <c r="AL22" s="851"/>
      <c r="AM22" s="851"/>
      <c r="AN22" s="851"/>
      <c r="AO22" s="851"/>
      <c r="AP22" s="851">
        <v>8</v>
      </c>
    </row>
    <row r="23" spans="1:42" ht="14">
      <c r="A23" s="856">
        <v>22</v>
      </c>
      <c r="B23" s="425" t="s">
        <v>811</v>
      </c>
      <c r="C23" s="425" t="s">
        <v>39</v>
      </c>
      <c r="D23" s="425" t="s">
        <v>2377</v>
      </c>
      <c r="E23" s="425" t="s">
        <v>809</v>
      </c>
      <c r="F23" s="425" t="s">
        <v>793</v>
      </c>
      <c r="G23">
        <v>1</v>
      </c>
      <c r="H23" s="853">
        <v>0.53</v>
      </c>
      <c r="I23" s="853">
        <v>10.050000000000001</v>
      </c>
      <c r="J23" s="852">
        <f t="shared" si="3"/>
        <v>5.3265000000000002</v>
      </c>
      <c r="K23" s="852">
        <f t="shared" si="1"/>
        <v>0.69244500000000009</v>
      </c>
      <c r="L23">
        <v>53</v>
      </c>
      <c r="M23" s="425" t="s">
        <v>2380</v>
      </c>
      <c r="N23" s="370">
        <v>2019</v>
      </c>
      <c r="O23" s="425" t="s">
        <v>2383</v>
      </c>
      <c r="P23" s="854" t="s">
        <v>2412</v>
      </c>
      <c r="Q23" s="850" t="s">
        <v>2385</v>
      </c>
      <c r="R23" s="851">
        <v>12.5</v>
      </c>
      <c r="S23" s="851">
        <v>0</v>
      </c>
      <c r="T23" s="851">
        <v>15.6</v>
      </c>
      <c r="U23" s="851">
        <v>0</v>
      </c>
      <c r="V23" s="851">
        <v>13.75</v>
      </c>
      <c r="W23" s="851">
        <v>0</v>
      </c>
      <c r="X23" s="851">
        <v>17.2</v>
      </c>
      <c r="Y23" s="851">
        <v>0</v>
      </c>
      <c r="Z23" s="851">
        <v>31.2</v>
      </c>
      <c r="AA23" s="851">
        <v>0</v>
      </c>
      <c r="AB23" s="851">
        <v>43.7</v>
      </c>
      <c r="AC23" s="851">
        <v>0</v>
      </c>
      <c r="AD23" s="851">
        <v>75.7</v>
      </c>
      <c r="AE23" s="851">
        <v>0</v>
      </c>
      <c r="AF23" s="851">
        <v>34.299999999999997</v>
      </c>
      <c r="AG23" s="851">
        <v>0</v>
      </c>
      <c r="AH23" s="851">
        <v>62.5</v>
      </c>
      <c r="AI23" s="851">
        <v>0</v>
      </c>
      <c r="AJ23" s="851"/>
      <c r="AK23" s="851"/>
      <c r="AL23" s="851"/>
      <c r="AM23" s="851"/>
      <c r="AN23" s="851"/>
      <c r="AO23" s="851"/>
      <c r="AP23" s="851">
        <v>8</v>
      </c>
    </row>
    <row r="24" spans="1:42" ht="14">
      <c r="A24" s="856">
        <v>23</v>
      </c>
      <c r="B24" s="425" t="s">
        <v>812</v>
      </c>
      <c r="C24" s="425" t="s">
        <v>39</v>
      </c>
      <c r="D24" s="425" t="s">
        <v>2377</v>
      </c>
      <c r="E24" s="425" t="s">
        <v>809</v>
      </c>
      <c r="F24" s="425" t="s">
        <v>813</v>
      </c>
      <c r="G24">
        <v>1</v>
      </c>
      <c r="H24" s="853">
        <v>0.53</v>
      </c>
      <c r="I24" s="853">
        <v>10.050000000000001</v>
      </c>
      <c r="J24" s="852">
        <f t="shared" si="3"/>
        <v>5.3265000000000002</v>
      </c>
      <c r="K24" s="852">
        <f t="shared" si="1"/>
        <v>0.69244500000000009</v>
      </c>
      <c r="L24">
        <v>53</v>
      </c>
      <c r="M24" s="425" t="s">
        <v>2380</v>
      </c>
      <c r="N24" s="370">
        <v>2019</v>
      </c>
      <c r="O24" s="425" t="s">
        <v>2383</v>
      </c>
      <c r="P24" s="854" t="s">
        <v>2413</v>
      </c>
      <c r="Q24" s="850" t="s">
        <v>2385</v>
      </c>
      <c r="R24" s="851">
        <v>12.5</v>
      </c>
      <c r="S24" s="851">
        <v>0</v>
      </c>
      <c r="T24" s="851">
        <v>15.6</v>
      </c>
      <c r="U24" s="851">
        <v>0</v>
      </c>
      <c r="V24" s="851">
        <v>13.75</v>
      </c>
      <c r="W24" s="851">
        <v>0</v>
      </c>
      <c r="X24" s="851">
        <v>17.2</v>
      </c>
      <c r="Y24" s="851">
        <v>0</v>
      </c>
      <c r="Z24" s="851">
        <v>31.2</v>
      </c>
      <c r="AA24" s="851">
        <v>0</v>
      </c>
      <c r="AB24" s="851">
        <v>43.7</v>
      </c>
      <c r="AC24" s="851">
        <v>0</v>
      </c>
      <c r="AD24" s="851">
        <v>75.7</v>
      </c>
      <c r="AE24" s="851">
        <v>0</v>
      </c>
      <c r="AF24" s="851">
        <v>34.299999999999997</v>
      </c>
      <c r="AG24" s="851">
        <v>0</v>
      </c>
      <c r="AH24" s="851">
        <v>62.5</v>
      </c>
      <c r="AI24" s="851">
        <v>0</v>
      </c>
      <c r="AJ24" s="851"/>
      <c r="AK24" s="851"/>
      <c r="AL24" s="851"/>
      <c r="AM24" s="851"/>
      <c r="AN24" s="851"/>
      <c r="AO24" s="851"/>
      <c r="AP24" s="851">
        <v>8</v>
      </c>
    </row>
    <row r="25" spans="1:42" ht="14" customHeight="1">
      <c r="A25" s="856">
        <v>24</v>
      </c>
      <c r="B25" s="425" t="s">
        <v>814</v>
      </c>
      <c r="C25" s="425" t="s">
        <v>39</v>
      </c>
      <c r="D25" s="425" t="s">
        <v>2377</v>
      </c>
      <c r="E25" s="425" t="s">
        <v>2414</v>
      </c>
      <c r="F25" s="425" t="s">
        <v>816</v>
      </c>
      <c r="G25">
        <v>1</v>
      </c>
      <c r="H25" s="853">
        <v>0.53</v>
      </c>
      <c r="I25" s="853">
        <v>10.050000000000001</v>
      </c>
      <c r="J25" s="852">
        <f t="shared" si="3"/>
        <v>5.3265000000000002</v>
      </c>
      <c r="K25" s="852">
        <f t="shared" si="1"/>
        <v>0.69244500000000009</v>
      </c>
      <c r="L25">
        <v>64</v>
      </c>
      <c r="M25" s="425" t="s">
        <v>2380</v>
      </c>
      <c r="N25" s="370">
        <v>2019</v>
      </c>
      <c r="O25" s="425" t="s">
        <v>2383</v>
      </c>
      <c r="P25" s="854" t="s">
        <v>2415</v>
      </c>
      <c r="Q25" s="850" t="s">
        <v>2385</v>
      </c>
      <c r="R25" s="851">
        <v>12.5</v>
      </c>
      <c r="S25" s="851">
        <v>0</v>
      </c>
      <c r="T25" s="851">
        <v>15.6</v>
      </c>
      <c r="U25" s="851">
        <v>0</v>
      </c>
      <c r="V25" s="851">
        <v>13.75</v>
      </c>
      <c r="W25" s="851">
        <v>0</v>
      </c>
      <c r="X25" s="851">
        <v>17.2</v>
      </c>
      <c r="Y25" s="851">
        <v>0</v>
      </c>
      <c r="Z25" s="851">
        <v>31.2</v>
      </c>
      <c r="AA25" s="851">
        <v>0</v>
      </c>
      <c r="AB25" s="851">
        <v>43.7</v>
      </c>
      <c r="AC25" s="851">
        <v>0</v>
      </c>
      <c r="AD25" s="851">
        <v>75.7</v>
      </c>
      <c r="AE25" s="851">
        <v>0</v>
      </c>
      <c r="AF25" s="851">
        <v>34.299999999999997</v>
      </c>
      <c r="AG25" s="851">
        <v>0</v>
      </c>
      <c r="AH25" s="851">
        <v>62.5</v>
      </c>
      <c r="AI25" s="851">
        <v>0</v>
      </c>
      <c r="AJ25" s="851"/>
      <c r="AK25" s="851"/>
      <c r="AL25" s="851"/>
      <c r="AM25" s="851"/>
      <c r="AN25" s="851"/>
      <c r="AO25" s="851"/>
      <c r="AP25" s="851">
        <v>8</v>
      </c>
    </row>
    <row r="26" spans="1:42" ht="14" customHeight="1">
      <c r="A26" s="856">
        <v>25</v>
      </c>
      <c r="B26" s="425" t="s">
        <v>817</v>
      </c>
      <c r="C26" s="425" t="s">
        <v>39</v>
      </c>
      <c r="D26" s="425" t="s">
        <v>2377</v>
      </c>
      <c r="E26" s="425" t="s">
        <v>2414</v>
      </c>
      <c r="F26" s="425" t="s">
        <v>818</v>
      </c>
      <c r="G26">
        <v>1</v>
      </c>
      <c r="H26" s="853">
        <v>0.53</v>
      </c>
      <c r="I26" s="853">
        <v>10.050000000000001</v>
      </c>
      <c r="J26" s="852">
        <f t="shared" si="3"/>
        <v>5.3265000000000002</v>
      </c>
      <c r="K26" s="852">
        <f t="shared" si="1"/>
        <v>0.69244500000000009</v>
      </c>
      <c r="L26">
        <v>64</v>
      </c>
      <c r="M26" s="425" t="s">
        <v>2380</v>
      </c>
      <c r="N26" s="370">
        <v>2019</v>
      </c>
      <c r="O26" s="425" t="s">
        <v>2383</v>
      </c>
      <c r="P26" s="854" t="s">
        <v>2416</v>
      </c>
      <c r="Q26" s="850" t="s">
        <v>2385</v>
      </c>
      <c r="R26" s="851">
        <v>12.5</v>
      </c>
      <c r="S26" s="851">
        <v>0</v>
      </c>
      <c r="T26" s="851">
        <v>15.6</v>
      </c>
      <c r="U26" s="851">
        <v>0</v>
      </c>
      <c r="V26" s="851">
        <v>13.75</v>
      </c>
      <c r="W26" s="851">
        <v>0</v>
      </c>
      <c r="X26" s="851">
        <v>17.2</v>
      </c>
      <c r="Y26" s="851">
        <v>0</v>
      </c>
      <c r="Z26" s="851">
        <v>31.2</v>
      </c>
      <c r="AA26" s="851">
        <v>0</v>
      </c>
      <c r="AB26" s="851">
        <v>43.7</v>
      </c>
      <c r="AC26" s="851">
        <v>0</v>
      </c>
      <c r="AD26" s="851">
        <v>75.7</v>
      </c>
      <c r="AE26" s="851">
        <v>0</v>
      </c>
      <c r="AF26" s="851">
        <v>34.299999999999997</v>
      </c>
      <c r="AG26" s="851">
        <v>0</v>
      </c>
      <c r="AH26" s="851">
        <v>62.5</v>
      </c>
      <c r="AI26" s="851">
        <v>0</v>
      </c>
      <c r="AJ26" s="851"/>
      <c r="AK26" s="851"/>
      <c r="AL26" s="851"/>
      <c r="AM26" s="851"/>
      <c r="AN26" s="851"/>
      <c r="AO26" s="851"/>
      <c r="AP26" s="851">
        <v>8</v>
      </c>
    </row>
    <row r="27" spans="1:42" ht="14" customHeight="1">
      <c r="A27" s="856">
        <v>26</v>
      </c>
      <c r="B27" s="425" t="s">
        <v>819</v>
      </c>
      <c r="C27" s="425" t="s">
        <v>39</v>
      </c>
      <c r="D27" s="425" t="s">
        <v>2377</v>
      </c>
      <c r="E27" s="425" t="s">
        <v>2414</v>
      </c>
      <c r="F27" s="425" t="s">
        <v>807</v>
      </c>
      <c r="G27">
        <v>1</v>
      </c>
      <c r="H27" s="853">
        <v>0.53</v>
      </c>
      <c r="I27" s="853">
        <v>10.050000000000001</v>
      </c>
      <c r="J27" s="852">
        <f t="shared" si="3"/>
        <v>5.3265000000000002</v>
      </c>
      <c r="K27" s="852">
        <f t="shared" si="1"/>
        <v>0.69244500000000009</v>
      </c>
      <c r="L27">
        <v>64</v>
      </c>
      <c r="M27" s="425" t="s">
        <v>2380</v>
      </c>
      <c r="N27" s="370">
        <v>2019</v>
      </c>
      <c r="O27" s="425" t="s">
        <v>2383</v>
      </c>
      <c r="P27" s="854" t="s">
        <v>2417</v>
      </c>
      <c r="Q27" s="850" t="s">
        <v>2385</v>
      </c>
      <c r="R27" s="851">
        <v>12.5</v>
      </c>
      <c r="S27" s="851">
        <v>0</v>
      </c>
      <c r="T27" s="851">
        <v>15.6</v>
      </c>
      <c r="U27" s="851">
        <v>0</v>
      </c>
      <c r="V27" s="851">
        <v>13.75</v>
      </c>
      <c r="W27" s="851">
        <v>0</v>
      </c>
      <c r="X27" s="851">
        <v>17.2</v>
      </c>
      <c r="Y27" s="851">
        <v>0</v>
      </c>
      <c r="Z27" s="851">
        <v>31.2</v>
      </c>
      <c r="AA27" s="851">
        <v>0</v>
      </c>
      <c r="AB27" s="851">
        <v>43.7</v>
      </c>
      <c r="AC27" s="851">
        <v>0</v>
      </c>
      <c r="AD27" s="851">
        <v>75.7</v>
      </c>
      <c r="AE27" s="851">
        <v>0</v>
      </c>
      <c r="AF27" s="851">
        <v>34.299999999999997</v>
      </c>
      <c r="AG27" s="851">
        <v>0</v>
      </c>
      <c r="AH27" s="851">
        <v>62.5</v>
      </c>
      <c r="AI27" s="851">
        <v>0</v>
      </c>
      <c r="AJ27" s="851"/>
      <c r="AK27" s="851"/>
      <c r="AL27" s="851"/>
      <c r="AM27" s="851"/>
      <c r="AN27" s="851"/>
      <c r="AO27" s="851"/>
      <c r="AP27" s="851">
        <v>8</v>
      </c>
    </row>
    <row r="28" spans="1:42" ht="14">
      <c r="A28" s="856">
        <v>27</v>
      </c>
      <c r="B28" s="425" t="s">
        <v>820</v>
      </c>
      <c r="C28" s="425" t="s">
        <v>39</v>
      </c>
      <c r="D28" s="425" t="s">
        <v>2377</v>
      </c>
      <c r="E28" s="425" t="s">
        <v>2419</v>
      </c>
      <c r="F28" s="425" t="s">
        <v>2420</v>
      </c>
      <c r="G28">
        <v>1</v>
      </c>
      <c r="H28" s="853">
        <v>0.53</v>
      </c>
      <c r="I28" s="853">
        <v>10.050000000000001</v>
      </c>
      <c r="J28" s="852">
        <f t="shared" si="3"/>
        <v>5.3265000000000002</v>
      </c>
      <c r="K28" s="852">
        <f t="shared" si="1"/>
        <v>0.69244500000000009</v>
      </c>
      <c r="L28">
        <v>53</v>
      </c>
      <c r="M28" s="425" t="s">
        <v>2380</v>
      </c>
      <c r="N28" s="370">
        <v>2019</v>
      </c>
      <c r="O28" s="425" t="s">
        <v>2383</v>
      </c>
      <c r="P28" s="854" t="s">
        <v>2418</v>
      </c>
      <c r="Q28" s="850" t="s">
        <v>2385</v>
      </c>
      <c r="R28" s="851">
        <v>12.5</v>
      </c>
      <c r="S28" s="851">
        <v>0</v>
      </c>
      <c r="T28" s="851">
        <v>15.6</v>
      </c>
      <c r="U28" s="851">
        <v>0</v>
      </c>
      <c r="V28" s="851">
        <v>13.75</v>
      </c>
      <c r="W28" s="851">
        <v>0</v>
      </c>
      <c r="X28" s="851">
        <v>17.2</v>
      </c>
      <c r="Y28" s="851">
        <v>0</v>
      </c>
      <c r="Z28" s="851">
        <v>31.2</v>
      </c>
      <c r="AA28" s="851">
        <v>0</v>
      </c>
      <c r="AB28" s="851">
        <v>43.7</v>
      </c>
      <c r="AC28" s="851">
        <v>0</v>
      </c>
      <c r="AD28" s="851">
        <v>75.7</v>
      </c>
      <c r="AE28" s="851">
        <v>0</v>
      </c>
      <c r="AF28" s="851">
        <v>34.299999999999997</v>
      </c>
      <c r="AG28" s="851">
        <v>0</v>
      </c>
      <c r="AH28" s="851">
        <v>62.5</v>
      </c>
      <c r="AI28" s="851">
        <v>0</v>
      </c>
      <c r="AJ28" s="851"/>
      <c r="AK28" s="851"/>
      <c r="AL28" s="851"/>
      <c r="AM28" s="851"/>
      <c r="AN28" s="851"/>
      <c r="AO28" s="851"/>
      <c r="AP28" s="851">
        <v>8</v>
      </c>
    </row>
    <row r="29" spans="1:42" ht="14">
      <c r="A29" s="856">
        <v>28</v>
      </c>
      <c r="B29" s="425" t="s">
        <v>822</v>
      </c>
      <c r="C29" s="425" t="s">
        <v>39</v>
      </c>
      <c r="D29" s="425" t="s">
        <v>2377</v>
      </c>
      <c r="E29" s="425" t="s">
        <v>2419</v>
      </c>
      <c r="F29" s="425" t="s">
        <v>2379</v>
      </c>
      <c r="G29">
        <v>1</v>
      </c>
      <c r="H29" s="853">
        <v>0.53</v>
      </c>
      <c r="I29" s="853">
        <v>10.050000000000001</v>
      </c>
      <c r="J29" s="852">
        <f t="shared" si="3"/>
        <v>5.3265000000000002</v>
      </c>
      <c r="K29" s="852">
        <f t="shared" si="1"/>
        <v>0.69244500000000009</v>
      </c>
      <c r="L29">
        <v>53</v>
      </c>
      <c r="M29" s="425" t="s">
        <v>2380</v>
      </c>
      <c r="N29" s="370">
        <v>2019</v>
      </c>
      <c r="O29" s="425" t="s">
        <v>2383</v>
      </c>
      <c r="P29" s="854" t="s">
        <v>2421</v>
      </c>
      <c r="Q29" s="850" t="s">
        <v>2385</v>
      </c>
      <c r="R29" s="851">
        <v>12.5</v>
      </c>
      <c r="S29" s="851">
        <v>0</v>
      </c>
      <c r="T29" s="851">
        <v>15.6</v>
      </c>
      <c r="U29" s="851">
        <v>0</v>
      </c>
      <c r="V29" s="851">
        <v>13.75</v>
      </c>
      <c r="W29" s="851">
        <v>0</v>
      </c>
      <c r="X29" s="851">
        <v>17.2</v>
      </c>
      <c r="Y29" s="851">
        <v>0</v>
      </c>
      <c r="Z29" s="851">
        <v>31.2</v>
      </c>
      <c r="AA29" s="851">
        <v>0</v>
      </c>
      <c r="AB29" s="851">
        <v>43.7</v>
      </c>
      <c r="AC29" s="851">
        <v>0</v>
      </c>
      <c r="AD29" s="851">
        <v>75.7</v>
      </c>
      <c r="AE29" s="851">
        <v>0</v>
      </c>
      <c r="AF29" s="851">
        <v>34.299999999999997</v>
      </c>
      <c r="AG29" s="851">
        <v>0</v>
      </c>
      <c r="AH29" s="851">
        <v>62.5</v>
      </c>
      <c r="AI29" s="851">
        <v>0</v>
      </c>
      <c r="AJ29" s="851"/>
      <c r="AK29" s="851"/>
      <c r="AL29" s="851"/>
      <c r="AM29" s="851"/>
      <c r="AN29" s="851"/>
      <c r="AO29" s="851"/>
      <c r="AP29" s="851">
        <v>8</v>
      </c>
    </row>
    <row r="30" spans="1:42" ht="14">
      <c r="A30" s="856">
        <v>29</v>
      </c>
      <c r="B30" s="425" t="s">
        <v>823</v>
      </c>
      <c r="C30" s="425" t="s">
        <v>39</v>
      </c>
      <c r="D30" s="425" t="s">
        <v>2377</v>
      </c>
      <c r="E30" s="425" t="s">
        <v>2419</v>
      </c>
      <c r="F30" s="425" t="s">
        <v>2386</v>
      </c>
      <c r="G30">
        <v>1</v>
      </c>
      <c r="H30" s="853">
        <v>0.53</v>
      </c>
      <c r="I30" s="853">
        <v>10.050000000000001</v>
      </c>
      <c r="J30" s="852">
        <f t="shared" si="3"/>
        <v>5.3265000000000002</v>
      </c>
      <c r="K30" s="852">
        <f t="shared" si="1"/>
        <v>0.69244500000000009</v>
      </c>
      <c r="L30">
        <v>53</v>
      </c>
      <c r="M30" s="425" t="s">
        <v>2380</v>
      </c>
      <c r="N30" s="370">
        <v>2019</v>
      </c>
      <c r="O30" s="425" t="s">
        <v>2383</v>
      </c>
      <c r="P30" s="854" t="s">
        <v>2422</v>
      </c>
      <c r="Q30" s="850" t="s">
        <v>2385</v>
      </c>
      <c r="R30" s="851">
        <v>12.5</v>
      </c>
      <c r="S30" s="851">
        <v>0</v>
      </c>
      <c r="T30" s="851">
        <v>15.6</v>
      </c>
      <c r="U30" s="851">
        <v>0</v>
      </c>
      <c r="V30" s="851">
        <v>13.75</v>
      </c>
      <c r="W30" s="851">
        <v>0</v>
      </c>
      <c r="X30" s="851">
        <v>17.2</v>
      </c>
      <c r="Y30" s="851">
        <v>0</v>
      </c>
      <c r="Z30" s="851">
        <v>31.2</v>
      </c>
      <c r="AA30" s="851">
        <v>0</v>
      </c>
      <c r="AB30" s="851">
        <v>43.7</v>
      </c>
      <c r="AC30" s="851">
        <v>0</v>
      </c>
      <c r="AD30" s="851">
        <v>75.7</v>
      </c>
      <c r="AE30" s="851">
        <v>0</v>
      </c>
      <c r="AF30" s="851">
        <v>34.299999999999997</v>
      </c>
      <c r="AG30" s="851">
        <v>0</v>
      </c>
      <c r="AH30" s="851">
        <v>62.5</v>
      </c>
      <c r="AI30" s="851">
        <v>0</v>
      </c>
      <c r="AJ30" s="851"/>
      <c r="AK30" s="851"/>
      <c r="AL30" s="851"/>
      <c r="AM30" s="851"/>
      <c r="AN30" s="851"/>
      <c r="AO30" s="851"/>
      <c r="AP30" s="851">
        <v>8</v>
      </c>
    </row>
    <row r="31" spans="1:42" ht="14">
      <c r="A31" s="856">
        <v>30</v>
      </c>
      <c r="B31" s="425" t="s">
        <v>824</v>
      </c>
      <c r="C31" s="425" t="s">
        <v>39</v>
      </c>
      <c r="D31" s="425" t="s">
        <v>2377</v>
      </c>
      <c r="E31" s="425" t="s">
        <v>2443</v>
      </c>
      <c r="F31" s="425" t="s">
        <v>980</v>
      </c>
      <c r="G31">
        <v>1</v>
      </c>
      <c r="H31" s="853">
        <v>0.53</v>
      </c>
      <c r="I31" s="853">
        <v>10.050000000000001</v>
      </c>
      <c r="J31" s="852">
        <f t="shared" si="3"/>
        <v>5.3265000000000002</v>
      </c>
      <c r="K31" s="852">
        <f t="shared" si="1"/>
        <v>0.69244500000000009</v>
      </c>
      <c r="L31">
        <v>53</v>
      </c>
      <c r="M31" s="425" t="s">
        <v>2380</v>
      </c>
      <c r="N31" s="370">
        <v>2019</v>
      </c>
      <c r="O31" s="425" t="s">
        <v>2383</v>
      </c>
      <c r="P31" s="854" t="s">
        <v>2423</v>
      </c>
      <c r="Q31" s="850" t="s">
        <v>2385</v>
      </c>
      <c r="R31" s="851">
        <v>12.5</v>
      </c>
      <c r="S31" s="851">
        <v>0</v>
      </c>
      <c r="T31" s="851">
        <v>15.6</v>
      </c>
      <c r="U31" s="851">
        <v>0</v>
      </c>
      <c r="V31" s="851">
        <v>13.75</v>
      </c>
      <c r="W31" s="851">
        <v>0</v>
      </c>
      <c r="X31" s="851">
        <v>17.2</v>
      </c>
      <c r="Y31" s="851">
        <v>0</v>
      </c>
      <c r="Z31" s="851">
        <v>31.2</v>
      </c>
      <c r="AA31" s="851">
        <v>0</v>
      </c>
      <c r="AB31" s="851">
        <v>43.7</v>
      </c>
      <c r="AC31" s="851">
        <v>0</v>
      </c>
      <c r="AD31" s="851">
        <v>75.7</v>
      </c>
      <c r="AE31" s="851">
        <v>0</v>
      </c>
      <c r="AF31" s="851">
        <v>34.299999999999997</v>
      </c>
      <c r="AG31" s="851">
        <v>0</v>
      </c>
      <c r="AH31" s="851">
        <v>62.5</v>
      </c>
      <c r="AI31" s="851">
        <v>0</v>
      </c>
      <c r="AJ31" s="851"/>
      <c r="AK31" s="851"/>
      <c r="AL31" s="851"/>
      <c r="AM31" s="851"/>
      <c r="AN31" s="851"/>
      <c r="AO31" s="851"/>
      <c r="AP31" s="851">
        <v>8</v>
      </c>
    </row>
    <row r="32" spans="1:42" ht="14">
      <c r="A32" s="856">
        <v>31</v>
      </c>
      <c r="B32" s="425" t="s">
        <v>826</v>
      </c>
      <c r="C32" s="425" t="s">
        <v>39</v>
      </c>
      <c r="D32" s="425" t="s">
        <v>2377</v>
      </c>
      <c r="E32" s="425" t="s">
        <v>2443</v>
      </c>
      <c r="F32" s="425" t="s">
        <v>522</v>
      </c>
      <c r="G32">
        <v>1</v>
      </c>
      <c r="H32" s="853">
        <v>0.53</v>
      </c>
      <c r="I32" s="853">
        <v>10.050000000000001</v>
      </c>
      <c r="J32" s="852">
        <f t="shared" si="3"/>
        <v>5.3265000000000002</v>
      </c>
      <c r="K32" s="852">
        <f t="shared" si="1"/>
        <v>0.69244500000000009</v>
      </c>
      <c r="L32">
        <v>53</v>
      </c>
      <c r="M32" s="425" t="s">
        <v>2380</v>
      </c>
      <c r="N32" s="370">
        <v>2019</v>
      </c>
      <c r="O32" s="425" t="s">
        <v>2383</v>
      </c>
      <c r="P32" s="854" t="s">
        <v>2424</v>
      </c>
      <c r="Q32" s="850" t="s">
        <v>2385</v>
      </c>
      <c r="R32" s="851">
        <v>12.5</v>
      </c>
      <c r="S32" s="851">
        <v>0</v>
      </c>
      <c r="T32" s="851">
        <v>15.6</v>
      </c>
      <c r="U32" s="851">
        <v>0</v>
      </c>
      <c r="V32" s="851">
        <v>13.75</v>
      </c>
      <c r="W32" s="851">
        <v>0</v>
      </c>
      <c r="X32" s="851">
        <v>17.2</v>
      </c>
      <c r="Y32" s="851">
        <v>0</v>
      </c>
      <c r="Z32" s="851">
        <v>31.2</v>
      </c>
      <c r="AA32" s="851">
        <v>0</v>
      </c>
      <c r="AB32" s="851">
        <v>43.7</v>
      </c>
      <c r="AC32" s="851">
        <v>0</v>
      </c>
      <c r="AD32" s="851">
        <v>75.7</v>
      </c>
      <c r="AE32" s="851">
        <v>0</v>
      </c>
      <c r="AF32" s="851">
        <v>34.299999999999997</v>
      </c>
      <c r="AG32" s="851">
        <v>0</v>
      </c>
      <c r="AH32" s="851">
        <v>62.5</v>
      </c>
      <c r="AI32" s="851">
        <v>0</v>
      </c>
      <c r="AJ32" s="851"/>
      <c r="AK32" s="851"/>
      <c r="AL32" s="851"/>
      <c r="AM32" s="851"/>
      <c r="AN32" s="851"/>
      <c r="AO32" s="851"/>
      <c r="AP32" s="851">
        <v>8</v>
      </c>
    </row>
    <row r="33" spans="1:57" ht="14">
      <c r="A33" s="856">
        <v>32</v>
      </c>
      <c r="B33" s="425" t="s">
        <v>827</v>
      </c>
      <c r="C33" s="425" t="s">
        <v>39</v>
      </c>
      <c r="D33" s="425" t="s">
        <v>2377</v>
      </c>
      <c r="E33" s="425" t="s">
        <v>2443</v>
      </c>
      <c r="F33" s="425" t="s">
        <v>2386</v>
      </c>
      <c r="G33">
        <v>1</v>
      </c>
      <c r="H33" s="853">
        <v>0.53</v>
      </c>
      <c r="I33" s="853">
        <v>10.050000000000001</v>
      </c>
      <c r="J33" s="852">
        <f t="shared" si="3"/>
        <v>5.3265000000000002</v>
      </c>
      <c r="K33" s="852">
        <f t="shared" si="1"/>
        <v>0.69244500000000009</v>
      </c>
      <c r="L33">
        <v>53</v>
      </c>
      <c r="M33" s="425" t="s">
        <v>2380</v>
      </c>
      <c r="N33" s="370">
        <v>2019</v>
      </c>
      <c r="O33" s="425" t="s">
        <v>2383</v>
      </c>
      <c r="P33" s="854" t="s">
        <v>2425</v>
      </c>
      <c r="Q33" s="850" t="s">
        <v>2385</v>
      </c>
      <c r="R33" s="851">
        <v>12.5</v>
      </c>
      <c r="S33" s="851">
        <v>0</v>
      </c>
      <c r="T33" s="851">
        <v>15.6</v>
      </c>
      <c r="U33" s="851">
        <v>0</v>
      </c>
      <c r="V33" s="851">
        <v>13.75</v>
      </c>
      <c r="W33" s="851">
        <v>0</v>
      </c>
      <c r="X33" s="851">
        <v>17.2</v>
      </c>
      <c r="Y33" s="851">
        <v>0</v>
      </c>
      <c r="Z33" s="851">
        <v>31.2</v>
      </c>
      <c r="AA33" s="851">
        <v>0</v>
      </c>
      <c r="AB33" s="851">
        <v>43.7</v>
      </c>
      <c r="AC33" s="851">
        <v>0</v>
      </c>
      <c r="AD33" s="851">
        <v>75.7</v>
      </c>
      <c r="AE33" s="851">
        <v>0</v>
      </c>
      <c r="AF33" s="851">
        <v>34.299999999999997</v>
      </c>
      <c r="AG33" s="851">
        <v>0</v>
      </c>
      <c r="AH33" s="851">
        <v>62.5</v>
      </c>
      <c r="AI33" s="851">
        <v>0</v>
      </c>
      <c r="AJ33" s="851"/>
      <c r="AK33" s="851"/>
      <c r="AL33" s="851"/>
      <c r="AM33" s="851"/>
      <c r="AN33" s="851"/>
      <c r="AO33" s="851"/>
      <c r="AP33" s="851">
        <v>8</v>
      </c>
    </row>
    <row r="34" spans="1:57" ht="14">
      <c r="A34" s="856">
        <v>33</v>
      </c>
      <c r="B34" s="425" t="s">
        <v>828</v>
      </c>
      <c r="C34" s="425" t="s">
        <v>39</v>
      </c>
      <c r="D34" s="425" t="s">
        <v>2377</v>
      </c>
      <c r="E34" s="425" t="s">
        <v>2444</v>
      </c>
      <c r="F34" s="425" t="s">
        <v>830</v>
      </c>
      <c r="G34">
        <v>1</v>
      </c>
      <c r="H34" s="853">
        <v>0.53</v>
      </c>
      <c r="I34" s="853">
        <v>10.050000000000001</v>
      </c>
      <c r="J34" s="852">
        <f t="shared" si="3"/>
        <v>5.3265000000000002</v>
      </c>
      <c r="K34" s="852">
        <f t="shared" si="1"/>
        <v>0.69244500000000009</v>
      </c>
      <c r="L34">
        <v>53</v>
      </c>
      <c r="M34" s="425" t="s">
        <v>2380</v>
      </c>
      <c r="N34" s="370">
        <v>2019</v>
      </c>
      <c r="O34" s="425" t="s">
        <v>2383</v>
      </c>
      <c r="P34" s="854" t="s">
        <v>2426</v>
      </c>
      <c r="Q34" s="850" t="s">
        <v>2385</v>
      </c>
      <c r="R34" s="851">
        <v>12.5</v>
      </c>
      <c r="S34" s="851">
        <v>0</v>
      </c>
      <c r="T34" s="851">
        <v>15.6</v>
      </c>
      <c r="U34" s="851">
        <v>0</v>
      </c>
      <c r="V34" s="851">
        <v>13.75</v>
      </c>
      <c r="W34" s="851">
        <v>0</v>
      </c>
      <c r="X34" s="851">
        <v>17.2</v>
      </c>
      <c r="Y34" s="851">
        <v>0</v>
      </c>
      <c r="Z34" s="851">
        <v>31.2</v>
      </c>
      <c r="AA34" s="851">
        <v>0</v>
      </c>
      <c r="AB34" s="851">
        <v>43.7</v>
      </c>
      <c r="AC34" s="851">
        <v>0</v>
      </c>
      <c r="AD34" s="851">
        <v>75.7</v>
      </c>
      <c r="AE34" s="851">
        <v>0</v>
      </c>
      <c r="AF34" s="851">
        <v>34.299999999999997</v>
      </c>
      <c r="AG34" s="851">
        <v>0</v>
      </c>
      <c r="AH34" s="851">
        <v>62.5</v>
      </c>
      <c r="AI34" s="851">
        <v>0</v>
      </c>
      <c r="AJ34" s="851"/>
      <c r="AK34" s="851"/>
      <c r="AL34" s="851"/>
      <c r="AM34" s="851"/>
      <c r="AN34" s="851"/>
      <c r="AO34" s="851"/>
      <c r="AP34" s="851">
        <v>8</v>
      </c>
    </row>
    <row r="35" spans="1:57" ht="14">
      <c r="A35" s="856">
        <v>34</v>
      </c>
      <c r="B35" s="425" t="s">
        <v>831</v>
      </c>
      <c r="C35" s="425" t="s">
        <v>39</v>
      </c>
      <c r="D35" s="425" t="s">
        <v>2377</v>
      </c>
      <c r="E35" s="425" t="s">
        <v>2444</v>
      </c>
      <c r="F35" s="425" t="s">
        <v>832</v>
      </c>
      <c r="G35">
        <v>1</v>
      </c>
      <c r="H35" s="853">
        <v>0.53</v>
      </c>
      <c r="I35" s="853">
        <v>10.050000000000001</v>
      </c>
      <c r="J35" s="852">
        <f t="shared" si="3"/>
        <v>5.3265000000000002</v>
      </c>
      <c r="K35" s="852">
        <f t="shared" si="1"/>
        <v>0.69244500000000009</v>
      </c>
      <c r="L35">
        <v>53</v>
      </c>
      <c r="M35" s="425" t="s">
        <v>2380</v>
      </c>
      <c r="N35" s="370">
        <v>2019</v>
      </c>
      <c r="O35" s="425" t="s">
        <v>2383</v>
      </c>
      <c r="P35" s="854" t="s">
        <v>2427</v>
      </c>
      <c r="Q35" s="850" t="s">
        <v>2385</v>
      </c>
      <c r="R35" s="851">
        <v>12.5</v>
      </c>
      <c r="S35" s="851">
        <v>0</v>
      </c>
      <c r="T35" s="851">
        <v>15.6</v>
      </c>
      <c r="U35" s="851">
        <v>0</v>
      </c>
      <c r="V35" s="851">
        <v>13.75</v>
      </c>
      <c r="W35" s="851">
        <v>0</v>
      </c>
      <c r="X35" s="851">
        <v>17.2</v>
      </c>
      <c r="Y35" s="851">
        <v>0</v>
      </c>
      <c r="Z35" s="851">
        <v>31.2</v>
      </c>
      <c r="AA35" s="851">
        <v>0</v>
      </c>
      <c r="AB35" s="851">
        <v>43.7</v>
      </c>
      <c r="AC35" s="851">
        <v>0</v>
      </c>
      <c r="AD35" s="851">
        <v>75.7</v>
      </c>
      <c r="AE35" s="851">
        <v>0</v>
      </c>
      <c r="AF35" s="851">
        <v>34.299999999999997</v>
      </c>
      <c r="AG35" s="851">
        <v>0</v>
      </c>
      <c r="AH35" s="851">
        <v>62.5</v>
      </c>
      <c r="AI35" s="851">
        <v>0</v>
      </c>
      <c r="AJ35" s="851"/>
      <c r="AK35" s="851"/>
      <c r="AL35" s="851"/>
      <c r="AM35" s="851"/>
      <c r="AN35" s="851"/>
      <c r="AO35" s="851"/>
      <c r="AP35" s="851">
        <v>8</v>
      </c>
    </row>
    <row r="36" spans="1:57" ht="14">
      <c r="A36" s="856">
        <v>35</v>
      </c>
      <c r="B36" s="425" t="s">
        <v>833</v>
      </c>
      <c r="C36" s="425" t="s">
        <v>39</v>
      </c>
      <c r="D36" s="425" t="s">
        <v>2377</v>
      </c>
      <c r="E36" s="425" t="s">
        <v>2444</v>
      </c>
      <c r="F36" s="425" t="s">
        <v>835</v>
      </c>
      <c r="G36">
        <v>1</v>
      </c>
      <c r="H36" s="853">
        <v>0.53</v>
      </c>
      <c r="I36" s="853">
        <v>10.050000000000001</v>
      </c>
      <c r="J36" s="852">
        <f t="shared" si="3"/>
        <v>5.3265000000000002</v>
      </c>
      <c r="K36" s="852">
        <f t="shared" si="1"/>
        <v>0.69244500000000009</v>
      </c>
      <c r="L36">
        <v>53</v>
      </c>
      <c r="M36" s="425" t="s">
        <v>2380</v>
      </c>
      <c r="N36" s="370">
        <v>2019</v>
      </c>
      <c r="O36" s="425" t="s">
        <v>2383</v>
      </c>
      <c r="P36" s="854" t="s">
        <v>2428</v>
      </c>
      <c r="Q36" s="850" t="s">
        <v>2385</v>
      </c>
      <c r="R36" s="851">
        <v>12.5</v>
      </c>
      <c r="S36" s="851">
        <v>0</v>
      </c>
      <c r="T36" s="851">
        <v>15.6</v>
      </c>
      <c r="U36" s="851">
        <v>0</v>
      </c>
      <c r="V36" s="851">
        <v>13.75</v>
      </c>
      <c r="W36" s="851">
        <v>0</v>
      </c>
      <c r="X36" s="851">
        <v>17.2</v>
      </c>
      <c r="Y36" s="851">
        <v>0</v>
      </c>
      <c r="Z36" s="851">
        <v>31.2</v>
      </c>
      <c r="AA36" s="851">
        <v>0</v>
      </c>
      <c r="AB36" s="851">
        <v>43.7</v>
      </c>
      <c r="AC36" s="851">
        <v>0</v>
      </c>
      <c r="AD36" s="851">
        <v>75.7</v>
      </c>
      <c r="AE36" s="851">
        <v>0</v>
      </c>
      <c r="AF36" s="851">
        <v>34.299999999999997</v>
      </c>
      <c r="AG36" s="851">
        <v>0</v>
      </c>
      <c r="AH36" s="851">
        <v>62.5</v>
      </c>
      <c r="AI36" s="851">
        <v>0</v>
      </c>
      <c r="AJ36" s="851"/>
      <c r="AK36" s="851"/>
      <c r="AL36" s="851"/>
      <c r="AM36" s="851"/>
      <c r="AN36" s="851"/>
      <c r="AO36" s="851"/>
      <c r="AP36" s="851">
        <v>8</v>
      </c>
    </row>
    <row r="37" spans="1:57" ht="14">
      <c r="A37" s="856">
        <v>36</v>
      </c>
      <c r="B37" s="425" t="s">
        <v>836</v>
      </c>
      <c r="C37" s="425" t="s">
        <v>39</v>
      </c>
      <c r="D37" s="425" t="s">
        <v>2377</v>
      </c>
      <c r="E37" s="425" t="s">
        <v>2445</v>
      </c>
      <c r="F37" s="425" t="s">
        <v>791</v>
      </c>
      <c r="G37">
        <v>1</v>
      </c>
      <c r="H37" s="853">
        <v>0.53</v>
      </c>
      <c r="I37" s="853">
        <v>10.050000000000001</v>
      </c>
      <c r="J37" s="852">
        <f t="shared" si="3"/>
        <v>5.3265000000000002</v>
      </c>
      <c r="K37" s="852">
        <f t="shared" si="1"/>
        <v>0.69244500000000009</v>
      </c>
      <c r="L37">
        <v>64</v>
      </c>
      <c r="M37" s="425" t="s">
        <v>2380</v>
      </c>
      <c r="N37" s="370">
        <v>2019</v>
      </c>
      <c r="O37" s="425" t="s">
        <v>2383</v>
      </c>
      <c r="P37" s="854" t="s">
        <v>2429</v>
      </c>
      <c r="Q37" s="850" t="s">
        <v>2385</v>
      </c>
      <c r="R37" s="851">
        <v>12.5</v>
      </c>
      <c r="S37" s="851">
        <v>0</v>
      </c>
      <c r="T37" s="851">
        <v>15.6</v>
      </c>
      <c r="U37" s="851">
        <v>0</v>
      </c>
      <c r="V37" s="851">
        <v>13.75</v>
      </c>
      <c r="W37" s="851">
        <v>0</v>
      </c>
      <c r="X37" s="851">
        <v>17.2</v>
      </c>
      <c r="Y37" s="851">
        <v>0</v>
      </c>
      <c r="Z37" s="851">
        <v>31.2</v>
      </c>
      <c r="AA37" s="851">
        <v>0</v>
      </c>
      <c r="AB37" s="851">
        <v>43.7</v>
      </c>
      <c r="AC37" s="851">
        <v>0</v>
      </c>
      <c r="AD37" s="851">
        <v>75.7</v>
      </c>
      <c r="AE37" s="851">
        <v>0</v>
      </c>
      <c r="AF37" s="851">
        <v>34.299999999999997</v>
      </c>
      <c r="AG37" s="851">
        <v>0</v>
      </c>
      <c r="AH37" s="851">
        <v>62.5</v>
      </c>
      <c r="AI37" s="851">
        <v>0</v>
      </c>
      <c r="AJ37" s="851"/>
      <c r="AK37" s="851"/>
      <c r="AL37" s="851"/>
      <c r="AM37" s="851"/>
      <c r="AN37" s="851"/>
      <c r="AO37" s="851"/>
      <c r="AP37" s="851">
        <v>8</v>
      </c>
    </row>
    <row r="38" spans="1:57" ht="18" customHeight="1">
      <c r="A38" s="856">
        <v>37</v>
      </c>
      <c r="B38" s="425" t="s">
        <v>838</v>
      </c>
      <c r="C38" s="425" t="s">
        <v>39</v>
      </c>
      <c r="D38" s="425" t="s">
        <v>2377</v>
      </c>
      <c r="E38" s="425" t="s">
        <v>2445</v>
      </c>
      <c r="F38" s="425" t="s">
        <v>835</v>
      </c>
      <c r="G38">
        <v>1</v>
      </c>
      <c r="H38" s="853">
        <v>0.53</v>
      </c>
      <c r="I38" s="853">
        <v>10.050000000000001</v>
      </c>
      <c r="J38" s="852">
        <f t="shared" si="3"/>
        <v>5.3265000000000002</v>
      </c>
      <c r="K38" s="852">
        <f t="shared" si="1"/>
        <v>0.69244500000000009</v>
      </c>
      <c r="L38">
        <v>64</v>
      </c>
      <c r="M38" s="425" t="s">
        <v>2380</v>
      </c>
      <c r="N38" s="370">
        <v>2019</v>
      </c>
      <c r="O38" s="425" t="s">
        <v>2383</v>
      </c>
      <c r="P38" s="854" t="s">
        <v>2430</v>
      </c>
      <c r="Q38" s="850" t="s">
        <v>2385</v>
      </c>
      <c r="R38" s="851">
        <v>12.5</v>
      </c>
      <c r="S38" s="851">
        <v>0</v>
      </c>
      <c r="T38" s="851">
        <v>15.6</v>
      </c>
      <c r="U38" s="851">
        <v>0</v>
      </c>
      <c r="V38" s="851">
        <v>13.75</v>
      </c>
      <c r="W38" s="851">
        <v>0</v>
      </c>
      <c r="X38" s="851">
        <v>17.2</v>
      </c>
      <c r="Y38" s="851">
        <v>0</v>
      </c>
      <c r="Z38" s="851">
        <v>31.2</v>
      </c>
      <c r="AA38" s="851">
        <v>0</v>
      </c>
      <c r="AB38" s="851">
        <v>43.7</v>
      </c>
      <c r="AC38" s="851">
        <v>0</v>
      </c>
      <c r="AD38" s="851">
        <v>75.7</v>
      </c>
      <c r="AE38" s="851">
        <v>0</v>
      </c>
      <c r="AF38" s="851">
        <v>34.299999999999997</v>
      </c>
      <c r="AG38" s="851">
        <v>0</v>
      </c>
      <c r="AH38" s="851">
        <v>62.5</v>
      </c>
      <c r="AI38" s="851">
        <v>0</v>
      </c>
      <c r="AJ38" s="851"/>
      <c r="AK38" s="851"/>
      <c r="AL38" s="851"/>
      <c r="AM38" s="851"/>
      <c r="AN38" s="851"/>
      <c r="AO38" s="851"/>
      <c r="AP38" s="851">
        <v>8</v>
      </c>
      <c r="BA38" s="4" t="s">
        <v>64</v>
      </c>
      <c r="BB38" s="4" t="s">
        <v>82</v>
      </c>
      <c r="BC38" s="4" t="s">
        <v>195</v>
      </c>
      <c r="BD38" s="4" t="s">
        <v>54</v>
      </c>
      <c r="BE38" s="4" t="s">
        <v>1236</v>
      </c>
    </row>
    <row r="39" spans="1:57" ht="14">
      <c r="A39" s="856">
        <v>38</v>
      </c>
      <c r="B39" s="425" t="s">
        <v>839</v>
      </c>
      <c r="C39" s="425" t="s">
        <v>39</v>
      </c>
      <c r="D39" s="425" t="s">
        <v>2377</v>
      </c>
      <c r="E39" s="425" t="s">
        <v>2446</v>
      </c>
      <c r="F39" s="425" t="s">
        <v>840</v>
      </c>
      <c r="G39">
        <v>1</v>
      </c>
      <c r="H39" s="853">
        <v>0.53</v>
      </c>
      <c r="I39" s="853">
        <v>10.050000000000001</v>
      </c>
      <c r="J39" s="852">
        <f t="shared" si="3"/>
        <v>5.3265000000000002</v>
      </c>
      <c r="K39" s="852">
        <f t="shared" si="1"/>
        <v>0.69244500000000009</v>
      </c>
      <c r="L39">
        <v>64</v>
      </c>
      <c r="M39" s="425" t="s">
        <v>2380</v>
      </c>
      <c r="N39" s="370">
        <v>2019</v>
      </c>
      <c r="O39" s="425" t="s">
        <v>2383</v>
      </c>
      <c r="P39" s="854" t="s">
        <v>2431</v>
      </c>
      <c r="Q39" s="850" t="s">
        <v>2385</v>
      </c>
      <c r="R39" s="851">
        <v>12.5</v>
      </c>
      <c r="S39" s="851">
        <v>0</v>
      </c>
      <c r="T39" s="851">
        <v>15.6</v>
      </c>
      <c r="U39" s="851">
        <v>0</v>
      </c>
      <c r="V39" s="851">
        <v>13.75</v>
      </c>
      <c r="W39" s="851">
        <v>0</v>
      </c>
      <c r="X39" s="851">
        <v>17.2</v>
      </c>
      <c r="Y39" s="851">
        <v>0</v>
      </c>
      <c r="Z39" s="851">
        <v>31.2</v>
      </c>
      <c r="AA39" s="851">
        <v>0</v>
      </c>
      <c r="AB39" s="851">
        <v>43.7</v>
      </c>
      <c r="AC39" s="851">
        <v>0</v>
      </c>
      <c r="AD39" s="851">
        <v>75.7</v>
      </c>
      <c r="AE39" s="851">
        <v>0</v>
      </c>
      <c r="AF39" s="851">
        <v>34.299999999999997</v>
      </c>
      <c r="AG39" s="851">
        <v>0</v>
      </c>
      <c r="AH39" s="851">
        <v>62.5</v>
      </c>
      <c r="AI39" s="851">
        <v>0</v>
      </c>
      <c r="AJ39" s="851"/>
      <c r="AK39" s="851"/>
      <c r="AL39" s="851"/>
      <c r="AM39" s="851"/>
      <c r="AN39" s="851"/>
      <c r="AO39" s="851"/>
      <c r="AP39" s="851">
        <v>8</v>
      </c>
      <c r="BA39" s="119">
        <v>63.99</v>
      </c>
      <c r="BB39" s="119">
        <v>70</v>
      </c>
      <c r="BC39" s="119">
        <v>78.52</v>
      </c>
      <c r="BD39" s="119">
        <v>54.73</v>
      </c>
      <c r="BE39" s="119">
        <v>67.31</v>
      </c>
    </row>
    <row r="40" spans="1:57" ht="14">
      <c r="A40" s="856">
        <v>39</v>
      </c>
      <c r="B40" s="425" t="s">
        <v>841</v>
      </c>
      <c r="C40" s="425" t="s">
        <v>39</v>
      </c>
      <c r="D40" s="425" t="s">
        <v>2377</v>
      </c>
      <c r="E40" s="425" t="s">
        <v>2447</v>
      </c>
      <c r="F40" s="425" t="s">
        <v>791</v>
      </c>
      <c r="G40">
        <v>1</v>
      </c>
      <c r="H40" s="853">
        <v>0.53</v>
      </c>
      <c r="I40" s="853">
        <v>10.050000000000001</v>
      </c>
      <c r="J40" s="852">
        <f t="shared" si="3"/>
        <v>5.3265000000000002</v>
      </c>
      <c r="K40" s="852">
        <f t="shared" si="1"/>
        <v>0.69244500000000009</v>
      </c>
      <c r="L40">
        <v>0</v>
      </c>
      <c r="M40" s="425" t="s">
        <v>47</v>
      </c>
      <c r="N40" s="370">
        <v>2019</v>
      </c>
      <c r="O40" s="425" t="s">
        <v>2383</v>
      </c>
      <c r="P40" s="854" t="s">
        <v>2432</v>
      </c>
      <c r="Q40" s="850" t="s">
        <v>2385</v>
      </c>
      <c r="R40" s="851">
        <v>12.5</v>
      </c>
      <c r="S40" s="851">
        <v>0</v>
      </c>
      <c r="T40" s="851">
        <v>15.6</v>
      </c>
      <c r="U40" s="851">
        <v>0</v>
      </c>
      <c r="V40" s="851">
        <v>13.75</v>
      </c>
      <c r="W40" s="851">
        <v>0</v>
      </c>
      <c r="X40" s="851">
        <v>17.2</v>
      </c>
      <c r="Y40" s="851">
        <v>0</v>
      </c>
      <c r="Z40" s="851">
        <v>31.2</v>
      </c>
      <c r="AA40" s="851">
        <v>0</v>
      </c>
      <c r="AB40" s="851">
        <v>43.7</v>
      </c>
      <c r="AC40" s="851">
        <v>0</v>
      </c>
      <c r="AD40" s="851">
        <v>75.7</v>
      </c>
      <c r="AE40" s="851">
        <v>0</v>
      </c>
      <c r="AF40" s="851">
        <v>34.299999999999997</v>
      </c>
      <c r="AG40" s="851">
        <v>0</v>
      </c>
      <c r="AH40" s="851">
        <v>62.5</v>
      </c>
      <c r="AI40" s="851">
        <v>0</v>
      </c>
      <c r="AJ40" s="851"/>
      <c r="AK40" s="851"/>
      <c r="AL40" s="851"/>
      <c r="AM40" s="851"/>
      <c r="AN40" s="851"/>
      <c r="AO40" s="851"/>
      <c r="AP40" s="851">
        <v>8</v>
      </c>
    </row>
    <row r="41" spans="1:57" ht="14">
      <c r="A41" s="856">
        <v>40</v>
      </c>
      <c r="B41" s="425" t="s">
        <v>843</v>
      </c>
      <c r="C41" s="425" t="s">
        <v>39</v>
      </c>
      <c r="D41" s="425" t="s">
        <v>2377</v>
      </c>
      <c r="E41" s="425" t="s">
        <v>2447</v>
      </c>
      <c r="F41" s="425" t="s">
        <v>832</v>
      </c>
      <c r="G41">
        <v>1</v>
      </c>
      <c r="H41" s="853">
        <v>0.53</v>
      </c>
      <c r="I41" s="853">
        <v>10.050000000000001</v>
      </c>
      <c r="J41" s="852">
        <f t="shared" si="3"/>
        <v>5.3265000000000002</v>
      </c>
      <c r="K41" s="852">
        <f t="shared" si="1"/>
        <v>0.69244500000000009</v>
      </c>
      <c r="L41">
        <v>0</v>
      </c>
      <c r="M41" s="425" t="s">
        <v>47</v>
      </c>
      <c r="N41" s="370">
        <v>2019</v>
      </c>
      <c r="O41" s="425" t="s">
        <v>2383</v>
      </c>
      <c r="P41" s="854" t="s">
        <v>2433</v>
      </c>
      <c r="Q41" s="850" t="s">
        <v>2385</v>
      </c>
      <c r="R41" s="851">
        <v>12.5</v>
      </c>
      <c r="S41" s="851">
        <v>0</v>
      </c>
      <c r="T41" s="851">
        <v>15.6</v>
      </c>
      <c r="U41" s="851">
        <v>0</v>
      </c>
      <c r="V41" s="851">
        <v>13.75</v>
      </c>
      <c r="W41" s="851">
        <v>0</v>
      </c>
      <c r="X41" s="851">
        <v>17.2</v>
      </c>
      <c r="Y41" s="851">
        <v>0</v>
      </c>
      <c r="Z41" s="851">
        <v>31.2</v>
      </c>
      <c r="AA41" s="851">
        <v>0</v>
      </c>
      <c r="AB41" s="851">
        <v>43.7</v>
      </c>
      <c r="AC41" s="851">
        <v>0</v>
      </c>
      <c r="AD41" s="851">
        <v>75.7</v>
      </c>
      <c r="AE41" s="851">
        <v>0</v>
      </c>
      <c r="AF41" s="851">
        <v>34.299999999999997</v>
      </c>
      <c r="AG41" s="851">
        <v>0</v>
      </c>
      <c r="AH41" s="851">
        <v>62.5</v>
      </c>
      <c r="AI41" s="851">
        <v>0</v>
      </c>
      <c r="AJ41" s="851"/>
      <c r="AK41" s="851"/>
      <c r="AL41" s="851"/>
      <c r="AM41" s="851"/>
      <c r="AN41" s="851"/>
      <c r="AO41" s="851"/>
      <c r="AP41" s="851">
        <v>8</v>
      </c>
    </row>
    <row r="42" spans="1:57" ht="14">
      <c r="A42" s="856">
        <v>41</v>
      </c>
      <c r="B42" s="425" t="s">
        <v>845</v>
      </c>
      <c r="C42" s="425" t="s">
        <v>39</v>
      </c>
      <c r="D42" s="425" t="s">
        <v>2377</v>
      </c>
      <c r="E42" s="425" t="s">
        <v>2447</v>
      </c>
      <c r="F42" s="425" t="s">
        <v>690</v>
      </c>
      <c r="G42">
        <v>1</v>
      </c>
      <c r="H42" s="853">
        <v>0.53</v>
      </c>
      <c r="I42" s="853">
        <v>10.050000000000001</v>
      </c>
      <c r="J42" s="852">
        <f t="shared" si="3"/>
        <v>5.3265000000000002</v>
      </c>
      <c r="K42" s="852">
        <f t="shared" si="1"/>
        <v>0.69244500000000009</v>
      </c>
      <c r="L42">
        <v>0</v>
      </c>
      <c r="M42" s="425" t="s">
        <v>47</v>
      </c>
      <c r="N42" s="370">
        <v>2019</v>
      </c>
      <c r="O42" s="425" t="s">
        <v>2383</v>
      </c>
      <c r="P42" s="854" t="s">
        <v>2434</v>
      </c>
      <c r="Q42" s="850" t="s">
        <v>2385</v>
      </c>
      <c r="R42" s="851">
        <v>12.5</v>
      </c>
      <c r="S42" s="851">
        <v>0</v>
      </c>
      <c r="T42" s="851">
        <v>15.6</v>
      </c>
      <c r="U42" s="851">
        <v>0</v>
      </c>
      <c r="V42" s="851">
        <v>13.75</v>
      </c>
      <c r="W42" s="851">
        <v>0</v>
      </c>
      <c r="X42" s="851">
        <v>17.2</v>
      </c>
      <c r="Y42" s="851">
        <v>0</v>
      </c>
      <c r="Z42" s="851">
        <v>31.2</v>
      </c>
      <c r="AA42" s="851">
        <v>0</v>
      </c>
      <c r="AB42" s="851">
        <v>43.7</v>
      </c>
      <c r="AC42" s="851">
        <v>0</v>
      </c>
      <c r="AD42" s="851">
        <v>75.7</v>
      </c>
      <c r="AE42" s="851">
        <v>0</v>
      </c>
      <c r="AF42" s="851">
        <v>34.299999999999997</v>
      </c>
      <c r="AG42" s="851">
        <v>0</v>
      </c>
      <c r="AH42" s="851">
        <v>62.5</v>
      </c>
      <c r="AI42" s="851">
        <v>0</v>
      </c>
      <c r="AJ42" s="851"/>
      <c r="AK42" s="851"/>
      <c r="AL42" s="851"/>
      <c r="AM42" s="851"/>
      <c r="AN42" s="851"/>
      <c r="AO42" s="851"/>
      <c r="AP42" s="851">
        <v>8</v>
      </c>
    </row>
    <row r="43" spans="1:57" ht="14">
      <c r="A43" s="856">
        <v>42</v>
      </c>
      <c r="B43" s="425" t="s">
        <v>847</v>
      </c>
      <c r="C43" s="425" t="s">
        <v>39</v>
      </c>
      <c r="D43" s="425" t="s">
        <v>2377</v>
      </c>
      <c r="E43" s="425" t="s">
        <v>2447</v>
      </c>
      <c r="F43" s="425" t="s">
        <v>980</v>
      </c>
      <c r="G43">
        <v>1</v>
      </c>
      <c r="H43" s="853">
        <v>0.53</v>
      </c>
      <c r="I43" s="853">
        <v>10.050000000000001</v>
      </c>
      <c r="J43" s="852">
        <f t="shared" si="3"/>
        <v>5.3265000000000002</v>
      </c>
      <c r="K43" s="852">
        <f t="shared" si="1"/>
        <v>0.69244500000000009</v>
      </c>
      <c r="L43">
        <v>0</v>
      </c>
      <c r="M43" s="425" t="s">
        <v>47</v>
      </c>
      <c r="N43" s="370">
        <v>2019</v>
      </c>
      <c r="O43" s="425" t="s">
        <v>2383</v>
      </c>
      <c r="P43" s="854" t="s">
        <v>2435</v>
      </c>
      <c r="Q43" s="850" t="s">
        <v>2385</v>
      </c>
      <c r="R43" s="851">
        <v>12.5</v>
      </c>
      <c r="S43" s="851">
        <v>0</v>
      </c>
      <c r="T43" s="851">
        <v>15.6</v>
      </c>
      <c r="U43" s="851">
        <v>0</v>
      </c>
      <c r="V43" s="851">
        <v>13.75</v>
      </c>
      <c r="W43" s="851">
        <v>0</v>
      </c>
      <c r="X43" s="851">
        <v>17.2</v>
      </c>
      <c r="Y43" s="851">
        <v>0</v>
      </c>
      <c r="Z43" s="851">
        <v>31.2</v>
      </c>
      <c r="AA43" s="851">
        <v>0</v>
      </c>
      <c r="AB43" s="851">
        <v>43.7</v>
      </c>
      <c r="AC43" s="851">
        <v>0</v>
      </c>
      <c r="AD43" s="851">
        <v>75.7</v>
      </c>
      <c r="AE43" s="851">
        <v>0</v>
      </c>
      <c r="AF43" s="851">
        <v>34.299999999999997</v>
      </c>
      <c r="AG43" s="851">
        <v>0</v>
      </c>
      <c r="AH43" s="851">
        <v>62.5</v>
      </c>
      <c r="AI43" s="851">
        <v>0</v>
      </c>
      <c r="AJ43" s="851"/>
      <c r="AK43" s="851"/>
      <c r="AL43" s="851"/>
      <c r="AM43" s="851"/>
      <c r="AN43" s="851"/>
      <c r="AO43" s="851"/>
      <c r="AP43" s="851">
        <v>8</v>
      </c>
    </row>
    <row r="44" spans="1:57" ht="14">
      <c r="A44" s="856">
        <v>43</v>
      </c>
      <c r="B44" s="425" t="s">
        <v>848</v>
      </c>
      <c r="C44" s="425" t="s">
        <v>39</v>
      </c>
      <c r="D44" s="425" t="s">
        <v>2377</v>
      </c>
      <c r="E44" s="425" t="s">
        <v>2448</v>
      </c>
      <c r="F44" s="425" t="s">
        <v>650</v>
      </c>
      <c r="G44">
        <v>1</v>
      </c>
      <c r="H44" s="853">
        <v>0.53</v>
      </c>
      <c r="I44" s="853">
        <v>10.050000000000001</v>
      </c>
      <c r="J44" s="852">
        <f t="shared" si="3"/>
        <v>5.3265000000000002</v>
      </c>
      <c r="K44" s="852">
        <f t="shared" si="1"/>
        <v>0.69244500000000009</v>
      </c>
      <c r="L44">
        <v>53</v>
      </c>
      <c r="M44" s="425" t="s">
        <v>2380</v>
      </c>
      <c r="N44" s="370">
        <v>2019</v>
      </c>
      <c r="O44" s="425" t="s">
        <v>2383</v>
      </c>
      <c r="P44" s="854" t="s">
        <v>2436</v>
      </c>
      <c r="Q44" s="850" t="s">
        <v>2385</v>
      </c>
      <c r="R44" s="851">
        <v>12.5</v>
      </c>
      <c r="S44" s="851">
        <v>0</v>
      </c>
      <c r="T44" s="851">
        <v>15.6</v>
      </c>
      <c r="U44" s="851">
        <v>0</v>
      </c>
      <c r="V44" s="851">
        <v>13.75</v>
      </c>
      <c r="W44" s="851">
        <v>0</v>
      </c>
      <c r="X44" s="851">
        <v>17.2</v>
      </c>
      <c r="Y44" s="851">
        <v>0</v>
      </c>
      <c r="Z44" s="851">
        <v>31.2</v>
      </c>
      <c r="AA44" s="851">
        <v>0</v>
      </c>
      <c r="AB44" s="851">
        <v>43.7</v>
      </c>
      <c r="AC44" s="851">
        <v>0</v>
      </c>
      <c r="AD44" s="851">
        <v>75.7</v>
      </c>
      <c r="AE44" s="851">
        <v>0</v>
      </c>
      <c r="AF44" s="851">
        <v>34.299999999999997</v>
      </c>
      <c r="AG44" s="851">
        <v>0</v>
      </c>
      <c r="AH44" s="851">
        <v>62.5</v>
      </c>
      <c r="AI44" s="851">
        <v>0</v>
      </c>
      <c r="AJ44" s="851"/>
      <c r="AK44" s="851"/>
      <c r="AL44" s="851"/>
      <c r="AM44" s="851"/>
      <c r="AN44" s="851"/>
      <c r="AO44" s="851"/>
      <c r="AP44" s="851">
        <v>8</v>
      </c>
    </row>
    <row r="45" spans="1:57" ht="14">
      <c r="A45" s="856">
        <v>44</v>
      </c>
      <c r="B45" s="425" t="s">
        <v>850</v>
      </c>
      <c r="C45" s="425" t="s">
        <v>39</v>
      </c>
      <c r="D45" s="425" t="s">
        <v>2377</v>
      </c>
      <c r="E45" s="425" t="s">
        <v>2448</v>
      </c>
      <c r="F45" s="425" t="s">
        <v>980</v>
      </c>
      <c r="G45">
        <v>1</v>
      </c>
      <c r="H45" s="853">
        <v>0.53</v>
      </c>
      <c r="I45" s="853">
        <v>10.050000000000001</v>
      </c>
      <c r="J45" s="852">
        <f t="shared" si="3"/>
        <v>5.3265000000000002</v>
      </c>
      <c r="K45" s="852">
        <f t="shared" si="1"/>
        <v>0.69244500000000009</v>
      </c>
      <c r="L45">
        <v>53</v>
      </c>
      <c r="M45" s="425" t="s">
        <v>2380</v>
      </c>
      <c r="N45" s="370">
        <v>2019</v>
      </c>
      <c r="O45" s="425" t="s">
        <v>2383</v>
      </c>
      <c r="P45" s="854" t="s">
        <v>2437</v>
      </c>
      <c r="Q45" s="850" t="s">
        <v>2385</v>
      </c>
      <c r="R45" s="851">
        <v>12.5</v>
      </c>
      <c r="S45" s="851">
        <v>0</v>
      </c>
      <c r="T45" s="851">
        <v>15.6</v>
      </c>
      <c r="U45" s="851">
        <v>0</v>
      </c>
      <c r="V45" s="851">
        <v>13.75</v>
      </c>
      <c r="W45" s="851">
        <v>0</v>
      </c>
      <c r="X45" s="851">
        <v>17.2</v>
      </c>
      <c r="Y45" s="851">
        <v>0</v>
      </c>
      <c r="Z45" s="851">
        <v>31.2</v>
      </c>
      <c r="AA45" s="851">
        <v>0</v>
      </c>
      <c r="AB45" s="851">
        <v>43.7</v>
      </c>
      <c r="AC45" s="851">
        <v>0</v>
      </c>
      <c r="AD45" s="851">
        <v>75.7</v>
      </c>
      <c r="AE45" s="851">
        <v>0</v>
      </c>
      <c r="AF45" s="851">
        <v>34.299999999999997</v>
      </c>
      <c r="AG45" s="851">
        <v>0</v>
      </c>
      <c r="AH45" s="851">
        <v>62.5</v>
      </c>
      <c r="AI45" s="851">
        <v>0</v>
      </c>
      <c r="AJ45" s="851"/>
      <c r="AK45" s="851"/>
      <c r="AL45" s="851"/>
      <c r="AM45" s="851"/>
      <c r="AN45" s="851"/>
      <c r="AO45" s="851"/>
      <c r="AP45" s="851">
        <v>8</v>
      </c>
    </row>
    <row r="46" spans="1:57" ht="14">
      <c r="A46" s="856">
        <v>45</v>
      </c>
      <c r="B46" s="425" t="s">
        <v>852</v>
      </c>
      <c r="C46" s="425" t="s">
        <v>39</v>
      </c>
      <c r="D46" s="425" t="s">
        <v>2377</v>
      </c>
      <c r="E46" s="425" t="s">
        <v>2448</v>
      </c>
      <c r="F46" s="425" t="s">
        <v>522</v>
      </c>
      <c r="G46">
        <v>1</v>
      </c>
      <c r="H46" s="853">
        <v>0.53</v>
      </c>
      <c r="I46" s="853">
        <v>10.050000000000001</v>
      </c>
      <c r="J46" s="852">
        <f t="shared" si="3"/>
        <v>5.3265000000000002</v>
      </c>
      <c r="K46" s="852">
        <f t="shared" si="1"/>
        <v>0.69244500000000009</v>
      </c>
      <c r="L46">
        <v>53</v>
      </c>
      <c r="M46" s="425" t="s">
        <v>2380</v>
      </c>
      <c r="N46" s="370">
        <v>2019</v>
      </c>
      <c r="O46" s="425" t="s">
        <v>2383</v>
      </c>
      <c r="P46" s="854" t="s">
        <v>2438</v>
      </c>
      <c r="Q46" s="850" t="s">
        <v>2385</v>
      </c>
      <c r="R46" s="851">
        <v>12.5</v>
      </c>
      <c r="S46" s="851">
        <v>0</v>
      </c>
      <c r="T46" s="851">
        <v>15.6</v>
      </c>
      <c r="U46" s="851">
        <v>0</v>
      </c>
      <c r="V46" s="851">
        <v>13.75</v>
      </c>
      <c r="W46" s="851">
        <v>0</v>
      </c>
      <c r="X46" s="851">
        <v>17.2</v>
      </c>
      <c r="Y46" s="851">
        <v>0</v>
      </c>
      <c r="Z46" s="851">
        <v>31.2</v>
      </c>
      <c r="AA46" s="851">
        <v>0</v>
      </c>
      <c r="AB46" s="851">
        <v>43.7</v>
      </c>
      <c r="AC46" s="851">
        <v>0</v>
      </c>
      <c r="AD46" s="851">
        <v>75.7</v>
      </c>
      <c r="AE46" s="851">
        <v>0</v>
      </c>
      <c r="AF46" s="851">
        <v>34.299999999999997</v>
      </c>
      <c r="AG46" s="851">
        <v>0</v>
      </c>
      <c r="AH46" s="851">
        <v>62.5</v>
      </c>
      <c r="AI46" s="851">
        <v>0</v>
      </c>
      <c r="AJ46" s="851"/>
      <c r="AK46" s="851"/>
      <c r="AL46" s="851"/>
      <c r="AM46" s="851"/>
      <c r="AN46" s="851"/>
      <c r="AO46" s="851"/>
      <c r="AP46" s="851">
        <v>8</v>
      </c>
    </row>
    <row r="47" spans="1:57" ht="14">
      <c r="A47" s="856">
        <v>46</v>
      </c>
      <c r="B47" s="425" t="s">
        <v>853</v>
      </c>
      <c r="C47" s="425" t="s">
        <v>39</v>
      </c>
      <c r="D47" s="425" t="s">
        <v>2377</v>
      </c>
      <c r="E47" s="425" t="s">
        <v>2448</v>
      </c>
      <c r="F47" s="425" t="s">
        <v>854</v>
      </c>
      <c r="G47">
        <v>1</v>
      </c>
      <c r="H47" s="853">
        <v>0.53</v>
      </c>
      <c r="I47" s="853">
        <v>10.050000000000001</v>
      </c>
      <c r="J47" s="852">
        <f t="shared" si="3"/>
        <v>5.3265000000000002</v>
      </c>
      <c r="K47" s="852">
        <f t="shared" si="1"/>
        <v>0.69244500000000009</v>
      </c>
      <c r="L47">
        <v>53</v>
      </c>
      <c r="M47" s="425" t="s">
        <v>2380</v>
      </c>
      <c r="N47" s="370">
        <v>2019</v>
      </c>
      <c r="O47" s="425" t="s">
        <v>2383</v>
      </c>
      <c r="P47" s="854" t="s">
        <v>2439</v>
      </c>
      <c r="Q47" s="850" t="s">
        <v>2385</v>
      </c>
      <c r="R47" s="851">
        <v>12.5</v>
      </c>
      <c r="S47" s="851">
        <v>0</v>
      </c>
      <c r="T47" s="851">
        <v>15.6</v>
      </c>
      <c r="U47" s="851">
        <v>0</v>
      </c>
      <c r="V47" s="851">
        <v>13.75</v>
      </c>
      <c r="W47" s="851">
        <v>0</v>
      </c>
      <c r="X47" s="851">
        <v>17.2</v>
      </c>
      <c r="Y47" s="851">
        <v>0</v>
      </c>
      <c r="Z47" s="851">
        <v>31.2</v>
      </c>
      <c r="AA47" s="851">
        <v>0</v>
      </c>
      <c r="AB47" s="851">
        <v>43.7</v>
      </c>
      <c r="AC47" s="851">
        <v>0</v>
      </c>
      <c r="AD47" s="851">
        <v>75.7</v>
      </c>
      <c r="AE47" s="851">
        <v>0</v>
      </c>
      <c r="AF47" s="851">
        <v>34.299999999999997</v>
      </c>
      <c r="AG47" s="851">
        <v>0</v>
      </c>
      <c r="AH47" s="851">
        <v>62.5</v>
      </c>
      <c r="AI47" s="851">
        <v>0</v>
      </c>
      <c r="AJ47" s="851"/>
      <c r="AK47" s="851"/>
      <c r="AL47" s="851"/>
      <c r="AM47" s="851"/>
      <c r="AN47" s="851"/>
      <c r="AO47" s="851"/>
      <c r="AP47" s="851">
        <v>8</v>
      </c>
    </row>
    <row r="48" spans="1:57" ht="14">
      <c r="A48" s="856">
        <v>47</v>
      </c>
      <c r="B48" s="425" t="s">
        <v>855</v>
      </c>
      <c r="C48" s="425" t="s">
        <v>39</v>
      </c>
      <c r="D48" s="425" t="s">
        <v>2377</v>
      </c>
      <c r="E48" s="425" t="s">
        <v>2449</v>
      </c>
      <c r="F48" s="425" t="s">
        <v>515</v>
      </c>
      <c r="G48">
        <v>1</v>
      </c>
      <c r="H48" s="853">
        <v>0.53</v>
      </c>
      <c r="I48" s="853">
        <v>10.050000000000001</v>
      </c>
      <c r="J48" s="852">
        <f t="shared" si="3"/>
        <v>5.3265000000000002</v>
      </c>
      <c r="K48" s="852">
        <f t="shared" si="1"/>
        <v>0.69244500000000009</v>
      </c>
      <c r="L48">
        <v>53</v>
      </c>
      <c r="M48" s="425" t="s">
        <v>2380</v>
      </c>
      <c r="N48" s="370">
        <v>2019</v>
      </c>
      <c r="O48" s="425" t="s">
        <v>2383</v>
      </c>
      <c r="P48" s="854" t="s">
        <v>2440</v>
      </c>
      <c r="Q48" s="850" t="s">
        <v>2385</v>
      </c>
      <c r="R48" s="851">
        <v>12.5</v>
      </c>
      <c r="S48" s="851">
        <v>0</v>
      </c>
      <c r="T48" s="851">
        <v>15.6</v>
      </c>
      <c r="U48" s="851">
        <v>0</v>
      </c>
      <c r="V48" s="851">
        <v>13.75</v>
      </c>
      <c r="W48" s="851">
        <v>0</v>
      </c>
      <c r="X48" s="851">
        <v>17.2</v>
      </c>
      <c r="Y48" s="851">
        <v>0</v>
      </c>
      <c r="Z48" s="851">
        <v>31.2</v>
      </c>
      <c r="AA48" s="851">
        <v>0</v>
      </c>
      <c r="AB48" s="851">
        <v>43.7</v>
      </c>
      <c r="AC48" s="851">
        <v>0</v>
      </c>
      <c r="AD48" s="851">
        <v>75.7</v>
      </c>
      <c r="AE48" s="851">
        <v>0</v>
      </c>
      <c r="AF48" s="851">
        <v>34.299999999999997</v>
      </c>
      <c r="AG48" s="851">
        <v>0</v>
      </c>
      <c r="AH48" s="851">
        <v>62.5</v>
      </c>
      <c r="AI48" s="851">
        <v>0</v>
      </c>
      <c r="AJ48" s="851"/>
      <c r="AK48" s="851"/>
      <c r="AL48" s="851"/>
      <c r="AM48" s="851"/>
      <c r="AN48" s="851"/>
      <c r="AO48" s="851"/>
      <c r="AP48" s="851">
        <v>8</v>
      </c>
    </row>
    <row r="49" spans="1:42" ht="14">
      <c r="A49" s="856">
        <v>48</v>
      </c>
      <c r="B49" s="425" t="s">
        <v>857</v>
      </c>
      <c r="C49" s="425" t="s">
        <v>39</v>
      </c>
      <c r="D49" s="425" t="s">
        <v>2377</v>
      </c>
      <c r="E49" s="425" t="s">
        <v>2449</v>
      </c>
      <c r="F49" s="425" t="s">
        <v>690</v>
      </c>
      <c r="G49">
        <v>1</v>
      </c>
      <c r="H49" s="853">
        <v>0.53</v>
      </c>
      <c r="I49" s="853">
        <v>10.050000000000001</v>
      </c>
      <c r="J49" s="852">
        <f t="shared" si="3"/>
        <v>5.3265000000000002</v>
      </c>
      <c r="K49" s="852">
        <f t="shared" si="1"/>
        <v>0.69244500000000009</v>
      </c>
      <c r="L49">
        <v>53</v>
      </c>
      <c r="M49" s="425" t="s">
        <v>2380</v>
      </c>
      <c r="N49" s="370">
        <v>2019</v>
      </c>
      <c r="O49" s="425" t="s">
        <v>2383</v>
      </c>
      <c r="P49" s="854" t="s">
        <v>2441</v>
      </c>
      <c r="Q49" s="850" t="s">
        <v>2385</v>
      </c>
      <c r="R49" s="851">
        <v>12.5</v>
      </c>
      <c r="S49" s="851">
        <v>0</v>
      </c>
      <c r="T49" s="851">
        <v>15.6</v>
      </c>
      <c r="U49" s="851">
        <v>0</v>
      </c>
      <c r="V49" s="851">
        <v>13.75</v>
      </c>
      <c r="W49" s="851">
        <v>0</v>
      </c>
      <c r="X49" s="851">
        <v>17.2</v>
      </c>
      <c r="Y49" s="851">
        <v>0</v>
      </c>
      <c r="Z49" s="851">
        <v>31.2</v>
      </c>
      <c r="AA49" s="851">
        <v>0</v>
      </c>
      <c r="AB49" s="851">
        <v>43.7</v>
      </c>
      <c r="AC49" s="851">
        <v>0</v>
      </c>
      <c r="AD49" s="851">
        <v>75.7</v>
      </c>
      <c r="AE49" s="851">
        <v>0</v>
      </c>
      <c r="AF49" s="851">
        <v>34.299999999999997</v>
      </c>
      <c r="AG49" s="851">
        <v>0</v>
      </c>
      <c r="AH49" s="851">
        <v>62.5</v>
      </c>
      <c r="AI49" s="851">
        <v>0</v>
      </c>
      <c r="AJ49" s="851"/>
      <c r="AK49" s="851"/>
      <c r="AL49" s="851"/>
      <c r="AM49" s="851"/>
      <c r="AN49" s="851"/>
      <c r="AO49" s="851"/>
      <c r="AP49" s="851">
        <v>8</v>
      </c>
    </row>
    <row r="50" spans="1:42" ht="14">
      <c r="A50" s="856">
        <v>49</v>
      </c>
      <c r="B50" s="425" t="s">
        <v>858</v>
      </c>
      <c r="C50" s="425" t="s">
        <v>39</v>
      </c>
      <c r="D50" s="425" t="s">
        <v>2377</v>
      </c>
      <c r="E50" s="425" t="s">
        <v>2449</v>
      </c>
      <c r="F50" s="425" t="s">
        <v>980</v>
      </c>
      <c r="G50">
        <v>1</v>
      </c>
      <c r="H50" s="853">
        <v>0.53</v>
      </c>
      <c r="I50" s="853">
        <v>10.050000000000001</v>
      </c>
      <c r="J50" s="852">
        <f t="shared" si="3"/>
        <v>5.3265000000000002</v>
      </c>
      <c r="K50" s="852">
        <f t="shared" si="1"/>
        <v>0.69244500000000009</v>
      </c>
      <c r="L50">
        <v>53</v>
      </c>
      <c r="M50" s="425" t="s">
        <v>2380</v>
      </c>
      <c r="N50" s="370">
        <v>2019</v>
      </c>
      <c r="O50" s="425" t="s">
        <v>2383</v>
      </c>
      <c r="P50" s="854" t="s">
        <v>2442</v>
      </c>
      <c r="Q50" s="850" t="s">
        <v>2385</v>
      </c>
      <c r="R50" s="851">
        <v>12.5</v>
      </c>
      <c r="S50" s="851">
        <v>0</v>
      </c>
      <c r="T50" s="851">
        <v>15.6</v>
      </c>
      <c r="U50" s="851">
        <v>0</v>
      </c>
      <c r="V50" s="851">
        <v>13.75</v>
      </c>
      <c r="W50" s="851">
        <v>0</v>
      </c>
      <c r="X50" s="851">
        <v>17.2</v>
      </c>
      <c r="Y50" s="851">
        <v>0</v>
      </c>
      <c r="Z50" s="851">
        <v>31.2</v>
      </c>
      <c r="AA50" s="851">
        <v>0</v>
      </c>
      <c r="AB50" s="851">
        <v>43.7</v>
      </c>
      <c r="AC50" s="851">
        <v>0</v>
      </c>
      <c r="AD50" s="851">
        <v>75.7</v>
      </c>
      <c r="AE50" s="851">
        <v>0</v>
      </c>
      <c r="AF50" s="851">
        <v>34.299999999999997</v>
      </c>
      <c r="AG50" s="851">
        <v>0</v>
      </c>
      <c r="AH50" s="851">
        <v>62.5</v>
      </c>
      <c r="AI50" s="851">
        <v>0</v>
      </c>
      <c r="AJ50" s="851"/>
      <c r="AK50" s="851"/>
      <c r="AL50" s="851"/>
      <c r="AM50" s="851"/>
      <c r="AN50" s="851"/>
      <c r="AO50" s="851"/>
      <c r="AP50" s="851">
        <v>8</v>
      </c>
    </row>
    <row r="51" spans="1:42" ht="14">
      <c r="A51" s="856">
        <v>50</v>
      </c>
      <c r="B51" s="425" t="s">
        <v>859</v>
      </c>
      <c r="C51" s="425" t="s">
        <v>39</v>
      </c>
      <c r="D51" s="425" t="s">
        <v>2450</v>
      </c>
      <c r="E51" s="425" t="s">
        <v>2451</v>
      </c>
      <c r="F51" s="425" t="s">
        <v>791</v>
      </c>
      <c r="G51">
        <v>2</v>
      </c>
      <c r="H51" s="852">
        <v>0.9</v>
      </c>
      <c r="I51" s="852">
        <v>3</v>
      </c>
      <c r="J51" s="852">
        <f t="shared" si="3"/>
        <v>5.4</v>
      </c>
      <c r="K51" s="852">
        <f t="shared" si="1"/>
        <v>0.70199999999999996</v>
      </c>
      <c r="L51">
        <v>0</v>
      </c>
      <c r="M51" s="425" t="s">
        <v>47</v>
      </c>
      <c r="N51" s="370">
        <v>2050</v>
      </c>
      <c r="O51" s="425" t="s">
        <v>2383</v>
      </c>
      <c r="P51" s="854" t="s">
        <v>2456</v>
      </c>
      <c r="Q51" s="425" t="s">
        <v>2474</v>
      </c>
      <c r="R51" s="851">
        <v>13</v>
      </c>
      <c r="S51" s="851">
        <v>14.95</v>
      </c>
      <c r="T51" s="851">
        <v>13</v>
      </c>
      <c r="U51" s="851">
        <v>14.95</v>
      </c>
      <c r="V51" s="851">
        <v>14.3</v>
      </c>
      <c r="W51" s="851">
        <v>16.45</v>
      </c>
      <c r="X51" s="851">
        <v>14.3</v>
      </c>
      <c r="Y51" s="851">
        <v>16.45</v>
      </c>
      <c r="Z51" s="851">
        <v>26</v>
      </c>
      <c r="AA51" s="851">
        <v>30</v>
      </c>
      <c r="AB51" s="851">
        <v>35</v>
      </c>
      <c r="AC51" s="851">
        <v>40.25</v>
      </c>
      <c r="AD51" s="851">
        <v>55</v>
      </c>
      <c r="AE51" s="851">
        <v>60.5</v>
      </c>
      <c r="AF51" s="851">
        <v>25</v>
      </c>
      <c r="AG51" s="851">
        <v>28.75</v>
      </c>
      <c r="AH51" s="851">
        <v>45.45</v>
      </c>
      <c r="AI51" s="851">
        <v>50</v>
      </c>
      <c r="AJ51" s="851"/>
      <c r="AK51" s="851"/>
      <c r="AL51" s="851"/>
      <c r="AM51" s="851"/>
      <c r="AN51" s="851"/>
      <c r="AO51" s="851"/>
      <c r="AP51" s="851"/>
    </row>
    <row r="52" spans="1:42" ht="14">
      <c r="A52" s="856">
        <v>51</v>
      </c>
      <c r="B52" s="425" t="s">
        <v>862</v>
      </c>
      <c r="C52" s="425" t="s">
        <v>39</v>
      </c>
      <c r="D52" s="425" t="s">
        <v>2450</v>
      </c>
      <c r="E52" s="425" t="s">
        <v>2451</v>
      </c>
      <c r="F52" s="425" t="s">
        <v>863</v>
      </c>
      <c r="G52">
        <v>2</v>
      </c>
      <c r="H52" s="852">
        <v>0.9</v>
      </c>
      <c r="I52" s="852">
        <v>3</v>
      </c>
      <c r="J52" s="852">
        <f t="shared" ref="J52:J57" si="4">H52*I52*G52</f>
        <v>5.4</v>
      </c>
      <c r="K52" s="852">
        <f t="shared" si="1"/>
        <v>0.70199999999999996</v>
      </c>
      <c r="L52">
        <v>0</v>
      </c>
      <c r="M52" s="425" t="s">
        <v>47</v>
      </c>
      <c r="N52" s="370">
        <v>2050</v>
      </c>
      <c r="O52" s="425" t="s">
        <v>2383</v>
      </c>
      <c r="P52" s="854" t="s">
        <v>2457</v>
      </c>
      <c r="Q52" s="425" t="s">
        <v>2474</v>
      </c>
      <c r="R52" s="851">
        <v>13</v>
      </c>
      <c r="S52" s="851">
        <v>14.95</v>
      </c>
      <c r="T52" s="851">
        <v>13</v>
      </c>
      <c r="U52" s="851">
        <v>14.95</v>
      </c>
      <c r="V52" s="851">
        <v>14.3</v>
      </c>
      <c r="W52" s="851">
        <v>16.45</v>
      </c>
      <c r="X52" s="851">
        <v>14.3</v>
      </c>
      <c r="Y52" s="851">
        <v>16.45</v>
      </c>
      <c r="Z52" s="851">
        <v>26</v>
      </c>
      <c r="AA52" s="851">
        <v>30</v>
      </c>
      <c r="AB52" s="851">
        <v>35</v>
      </c>
      <c r="AC52" s="851">
        <v>40.25</v>
      </c>
      <c r="AD52" s="851">
        <v>55</v>
      </c>
      <c r="AE52" s="851">
        <v>60.5</v>
      </c>
      <c r="AF52" s="851">
        <v>25</v>
      </c>
      <c r="AG52" s="851">
        <v>28.75</v>
      </c>
      <c r="AH52" s="851">
        <v>45.45</v>
      </c>
      <c r="AI52" s="851">
        <v>50</v>
      </c>
      <c r="AJ52" s="851"/>
      <c r="AK52" s="851"/>
      <c r="AL52" s="851"/>
      <c r="AM52" s="851"/>
      <c r="AN52" s="851"/>
      <c r="AO52" s="851"/>
      <c r="AP52" s="851"/>
    </row>
    <row r="53" spans="1:42" ht="14">
      <c r="A53" s="856">
        <v>52</v>
      </c>
      <c r="B53" s="425" t="s">
        <v>864</v>
      </c>
      <c r="C53" s="425" t="s">
        <v>39</v>
      </c>
      <c r="D53" s="425" t="s">
        <v>2450</v>
      </c>
      <c r="E53" s="425" t="s">
        <v>2451</v>
      </c>
      <c r="F53" s="425" t="s">
        <v>2454</v>
      </c>
      <c r="G53">
        <v>2</v>
      </c>
      <c r="H53" s="852">
        <v>0.9</v>
      </c>
      <c r="I53" s="852">
        <v>3</v>
      </c>
      <c r="J53" s="852">
        <f t="shared" si="4"/>
        <v>5.4</v>
      </c>
      <c r="K53" s="852">
        <f t="shared" si="1"/>
        <v>0.70199999999999996</v>
      </c>
      <c r="L53">
        <v>0</v>
      </c>
      <c r="M53" s="425" t="s">
        <v>47</v>
      </c>
      <c r="N53" s="370">
        <v>2050</v>
      </c>
      <c r="O53" s="425" t="s">
        <v>2383</v>
      </c>
      <c r="P53" s="854" t="s">
        <v>2458</v>
      </c>
      <c r="Q53" s="425" t="s">
        <v>2474</v>
      </c>
      <c r="R53" s="851">
        <v>13</v>
      </c>
      <c r="S53" s="851">
        <v>14.95</v>
      </c>
      <c r="T53" s="851">
        <v>13</v>
      </c>
      <c r="U53" s="851">
        <v>14.95</v>
      </c>
      <c r="V53" s="851">
        <v>14.3</v>
      </c>
      <c r="W53" s="851">
        <v>16.45</v>
      </c>
      <c r="X53" s="851">
        <v>14.3</v>
      </c>
      <c r="Y53" s="851">
        <v>16.45</v>
      </c>
      <c r="Z53" s="851">
        <v>26</v>
      </c>
      <c r="AA53" s="851">
        <v>30</v>
      </c>
      <c r="AB53" s="851">
        <v>35</v>
      </c>
      <c r="AC53" s="851">
        <v>40.25</v>
      </c>
      <c r="AD53" s="851">
        <v>55</v>
      </c>
      <c r="AE53" s="851">
        <v>60.5</v>
      </c>
      <c r="AF53" s="851">
        <v>25</v>
      </c>
      <c r="AG53" s="851">
        <v>28.75</v>
      </c>
      <c r="AH53" s="851">
        <v>45.45</v>
      </c>
      <c r="AI53" s="851">
        <v>50</v>
      </c>
      <c r="AJ53" s="851"/>
      <c r="AK53" s="851"/>
      <c r="AL53" s="851"/>
      <c r="AM53" s="851"/>
      <c r="AN53" s="851"/>
      <c r="AO53" s="851"/>
      <c r="AP53" s="851"/>
    </row>
    <row r="54" spans="1:42" ht="14">
      <c r="A54" s="856">
        <v>53</v>
      </c>
      <c r="B54" s="425" t="s">
        <v>866</v>
      </c>
      <c r="C54" s="425" t="s">
        <v>39</v>
      </c>
      <c r="D54" s="425" t="s">
        <v>2450</v>
      </c>
      <c r="E54" s="425" t="s">
        <v>2451</v>
      </c>
      <c r="F54" s="425" t="s">
        <v>807</v>
      </c>
      <c r="G54">
        <v>2</v>
      </c>
      <c r="H54" s="852">
        <v>0.9</v>
      </c>
      <c r="I54" s="852">
        <v>3</v>
      </c>
      <c r="J54" s="852">
        <f t="shared" si="4"/>
        <v>5.4</v>
      </c>
      <c r="K54" s="852">
        <f t="shared" si="1"/>
        <v>0.70199999999999996</v>
      </c>
      <c r="L54">
        <v>0</v>
      </c>
      <c r="M54" s="425" t="s">
        <v>47</v>
      </c>
      <c r="N54" s="370">
        <v>2050</v>
      </c>
      <c r="O54" s="425" t="s">
        <v>2383</v>
      </c>
      <c r="P54" s="854" t="s">
        <v>2459</v>
      </c>
      <c r="Q54" s="425" t="s">
        <v>2474</v>
      </c>
      <c r="R54" s="851">
        <v>13</v>
      </c>
      <c r="S54" s="851">
        <v>14.95</v>
      </c>
      <c r="T54" s="851">
        <v>13</v>
      </c>
      <c r="U54" s="851">
        <v>14.95</v>
      </c>
      <c r="V54" s="851">
        <v>14.3</v>
      </c>
      <c r="W54" s="851">
        <v>16.45</v>
      </c>
      <c r="X54" s="851">
        <v>14.3</v>
      </c>
      <c r="Y54" s="851">
        <v>16.45</v>
      </c>
      <c r="Z54" s="851">
        <v>26</v>
      </c>
      <c r="AA54" s="851">
        <v>30</v>
      </c>
      <c r="AB54" s="851">
        <v>35</v>
      </c>
      <c r="AC54" s="851">
        <v>40.25</v>
      </c>
      <c r="AD54" s="851">
        <v>55</v>
      </c>
      <c r="AE54" s="851">
        <v>60.5</v>
      </c>
      <c r="AF54" s="851">
        <v>25</v>
      </c>
      <c r="AG54" s="851">
        <v>28.75</v>
      </c>
      <c r="AH54" s="851">
        <v>45.45</v>
      </c>
      <c r="AI54" s="851">
        <v>50</v>
      </c>
      <c r="AJ54" s="851"/>
      <c r="AK54" s="851"/>
      <c r="AL54" s="851"/>
      <c r="AM54" s="851"/>
      <c r="AN54" s="851"/>
      <c r="AO54" s="851"/>
      <c r="AP54" s="851"/>
    </row>
    <row r="55" spans="1:42" ht="14">
      <c r="A55" s="856">
        <v>54</v>
      </c>
      <c r="B55" s="425" t="s">
        <v>867</v>
      </c>
      <c r="C55" s="425" t="s">
        <v>39</v>
      </c>
      <c r="D55" s="425" t="s">
        <v>2450</v>
      </c>
      <c r="E55" s="425" t="s">
        <v>2451</v>
      </c>
      <c r="F55" s="425" t="s">
        <v>515</v>
      </c>
      <c r="G55">
        <v>2</v>
      </c>
      <c r="H55" s="852">
        <v>0.9</v>
      </c>
      <c r="I55" s="852">
        <v>3</v>
      </c>
      <c r="J55" s="852">
        <f t="shared" si="4"/>
        <v>5.4</v>
      </c>
      <c r="K55" s="852">
        <f t="shared" si="1"/>
        <v>0.70199999999999996</v>
      </c>
      <c r="L55">
        <v>0</v>
      </c>
      <c r="M55" s="425" t="s">
        <v>47</v>
      </c>
      <c r="N55" s="370">
        <v>2050</v>
      </c>
      <c r="O55" s="425" t="s">
        <v>2383</v>
      </c>
      <c r="P55" s="854" t="s">
        <v>2460</v>
      </c>
      <c r="Q55" s="425" t="s">
        <v>2474</v>
      </c>
      <c r="R55" s="851">
        <v>13</v>
      </c>
      <c r="S55" s="851">
        <v>14.95</v>
      </c>
      <c r="T55" s="851">
        <v>13</v>
      </c>
      <c r="U55" s="851">
        <v>14.95</v>
      </c>
      <c r="V55" s="851">
        <v>14.3</v>
      </c>
      <c r="W55" s="851">
        <v>16.45</v>
      </c>
      <c r="X55" s="851">
        <v>14.3</v>
      </c>
      <c r="Y55" s="851">
        <v>16.45</v>
      </c>
      <c r="Z55" s="851">
        <v>26</v>
      </c>
      <c r="AA55" s="851">
        <v>30</v>
      </c>
      <c r="AB55" s="851">
        <v>35</v>
      </c>
      <c r="AC55" s="851">
        <v>40.25</v>
      </c>
      <c r="AD55" s="851">
        <v>55</v>
      </c>
      <c r="AE55" s="851">
        <v>60.5</v>
      </c>
      <c r="AF55" s="851">
        <v>25</v>
      </c>
      <c r="AG55" s="851">
        <v>28.75</v>
      </c>
      <c r="AH55" s="851">
        <v>45.45</v>
      </c>
      <c r="AI55" s="851">
        <v>50</v>
      </c>
      <c r="AJ55" s="851"/>
      <c r="AK55" s="851"/>
      <c r="AL55" s="851"/>
      <c r="AM55" s="851"/>
      <c r="AN55" s="851"/>
      <c r="AO55" s="851"/>
      <c r="AP55" s="851"/>
    </row>
    <row r="56" spans="1:42" ht="14">
      <c r="A56" s="856">
        <v>55</v>
      </c>
      <c r="B56" s="425" t="s">
        <v>868</v>
      </c>
      <c r="C56" s="425" t="s">
        <v>39</v>
      </c>
      <c r="D56" s="425" t="s">
        <v>2450</v>
      </c>
      <c r="E56" s="425" t="s">
        <v>2451</v>
      </c>
      <c r="F56" s="425" t="s">
        <v>793</v>
      </c>
      <c r="G56">
        <v>2</v>
      </c>
      <c r="H56" s="852">
        <v>0.9</v>
      </c>
      <c r="I56" s="852">
        <v>3</v>
      </c>
      <c r="J56" s="852">
        <f t="shared" si="4"/>
        <v>5.4</v>
      </c>
      <c r="K56" s="852">
        <f t="shared" si="1"/>
        <v>0.70199999999999996</v>
      </c>
      <c r="L56">
        <v>0</v>
      </c>
      <c r="M56" s="425" t="s">
        <v>47</v>
      </c>
      <c r="N56" s="370">
        <v>2050</v>
      </c>
      <c r="O56" s="425" t="s">
        <v>2383</v>
      </c>
      <c r="P56" s="854" t="s">
        <v>2461</v>
      </c>
      <c r="Q56" s="425" t="s">
        <v>2474</v>
      </c>
      <c r="R56" s="851">
        <v>13</v>
      </c>
      <c r="S56" s="851">
        <v>14.95</v>
      </c>
      <c r="T56" s="851">
        <v>13</v>
      </c>
      <c r="U56" s="851">
        <v>14.95</v>
      </c>
      <c r="V56" s="851">
        <v>14.3</v>
      </c>
      <c r="W56" s="851">
        <v>16.45</v>
      </c>
      <c r="X56" s="851">
        <v>14.3</v>
      </c>
      <c r="Y56" s="851">
        <v>16.45</v>
      </c>
      <c r="Z56" s="851">
        <v>26</v>
      </c>
      <c r="AA56" s="851">
        <v>30</v>
      </c>
      <c r="AB56" s="851">
        <v>35</v>
      </c>
      <c r="AC56" s="851">
        <v>40.25</v>
      </c>
      <c r="AD56" s="851">
        <v>55</v>
      </c>
      <c r="AE56" s="851">
        <v>60.5</v>
      </c>
      <c r="AF56" s="851">
        <v>25</v>
      </c>
      <c r="AG56" s="851">
        <v>28.75</v>
      </c>
      <c r="AH56" s="851">
        <v>45.45</v>
      </c>
      <c r="AI56" s="851">
        <v>50</v>
      </c>
      <c r="AJ56" s="851"/>
      <c r="AK56" s="851"/>
      <c r="AL56" s="851"/>
      <c r="AM56" s="851"/>
      <c r="AN56" s="851"/>
      <c r="AO56" s="851"/>
      <c r="AP56" s="851"/>
    </row>
    <row r="57" spans="1:42" ht="14">
      <c r="A57" s="856">
        <v>56</v>
      </c>
      <c r="B57" s="425" t="s">
        <v>870</v>
      </c>
      <c r="C57" s="425" t="s">
        <v>39</v>
      </c>
      <c r="D57" s="425" t="s">
        <v>2450</v>
      </c>
      <c r="E57" s="425" t="s">
        <v>2452</v>
      </c>
      <c r="F57" s="425" t="s">
        <v>2454</v>
      </c>
      <c r="G57">
        <v>1</v>
      </c>
      <c r="H57" s="852">
        <v>0.9</v>
      </c>
      <c r="I57" s="852">
        <v>6</v>
      </c>
      <c r="J57" s="852">
        <f t="shared" si="4"/>
        <v>5.4</v>
      </c>
      <c r="K57" s="852">
        <f t="shared" si="1"/>
        <v>0.70199999999999996</v>
      </c>
      <c r="L57">
        <v>0</v>
      </c>
      <c r="M57" s="425" t="s">
        <v>47</v>
      </c>
      <c r="N57" s="370">
        <v>2050</v>
      </c>
      <c r="O57" s="425" t="s">
        <v>2383</v>
      </c>
      <c r="P57" s="854" t="s">
        <v>2462</v>
      </c>
      <c r="Q57" s="425" t="s">
        <v>2474</v>
      </c>
      <c r="R57" s="851">
        <v>13</v>
      </c>
      <c r="S57" s="851">
        <v>14.95</v>
      </c>
      <c r="T57" s="851">
        <v>13</v>
      </c>
      <c r="U57" s="851">
        <v>14.95</v>
      </c>
      <c r="V57" s="851">
        <v>14.3</v>
      </c>
      <c r="W57" s="851">
        <v>16.45</v>
      </c>
      <c r="X57" s="851">
        <v>14.3</v>
      </c>
      <c r="Y57" s="851">
        <v>16.45</v>
      </c>
      <c r="Z57" s="851">
        <v>26</v>
      </c>
      <c r="AA57" s="851">
        <v>30</v>
      </c>
      <c r="AB57" s="851">
        <v>35</v>
      </c>
      <c r="AC57" s="851">
        <v>40.25</v>
      </c>
      <c r="AD57" s="851">
        <v>55</v>
      </c>
      <c r="AE57" s="851">
        <v>60.5</v>
      </c>
      <c r="AF57" s="851">
        <v>25</v>
      </c>
      <c r="AG57" s="851">
        <v>28.75</v>
      </c>
      <c r="AH57" s="851">
        <v>45.45</v>
      </c>
      <c r="AI57" s="851">
        <v>50</v>
      </c>
      <c r="AJ57" s="851"/>
      <c r="AK57" s="851"/>
      <c r="AL57" s="851"/>
      <c r="AM57" s="851"/>
      <c r="AN57" s="851"/>
      <c r="AO57" s="851"/>
      <c r="AP57" s="851"/>
    </row>
    <row r="58" spans="1:42" ht="14">
      <c r="A58" s="856">
        <v>57</v>
      </c>
      <c r="B58" s="425" t="s">
        <v>872</v>
      </c>
      <c r="C58" s="425" t="s">
        <v>39</v>
      </c>
      <c r="D58" s="425" t="s">
        <v>2450</v>
      </c>
      <c r="E58" s="425" t="s">
        <v>2452</v>
      </c>
      <c r="F58" s="425" t="s">
        <v>854</v>
      </c>
      <c r="G58">
        <v>1</v>
      </c>
      <c r="H58" s="852">
        <v>0.9</v>
      </c>
      <c r="I58" s="852">
        <v>6</v>
      </c>
      <c r="J58" s="852">
        <f t="shared" ref="J58:J68" si="5">H58*I58*G58</f>
        <v>5.4</v>
      </c>
      <c r="K58" s="852">
        <f t="shared" si="1"/>
        <v>0.70199999999999996</v>
      </c>
      <c r="L58">
        <v>0</v>
      </c>
      <c r="M58" s="425" t="s">
        <v>47</v>
      </c>
      <c r="N58" s="370">
        <v>2050</v>
      </c>
      <c r="O58" s="425" t="s">
        <v>2383</v>
      </c>
      <c r="P58" s="854" t="s">
        <v>2463</v>
      </c>
      <c r="Q58" s="425" t="s">
        <v>2474</v>
      </c>
      <c r="R58" s="851">
        <v>13</v>
      </c>
      <c r="S58" s="851">
        <v>14.95</v>
      </c>
      <c r="T58" s="851">
        <v>13</v>
      </c>
      <c r="U58" s="851">
        <v>14.95</v>
      </c>
      <c r="V58" s="851">
        <v>14.3</v>
      </c>
      <c r="W58" s="851">
        <v>16.45</v>
      </c>
      <c r="X58" s="851">
        <v>14.3</v>
      </c>
      <c r="Y58" s="851">
        <v>16.45</v>
      </c>
      <c r="Z58" s="851">
        <v>26</v>
      </c>
      <c r="AA58" s="851">
        <v>30</v>
      </c>
      <c r="AB58" s="851">
        <v>35</v>
      </c>
      <c r="AC58" s="851">
        <v>40.25</v>
      </c>
      <c r="AD58" s="851">
        <v>55</v>
      </c>
      <c r="AE58" s="851">
        <v>60.5</v>
      </c>
      <c r="AF58" s="851">
        <v>25</v>
      </c>
      <c r="AG58" s="851">
        <v>28.75</v>
      </c>
      <c r="AH58" s="851">
        <v>45.45</v>
      </c>
      <c r="AI58" s="851">
        <v>50</v>
      </c>
      <c r="AJ58" s="851"/>
      <c r="AK58" s="851"/>
      <c r="AL58" s="851"/>
      <c r="AM58" s="851"/>
      <c r="AN58" s="851"/>
      <c r="AO58" s="851"/>
      <c r="AP58" s="851"/>
    </row>
    <row r="59" spans="1:42" ht="14">
      <c r="A59" s="856">
        <v>58</v>
      </c>
      <c r="B59" s="425" t="s">
        <v>874</v>
      </c>
      <c r="C59" s="425" t="s">
        <v>39</v>
      </c>
      <c r="D59" s="425" t="s">
        <v>2450</v>
      </c>
      <c r="E59" s="425" t="s">
        <v>2452</v>
      </c>
      <c r="F59" s="425" t="s">
        <v>980</v>
      </c>
      <c r="G59">
        <v>1</v>
      </c>
      <c r="H59" s="852">
        <v>0.9</v>
      </c>
      <c r="I59" s="852">
        <v>6</v>
      </c>
      <c r="J59" s="852">
        <f t="shared" si="5"/>
        <v>5.4</v>
      </c>
      <c r="K59" s="852">
        <f t="shared" si="1"/>
        <v>0.70199999999999996</v>
      </c>
      <c r="L59">
        <v>0</v>
      </c>
      <c r="M59" s="425" t="s">
        <v>47</v>
      </c>
      <c r="N59" s="370">
        <v>2050</v>
      </c>
      <c r="O59" s="425" t="s">
        <v>2383</v>
      </c>
      <c r="P59" s="854" t="s">
        <v>2464</v>
      </c>
      <c r="Q59" s="425" t="s">
        <v>2474</v>
      </c>
      <c r="R59" s="851">
        <v>13</v>
      </c>
      <c r="S59" s="851">
        <v>14.95</v>
      </c>
      <c r="T59" s="851">
        <v>13</v>
      </c>
      <c r="U59" s="851">
        <v>14.95</v>
      </c>
      <c r="V59" s="851">
        <v>14.3</v>
      </c>
      <c r="W59" s="851">
        <v>16.45</v>
      </c>
      <c r="X59" s="851">
        <v>14.3</v>
      </c>
      <c r="Y59" s="851">
        <v>16.45</v>
      </c>
      <c r="Z59" s="851">
        <v>26</v>
      </c>
      <c r="AA59" s="851">
        <v>30</v>
      </c>
      <c r="AB59" s="851">
        <v>35</v>
      </c>
      <c r="AC59" s="851">
        <v>40.25</v>
      </c>
      <c r="AD59" s="851">
        <v>55</v>
      </c>
      <c r="AE59" s="851">
        <v>60.5</v>
      </c>
      <c r="AF59" s="851">
        <v>25</v>
      </c>
      <c r="AG59" s="851">
        <v>28.75</v>
      </c>
      <c r="AH59" s="851">
        <v>45.45</v>
      </c>
      <c r="AI59" s="851">
        <v>50</v>
      </c>
      <c r="AJ59" s="851"/>
      <c r="AK59" s="851"/>
      <c r="AL59" s="851"/>
      <c r="AM59" s="851"/>
      <c r="AN59" s="851"/>
      <c r="AO59" s="851"/>
      <c r="AP59" s="851"/>
    </row>
    <row r="60" spans="1:42" ht="14">
      <c r="A60" s="856">
        <v>59</v>
      </c>
      <c r="B60" s="425" t="s">
        <v>875</v>
      </c>
      <c r="C60" s="425" t="s">
        <v>39</v>
      </c>
      <c r="D60" s="425" t="s">
        <v>2450</v>
      </c>
      <c r="E60" s="425" t="s">
        <v>2452</v>
      </c>
      <c r="F60" s="425" t="s">
        <v>2455</v>
      </c>
      <c r="G60">
        <v>1</v>
      </c>
      <c r="H60" s="852">
        <v>0.9</v>
      </c>
      <c r="I60" s="852">
        <v>6</v>
      </c>
      <c r="J60" s="852">
        <f t="shared" si="5"/>
        <v>5.4</v>
      </c>
      <c r="K60" s="852">
        <f t="shared" si="1"/>
        <v>0.70199999999999996</v>
      </c>
      <c r="L60">
        <v>0</v>
      </c>
      <c r="M60" s="425" t="s">
        <v>47</v>
      </c>
      <c r="N60" s="370">
        <v>2050</v>
      </c>
      <c r="O60" s="425" t="s">
        <v>2383</v>
      </c>
      <c r="P60" s="854" t="s">
        <v>2465</v>
      </c>
      <c r="Q60" s="425" t="s">
        <v>2474</v>
      </c>
      <c r="R60" s="851">
        <v>13</v>
      </c>
      <c r="S60" s="851">
        <v>14.95</v>
      </c>
      <c r="T60" s="851">
        <v>13</v>
      </c>
      <c r="U60" s="851">
        <v>14.95</v>
      </c>
      <c r="V60" s="851">
        <v>14.3</v>
      </c>
      <c r="W60" s="851">
        <v>16.45</v>
      </c>
      <c r="X60" s="851">
        <v>14.3</v>
      </c>
      <c r="Y60" s="851">
        <v>16.45</v>
      </c>
      <c r="Z60" s="851">
        <v>26</v>
      </c>
      <c r="AA60" s="851">
        <v>30</v>
      </c>
      <c r="AB60" s="851">
        <v>35</v>
      </c>
      <c r="AC60" s="851">
        <v>40.25</v>
      </c>
      <c r="AD60" s="851">
        <v>55</v>
      </c>
      <c r="AE60" s="851">
        <v>60.5</v>
      </c>
      <c r="AF60" s="851">
        <v>25</v>
      </c>
      <c r="AG60" s="851">
        <v>28.75</v>
      </c>
      <c r="AH60" s="851">
        <v>45.45</v>
      </c>
      <c r="AI60" s="851">
        <v>50</v>
      </c>
      <c r="AJ60" s="851"/>
      <c r="AK60" s="851"/>
      <c r="AL60" s="851"/>
      <c r="AM60" s="851"/>
      <c r="AN60" s="851"/>
      <c r="AO60" s="851"/>
      <c r="AP60" s="851"/>
    </row>
    <row r="61" spans="1:42" ht="14">
      <c r="A61" s="856">
        <v>60</v>
      </c>
      <c r="B61" s="425" t="s">
        <v>876</v>
      </c>
      <c r="C61" s="425" t="s">
        <v>39</v>
      </c>
      <c r="D61" s="425" t="s">
        <v>2450</v>
      </c>
      <c r="E61" s="425" t="s">
        <v>2452</v>
      </c>
      <c r="F61" s="425" t="s">
        <v>807</v>
      </c>
      <c r="G61">
        <v>1</v>
      </c>
      <c r="H61" s="852">
        <v>0.9</v>
      </c>
      <c r="I61" s="852">
        <v>6</v>
      </c>
      <c r="J61" s="852">
        <f t="shared" si="5"/>
        <v>5.4</v>
      </c>
      <c r="K61" s="852">
        <f t="shared" si="1"/>
        <v>0.70199999999999996</v>
      </c>
      <c r="L61">
        <v>0</v>
      </c>
      <c r="M61" s="425" t="s">
        <v>47</v>
      </c>
      <c r="N61" s="370">
        <v>2050</v>
      </c>
      <c r="O61" s="425" t="s">
        <v>2383</v>
      </c>
      <c r="P61" s="854" t="s">
        <v>2466</v>
      </c>
      <c r="Q61" s="425" t="s">
        <v>2474</v>
      </c>
      <c r="R61" s="851">
        <v>13</v>
      </c>
      <c r="S61" s="851">
        <v>14.95</v>
      </c>
      <c r="T61" s="851">
        <v>13</v>
      </c>
      <c r="U61" s="851">
        <v>14.95</v>
      </c>
      <c r="V61" s="851">
        <v>14.3</v>
      </c>
      <c r="W61" s="851">
        <v>16.45</v>
      </c>
      <c r="X61" s="851">
        <v>14.3</v>
      </c>
      <c r="Y61" s="851">
        <v>16.45</v>
      </c>
      <c r="Z61" s="851">
        <v>26</v>
      </c>
      <c r="AA61" s="851">
        <v>30</v>
      </c>
      <c r="AB61" s="851">
        <v>35</v>
      </c>
      <c r="AC61" s="851">
        <v>40.25</v>
      </c>
      <c r="AD61" s="851">
        <v>55</v>
      </c>
      <c r="AE61" s="851">
        <v>60.5</v>
      </c>
      <c r="AF61" s="851">
        <v>25</v>
      </c>
      <c r="AG61" s="851">
        <v>28.75</v>
      </c>
      <c r="AH61" s="851">
        <v>45.45</v>
      </c>
      <c r="AI61" s="851">
        <v>50</v>
      </c>
      <c r="AJ61" s="851"/>
      <c r="AK61" s="851"/>
      <c r="AL61" s="851"/>
      <c r="AM61" s="851"/>
      <c r="AN61" s="851"/>
      <c r="AO61" s="851"/>
      <c r="AP61" s="851"/>
    </row>
    <row r="62" spans="1:42" ht="14">
      <c r="A62" s="856">
        <v>61</v>
      </c>
      <c r="B62" s="425" t="s">
        <v>878</v>
      </c>
      <c r="C62" s="425" t="s">
        <v>39</v>
      </c>
      <c r="D62" s="425" t="s">
        <v>2450</v>
      </c>
      <c r="E62" s="425" t="s">
        <v>2452</v>
      </c>
      <c r="F62" s="425" t="s">
        <v>793</v>
      </c>
      <c r="G62">
        <v>1</v>
      </c>
      <c r="H62" s="852">
        <v>0.9</v>
      </c>
      <c r="I62" s="852">
        <v>6</v>
      </c>
      <c r="J62" s="852">
        <f t="shared" si="5"/>
        <v>5.4</v>
      </c>
      <c r="K62" s="852">
        <f t="shared" si="1"/>
        <v>0.70199999999999996</v>
      </c>
      <c r="L62">
        <v>0</v>
      </c>
      <c r="M62" s="425" t="s">
        <v>47</v>
      </c>
      <c r="N62" s="370">
        <v>2050</v>
      </c>
      <c r="O62" s="425" t="s">
        <v>2383</v>
      </c>
      <c r="P62" s="854" t="s">
        <v>2467</v>
      </c>
      <c r="Q62" s="425" t="s">
        <v>2474</v>
      </c>
      <c r="R62" s="851">
        <v>13</v>
      </c>
      <c r="S62" s="851">
        <v>14.95</v>
      </c>
      <c r="T62" s="851">
        <v>13</v>
      </c>
      <c r="U62" s="851">
        <v>14.95</v>
      </c>
      <c r="V62" s="851">
        <v>14.3</v>
      </c>
      <c r="W62" s="851">
        <v>16.45</v>
      </c>
      <c r="X62" s="851">
        <v>14.3</v>
      </c>
      <c r="Y62" s="851">
        <v>16.45</v>
      </c>
      <c r="Z62" s="851">
        <v>26</v>
      </c>
      <c r="AA62" s="851">
        <v>30</v>
      </c>
      <c r="AB62" s="851">
        <v>35</v>
      </c>
      <c r="AC62" s="851">
        <v>40.25</v>
      </c>
      <c r="AD62" s="851">
        <v>55</v>
      </c>
      <c r="AE62" s="851">
        <v>60.5</v>
      </c>
      <c r="AF62" s="851">
        <v>25</v>
      </c>
      <c r="AG62" s="851">
        <v>28.75</v>
      </c>
      <c r="AH62" s="851">
        <v>45.45</v>
      </c>
      <c r="AI62" s="851">
        <v>50</v>
      </c>
      <c r="AJ62" s="851"/>
      <c r="AK62" s="851"/>
      <c r="AL62" s="851"/>
      <c r="AM62" s="851"/>
      <c r="AN62" s="851"/>
      <c r="AO62" s="851"/>
      <c r="AP62" s="851"/>
    </row>
    <row r="63" spans="1:42" ht="14">
      <c r="A63" s="856">
        <v>62</v>
      </c>
      <c r="B63" s="425" t="s">
        <v>879</v>
      </c>
      <c r="C63" s="425" t="s">
        <v>39</v>
      </c>
      <c r="D63" s="425" t="s">
        <v>2450</v>
      </c>
      <c r="E63" s="425" t="s">
        <v>2453</v>
      </c>
      <c r="F63" s="425" t="s">
        <v>2454</v>
      </c>
      <c r="G63">
        <v>1</v>
      </c>
      <c r="H63" s="852">
        <v>0.9</v>
      </c>
      <c r="I63" s="852">
        <v>6</v>
      </c>
      <c r="J63" s="852">
        <f t="shared" si="5"/>
        <v>5.4</v>
      </c>
      <c r="K63" s="852">
        <f t="shared" si="1"/>
        <v>0.70199999999999996</v>
      </c>
      <c r="L63">
        <v>0</v>
      </c>
      <c r="M63" s="425" t="s">
        <v>47</v>
      </c>
      <c r="N63" s="370">
        <v>2050</v>
      </c>
      <c r="O63" s="425" t="s">
        <v>2383</v>
      </c>
      <c r="P63" s="854" t="s">
        <v>2468</v>
      </c>
      <c r="Q63" s="425" t="s">
        <v>2474</v>
      </c>
      <c r="R63" s="851">
        <v>13</v>
      </c>
      <c r="S63" s="851">
        <v>14.95</v>
      </c>
      <c r="T63" s="851">
        <v>13</v>
      </c>
      <c r="U63" s="851">
        <v>14.95</v>
      </c>
      <c r="V63" s="851">
        <v>14.3</v>
      </c>
      <c r="W63" s="851">
        <v>16.45</v>
      </c>
      <c r="X63" s="851">
        <v>14.3</v>
      </c>
      <c r="Y63" s="851">
        <v>16.45</v>
      </c>
      <c r="Z63" s="851">
        <v>26</v>
      </c>
      <c r="AA63" s="851">
        <v>30</v>
      </c>
      <c r="AB63" s="851">
        <v>35</v>
      </c>
      <c r="AC63" s="851">
        <v>40.25</v>
      </c>
      <c r="AD63" s="851">
        <v>55</v>
      </c>
      <c r="AE63" s="851">
        <v>60.5</v>
      </c>
      <c r="AF63" s="851">
        <v>25</v>
      </c>
      <c r="AG63" s="851">
        <v>28.75</v>
      </c>
      <c r="AH63" s="851">
        <v>45.45</v>
      </c>
      <c r="AI63" s="851">
        <v>50</v>
      </c>
      <c r="AJ63" s="851"/>
      <c r="AK63" s="851"/>
      <c r="AL63" s="851"/>
      <c r="AM63" s="851"/>
      <c r="AN63" s="851"/>
      <c r="AO63" s="851"/>
      <c r="AP63" s="851"/>
    </row>
    <row r="64" spans="1:42" ht="14">
      <c r="A64" s="856">
        <v>63</v>
      </c>
      <c r="B64" s="425" t="s">
        <v>881</v>
      </c>
      <c r="C64" s="425" t="s">
        <v>39</v>
      </c>
      <c r="D64" s="425" t="s">
        <v>2450</v>
      </c>
      <c r="E64" s="425" t="s">
        <v>2453</v>
      </c>
      <c r="F64" s="425" t="s">
        <v>882</v>
      </c>
      <c r="G64">
        <v>1</v>
      </c>
      <c r="H64" s="852">
        <v>0.9</v>
      </c>
      <c r="I64" s="852">
        <v>6</v>
      </c>
      <c r="J64" s="852">
        <f t="shared" si="5"/>
        <v>5.4</v>
      </c>
      <c r="K64" s="852">
        <f t="shared" si="1"/>
        <v>0.70199999999999996</v>
      </c>
      <c r="L64">
        <v>0</v>
      </c>
      <c r="M64" s="425" t="s">
        <v>47</v>
      </c>
      <c r="N64" s="370">
        <v>2050</v>
      </c>
      <c r="O64" s="425" t="s">
        <v>2383</v>
      </c>
      <c r="P64" s="854" t="s">
        <v>2469</v>
      </c>
      <c r="Q64" s="425" t="s">
        <v>2474</v>
      </c>
      <c r="R64" s="851">
        <v>13</v>
      </c>
      <c r="S64" s="851">
        <v>14.95</v>
      </c>
      <c r="T64" s="851">
        <v>13</v>
      </c>
      <c r="U64" s="851">
        <v>14.95</v>
      </c>
      <c r="V64" s="851">
        <v>14.3</v>
      </c>
      <c r="W64" s="851">
        <v>16.45</v>
      </c>
      <c r="X64" s="851">
        <v>14.3</v>
      </c>
      <c r="Y64" s="851">
        <v>16.45</v>
      </c>
      <c r="Z64" s="851">
        <v>26</v>
      </c>
      <c r="AA64" s="851">
        <v>30</v>
      </c>
      <c r="AB64" s="851">
        <v>35</v>
      </c>
      <c r="AC64" s="851">
        <v>40.25</v>
      </c>
      <c r="AD64" s="851">
        <v>55</v>
      </c>
      <c r="AE64" s="851">
        <v>60.5</v>
      </c>
      <c r="AF64" s="851">
        <v>25</v>
      </c>
      <c r="AG64" s="851">
        <v>28.75</v>
      </c>
      <c r="AH64" s="851">
        <v>45.45</v>
      </c>
      <c r="AI64" s="851">
        <v>50</v>
      </c>
      <c r="AJ64" s="851"/>
      <c r="AK64" s="851"/>
      <c r="AL64" s="851"/>
      <c r="AM64" s="851"/>
      <c r="AN64" s="851"/>
      <c r="AO64" s="851"/>
      <c r="AP64" s="851"/>
    </row>
    <row r="65" spans="1:42" ht="14">
      <c r="A65" s="856">
        <v>64</v>
      </c>
      <c r="B65" s="425" t="s">
        <v>883</v>
      </c>
      <c r="C65" s="425" t="s">
        <v>39</v>
      </c>
      <c r="D65" s="425" t="s">
        <v>2450</v>
      </c>
      <c r="E65" s="425" t="s">
        <v>2453</v>
      </c>
      <c r="F65" s="425" t="s">
        <v>807</v>
      </c>
      <c r="G65">
        <v>1</v>
      </c>
      <c r="H65" s="852">
        <v>0.9</v>
      </c>
      <c r="I65" s="852">
        <v>6</v>
      </c>
      <c r="J65" s="852">
        <f t="shared" si="5"/>
        <v>5.4</v>
      </c>
      <c r="K65" s="852">
        <f t="shared" si="1"/>
        <v>0.70199999999999996</v>
      </c>
      <c r="L65">
        <v>0</v>
      </c>
      <c r="M65" s="425" t="s">
        <v>47</v>
      </c>
      <c r="N65" s="370">
        <v>2050</v>
      </c>
      <c r="O65" s="425" t="s">
        <v>2383</v>
      </c>
      <c r="P65" s="854" t="s">
        <v>2470</v>
      </c>
      <c r="Q65" s="425" t="s">
        <v>2474</v>
      </c>
      <c r="R65" s="851">
        <v>13</v>
      </c>
      <c r="S65" s="851">
        <v>14.95</v>
      </c>
      <c r="T65" s="851">
        <v>13</v>
      </c>
      <c r="U65" s="851">
        <v>14.95</v>
      </c>
      <c r="V65" s="851">
        <v>14.3</v>
      </c>
      <c r="W65" s="851">
        <v>16.45</v>
      </c>
      <c r="X65" s="851">
        <v>14.3</v>
      </c>
      <c r="Y65" s="851">
        <v>16.45</v>
      </c>
      <c r="Z65" s="851">
        <v>26</v>
      </c>
      <c r="AA65" s="851">
        <v>30</v>
      </c>
      <c r="AB65" s="851">
        <v>35</v>
      </c>
      <c r="AC65" s="851">
        <v>40.25</v>
      </c>
      <c r="AD65" s="851">
        <v>55</v>
      </c>
      <c r="AE65" s="851">
        <v>60.5</v>
      </c>
      <c r="AF65" s="851">
        <v>25</v>
      </c>
      <c r="AG65" s="851">
        <v>28.75</v>
      </c>
      <c r="AH65" s="851">
        <v>45.45</v>
      </c>
      <c r="AI65" s="851">
        <v>50</v>
      </c>
      <c r="AJ65" s="851"/>
      <c r="AK65" s="851"/>
      <c r="AL65" s="851"/>
      <c r="AM65" s="851"/>
      <c r="AN65" s="851"/>
      <c r="AO65" s="851"/>
      <c r="AP65" s="851"/>
    </row>
    <row r="66" spans="1:42" ht="14">
      <c r="A66" s="856">
        <v>65</v>
      </c>
      <c r="B66" s="425" t="s">
        <v>884</v>
      </c>
      <c r="C66" s="425" t="s">
        <v>39</v>
      </c>
      <c r="D66" s="425" t="s">
        <v>2450</v>
      </c>
      <c r="E66" s="425" t="s">
        <v>2453</v>
      </c>
      <c r="F66" s="425" t="s">
        <v>854</v>
      </c>
      <c r="G66">
        <v>1</v>
      </c>
      <c r="H66" s="852">
        <v>0.9</v>
      </c>
      <c r="I66" s="852">
        <v>6</v>
      </c>
      <c r="J66" s="852">
        <f t="shared" si="5"/>
        <v>5.4</v>
      </c>
      <c r="K66" s="852">
        <f t="shared" si="1"/>
        <v>0.70199999999999996</v>
      </c>
      <c r="L66">
        <v>0</v>
      </c>
      <c r="M66" s="425" t="s">
        <v>47</v>
      </c>
      <c r="N66" s="370">
        <v>2050</v>
      </c>
      <c r="O66" s="425" t="s">
        <v>2383</v>
      </c>
      <c r="P66" s="854" t="s">
        <v>2471</v>
      </c>
      <c r="Q66" s="425" t="s">
        <v>2474</v>
      </c>
      <c r="R66" s="851">
        <v>13</v>
      </c>
      <c r="S66" s="851">
        <v>14.95</v>
      </c>
      <c r="T66" s="851">
        <v>13</v>
      </c>
      <c r="U66" s="851">
        <v>14.95</v>
      </c>
      <c r="V66" s="851">
        <v>14.3</v>
      </c>
      <c r="W66" s="851">
        <v>16.45</v>
      </c>
      <c r="X66" s="851">
        <v>14.3</v>
      </c>
      <c r="Y66" s="851">
        <v>16.45</v>
      </c>
      <c r="Z66" s="851">
        <v>26</v>
      </c>
      <c r="AA66" s="851">
        <v>30</v>
      </c>
      <c r="AB66" s="851">
        <v>35</v>
      </c>
      <c r="AC66" s="851">
        <v>40.25</v>
      </c>
      <c r="AD66" s="851">
        <v>55</v>
      </c>
      <c r="AE66" s="851">
        <v>60.5</v>
      </c>
      <c r="AF66" s="851">
        <v>25</v>
      </c>
      <c r="AG66" s="851">
        <v>28.75</v>
      </c>
      <c r="AH66" s="851">
        <v>45.45</v>
      </c>
      <c r="AI66" s="851">
        <v>50</v>
      </c>
      <c r="AJ66" s="851"/>
      <c r="AK66" s="851"/>
      <c r="AL66" s="851"/>
      <c r="AM66" s="851"/>
      <c r="AN66" s="851"/>
      <c r="AO66" s="851"/>
      <c r="AP66" s="851"/>
    </row>
    <row r="67" spans="1:42" ht="14">
      <c r="A67" s="856">
        <v>66</v>
      </c>
      <c r="B67" s="425" t="s">
        <v>885</v>
      </c>
      <c r="C67" s="425" t="s">
        <v>39</v>
      </c>
      <c r="D67" s="425" t="s">
        <v>2450</v>
      </c>
      <c r="E67" s="425" t="s">
        <v>2453</v>
      </c>
      <c r="F67" s="425" t="s">
        <v>980</v>
      </c>
      <c r="G67">
        <v>1</v>
      </c>
      <c r="H67" s="852">
        <v>0.9</v>
      </c>
      <c r="I67" s="852">
        <v>6</v>
      </c>
      <c r="J67" s="852">
        <f t="shared" si="5"/>
        <v>5.4</v>
      </c>
      <c r="K67" s="852">
        <f t="shared" si="1"/>
        <v>0.70199999999999996</v>
      </c>
      <c r="L67">
        <v>0</v>
      </c>
      <c r="M67" s="425" t="s">
        <v>47</v>
      </c>
      <c r="N67" s="370">
        <v>2050</v>
      </c>
      <c r="O67" s="425" t="s">
        <v>2383</v>
      </c>
      <c r="P67" s="854" t="s">
        <v>2472</v>
      </c>
      <c r="Q67" s="425" t="s">
        <v>2474</v>
      </c>
      <c r="R67" s="851">
        <v>13</v>
      </c>
      <c r="S67" s="851">
        <v>14.95</v>
      </c>
      <c r="T67" s="851">
        <v>13</v>
      </c>
      <c r="U67" s="851">
        <v>14.95</v>
      </c>
      <c r="V67" s="851">
        <v>14.3</v>
      </c>
      <c r="W67" s="851">
        <v>16.45</v>
      </c>
      <c r="X67" s="851">
        <v>14.3</v>
      </c>
      <c r="Y67" s="851">
        <v>16.45</v>
      </c>
      <c r="Z67" s="851">
        <v>26</v>
      </c>
      <c r="AA67" s="851">
        <v>30</v>
      </c>
      <c r="AB67" s="851">
        <v>35</v>
      </c>
      <c r="AC67" s="851">
        <v>40.25</v>
      </c>
      <c r="AD67" s="851">
        <v>55</v>
      </c>
      <c r="AE67" s="851">
        <v>60.5</v>
      </c>
      <c r="AF67" s="851">
        <v>25</v>
      </c>
      <c r="AG67" s="851">
        <v>28.75</v>
      </c>
      <c r="AH67" s="851">
        <v>45.45</v>
      </c>
      <c r="AI67" s="851">
        <v>50</v>
      </c>
      <c r="AJ67" s="851"/>
      <c r="AK67" s="851"/>
      <c r="AL67" s="851"/>
      <c r="AM67" s="851"/>
      <c r="AN67" s="851"/>
      <c r="AO67" s="851"/>
      <c r="AP67" s="851"/>
    </row>
    <row r="68" spans="1:42" ht="14">
      <c r="A68" s="856">
        <v>67</v>
      </c>
      <c r="B68" s="425" t="s">
        <v>886</v>
      </c>
      <c r="C68" s="425" t="s">
        <v>39</v>
      </c>
      <c r="D68" s="425" t="s">
        <v>2450</v>
      </c>
      <c r="E68" s="425" t="s">
        <v>2453</v>
      </c>
      <c r="F68" s="425" t="s">
        <v>515</v>
      </c>
      <c r="G68">
        <v>1</v>
      </c>
      <c r="H68" s="852">
        <v>0.9</v>
      </c>
      <c r="I68" s="852">
        <v>6</v>
      </c>
      <c r="J68" s="852">
        <f t="shared" si="5"/>
        <v>5.4</v>
      </c>
      <c r="K68" s="852">
        <f t="shared" si="1"/>
        <v>0.70199999999999996</v>
      </c>
      <c r="L68">
        <v>0</v>
      </c>
      <c r="M68" s="425" t="s">
        <v>47</v>
      </c>
      <c r="N68" s="370">
        <v>2050</v>
      </c>
      <c r="O68" s="425" t="s">
        <v>2383</v>
      </c>
      <c r="P68" s="854" t="s">
        <v>2473</v>
      </c>
      <c r="Q68" s="425" t="s">
        <v>2474</v>
      </c>
      <c r="R68" s="851">
        <v>13</v>
      </c>
      <c r="S68" s="851">
        <v>14.95</v>
      </c>
      <c r="T68" s="851">
        <v>13</v>
      </c>
      <c r="U68" s="851">
        <v>14.95</v>
      </c>
      <c r="V68" s="851">
        <v>14.3</v>
      </c>
      <c r="W68" s="851">
        <v>16.45</v>
      </c>
      <c r="X68" s="851">
        <v>14.3</v>
      </c>
      <c r="Y68" s="851">
        <v>16.45</v>
      </c>
      <c r="Z68" s="851">
        <v>26</v>
      </c>
      <c r="AA68" s="851">
        <v>30</v>
      </c>
      <c r="AB68" s="851">
        <v>35</v>
      </c>
      <c r="AC68" s="851">
        <v>40.25</v>
      </c>
      <c r="AD68" s="851">
        <v>55</v>
      </c>
      <c r="AE68" s="851">
        <v>60.5</v>
      </c>
      <c r="AF68" s="851">
        <v>25</v>
      </c>
      <c r="AG68" s="851">
        <v>28.75</v>
      </c>
      <c r="AH68" s="851">
        <v>45.45</v>
      </c>
      <c r="AI68" s="851">
        <v>50</v>
      </c>
      <c r="AJ68" s="851"/>
      <c r="AK68" s="851"/>
      <c r="AL68" s="851"/>
      <c r="AM68" s="851"/>
      <c r="AN68" s="851"/>
      <c r="AO68" s="851"/>
      <c r="AP68" s="851"/>
    </row>
    <row r="69" spans="1:42" ht="14">
      <c r="A69" s="856">
        <v>68</v>
      </c>
      <c r="B69" s="425" t="s">
        <v>2742</v>
      </c>
      <c r="C69" s="425" t="s">
        <v>39</v>
      </c>
      <c r="D69" s="425" t="s">
        <v>2377</v>
      </c>
      <c r="E69" s="425" t="s">
        <v>2378</v>
      </c>
      <c r="F69" s="425" t="s">
        <v>2379</v>
      </c>
      <c r="G69" s="425">
        <v>1</v>
      </c>
      <c r="H69" s="853">
        <v>0.21</v>
      </c>
      <c r="I69" s="853">
        <v>0.3</v>
      </c>
      <c r="J69" s="852">
        <f>H69*I69*G69</f>
        <v>6.3E-2</v>
      </c>
      <c r="K69" s="852">
        <f>J69*130/1000</f>
        <v>8.1899999999999994E-3</v>
      </c>
      <c r="L69">
        <v>0</v>
      </c>
      <c r="M69" s="425" t="s">
        <v>47</v>
      </c>
      <c r="N69" s="370">
        <v>2019</v>
      </c>
      <c r="O69" s="425" t="s">
        <v>2383</v>
      </c>
      <c r="P69" s="854" t="s">
        <v>47</v>
      </c>
      <c r="Q69" s="850" t="s">
        <v>92</v>
      </c>
      <c r="R69" s="851">
        <v>0</v>
      </c>
      <c r="S69" s="851">
        <v>0</v>
      </c>
      <c r="T69" s="851">
        <v>0</v>
      </c>
      <c r="U69" s="851">
        <v>0</v>
      </c>
      <c r="V69" s="851">
        <v>0</v>
      </c>
      <c r="W69" s="851">
        <v>0</v>
      </c>
      <c r="X69" s="851">
        <v>0</v>
      </c>
      <c r="Y69" s="851">
        <v>0</v>
      </c>
      <c r="Z69" s="851">
        <v>0</v>
      </c>
      <c r="AA69" s="851">
        <v>0</v>
      </c>
      <c r="AB69" s="851">
        <v>0</v>
      </c>
      <c r="AC69" s="851">
        <v>0</v>
      </c>
      <c r="AD69" s="851">
        <v>2.5</v>
      </c>
      <c r="AE69" s="851">
        <v>0</v>
      </c>
      <c r="AF69" s="851">
        <v>0</v>
      </c>
      <c r="AG69" s="851">
        <v>0</v>
      </c>
      <c r="AH69" s="851">
        <f>2.5/1.21</f>
        <v>2.0661157024793391</v>
      </c>
      <c r="AI69" s="851">
        <v>0</v>
      </c>
      <c r="AJ69" s="851"/>
      <c r="AK69" s="851"/>
      <c r="AL69" s="851"/>
      <c r="AM69" s="851"/>
      <c r="AN69" s="851"/>
      <c r="AO69" s="851"/>
      <c r="AP69" s="851"/>
    </row>
    <row r="70" spans="1:42" ht="14">
      <c r="A70" s="856">
        <v>69</v>
      </c>
      <c r="B70" s="425" t="s">
        <v>2741</v>
      </c>
      <c r="C70" s="425" t="s">
        <v>39</v>
      </c>
      <c r="D70" s="425" t="s">
        <v>2377</v>
      </c>
      <c r="E70" s="425" t="s">
        <v>2378</v>
      </c>
      <c r="F70" s="425" t="s">
        <v>2386</v>
      </c>
      <c r="G70">
        <v>1</v>
      </c>
      <c r="H70" s="853">
        <v>0.21</v>
      </c>
      <c r="I70" s="853">
        <v>0.3</v>
      </c>
      <c r="J70" s="852">
        <f t="shared" ref="J70:J131" si="6">H70*I70*G70</f>
        <v>6.3E-2</v>
      </c>
      <c r="K70" s="852">
        <f t="shared" si="1"/>
        <v>8.1899999999999994E-3</v>
      </c>
      <c r="L70">
        <v>0</v>
      </c>
      <c r="M70" s="425" t="s">
        <v>47</v>
      </c>
      <c r="N70" s="370">
        <v>2019</v>
      </c>
      <c r="O70" s="425" t="s">
        <v>2383</v>
      </c>
      <c r="P70" s="854" t="s">
        <v>47</v>
      </c>
      <c r="Q70" s="850" t="s">
        <v>92</v>
      </c>
      <c r="R70" s="851">
        <v>0</v>
      </c>
      <c r="S70" s="851">
        <v>0</v>
      </c>
      <c r="T70" s="851">
        <v>0</v>
      </c>
      <c r="U70" s="851">
        <v>0</v>
      </c>
      <c r="V70" s="851">
        <v>0</v>
      </c>
      <c r="W70" s="851">
        <v>0</v>
      </c>
      <c r="X70" s="851">
        <v>0</v>
      </c>
      <c r="Y70" s="851">
        <v>0</v>
      </c>
      <c r="Z70" s="851">
        <v>0</v>
      </c>
      <c r="AA70" s="851">
        <v>0</v>
      </c>
      <c r="AB70" s="851">
        <v>0</v>
      </c>
      <c r="AC70" s="851">
        <v>0</v>
      </c>
      <c r="AD70" s="851">
        <v>2.5</v>
      </c>
      <c r="AE70" s="851">
        <v>0</v>
      </c>
      <c r="AF70" s="851">
        <v>0</v>
      </c>
      <c r="AG70" s="851">
        <v>0</v>
      </c>
      <c r="AH70" s="851">
        <f t="shared" ref="AH70:AH130" si="7">2.5/1.21</f>
        <v>2.0661157024793391</v>
      </c>
      <c r="AI70" s="851">
        <v>0</v>
      </c>
      <c r="AJ70" s="851"/>
      <c r="AK70" s="851"/>
      <c r="AL70" s="851"/>
      <c r="AM70" s="851"/>
      <c r="AN70" s="851"/>
      <c r="AO70" s="851"/>
      <c r="AP70" s="851"/>
    </row>
    <row r="71" spans="1:42" ht="14">
      <c r="A71" s="856">
        <v>70</v>
      </c>
      <c r="B71" s="425" t="s">
        <v>2743</v>
      </c>
      <c r="C71" s="425" t="s">
        <v>39</v>
      </c>
      <c r="D71" s="425" t="s">
        <v>2377</v>
      </c>
      <c r="E71" s="425" t="s">
        <v>2378</v>
      </c>
      <c r="F71" s="425" t="s">
        <v>2387</v>
      </c>
      <c r="G71">
        <v>1</v>
      </c>
      <c r="H71" s="853">
        <v>0.21</v>
      </c>
      <c r="I71" s="853">
        <v>0.3</v>
      </c>
      <c r="J71" s="852">
        <f t="shared" si="6"/>
        <v>6.3E-2</v>
      </c>
      <c r="K71" s="852">
        <f t="shared" si="1"/>
        <v>8.1899999999999994E-3</v>
      </c>
      <c r="L71">
        <v>0</v>
      </c>
      <c r="M71" s="425" t="s">
        <v>47</v>
      </c>
      <c r="N71" s="370">
        <v>2019</v>
      </c>
      <c r="O71" s="425" t="s">
        <v>2383</v>
      </c>
      <c r="P71" s="854" t="s">
        <v>47</v>
      </c>
      <c r="Q71" s="850" t="s">
        <v>92</v>
      </c>
      <c r="R71" s="851">
        <v>0</v>
      </c>
      <c r="S71" s="851">
        <v>0</v>
      </c>
      <c r="T71" s="851">
        <v>0</v>
      </c>
      <c r="U71" s="851">
        <v>0</v>
      </c>
      <c r="V71" s="851">
        <v>0</v>
      </c>
      <c r="W71" s="851">
        <v>0</v>
      </c>
      <c r="X71" s="851">
        <v>0</v>
      </c>
      <c r="Y71" s="851">
        <v>0</v>
      </c>
      <c r="Z71" s="851">
        <v>0</v>
      </c>
      <c r="AA71" s="851">
        <v>0</v>
      </c>
      <c r="AB71" s="851">
        <v>0</v>
      </c>
      <c r="AC71" s="851">
        <v>0</v>
      </c>
      <c r="AD71" s="851">
        <v>2.5</v>
      </c>
      <c r="AE71" s="851">
        <v>0</v>
      </c>
      <c r="AF71" s="851">
        <v>0</v>
      </c>
      <c r="AG71" s="851">
        <v>0</v>
      </c>
      <c r="AH71" s="851">
        <f t="shared" si="7"/>
        <v>2.0661157024793391</v>
      </c>
      <c r="AI71" s="851">
        <v>0</v>
      </c>
      <c r="AJ71" s="851"/>
      <c r="AK71" s="851"/>
      <c r="AL71" s="851"/>
      <c r="AM71" s="851"/>
      <c r="AN71" s="851"/>
      <c r="AO71" s="851"/>
      <c r="AP71" s="851"/>
    </row>
    <row r="72" spans="1:42" ht="14">
      <c r="A72" s="856">
        <v>71</v>
      </c>
      <c r="B72" s="425" t="s">
        <v>2744</v>
      </c>
      <c r="C72" s="425" t="s">
        <v>39</v>
      </c>
      <c r="D72" s="425" t="s">
        <v>2377</v>
      </c>
      <c r="E72" s="425" t="s">
        <v>2391</v>
      </c>
      <c r="F72" s="425" t="s">
        <v>2379</v>
      </c>
      <c r="G72">
        <v>1</v>
      </c>
      <c r="H72" s="853">
        <v>0.21</v>
      </c>
      <c r="I72" s="853">
        <v>0.3</v>
      </c>
      <c r="J72" s="852">
        <f t="shared" si="6"/>
        <v>6.3E-2</v>
      </c>
      <c r="K72" s="852">
        <f t="shared" ref="K72:K135" si="8">J72*130/1000</f>
        <v>8.1899999999999994E-3</v>
      </c>
      <c r="L72">
        <v>0</v>
      </c>
      <c r="M72" s="425" t="s">
        <v>47</v>
      </c>
      <c r="N72" s="370">
        <v>2019</v>
      </c>
      <c r="O72" s="425" t="s">
        <v>2383</v>
      </c>
      <c r="P72" s="854" t="s">
        <v>47</v>
      </c>
      <c r="Q72" s="850" t="s">
        <v>92</v>
      </c>
      <c r="R72" s="851">
        <v>0</v>
      </c>
      <c r="S72" s="851">
        <v>0</v>
      </c>
      <c r="T72" s="851">
        <v>0</v>
      </c>
      <c r="U72" s="851">
        <v>0</v>
      </c>
      <c r="V72" s="851">
        <v>0</v>
      </c>
      <c r="W72" s="851">
        <v>0</v>
      </c>
      <c r="X72" s="851">
        <v>0</v>
      </c>
      <c r="Y72" s="851">
        <v>0</v>
      </c>
      <c r="Z72" s="851">
        <v>0</v>
      </c>
      <c r="AA72" s="851">
        <v>0</v>
      </c>
      <c r="AB72" s="851">
        <v>0</v>
      </c>
      <c r="AC72" s="851">
        <v>0</v>
      </c>
      <c r="AD72" s="851">
        <v>2.5</v>
      </c>
      <c r="AE72" s="851">
        <v>0</v>
      </c>
      <c r="AF72" s="851">
        <v>0</v>
      </c>
      <c r="AG72" s="851">
        <v>0</v>
      </c>
      <c r="AH72" s="851">
        <f t="shared" si="7"/>
        <v>2.0661157024793391</v>
      </c>
      <c r="AI72" s="851">
        <v>0</v>
      </c>
      <c r="AJ72" s="851"/>
      <c r="AK72" s="851"/>
      <c r="AL72" s="851"/>
      <c r="AM72" s="851"/>
      <c r="AN72" s="851"/>
      <c r="AO72" s="851"/>
      <c r="AP72" s="851"/>
    </row>
    <row r="73" spans="1:42" ht="14">
      <c r="A73" s="856">
        <v>72</v>
      </c>
      <c r="B73" s="425" t="s">
        <v>2745</v>
      </c>
      <c r="C73" s="425" t="s">
        <v>39</v>
      </c>
      <c r="D73" s="425" t="s">
        <v>2377</v>
      </c>
      <c r="E73" s="425" t="s">
        <v>2391</v>
      </c>
      <c r="F73" s="425" t="s">
        <v>791</v>
      </c>
      <c r="G73">
        <v>1</v>
      </c>
      <c r="H73" s="853">
        <v>0.21</v>
      </c>
      <c r="I73" s="853">
        <v>0.3</v>
      </c>
      <c r="J73" s="852">
        <f t="shared" si="6"/>
        <v>6.3E-2</v>
      </c>
      <c r="K73" s="852">
        <f t="shared" si="8"/>
        <v>8.1899999999999994E-3</v>
      </c>
      <c r="L73">
        <v>0</v>
      </c>
      <c r="M73" s="425" t="s">
        <v>47</v>
      </c>
      <c r="N73" s="370">
        <v>2019</v>
      </c>
      <c r="O73" s="425" t="s">
        <v>2383</v>
      </c>
      <c r="P73" s="854" t="s">
        <v>47</v>
      </c>
      <c r="Q73" s="850" t="s">
        <v>92</v>
      </c>
      <c r="R73" s="851">
        <v>0</v>
      </c>
      <c r="S73" s="851">
        <v>0</v>
      </c>
      <c r="T73" s="851">
        <v>0</v>
      </c>
      <c r="U73" s="851">
        <v>0</v>
      </c>
      <c r="V73" s="851">
        <v>0</v>
      </c>
      <c r="W73" s="851">
        <v>0</v>
      </c>
      <c r="X73" s="851">
        <v>0</v>
      </c>
      <c r="Y73" s="851">
        <v>0</v>
      </c>
      <c r="Z73" s="851">
        <v>0</v>
      </c>
      <c r="AA73" s="851">
        <v>0</v>
      </c>
      <c r="AB73" s="851">
        <v>0</v>
      </c>
      <c r="AC73" s="851">
        <v>0</v>
      </c>
      <c r="AD73" s="851">
        <v>2.5</v>
      </c>
      <c r="AE73" s="851">
        <v>0</v>
      </c>
      <c r="AF73" s="851">
        <v>0</v>
      </c>
      <c r="AG73" s="851">
        <v>0</v>
      </c>
      <c r="AH73" s="851">
        <f t="shared" si="7"/>
        <v>2.0661157024793391</v>
      </c>
      <c r="AI73" s="851">
        <v>0</v>
      </c>
      <c r="AJ73" s="851"/>
      <c r="AK73" s="851"/>
      <c r="AL73" s="851"/>
      <c r="AM73" s="851"/>
      <c r="AN73" s="851"/>
      <c r="AO73" s="851"/>
      <c r="AP73" s="851"/>
    </row>
    <row r="74" spans="1:42" ht="14">
      <c r="A74" s="856">
        <v>73</v>
      </c>
      <c r="B74" s="425" t="s">
        <v>2746</v>
      </c>
      <c r="C74" s="425" t="s">
        <v>39</v>
      </c>
      <c r="D74" s="425" t="s">
        <v>2377</v>
      </c>
      <c r="E74" s="425" t="s">
        <v>2391</v>
      </c>
      <c r="F74" s="425" t="s">
        <v>793</v>
      </c>
      <c r="G74">
        <v>1</v>
      </c>
      <c r="H74" s="853">
        <v>0.21</v>
      </c>
      <c r="I74" s="853">
        <v>0.3</v>
      </c>
      <c r="J74" s="852">
        <f t="shared" si="6"/>
        <v>6.3E-2</v>
      </c>
      <c r="K74" s="852">
        <f t="shared" si="8"/>
        <v>8.1899999999999994E-3</v>
      </c>
      <c r="L74">
        <v>0</v>
      </c>
      <c r="M74" s="425" t="s">
        <v>47</v>
      </c>
      <c r="N74" s="370">
        <v>2019</v>
      </c>
      <c r="O74" s="425" t="s">
        <v>2383</v>
      </c>
      <c r="P74" s="854" t="s">
        <v>47</v>
      </c>
      <c r="Q74" s="850" t="s">
        <v>92</v>
      </c>
      <c r="R74" s="851">
        <v>0</v>
      </c>
      <c r="S74" s="851">
        <v>0</v>
      </c>
      <c r="T74" s="851">
        <v>0</v>
      </c>
      <c r="U74" s="851">
        <v>0</v>
      </c>
      <c r="V74" s="851">
        <v>0</v>
      </c>
      <c r="W74" s="851">
        <v>0</v>
      </c>
      <c r="X74" s="851">
        <v>0</v>
      </c>
      <c r="Y74" s="851">
        <v>0</v>
      </c>
      <c r="Z74" s="851">
        <v>0</v>
      </c>
      <c r="AA74" s="851">
        <v>0</v>
      </c>
      <c r="AB74" s="851">
        <v>0</v>
      </c>
      <c r="AC74" s="851">
        <v>0</v>
      </c>
      <c r="AD74" s="851">
        <v>2.5</v>
      </c>
      <c r="AE74" s="851">
        <v>0</v>
      </c>
      <c r="AF74" s="851">
        <v>0</v>
      </c>
      <c r="AG74" s="851">
        <v>0</v>
      </c>
      <c r="AH74" s="851">
        <f t="shared" si="7"/>
        <v>2.0661157024793391</v>
      </c>
      <c r="AI74" s="851">
        <v>0</v>
      </c>
      <c r="AJ74" s="851"/>
      <c r="AK74" s="851"/>
      <c r="AL74" s="851"/>
      <c r="AM74" s="851"/>
      <c r="AN74" s="851"/>
      <c r="AO74" s="851"/>
      <c r="AP74" s="851"/>
    </row>
    <row r="75" spans="1:42" ht="14">
      <c r="A75" s="856">
        <v>74</v>
      </c>
      <c r="B75" s="425" t="s">
        <v>2747</v>
      </c>
      <c r="C75" s="425" t="s">
        <v>39</v>
      </c>
      <c r="D75" s="425" t="s">
        <v>2377</v>
      </c>
      <c r="E75" s="425" t="s">
        <v>2391</v>
      </c>
      <c r="F75" s="425" t="s">
        <v>795</v>
      </c>
      <c r="G75">
        <v>1</v>
      </c>
      <c r="H75" s="853">
        <v>0.21</v>
      </c>
      <c r="I75" s="853">
        <v>0.3</v>
      </c>
      <c r="J75" s="852">
        <f t="shared" si="6"/>
        <v>6.3E-2</v>
      </c>
      <c r="K75" s="852">
        <f t="shared" si="8"/>
        <v>8.1899999999999994E-3</v>
      </c>
      <c r="L75">
        <v>0</v>
      </c>
      <c r="M75" s="425" t="s">
        <v>47</v>
      </c>
      <c r="N75" s="370">
        <v>2019</v>
      </c>
      <c r="O75" s="425" t="s">
        <v>2383</v>
      </c>
      <c r="P75" s="854" t="s">
        <v>47</v>
      </c>
      <c r="Q75" s="850" t="s">
        <v>92</v>
      </c>
      <c r="R75" s="851">
        <v>0</v>
      </c>
      <c r="S75" s="851">
        <v>0</v>
      </c>
      <c r="T75" s="851">
        <v>0</v>
      </c>
      <c r="U75" s="851">
        <v>0</v>
      </c>
      <c r="V75" s="851">
        <v>0</v>
      </c>
      <c r="W75" s="851">
        <v>0</v>
      </c>
      <c r="X75" s="851">
        <v>0</v>
      </c>
      <c r="Y75" s="851">
        <v>0</v>
      </c>
      <c r="Z75" s="851">
        <v>0</v>
      </c>
      <c r="AA75" s="851">
        <v>0</v>
      </c>
      <c r="AB75" s="851">
        <v>0</v>
      </c>
      <c r="AC75" s="851">
        <v>0</v>
      </c>
      <c r="AD75" s="851">
        <v>2.5</v>
      </c>
      <c r="AE75" s="851">
        <v>0</v>
      </c>
      <c r="AF75" s="851">
        <v>0</v>
      </c>
      <c r="AG75" s="851">
        <v>0</v>
      </c>
      <c r="AH75" s="851">
        <f t="shared" si="7"/>
        <v>2.0661157024793391</v>
      </c>
      <c r="AI75" s="851">
        <v>0</v>
      </c>
      <c r="AJ75" s="851"/>
      <c r="AK75" s="851"/>
      <c r="AL75" s="851"/>
      <c r="AM75" s="851"/>
      <c r="AN75" s="851"/>
      <c r="AO75" s="851"/>
      <c r="AP75" s="851"/>
    </row>
    <row r="76" spans="1:42" ht="14">
      <c r="A76" s="856">
        <v>75</v>
      </c>
      <c r="B76" s="425" t="s">
        <v>2748</v>
      </c>
      <c r="C76" s="425" t="s">
        <v>39</v>
      </c>
      <c r="D76" s="425" t="s">
        <v>2377</v>
      </c>
      <c r="E76" s="425" t="s">
        <v>2397</v>
      </c>
      <c r="F76" s="425" t="s">
        <v>650</v>
      </c>
      <c r="G76">
        <v>1</v>
      </c>
      <c r="H76" s="853">
        <v>0.21</v>
      </c>
      <c r="I76" s="853">
        <v>0.3</v>
      </c>
      <c r="J76" s="852">
        <f t="shared" si="6"/>
        <v>6.3E-2</v>
      </c>
      <c r="K76" s="852">
        <f t="shared" si="8"/>
        <v>8.1899999999999994E-3</v>
      </c>
      <c r="L76">
        <v>0</v>
      </c>
      <c r="M76" s="425" t="s">
        <v>47</v>
      </c>
      <c r="N76" s="370">
        <v>2019</v>
      </c>
      <c r="O76" s="425" t="s">
        <v>2383</v>
      </c>
      <c r="P76" s="854" t="s">
        <v>47</v>
      </c>
      <c r="Q76" s="850" t="s">
        <v>92</v>
      </c>
      <c r="R76" s="851">
        <v>0</v>
      </c>
      <c r="S76" s="851">
        <v>0</v>
      </c>
      <c r="T76" s="851">
        <v>0</v>
      </c>
      <c r="U76" s="851">
        <v>0</v>
      </c>
      <c r="V76" s="851">
        <v>0</v>
      </c>
      <c r="W76" s="851">
        <v>0</v>
      </c>
      <c r="X76" s="851">
        <v>0</v>
      </c>
      <c r="Y76" s="851">
        <v>0</v>
      </c>
      <c r="Z76" s="851">
        <v>0</v>
      </c>
      <c r="AA76" s="851">
        <v>0</v>
      </c>
      <c r="AB76" s="851">
        <v>0</v>
      </c>
      <c r="AC76" s="851">
        <v>0</v>
      </c>
      <c r="AD76" s="851">
        <v>2.5</v>
      </c>
      <c r="AE76" s="851">
        <v>0</v>
      </c>
      <c r="AF76" s="851">
        <v>0</v>
      </c>
      <c r="AG76" s="851">
        <v>0</v>
      </c>
      <c r="AH76" s="851">
        <f t="shared" si="7"/>
        <v>2.0661157024793391</v>
      </c>
      <c r="AI76" s="851">
        <v>0</v>
      </c>
      <c r="AJ76" s="851"/>
      <c r="AK76" s="851"/>
      <c r="AL76" s="851"/>
      <c r="AM76" s="851"/>
      <c r="AN76" s="851"/>
      <c r="AO76" s="851"/>
      <c r="AP76" s="851"/>
    </row>
    <row r="77" spans="1:42" ht="14">
      <c r="A77" s="856">
        <v>76</v>
      </c>
      <c r="B77" s="425" t="s">
        <v>2749</v>
      </c>
      <c r="C77" s="425" t="s">
        <v>39</v>
      </c>
      <c r="D77" s="425" t="s">
        <v>2377</v>
      </c>
      <c r="E77" s="425" t="s">
        <v>2397</v>
      </c>
      <c r="F77" s="425" t="s">
        <v>2399</v>
      </c>
      <c r="G77">
        <v>1</v>
      </c>
      <c r="H77" s="853">
        <v>0.21</v>
      </c>
      <c r="I77" s="853">
        <v>0.3</v>
      </c>
      <c r="J77" s="852">
        <f t="shared" si="6"/>
        <v>6.3E-2</v>
      </c>
      <c r="K77" s="852">
        <f t="shared" si="8"/>
        <v>8.1899999999999994E-3</v>
      </c>
      <c r="L77">
        <v>0</v>
      </c>
      <c r="M77" s="425" t="s">
        <v>47</v>
      </c>
      <c r="N77" s="370">
        <v>2019</v>
      </c>
      <c r="O77" s="425" t="s">
        <v>2383</v>
      </c>
      <c r="P77" s="854" t="s">
        <v>47</v>
      </c>
      <c r="Q77" s="850" t="s">
        <v>92</v>
      </c>
      <c r="R77" s="851">
        <v>0</v>
      </c>
      <c r="S77" s="851">
        <v>0</v>
      </c>
      <c r="T77" s="851">
        <v>0</v>
      </c>
      <c r="U77" s="851">
        <v>0</v>
      </c>
      <c r="V77" s="851">
        <v>0</v>
      </c>
      <c r="W77" s="851">
        <v>0</v>
      </c>
      <c r="X77" s="851">
        <v>0</v>
      </c>
      <c r="Y77" s="851">
        <v>0</v>
      </c>
      <c r="Z77" s="851">
        <v>0</v>
      </c>
      <c r="AA77" s="851">
        <v>0</v>
      </c>
      <c r="AB77" s="851">
        <v>0</v>
      </c>
      <c r="AC77" s="851">
        <v>0</v>
      </c>
      <c r="AD77" s="851">
        <v>2.5</v>
      </c>
      <c r="AE77" s="851">
        <v>0</v>
      </c>
      <c r="AF77" s="851">
        <v>0</v>
      </c>
      <c r="AG77" s="851">
        <v>0</v>
      </c>
      <c r="AH77" s="851">
        <f t="shared" si="7"/>
        <v>2.0661157024793391</v>
      </c>
      <c r="AI77" s="851">
        <v>0</v>
      </c>
      <c r="AJ77" s="851"/>
      <c r="AK77" s="851"/>
      <c r="AL77" s="851"/>
      <c r="AM77" s="851"/>
      <c r="AN77" s="851"/>
      <c r="AO77" s="851"/>
      <c r="AP77" s="851"/>
    </row>
    <row r="78" spans="1:42" ht="14">
      <c r="A78" s="856">
        <v>77</v>
      </c>
      <c r="B78" s="425" t="s">
        <v>2750</v>
      </c>
      <c r="C78" s="425" t="s">
        <v>39</v>
      </c>
      <c r="D78" s="425" t="s">
        <v>2377</v>
      </c>
      <c r="E78" s="425" t="s">
        <v>2397</v>
      </c>
      <c r="F78" s="425" t="s">
        <v>2400</v>
      </c>
      <c r="G78">
        <v>1</v>
      </c>
      <c r="H78" s="853">
        <v>0.21</v>
      </c>
      <c r="I78" s="853">
        <v>0.3</v>
      </c>
      <c r="J78" s="852">
        <f t="shared" si="6"/>
        <v>6.3E-2</v>
      </c>
      <c r="K78" s="852">
        <f t="shared" si="8"/>
        <v>8.1899999999999994E-3</v>
      </c>
      <c r="L78">
        <v>0</v>
      </c>
      <c r="M78" s="425" t="s">
        <v>47</v>
      </c>
      <c r="N78" s="370">
        <v>2019</v>
      </c>
      <c r="O78" s="425" t="s">
        <v>2383</v>
      </c>
      <c r="P78" s="854" t="s">
        <v>47</v>
      </c>
      <c r="Q78" s="850" t="s">
        <v>92</v>
      </c>
      <c r="R78" s="851">
        <v>0</v>
      </c>
      <c r="S78" s="851">
        <v>0</v>
      </c>
      <c r="T78" s="851">
        <v>0</v>
      </c>
      <c r="U78" s="851">
        <v>0</v>
      </c>
      <c r="V78" s="851">
        <v>0</v>
      </c>
      <c r="W78" s="851">
        <v>0</v>
      </c>
      <c r="X78" s="851">
        <v>0</v>
      </c>
      <c r="Y78" s="851">
        <v>0</v>
      </c>
      <c r="Z78" s="851">
        <v>0</v>
      </c>
      <c r="AA78" s="851">
        <v>0</v>
      </c>
      <c r="AB78" s="851">
        <v>0</v>
      </c>
      <c r="AC78" s="851">
        <v>0</v>
      </c>
      <c r="AD78" s="851">
        <v>2.5</v>
      </c>
      <c r="AE78" s="851">
        <v>0</v>
      </c>
      <c r="AF78" s="851">
        <v>0</v>
      </c>
      <c r="AG78" s="851">
        <v>0</v>
      </c>
      <c r="AH78" s="851">
        <f t="shared" si="7"/>
        <v>2.0661157024793391</v>
      </c>
      <c r="AI78" s="851">
        <v>0</v>
      </c>
      <c r="AJ78" s="851"/>
      <c r="AK78" s="851"/>
      <c r="AL78" s="851"/>
      <c r="AM78" s="851"/>
      <c r="AN78" s="851"/>
      <c r="AO78" s="851"/>
      <c r="AP78" s="851"/>
    </row>
    <row r="79" spans="1:42" ht="14">
      <c r="A79" s="856">
        <v>78</v>
      </c>
      <c r="B79" s="425" t="s">
        <v>2751</v>
      </c>
      <c r="C79" s="425" t="s">
        <v>39</v>
      </c>
      <c r="D79" s="425" t="s">
        <v>2377</v>
      </c>
      <c r="E79" s="425" t="s">
        <v>2397</v>
      </c>
      <c r="F79" s="425" t="s">
        <v>2401</v>
      </c>
      <c r="G79">
        <v>1</v>
      </c>
      <c r="H79" s="853">
        <v>0.21</v>
      </c>
      <c r="I79" s="853">
        <v>0.3</v>
      </c>
      <c r="J79" s="852">
        <f t="shared" si="6"/>
        <v>6.3E-2</v>
      </c>
      <c r="K79" s="852">
        <f t="shared" si="8"/>
        <v>8.1899999999999994E-3</v>
      </c>
      <c r="L79">
        <v>0</v>
      </c>
      <c r="M79" s="425" t="s">
        <v>47</v>
      </c>
      <c r="N79" s="370">
        <v>2019</v>
      </c>
      <c r="O79" s="425" t="s">
        <v>2383</v>
      </c>
      <c r="P79" s="854" t="s">
        <v>47</v>
      </c>
      <c r="Q79" s="850" t="s">
        <v>92</v>
      </c>
      <c r="R79" s="851">
        <v>0</v>
      </c>
      <c r="S79" s="851">
        <v>0</v>
      </c>
      <c r="T79" s="851">
        <v>0</v>
      </c>
      <c r="U79" s="851">
        <v>0</v>
      </c>
      <c r="V79" s="851">
        <v>0</v>
      </c>
      <c r="W79" s="851">
        <v>0</v>
      </c>
      <c r="X79" s="851">
        <v>0</v>
      </c>
      <c r="Y79" s="851">
        <v>0</v>
      </c>
      <c r="Z79" s="851">
        <v>0</v>
      </c>
      <c r="AA79" s="851">
        <v>0</v>
      </c>
      <c r="AB79" s="851">
        <v>0</v>
      </c>
      <c r="AC79" s="851">
        <v>0</v>
      </c>
      <c r="AD79" s="851">
        <v>2.5</v>
      </c>
      <c r="AE79" s="851">
        <v>0</v>
      </c>
      <c r="AF79" s="851">
        <v>0</v>
      </c>
      <c r="AG79" s="851">
        <v>0</v>
      </c>
      <c r="AH79" s="851">
        <f t="shared" si="7"/>
        <v>2.0661157024793391</v>
      </c>
      <c r="AI79" s="851">
        <v>0</v>
      </c>
      <c r="AJ79" s="851"/>
      <c r="AK79" s="851"/>
      <c r="AL79" s="851"/>
      <c r="AM79" s="851"/>
      <c r="AN79" s="851"/>
      <c r="AO79" s="851"/>
      <c r="AP79" s="851"/>
    </row>
    <row r="80" spans="1:42" ht="14">
      <c r="A80" s="856">
        <v>79</v>
      </c>
      <c r="B80" s="425" t="s">
        <v>2752</v>
      </c>
      <c r="C80" s="425" t="s">
        <v>39</v>
      </c>
      <c r="D80" s="425" t="s">
        <v>2377</v>
      </c>
      <c r="E80" s="425" t="s">
        <v>2405</v>
      </c>
      <c r="F80" s="425" t="s">
        <v>980</v>
      </c>
      <c r="G80">
        <v>1</v>
      </c>
      <c r="H80" s="853">
        <v>0.21</v>
      </c>
      <c r="I80" s="853">
        <v>0.3</v>
      </c>
      <c r="J80" s="852">
        <f t="shared" si="6"/>
        <v>6.3E-2</v>
      </c>
      <c r="K80" s="852">
        <f t="shared" si="8"/>
        <v>8.1899999999999994E-3</v>
      </c>
      <c r="L80">
        <v>0</v>
      </c>
      <c r="M80" s="425" t="s">
        <v>47</v>
      </c>
      <c r="N80" s="370">
        <v>2019</v>
      </c>
      <c r="O80" s="425" t="s">
        <v>2383</v>
      </c>
      <c r="P80" s="854" t="s">
        <v>47</v>
      </c>
      <c r="Q80" s="850" t="s">
        <v>92</v>
      </c>
      <c r="R80" s="851">
        <v>0</v>
      </c>
      <c r="S80" s="851">
        <v>0</v>
      </c>
      <c r="T80" s="851">
        <v>0</v>
      </c>
      <c r="U80" s="851">
        <v>0</v>
      </c>
      <c r="V80" s="851">
        <v>0</v>
      </c>
      <c r="W80" s="851">
        <v>0</v>
      </c>
      <c r="X80" s="851">
        <v>0</v>
      </c>
      <c r="Y80" s="851">
        <v>0</v>
      </c>
      <c r="Z80" s="851">
        <v>0</v>
      </c>
      <c r="AA80" s="851">
        <v>0</v>
      </c>
      <c r="AB80" s="851">
        <v>0</v>
      </c>
      <c r="AC80" s="851">
        <v>0</v>
      </c>
      <c r="AD80" s="851">
        <v>2.5</v>
      </c>
      <c r="AE80" s="851">
        <v>0</v>
      </c>
      <c r="AF80" s="851">
        <v>0</v>
      </c>
      <c r="AG80" s="851">
        <v>0</v>
      </c>
      <c r="AH80" s="851">
        <f t="shared" si="7"/>
        <v>2.0661157024793391</v>
      </c>
      <c r="AI80" s="851">
        <v>0</v>
      </c>
      <c r="AJ80" s="851"/>
      <c r="AK80" s="851"/>
      <c r="AL80" s="851"/>
      <c r="AM80" s="851"/>
      <c r="AN80" s="851"/>
      <c r="AO80" s="851"/>
      <c r="AP80" s="851"/>
    </row>
    <row r="81" spans="1:42" ht="14">
      <c r="A81" s="856">
        <v>80</v>
      </c>
      <c r="B81" s="425" t="s">
        <v>2753</v>
      </c>
      <c r="C81" s="425" t="s">
        <v>39</v>
      </c>
      <c r="D81" s="425" t="s">
        <v>2377</v>
      </c>
      <c r="E81" s="425" t="s">
        <v>2405</v>
      </c>
      <c r="F81" s="425" t="s">
        <v>2401</v>
      </c>
      <c r="G81">
        <v>1</v>
      </c>
      <c r="H81" s="853">
        <v>0.21</v>
      </c>
      <c r="I81" s="853">
        <v>0.3</v>
      </c>
      <c r="J81" s="852">
        <f t="shared" si="6"/>
        <v>6.3E-2</v>
      </c>
      <c r="K81" s="852">
        <f t="shared" si="8"/>
        <v>8.1899999999999994E-3</v>
      </c>
      <c r="L81">
        <v>0</v>
      </c>
      <c r="M81" s="425" t="s">
        <v>47</v>
      </c>
      <c r="N81" s="370">
        <v>2019</v>
      </c>
      <c r="O81" s="425" t="s">
        <v>2383</v>
      </c>
      <c r="P81" s="854" t="s">
        <v>47</v>
      </c>
      <c r="Q81" s="850" t="s">
        <v>92</v>
      </c>
      <c r="R81" s="851">
        <v>0</v>
      </c>
      <c r="S81" s="851">
        <v>0</v>
      </c>
      <c r="T81" s="851">
        <v>0</v>
      </c>
      <c r="U81" s="851">
        <v>0</v>
      </c>
      <c r="V81" s="851">
        <v>0</v>
      </c>
      <c r="W81" s="851">
        <v>0</v>
      </c>
      <c r="X81" s="851">
        <v>0</v>
      </c>
      <c r="Y81" s="851">
        <v>0</v>
      </c>
      <c r="Z81" s="851">
        <v>0</v>
      </c>
      <c r="AA81" s="851">
        <v>0</v>
      </c>
      <c r="AB81" s="851">
        <v>0</v>
      </c>
      <c r="AC81" s="851">
        <v>0</v>
      </c>
      <c r="AD81" s="851">
        <v>2.5</v>
      </c>
      <c r="AE81" s="851">
        <v>0</v>
      </c>
      <c r="AF81" s="851">
        <v>0</v>
      </c>
      <c r="AG81" s="851">
        <v>0</v>
      </c>
      <c r="AH81" s="851">
        <f t="shared" si="7"/>
        <v>2.0661157024793391</v>
      </c>
      <c r="AI81" s="851">
        <v>0</v>
      </c>
      <c r="AJ81" s="851"/>
      <c r="AK81" s="851"/>
      <c r="AL81" s="851"/>
      <c r="AM81" s="851"/>
      <c r="AN81" s="851"/>
      <c r="AO81" s="851"/>
      <c r="AP81" s="851"/>
    </row>
    <row r="82" spans="1:42" ht="14">
      <c r="A82" s="856">
        <v>81</v>
      </c>
      <c r="B82" s="425" t="s">
        <v>2754</v>
      </c>
      <c r="C82" s="425" t="s">
        <v>39</v>
      </c>
      <c r="D82" s="425" t="s">
        <v>2377</v>
      </c>
      <c r="E82" s="425" t="s">
        <v>2405</v>
      </c>
      <c r="F82" s="425" t="s">
        <v>2406</v>
      </c>
      <c r="G82">
        <v>1</v>
      </c>
      <c r="H82" s="853">
        <v>0.21</v>
      </c>
      <c r="I82" s="853">
        <v>0.3</v>
      </c>
      <c r="J82" s="852">
        <f t="shared" si="6"/>
        <v>6.3E-2</v>
      </c>
      <c r="K82" s="852">
        <f t="shared" si="8"/>
        <v>8.1899999999999994E-3</v>
      </c>
      <c r="L82">
        <v>0</v>
      </c>
      <c r="M82" s="425" t="s">
        <v>47</v>
      </c>
      <c r="N82" s="370">
        <v>2019</v>
      </c>
      <c r="O82" s="425" t="s">
        <v>2383</v>
      </c>
      <c r="P82" s="854" t="s">
        <v>47</v>
      </c>
      <c r="Q82" s="850" t="s">
        <v>92</v>
      </c>
      <c r="R82" s="851">
        <v>0</v>
      </c>
      <c r="S82" s="851">
        <v>0</v>
      </c>
      <c r="T82" s="851">
        <v>0</v>
      </c>
      <c r="U82" s="851">
        <v>0</v>
      </c>
      <c r="V82" s="851">
        <v>0</v>
      </c>
      <c r="W82" s="851">
        <v>0</v>
      </c>
      <c r="X82" s="851">
        <v>0</v>
      </c>
      <c r="Y82" s="851">
        <v>0</v>
      </c>
      <c r="Z82" s="851">
        <v>0</v>
      </c>
      <c r="AA82" s="851">
        <v>0</v>
      </c>
      <c r="AB82" s="851">
        <v>0</v>
      </c>
      <c r="AC82" s="851">
        <v>0</v>
      </c>
      <c r="AD82" s="851">
        <v>2.5</v>
      </c>
      <c r="AE82" s="851">
        <v>0</v>
      </c>
      <c r="AF82" s="851">
        <v>0</v>
      </c>
      <c r="AG82" s="851">
        <v>0</v>
      </c>
      <c r="AH82" s="851">
        <f t="shared" si="7"/>
        <v>2.0661157024793391</v>
      </c>
      <c r="AI82" s="851">
        <v>0</v>
      </c>
      <c r="AJ82" s="851"/>
      <c r="AK82" s="851"/>
      <c r="AL82" s="851"/>
      <c r="AM82" s="851"/>
      <c r="AN82" s="851"/>
      <c r="AO82" s="851"/>
      <c r="AP82" s="851"/>
    </row>
    <row r="83" spans="1:42" ht="14">
      <c r="A83" s="856">
        <v>82</v>
      </c>
      <c r="B83" s="425" t="s">
        <v>2755</v>
      </c>
      <c r="C83" s="425" t="s">
        <v>39</v>
      </c>
      <c r="D83" s="425" t="s">
        <v>2377</v>
      </c>
      <c r="E83" s="425" t="s">
        <v>809</v>
      </c>
      <c r="F83" s="425" t="s">
        <v>522</v>
      </c>
      <c r="G83">
        <v>1</v>
      </c>
      <c r="H83" s="853">
        <v>0.21</v>
      </c>
      <c r="I83" s="853">
        <v>0.3</v>
      </c>
      <c r="J83" s="852">
        <f t="shared" si="6"/>
        <v>6.3E-2</v>
      </c>
      <c r="K83" s="852">
        <f t="shared" si="8"/>
        <v>8.1899999999999994E-3</v>
      </c>
      <c r="L83">
        <v>0</v>
      </c>
      <c r="M83" s="425" t="s">
        <v>47</v>
      </c>
      <c r="N83" s="370">
        <v>2019</v>
      </c>
      <c r="O83" s="425" t="s">
        <v>2383</v>
      </c>
      <c r="P83" s="854" t="s">
        <v>47</v>
      </c>
      <c r="Q83" s="850" t="s">
        <v>92</v>
      </c>
      <c r="R83" s="851">
        <v>0</v>
      </c>
      <c r="S83" s="851">
        <v>0</v>
      </c>
      <c r="T83" s="851">
        <v>0</v>
      </c>
      <c r="U83" s="851">
        <v>0</v>
      </c>
      <c r="V83" s="851">
        <v>0</v>
      </c>
      <c r="W83" s="851">
        <v>0</v>
      </c>
      <c r="X83" s="851">
        <v>0</v>
      </c>
      <c r="Y83" s="851">
        <v>0</v>
      </c>
      <c r="Z83" s="851">
        <v>0</v>
      </c>
      <c r="AA83" s="851">
        <v>0</v>
      </c>
      <c r="AB83" s="851">
        <v>0</v>
      </c>
      <c r="AC83" s="851">
        <v>0</v>
      </c>
      <c r="AD83" s="851">
        <v>2.5</v>
      </c>
      <c r="AE83" s="851">
        <v>0</v>
      </c>
      <c r="AF83" s="851">
        <v>0</v>
      </c>
      <c r="AG83" s="851">
        <v>0</v>
      </c>
      <c r="AH83" s="851">
        <f t="shared" si="7"/>
        <v>2.0661157024793391</v>
      </c>
      <c r="AI83" s="851">
        <v>0</v>
      </c>
      <c r="AJ83" s="851"/>
      <c r="AK83" s="851"/>
      <c r="AL83" s="851"/>
      <c r="AM83" s="851"/>
      <c r="AN83" s="851"/>
      <c r="AO83" s="851"/>
      <c r="AP83" s="851"/>
    </row>
    <row r="84" spans="1:42" ht="14">
      <c r="A84" s="856">
        <v>83</v>
      </c>
      <c r="B84" s="425" t="s">
        <v>2756</v>
      </c>
      <c r="C84" s="425" t="s">
        <v>39</v>
      </c>
      <c r="D84" s="425" t="s">
        <v>2377</v>
      </c>
      <c r="E84" s="425" t="s">
        <v>809</v>
      </c>
      <c r="F84" s="425" t="s">
        <v>804</v>
      </c>
      <c r="G84">
        <v>1</v>
      </c>
      <c r="H84" s="853">
        <v>0.21</v>
      </c>
      <c r="I84" s="853">
        <v>0.3</v>
      </c>
      <c r="J84" s="852">
        <f t="shared" si="6"/>
        <v>6.3E-2</v>
      </c>
      <c r="K84" s="852">
        <f t="shared" si="8"/>
        <v>8.1899999999999994E-3</v>
      </c>
      <c r="L84">
        <v>0</v>
      </c>
      <c r="M84" s="425" t="s">
        <v>47</v>
      </c>
      <c r="N84" s="370">
        <v>2019</v>
      </c>
      <c r="O84" s="425" t="s">
        <v>2383</v>
      </c>
      <c r="P84" s="854" t="s">
        <v>47</v>
      </c>
      <c r="Q84" s="850" t="s">
        <v>92</v>
      </c>
      <c r="R84" s="851">
        <v>0</v>
      </c>
      <c r="S84" s="851">
        <v>0</v>
      </c>
      <c r="T84" s="851">
        <v>0</v>
      </c>
      <c r="U84" s="851">
        <v>0</v>
      </c>
      <c r="V84" s="851">
        <v>0</v>
      </c>
      <c r="W84" s="851">
        <v>0</v>
      </c>
      <c r="X84" s="851">
        <v>0</v>
      </c>
      <c r="Y84" s="851">
        <v>0</v>
      </c>
      <c r="Z84" s="851">
        <v>0</v>
      </c>
      <c r="AA84" s="851">
        <v>0</v>
      </c>
      <c r="AB84" s="851">
        <v>0</v>
      </c>
      <c r="AC84" s="851">
        <v>0</v>
      </c>
      <c r="AD84" s="851">
        <v>2.5</v>
      </c>
      <c r="AE84" s="851">
        <v>0</v>
      </c>
      <c r="AF84" s="851">
        <v>0</v>
      </c>
      <c r="AG84" s="851">
        <v>0</v>
      </c>
      <c r="AH84" s="851">
        <f t="shared" si="7"/>
        <v>2.0661157024793391</v>
      </c>
      <c r="AI84" s="851">
        <v>0</v>
      </c>
      <c r="AJ84" s="851"/>
      <c r="AK84" s="851"/>
      <c r="AL84" s="851"/>
      <c r="AM84" s="851"/>
      <c r="AN84" s="851"/>
      <c r="AO84" s="851"/>
      <c r="AP84" s="851"/>
    </row>
    <row r="85" spans="1:42" ht="14">
      <c r="A85" s="856">
        <v>84</v>
      </c>
      <c r="B85" s="425" t="s">
        <v>2757</v>
      </c>
      <c r="C85" s="425" t="s">
        <v>39</v>
      </c>
      <c r="D85" s="425" t="s">
        <v>2377</v>
      </c>
      <c r="E85" s="425" t="s">
        <v>809</v>
      </c>
      <c r="F85" s="425" t="s">
        <v>793</v>
      </c>
      <c r="G85">
        <v>1</v>
      </c>
      <c r="H85" s="853">
        <v>0.21</v>
      </c>
      <c r="I85" s="853">
        <v>0.3</v>
      </c>
      <c r="J85" s="852">
        <f t="shared" si="6"/>
        <v>6.3E-2</v>
      </c>
      <c r="K85" s="852">
        <f t="shared" si="8"/>
        <v>8.1899999999999994E-3</v>
      </c>
      <c r="L85">
        <v>0</v>
      </c>
      <c r="M85" s="425" t="s">
        <v>47</v>
      </c>
      <c r="N85" s="370">
        <v>2019</v>
      </c>
      <c r="O85" s="425" t="s">
        <v>2383</v>
      </c>
      <c r="P85" s="854" t="s">
        <v>47</v>
      </c>
      <c r="Q85" s="850" t="s">
        <v>92</v>
      </c>
      <c r="R85" s="851">
        <v>0</v>
      </c>
      <c r="S85" s="851">
        <v>0</v>
      </c>
      <c r="T85" s="851">
        <v>0</v>
      </c>
      <c r="U85" s="851">
        <v>0</v>
      </c>
      <c r="V85" s="851">
        <v>0</v>
      </c>
      <c r="W85" s="851">
        <v>0</v>
      </c>
      <c r="X85" s="851">
        <v>0</v>
      </c>
      <c r="Y85" s="851">
        <v>0</v>
      </c>
      <c r="Z85" s="851">
        <v>0</v>
      </c>
      <c r="AA85" s="851">
        <v>0</v>
      </c>
      <c r="AB85" s="851">
        <v>0</v>
      </c>
      <c r="AC85" s="851">
        <v>0</v>
      </c>
      <c r="AD85" s="851">
        <v>2.5</v>
      </c>
      <c r="AE85" s="851">
        <v>0</v>
      </c>
      <c r="AF85" s="851">
        <v>0</v>
      </c>
      <c r="AG85" s="851">
        <v>0</v>
      </c>
      <c r="AH85" s="851">
        <f t="shared" si="7"/>
        <v>2.0661157024793391</v>
      </c>
      <c r="AI85" s="851">
        <v>0</v>
      </c>
      <c r="AJ85" s="851"/>
      <c r="AK85" s="851"/>
      <c r="AL85" s="851"/>
      <c r="AM85" s="851"/>
      <c r="AN85" s="851"/>
      <c r="AO85" s="851"/>
      <c r="AP85" s="851"/>
    </row>
    <row r="86" spans="1:42" ht="14">
      <c r="A86" s="856">
        <v>85</v>
      </c>
      <c r="B86" s="425" t="s">
        <v>2758</v>
      </c>
      <c r="C86" s="425" t="s">
        <v>39</v>
      </c>
      <c r="D86" s="425" t="s">
        <v>2377</v>
      </c>
      <c r="E86" s="425" t="s">
        <v>809</v>
      </c>
      <c r="F86" s="425" t="s">
        <v>813</v>
      </c>
      <c r="G86">
        <v>1</v>
      </c>
      <c r="H86" s="853">
        <v>0.21</v>
      </c>
      <c r="I86" s="853">
        <v>0.3</v>
      </c>
      <c r="J86" s="852">
        <f t="shared" si="6"/>
        <v>6.3E-2</v>
      </c>
      <c r="K86" s="852">
        <f t="shared" si="8"/>
        <v>8.1899999999999994E-3</v>
      </c>
      <c r="L86">
        <v>0</v>
      </c>
      <c r="M86" s="425" t="s">
        <v>47</v>
      </c>
      <c r="N86" s="370">
        <v>2019</v>
      </c>
      <c r="O86" s="425" t="s">
        <v>2383</v>
      </c>
      <c r="P86" s="854" t="s">
        <v>47</v>
      </c>
      <c r="Q86" s="850" t="s">
        <v>92</v>
      </c>
      <c r="R86" s="851">
        <v>0</v>
      </c>
      <c r="S86" s="851">
        <v>0</v>
      </c>
      <c r="T86" s="851">
        <v>0</v>
      </c>
      <c r="U86" s="851">
        <v>0</v>
      </c>
      <c r="V86" s="851">
        <v>0</v>
      </c>
      <c r="W86" s="851">
        <v>0</v>
      </c>
      <c r="X86" s="851">
        <v>0</v>
      </c>
      <c r="Y86" s="851">
        <v>0</v>
      </c>
      <c r="Z86" s="851">
        <v>0</v>
      </c>
      <c r="AA86" s="851">
        <v>0</v>
      </c>
      <c r="AB86" s="851">
        <v>0</v>
      </c>
      <c r="AC86" s="851">
        <v>0</v>
      </c>
      <c r="AD86" s="851">
        <v>2.5</v>
      </c>
      <c r="AE86" s="851">
        <v>0</v>
      </c>
      <c r="AF86" s="851">
        <v>0</v>
      </c>
      <c r="AG86" s="851">
        <v>0</v>
      </c>
      <c r="AH86" s="851">
        <f t="shared" si="7"/>
        <v>2.0661157024793391</v>
      </c>
      <c r="AI86" s="851">
        <v>0</v>
      </c>
      <c r="AJ86" s="851"/>
      <c r="AK86" s="851"/>
      <c r="AL86" s="851"/>
      <c r="AM86" s="851"/>
      <c r="AN86" s="851"/>
      <c r="AO86" s="851"/>
      <c r="AP86" s="851"/>
    </row>
    <row r="87" spans="1:42" ht="14" customHeight="1">
      <c r="A87" s="856">
        <v>86</v>
      </c>
      <c r="B87" s="425" t="s">
        <v>2759</v>
      </c>
      <c r="C87" s="425" t="s">
        <v>39</v>
      </c>
      <c r="D87" s="425" t="s">
        <v>2377</v>
      </c>
      <c r="E87" s="425" t="s">
        <v>2414</v>
      </c>
      <c r="F87" s="425" t="s">
        <v>816</v>
      </c>
      <c r="G87">
        <v>1</v>
      </c>
      <c r="H87" s="853">
        <v>0.21</v>
      </c>
      <c r="I87" s="853">
        <v>0.3</v>
      </c>
      <c r="J87" s="852">
        <f t="shared" si="6"/>
        <v>6.3E-2</v>
      </c>
      <c r="K87" s="852">
        <f t="shared" si="8"/>
        <v>8.1899999999999994E-3</v>
      </c>
      <c r="L87">
        <v>0</v>
      </c>
      <c r="M87" s="425" t="s">
        <v>47</v>
      </c>
      <c r="N87" s="370">
        <v>2019</v>
      </c>
      <c r="O87" s="425" t="s">
        <v>2383</v>
      </c>
      <c r="P87" s="854" t="s">
        <v>47</v>
      </c>
      <c r="Q87" s="850" t="s">
        <v>92</v>
      </c>
      <c r="R87" s="851">
        <v>0</v>
      </c>
      <c r="S87" s="851">
        <v>0</v>
      </c>
      <c r="T87" s="851">
        <v>0</v>
      </c>
      <c r="U87" s="851">
        <v>0</v>
      </c>
      <c r="V87" s="851">
        <v>0</v>
      </c>
      <c r="W87" s="851">
        <v>0</v>
      </c>
      <c r="X87" s="851">
        <v>0</v>
      </c>
      <c r="Y87" s="851">
        <v>0</v>
      </c>
      <c r="Z87" s="851">
        <v>0</v>
      </c>
      <c r="AA87" s="851">
        <v>0</v>
      </c>
      <c r="AB87" s="851">
        <v>0</v>
      </c>
      <c r="AC87" s="851">
        <v>0</v>
      </c>
      <c r="AD87" s="851">
        <v>2.5</v>
      </c>
      <c r="AE87" s="851">
        <v>0</v>
      </c>
      <c r="AF87" s="851">
        <v>0</v>
      </c>
      <c r="AG87" s="851">
        <v>0</v>
      </c>
      <c r="AH87" s="851">
        <f t="shared" si="7"/>
        <v>2.0661157024793391</v>
      </c>
      <c r="AI87" s="851">
        <v>0</v>
      </c>
      <c r="AJ87" s="851"/>
      <c r="AK87" s="851"/>
      <c r="AL87" s="851"/>
      <c r="AM87" s="851"/>
      <c r="AN87" s="851"/>
      <c r="AO87" s="851"/>
      <c r="AP87" s="851"/>
    </row>
    <row r="88" spans="1:42" ht="14" customHeight="1">
      <c r="A88" s="856">
        <v>87</v>
      </c>
      <c r="B88" s="425" t="s">
        <v>2760</v>
      </c>
      <c r="C88" s="425" t="s">
        <v>39</v>
      </c>
      <c r="D88" s="425" t="s">
        <v>2377</v>
      </c>
      <c r="E88" s="425" t="s">
        <v>2414</v>
      </c>
      <c r="F88" s="425" t="s">
        <v>818</v>
      </c>
      <c r="G88">
        <v>1</v>
      </c>
      <c r="H88" s="853">
        <v>0.21</v>
      </c>
      <c r="I88" s="853">
        <v>0.3</v>
      </c>
      <c r="J88" s="852">
        <f t="shared" si="6"/>
        <v>6.3E-2</v>
      </c>
      <c r="K88" s="852">
        <f t="shared" si="8"/>
        <v>8.1899999999999994E-3</v>
      </c>
      <c r="L88">
        <v>0</v>
      </c>
      <c r="M88" s="425" t="s">
        <v>47</v>
      </c>
      <c r="N88" s="370">
        <v>2019</v>
      </c>
      <c r="O88" s="425" t="s">
        <v>2383</v>
      </c>
      <c r="P88" s="854" t="s">
        <v>47</v>
      </c>
      <c r="Q88" s="850" t="s">
        <v>92</v>
      </c>
      <c r="R88" s="851">
        <v>0</v>
      </c>
      <c r="S88" s="851">
        <v>0</v>
      </c>
      <c r="T88" s="851">
        <v>0</v>
      </c>
      <c r="U88" s="851">
        <v>0</v>
      </c>
      <c r="V88" s="851">
        <v>0</v>
      </c>
      <c r="W88" s="851">
        <v>0</v>
      </c>
      <c r="X88" s="851">
        <v>0</v>
      </c>
      <c r="Y88" s="851">
        <v>0</v>
      </c>
      <c r="Z88" s="851">
        <v>0</v>
      </c>
      <c r="AA88" s="851">
        <v>0</v>
      </c>
      <c r="AB88" s="851">
        <v>0</v>
      </c>
      <c r="AC88" s="851">
        <v>0</v>
      </c>
      <c r="AD88" s="851">
        <v>2.5</v>
      </c>
      <c r="AE88" s="851">
        <v>0</v>
      </c>
      <c r="AF88" s="851">
        <v>0</v>
      </c>
      <c r="AG88" s="851">
        <v>0</v>
      </c>
      <c r="AH88" s="851">
        <f t="shared" si="7"/>
        <v>2.0661157024793391</v>
      </c>
      <c r="AI88" s="851">
        <v>0</v>
      </c>
      <c r="AJ88" s="851"/>
      <c r="AK88" s="851"/>
      <c r="AL88" s="851"/>
      <c r="AM88" s="851"/>
      <c r="AN88" s="851"/>
      <c r="AO88" s="851"/>
      <c r="AP88" s="851"/>
    </row>
    <row r="89" spans="1:42" ht="14" customHeight="1">
      <c r="A89" s="856">
        <v>88</v>
      </c>
      <c r="B89" s="425" t="s">
        <v>2761</v>
      </c>
      <c r="C89" s="425" t="s">
        <v>39</v>
      </c>
      <c r="D89" s="425" t="s">
        <v>2377</v>
      </c>
      <c r="E89" s="425" t="s">
        <v>2414</v>
      </c>
      <c r="F89" s="425" t="s">
        <v>807</v>
      </c>
      <c r="G89">
        <v>1</v>
      </c>
      <c r="H89" s="853">
        <v>0.21</v>
      </c>
      <c r="I89" s="853">
        <v>0.3</v>
      </c>
      <c r="J89" s="852">
        <f t="shared" si="6"/>
        <v>6.3E-2</v>
      </c>
      <c r="K89" s="852">
        <f t="shared" si="8"/>
        <v>8.1899999999999994E-3</v>
      </c>
      <c r="L89">
        <v>0</v>
      </c>
      <c r="M89" s="425" t="s">
        <v>47</v>
      </c>
      <c r="N89" s="370">
        <v>2019</v>
      </c>
      <c r="O89" s="425" t="s">
        <v>2383</v>
      </c>
      <c r="P89" s="854" t="s">
        <v>47</v>
      </c>
      <c r="Q89" s="850" t="s">
        <v>92</v>
      </c>
      <c r="R89" s="851">
        <v>0</v>
      </c>
      <c r="S89" s="851">
        <v>0</v>
      </c>
      <c r="T89" s="851">
        <v>0</v>
      </c>
      <c r="U89" s="851">
        <v>0</v>
      </c>
      <c r="V89" s="851">
        <v>0</v>
      </c>
      <c r="W89" s="851">
        <v>0</v>
      </c>
      <c r="X89" s="851">
        <v>0</v>
      </c>
      <c r="Y89" s="851">
        <v>0</v>
      </c>
      <c r="Z89" s="851">
        <v>0</v>
      </c>
      <c r="AA89" s="851">
        <v>0</v>
      </c>
      <c r="AB89" s="851">
        <v>0</v>
      </c>
      <c r="AC89" s="851">
        <v>0</v>
      </c>
      <c r="AD89" s="851">
        <v>2.5</v>
      </c>
      <c r="AE89" s="851">
        <v>0</v>
      </c>
      <c r="AF89" s="851">
        <v>0</v>
      </c>
      <c r="AG89" s="851">
        <v>0</v>
      </c>
      <c r="AH89" s="851">
        <f t="shared" si="7"/>
        <v>2.0661157024793391</v>
      </c>
      <c r="AI89" s="851">
        <v>0</v>
      </c>
      <c r="AJ89" s="851"/>
      <c r="AK89" s="851"/>
      <c r="AL89" s="851"/>
      <c r="AM89" s="851"/>
      <c r="AN89" s="851"/>
      <c r="AO89" s="851"/>
      <c r="AP89" s="851"/>
    </row>
    <row r="90" spans="1:42" ht="14">
      <c r="A90" s="856">
        <v>89</v>
      </c>
      <c r="B90" s="425" t="s">
        <v>2762</v>
      </c>
      <c r="C90" s="425" t="s">
        <v>39</v>
      </c>
      <c r="D90" s="425" t="s">
        <v>2377</v>
      </c>
      <c r="E90" s="425" t="s">
        <v>2419</v>
      </c>
      <c r="F90" s="425" t="s">
        <v>2420</v>
      </c>
      <c r="G90">
        <v>1</v>
      </c>
      <c r="H90" s="853">
        <v>0.21</v>
      </c>
      <c r="I90" s="853">
        <v>0.3</v>
      </c>
      <c r="J90" s="852">
        <f t="shared" si="6"/>
        <v>6.3E-2</v>
      </c>
      <c r="K90" s="852">
        <f t="shared" si="8"/>
        <v>8.1899999999999994E-3</v>
      </c>
      <c r="L90">
        <v>0</v>
      </c>
      <c r="M90" s="425" t="s">
        <v>47</v>
      </c>
      <c r="N90" s="370">
        <v>2019</v>
      </c>
      <c r="O90" s="425" t="s">
        <v>2383</v>
      </c>
      <c r="P90" s="854" t="s">
        <v>47</v>
      </c>
      <c r="Q90" s="850" t="s">
        <v>92</v>
      </c>
      <c r="R90" s="851">
        <v>0</v>
      </c>
      <c r="S90" s="851">
        <v>0</v>
      </c>
      <c r="T90" s="851">
        <v>0</v>
      </c>
      <c r="U90" s="851">
        <v>0</v>
      </c>
      <c r="V90" s="851">
        <v>0</v>
      </c>
      <c r="W90" s="851">
        <v>0</v>
      </c>
      <c r="X90" s="851">
        <v>0</v>
      </c>
      <c r="Y90" s="851">
        <v>0</v>
      </c>
      <c r="Z90" s="851">
        <v>0</v>
      </c>
      <c r="AA90" s="851">
        <v>0</v>
      </c>
      <c r="AB90" s="851">
        <v>0</v>
      </c>
      <c r="AC90" s="851">
        <v>0</v>
      </c>
      <c r="AD90" s="851">
        <v>2.5</v>
      </c>
      <c r="AE90" s="851">
        <v>0</v>
      </c>
      <c r="AF90" s="851">
        <v>0</v>
      </c>
      <c r="AG90" s="851">
        <v>0</v>
      </c>
      <c r="AH90" s="851">
        <f t="shared" si="7"/>
        <v>2.0661157024793391</v>
      </c>
      <c r="AI90" s="851">
        <v>0</v>
      </c>
      <c r="AJ90" s="851"/>
      <c r="AK90" s="851"/>
      <c r="AL90" s="851"/>
      <c r="AM90" s="851"/>
      <c r="AN90" s="851"/>
      <c r="AO90" s="851"/>
      <c r="AP90" s="851"/>
    </row>
    <row r="91" spans="1:42" ht="14">
      <c r="A91" s="856">
        <v>90</v>
      </c>
      <c r="B91" s="425" t="s">
        <v>2763</v>
      </c>
      <c r="C91" s="425" t="s">
        <v>39</v>
      </c>
      <c r="D91" s="425" t="s">
        <v>2377</v>
      </c>
      <c r="E91" s="425" t="s">
        <v>2419</v>
      </c>
      <c r="F91" s="425" t="s">
        <v>2379</v>
      </c>
      <c r="G91">
        <v>1</v>
      </c>
      <c r="H91" s="853">
        <v>0.21</v>
      </c>
      <c r="I91" s="853">
        <v>0.3</v>
      </c>
      <c r="J91" s="852">
        <f t="shared" si="6"/>
        <v>6.3E-2</v>
      </c>
      <c r="K91" s="852">
        <f t="shared" si="8"/>
        <v>8.1899999999999994E-3</v>
      </c>
      <c r="L91">
        <v>0</v>
      </c>
      <c r="M91" s="425" t="s">
        <v>47</v>
      </c>
      <c r="N91" s="370">
        <v>2019</v>
      </c>
      <c r="O91" s="425" t="s">
        <v>2383</v>
      </c>
      <c r="P91" s="854" t="s">
        <v>47</v>
      </c>
      <c r="Q91" s="850" t="s">
        <v>92</v>
      </c>
      <c r="R91" s="851">
        <v>0</v>
      </c>
      <c r="S91" s="851">
        <v>0</v>
      </c>
      <c r="T91" s="851">
        <v>0</v>
      </c>
      <c r="U91" s="851">
        <v>0</v>
      </c>
      <c r="V91" s="851">
        <v>0</v>
      </c>
      <c r="W91" s="851">
        <v>0</v>
      </c>
      <c r="X91" s="851">
        <v>0</v>
      </c>
      <c r="Y91" s="851">
        <v>0</v>
      </c>
      <c r="Z91" s="851">
        <v>0</v>
      </c>
      <c r="AA91" s="851">
        <v>0</v>
      </c>
      <c r="AB91" s="851">
        <v>0</v>
      </c>
      <c r="AC91" s="851">
        <v>0</v>
      </c>
      <c r="AD91" s="851">
        <v>2.5</v>
      </c>
      <c r="AE91" s="851">
        <v>0</v>
      </c>
      <c r="AF91" s="851">
        <v>0</v>
      </c>
      <c r="AG91" s="851">
        <v>0</v>
      </c>
      <c r="AH91" s="851">
        <f t="shared" si="7"/>
        <v>2.0661157024793391</v>
      </c>
      <c r="AI91" s="851">
        <v>0</v>
      </c>
      <c r="AJ91" s="851"/>
      <c r="AK91" s="851"/>
      <c r="AL91" s="851"/>
      <c r="AM91" s="851"/>
      <c r="AN91" s="851"/>
      <c r="AO91" s="851"/>
      <c r="AP91" s="851"/>
    </row>
    <row r="92" spans="1:42" ht="14">
      <c r="A92" s="856">
        <v>91</v>
      </c>
      <c r="B92" s="425" t="s">
        <v>2764</v>
      </c>
      <c r="C92" s="425" t="s">
        <v>39</v>
      </c>
      <c r="D92" s="425" t="s">
        <v>2377</v>
      </c>
      <c r="E92" s="425" t="s">
        <v>2419</v>
      </c>
      <c r="F92" s="425" t="s">
        <v>2386</v>
      </c>
      <c r="G92">
        <v>1</v>
      </c>
      <c r="H92" s="853">
        <v>0.21</v>
      </c>
      <c r="I92" s="853">
        <v>0.3</v>
      </c>
      <c r="J92" s="852">
        <f t="shared" si="6"/>
        <v>6.3E-2</v>
      </c>
      <c r="K92" s="852">
        <f t="shared" si="8"/>
        <v>8.1899999999999994E-3</v>
      </c>
      <c r="L92">
        <v>0</v>
      </c>
      <c r="M92" s="425" t="s">
        <v>47</v>
      </c>
      <c r="N92" s="370">
        <v>2019</v>
      </c>
      <c r="O92" s="425" t="s">
        <v>2383</v>
      </c>
      <c r="P92" s="854" t="s">
        <v>47</v>
      </c>
      <c r="Q92" s="850" t="s">
        <v>92</v>
      </c>
      <c r="R92" s="851">
        <v>0</v>
      </c>
      <c r="S92" s="851">
        <v>0</v>
      </c>
      <c r="T92" s="851">
        <v>0</v>
      </c>
      <c r="U92" s="851">
        <v>0</v>
      </c>
      <c r="V92" s="851">
        <v>0</v>
      </c>
      <c r="W92" s="851">
        <v>0</v>
      </c>
      <c r="X92" s="851">
        <v>0</v>
      </c>
      <c r="Y92" s="851">
        <v>0</v>
      </c>
      <c r="Z92" s="851">
        <v>0</v>
      </c>
      <c r="AA92" s="851">
        <v>0</v>
      </c>
      <c r="AB92" s="851">
        <v>0</v>
      </c>
      <c r="AC92" s="851">
        <v>0</v>
      </c>
      <c r="AD92" s="851">
        <v>2.5</v>
      </c>
      <c r="AE92" s="851">
        <v>0</v>
      </c>
      <c r="AF92" s="851">
        <v>0</v>
      </c>
      <c r="AG92" s="851">
        <v>0</v>
      </c>
      <c r="AH92" s="851">
        <f t="shared" si="7"/>
        <v>2.0661157024793391</v>
      </c>
      <c r="AI92" s="851">
        <v>0</v>
      </c>
      <c r="AJ92" s="851"/>
      <c r="AK92" s="851"/>
      <c r="AL92" s="851"/>
      <c r="AM92" s="851"/>
      <c r="AN92" s="851"/>
      <c r="AO92" s="851"/>
      <c r="AP92" s="851"/>
    </row>
    <row r="93" spans="1:42" ht="14">
      <c r="A93" s="856">
        <v>92</v>
      </c>
      <c r="B93" s="425" t="s">
        <v>2765</v>
      </c>
      <c r="C93" s="425" t="s">
        <v>39</v>
      </c>
      <c r="D93" s="425" t="s">
        <v>2377</v>
      </c>
      <c r="E93" s="425" t="s">
        <v>2443</v>
      </c>
      <c r="F93" s="425" t="s">
        <v>980</v>
      </c>
      <c r="G93">
        <v>1</v>
      </c>
      <c r="H93" s="853">
        <v>0.21</v>
      </c>
      <c r="I93" s="853">
        <v>0.3</v>
      </c>
      <c r="J93" s="852">
        <f t="shared" si="6"/>
        <v>6.3E-2</v>
      </c>
      <c r="K93" s="852">
        <f t="shared" si="8"/>
        <v>8.1899999999999994E-3</v>
      </c>
      <c r="L93">
        <v>0</v>
      </c>
      <c r="M93" s="425" t="s">
        <v>47</v>
      </c>
      <c r="N93" s="370">
        <v>2019</v>
      </c>
      <c r="O93" s="425" t="s">
        <v>2383</v>
      </c>
      <c r="P93" s="854" t="s">
        <v>47</v>
      </c>
      <c r="Q93" s="850" t="s">
        <v>92</v>
      </c>
      <c r="R93" s="851">
        <v>0</v>
      </c>
      <c r="S93" s="851">
        <v>0</v>
      </c>
      <c r="T93" s="851">
        <v>0</v>
      </c>
      <c r="U93" s="851">
        <v>0</v>
      </c>
      <c r="V93" s="851">
        <v>0</v>
      </c>
      <c r="W93" s="851">
        <v>0</v>
      </c>
      <c r="X93" s="851">
        <v>0</v>
      </c>
      <c r="Y93" s="851">
        <v>0</v>
      </c>
      <c r="Z93" s="851">
        <v>0</v>
      </c>
      <c r="AA93" s="851">
        <v>0</v>
      </c>
      <c r="AB93" s="851">
        <v>0</v>
      </c>
      <c r="AC93" s="851">
        <v>0</v>
      </c>
      <c r="AD93" s="851">
        <v>2.5</v>
      </c>
      <c r="AE93" s="851">
        <v>0</v>
      </c>
      <c r="AF93" s="851">
        <v>0</v>
      </c>
      <c r="AG93" s="851">
        <v>0</v>
      </c>
      <c r="AH93" s="851">
        <f t="shared" si="7"/>
        <v>2.0661157024793391</v>
      </c>
      <c r="AI93" s="851">
        <v>0</v>
      </c>
      <c r="AJ93" s="851"/>
      <c r="AK93" s="851"/>
      <c r="AL93" s="851"/>
      <c r="AM93" s="851"/>
      <c r="AN93" s="851"/>
      <c r="AO93" s="851"/>
      <c r="AP93" s="851"/>
    </row>
    <row r="94" spans="1:42" ht="14">
      <c r="A94" s="856">
        <v>93</v>
      </c>
      <c r="B94" s="425" t="s">
        <v>2766</v>
      </c>
      <c r="C94" s="425" t="s">
        <v>39</v>
      </c>
      <c r="D94" s="425" t="s">
        <v>2377</v>
      </c>
      <c r="E94" s="425" t="s">
        <v>2443</v>
      </c>
      <c r="F94" s="425" t="s">
        <v>522</v>
      </c>
      <c r="G94">
        <v>1</v>
      </c>
      <c r="H94" s="853">
        <v>0.21</v>
      </c>
      <c r="I94" s="853">
        <v>0.3</v>
      </c>
      <c r="J94" s="852">
        <f t="shared" si="6"/>
        <v>6.3E-2</v>
      </c>
      <c r="K94" s="852">
        <f t="shared" si="8"/>
        <v>8.1899999999999994E-3</v>
      </c>
      <c r="L94">
        <v>0</v>
      </c>
      <c r="M94" s="425" t="s">
        <v>47</v>
      </c>
      <c r="N94" s="370">
        <v>2019</v>
      </c>
      <c r="O94" s="425" t="s">
        <v>2383</v>
      </c>
      <c r="P94" s="854" t="s">
        <v>47</v>
      </c>
      <c r="Q94" s="850" t="s">
        <v>92</v>
      </c>
      <c r="R94" s="851">
        <v>0</v>
      </c>
      <c r="S94" s="851">
        <v>0</v>
      </c>
      <c r="T94" s="851">
        <v>0</v>
      </c>
      <c r="U94" s="851">
        <v>0</v>
      </c>
      <c r="V94" s="851">
        <v>0</v>
      </c>
      <c r="W94" s="851">
        <v>0</v>
      </c>
      <c r="X94" s="851">
        <v>0</v>
      </c>
      <c r="Y94" s="851">
        <v>0</v>
      </c>
      <c r="Z94" s="851">
        <v>0</v>
      </c>
      <c r="AA94" s="851">
        <v>0</v>
      </c>
      <c r="AB94" s="851">
        <v>0</v>
      </c>
      <c r="AC94" s="851">
        <v>0</v>
      </c>
      <c r="AD94" s="851">
        <v>2.5</v>
      </c>
      <c r="AE94" s="851">
        <v>0</v>
      </c>
      <c r="AF94" s="851">
        <v>0</v>
      </c>
      <c r="AG94" s="851">
        <v>0</v>
      </c>
      <c r="AH94" s="851">
        <f t="shared" si="7"/>
        <v>2.0661157024793391</v>
      </c>
      <c r="AI94" s="851">
        <v>0</v>
      </c>
      <c r="AJ94" s="851"/>
      <c r="AK94" s="851"/>
      <c r="AL94" s="851"/>
      <c r="AM94" s="851"/>
      <c r="AN94" s="851"/>
      <c r="AO94" s="851"/>
      <c r="AP94" s="851"/>
    </row>
    <row r="95" spans="1:42" ht="14">
      <c r="A95" s="856">
        <v>94</v>
      </c>
      <c r="B95" s="425" t="s">
        <v>2767</v>
      </c>
      <c r="C95" s="425" t="s">
        <v>39</v>
      </c>
      <c r="D95" s="425" t="s">
        <v>2377</v>
      </c>
      <c r="E95" s="425" t="s">
        <v>2443</v>
      </c>
      <c r="F95" s="425" t="s">
        <v>2386</v>
      </c>
      <c r="G95">
        <v>1</v>
      </c>
      <c r="H95" s="853">
        <v>0.21</v>
      </c>
      <c r="I95" s="853">
        <v>0.3</v>
      </c>
      <c r="J95" s="852">
        <f t="shared" si="6"/>
        <v>6.3E-2</v>
      </c>
      <c r="K95" s="852">
        <f t="shared" si="8"/>
        <v>8.1899999999999994E-3</v>
      </c>
      <c r="L95">
        <v>0</v>
      </c>
      <c r="M95" s="425" t="s">
        <v>47</v>
      </c>
      <c r="N95" s="370">
        <v>2019</v>
      </c>
      <c r="O95" s="425" t="s">
        <v>2383</v>
      </c>
      <c r="P95" s="854" t="s">
        <v>47</v>
      </c>
      <c r="Q95" s="850" t="s">
        <v>92</v>
      </c>
      <c r="R95" s="851">
        <v>0</v>
      </c>
      <c r="S95" s="851">
        <v>0</v>
      </c>
      <c r="T95" s="851">
        <v>0</v>
      </c>
      <c r="U95" s="851">
        <v>0</v>
      </c>
      <c r="V95" s="851">
        <v>0</v>
      </c>
      <c r="W95" s="851">
        <v>0</v>
      </c>
      <c r="X95" s="851">
        <v>0</v>
      </c>
      <c r="Y95" s="851">
        <v>0</v>
      </c>
      <c r="Z95" s="851">
        <v>0</v>
      </c>
      <c r="AA95" s="851">
        <v>0</v>
      </c>
      <c r="AB95" s="851">
        <v>0</v>
      </c>
      <c r="AC95" s="851">
        <v>0</v>
      </c>
      <c r="AD95" s="851">
        <v>2.5</v>
      </c>
      <c r="AE95" s="851">
        <v>0</v>
      </c>
      <c r="AF95" s="851">
        <v>0</v>
      </c>
      <c r="AG95" s="851">
        <v>0</v>
      </c>
      <c r="AH95" s="851">
        <f t="shared" si="7"/>
        <v>2.0661157024793391</v>
      </c>
      <c r="AI95" s="851">
        <v>0</v>
      </c>
      <c r="AJ95" s="851"/>
      <c r="AK95" s="851"/>
      <c r="AL95" s="851"/>
      <c r="AM95" s="851"/>
      <c r="AN95" s="851"/>
      <c r="AO95" s="851"/>
      <c r="AP95" s="851"/>
    </row>
    <row r="96" spans="1:42" ht="14">
      <c r="A96" s="856">
        <v>95</v>
      </c>
      <c r="B96" s="425" t="s">
        <v>2768</v>
      </c>
      <c r="C96" s="425" t="s">
        <v>39</v>
      </c>
      <c r="D96" s="425" t="s">
        <v>2377</v>
      </c>
      <c r="E96" s="425" t="s">
        <v>2444</v>
      </c>
      <c r="F96" s="425" t="s">
        <v>830</v>
      </c>
      <c r="G96">
        <v>1</v>
      </c>
      <c r="H96" s="853">
        <v>0.21</v>
      </c>
      <c r="I96" s="853">
        <v>0.3</v>
      </c>
      <c r="J96" s="852">
        <f t="shared" si="6"/>
        <v>6.3E-2</v>
      </c>
      <c r="K96" s="852">
        <f t="shared" si="8"/>
        <v>8.1899999999999994E-3</v>
      </c>
      <c r="L96">
        <v>0</v>
      </c>
      <c r="M96" s="425" t="s">
        <v>47</v>
      </c>
      <c r="N96" s="370">
        <v>2019</v>
      </c>
      <c r="O96" s="425" t="s">
        <v>2383</v>
      </c>
      <c r="P96" s="854" t="s">
        <v>47</v>
      </c>
      <c r="Q96" s="850" t="s">
        <v>92</v>
      </c>
      <c r="R96" s="851">
        <v>0</v>
      </c>
      <c r="S96" s="851">
        <v>0</v>
      </c>
      <c r="T96" s="851">
        <v>0</v>
      </c>
      <c r="U96" s="851">
        <v>0</v>
      </c>
      <c r="V96" s="851">
        <v>0</v>
      </c>
      <c r="W96" s="851">
        <v>0</v>
      </c>
      <c r="X96" s="851">
        <v>0</v>
      </c>
      <c r="Y96" s="851">
        <v>0</v>
      </c>
      <c r="Z96" s="851">
        <v>0</v>
      </c>
      <c r="AA96" s="851">
        <v>0</v>
      </c>
      <c r="AB96" s="851">
        <v>0</v>
      </c>
      <c r="AC96" s="851">
        <v>0</v>
      </c>
      <c r="AD96" s="851">
        <v>2.5</v>
      </c>
      <c r="AE96" s="851">
        <v>0</v>
      </c>
      <c r="AF96" s="851">
        <v>0</v>
      </c>
      <c r="AG96" s="851">
        <v>0</v>
      </c>
      <c r="AH96" s="851">
        <f t="shared" si="7"/>
        <v>2.0661157024793391</v>
      </c>
      <c r="AI96" s="851">
        <v>0</v>
      </c>
      <c r="AJ96" s="851"/>
      <c r="AK96" s="851"/>
      <c r="AL96" s="851"/>
      <c r="AM96" s="851"/>
      <c r="AN96" s="851"/>
      <c r="AO96" s="851"/>
      <c r="AP96" s="851"/>
    </row>
    <row r="97" spans="1:42" ht="14">
      <c r="A97" s="856">
        <v>96</v>
      </c>
      <c r="B97" s="425" t="s">
        <v>2769</v>
      </c>
      <c r="C97" s="425" t="s">
        <v>39</v>
      </c>
      <c r="D97" s="425" t="s">
        <v>2377</v>
      </c>
      <c r="E97" s="425" t="s">
        <v>2444</v>
      </c>
      <c r="F97" s="425" t="s">
        <v>832</v>
      </c>
      <c r="G97">
        <v>1</v>
      </c>
      <c r="H97" s="853">
        <v>0.21</v>
      </c>
      <c r="I97" s="853">
        <v>0.3</v>
      </c>
      <c r="J97" s="852">
        <f t="shared" si="6"/>
        <v>6.3E-2</v>
      </c>
      <c r="K97" s="852">
        <f t="shared" si="8"/>
        <v>8.1899999999999994E-3</v>
      </c>
      <c r="L97">
        <v>0</v>
      </c>
      <c r="M97" s="425" t="s">
        <v>47</v>
      </c>
      <c r="N97" s="370">
        <v>2019</v>
      </c>
      <c r="O97" s="425" t="s">
        <v>2383</v>
      </c>
      <c r="P97" s="854" t="s">
        <v>47</v>
      </c>
      <c r="Q97" s="850" t="s">
        <v>92</v>
      </c>
      <c r="R97" s="851">
        <v>0</v>
      </c>
      <c r="S97" s="851">
        <v>0</v>
      </c>
      <c r="T97" s="851">
        <v>0</v>
      </c>
      <c r="U97" s="851">
        <v>0</v>
      </c>
      <c r="V97" s="851">
        <v>0</v>
      </c>
      <c r="W97" s="851">
        <v>0</v>
      </c>
      <c r="X97" s="851">
        <v>0</v>
      </c>
      <c r="Y97" s="851">
        <v>0</v>
      </c>
      <c r="Z97" s="851">
        <v>0</v>
      </c>
      <c r="AA97" s="851">
        <v>0</v>
      </c>
      <c r="AB97" s="851">
        <v>0</v>
      </c>
      <c r="AC97" s="851">
        <v>0</v>
      </c>
      <c r="AD97" s="851">
        <v>2.5</v>
      </c>
      <c r="AE97" s="851">
        <v>0</v>
      </c>
      <c r="AF97" s="851">
        <v>0</v>
      </c>
      <c r="AG97" s="851">
        <v>0</v>
      </c>
      <c r="AH97" s="851">
        <f t="shared" si="7"/>
        <v>2.0661157024793391</v>
      </c>
      <c r="AI97" s="851">
        <v>0</v>
      </c>
      <c r="AJ97" s="851"/>
      <c r="AK97" s="851"/>
      <c r="AL97" s="851"/>
      <c r="AM97" s="851"/>
      <c r="AN97" s="851"/>
      <c r="AO97" s="851"/>
      <c r="AP97" s="851"/>
    </row>
    <row r="98" spans="1:42" ht="14">
      <c r="A98" s="856">
        <v>97</v>
      </c>
      <c r="B98" s="425" t="s">
        <v>2770</v>
      </c>
      <c r="C98" s="425" t="s">
        <v>39</v>
      </c>
      <c r="D98" s="425" t="s">
        <v>2377</v>
      </c>
      <c r="E98" s="425" t="s">
        <v>2444</v>
      </c>
      <c r="F98" s="425" t="s">
        <v>835</v>
      </c>
      <c r="G98">
        <v>1</v>
      </c>
      <c r="H98" s="853">
        <v>0.21</v>
      </c>
      <c r="I98" s="853">
        <v>0.3</v>
      </c>
      <c r="J98" s="852">
        <f t="shared" si="6"/>
        <v>6.3E-2</v>
      </c>
      <c r="K98" s="852">
        <f t="shared" si="8"/>
        <v>8.1899999999999994E-3</v>
      </c>
      <c r="L98">
        <v>0</v>
      </c>
      <c r="M98" s="425" t="s">
        <v>47</v>
      </c>
      <c r="N98" s="370">
        <v>2019</v>
      </c>
      <c r="O98" s="425" t="s">
        <v>2383</v>
      </c>
      <c r="P98" s="854" t="s">
        <v>47</v>
      </c>
      <c r="Q98" s="850" t="s">
        <v>92</v>
      </c>
      <c r="R98" s="851">
        <v>0</v>
      </c>
      <c r="S98" s="851">
        <v>0</v>
      </c>
      <c r="T98" s="851">
        <v>0</v>
      </c>
      <c r="U98" s="851">
        <v>0</v>
      </c>
      <c r="V98" s="851">
        <v>0</v>
      </c>
      <c r="W98" s="851">
        <v>0</v>
      </c>
      <c r="X98" s="851">
        <v>0</v>
      </c>
      <c r="Y98" s="851">
        <v>0</v>
      </c>
      <c r="Z98" s="851">
        <v>0</v>
      </c>
      <c r="AA98" s="851">
        <v>0</v>
      </c>
      <c r="AB98" s="851">
        <v>0</v>
      </c>
      <c r="AC98" s="851">
        <v>0</v>
      </c>
      <c r="AD98" s="851">
        <v>2.5</v>
      </c>
      <c r="AE98" s="851">
        <v>0</v>
      </c>
      <c r="AF98" s="851">
        <v>0</v>
      </c>
      <c r="AG98" s="851">
        <v>0</v>
      </c>
      <c r="AH98" s="851">
        <f t="shared" si="7"/>
        <v>2.0661157024793391</v>
      </c>
      <c r="AI98" s="851">
        <v>0</v>
      </c>
      <c r="AJ98" s="851"/>
      <c r="AK98" s="851"/>
      <c r="AL98" s="851"/>
      <c r="AM98" s="851"/>
      <c r="AN98" s="851"/>
      <c r="AO98" s="851"/>
      <c r="AP98" s="851"/>
    </row>
    <row r="99" spans="1:42" ht="14">
      <c r="A99" s="856">
        <v>98</v>
      </c>
      <c r="B99" s="425" t="s">
        <v>2771</v>
      </c>
      <c r="C99" s="425" t="s">
        <v>39</v>
      </c>
      <c r="D99" s="425" t="s">
        <v>2377</v>
      </c>
      <c r="E99" s="425" t="s">
        <v>2445</v>
      </c>
      <c r="F99" s="425" t="s">
        <v>791</v>
      </c>
      <c r="G99">
        <v>1</v>
      </c>
      <c r="H99" s="853">
        <v>0.21</v>
      </c>
      <c r="I99" s="853">
        <v>0.3</v>
      </c>
      <c r="J99" s="852">
        <f t="shared" si="6"/>
        <v>6.3E-2</v>
      </c>
      <c r="K99" s="852">
        <f t="shared" si="8"/>
        <v>8.1899999999999994E-3</v>
      </c>
      <c r="L99">
        <v>0</v>
      </c>
      <c r="M99" s="425" t="s">
        <v>47</v>
      </c>
      <c r="N99" s="370">
        <v>2019</v>
      </c>
      <c r="O99" s="425" t="s">
        <v>2383</v>
      </c>
      <c r="P99" s="854" t="s">
        <v>47</v>
      </c>
      <c r="Q99" s="850" t="s">
        <v>92</v>
      </c>
      <c r="R99" s="851">
        <v>0</v>
      </c>
      <c r="S99" s="851">
        <v>0</v>
      </c>
      <c r="T99" s="851">
        <v>0</v>
      </c>
      <c r="U99" s="851">
        <v>0</v>
      </c>
      <c r="V99" s="851">
        <v>0</v>
      </c>
      <c r="W99" s="851">
        <v>0</v>
      </c>
      <c r="X99" s="851">
        <v>0</v>
      </c>
      <c r="Y99" s="851">
        <v>0</v>
      </c>
      <c r="Z99" s="851">
        <v>0</v>
      </c>
      <c r="AA99" s="851">
        <v>0</v>
      </c>
      <c r="AB99" s="851">
        <v>0</v>
      </c>
      <c r="AC99" s="851">
        <v>0</v>
      </c>
      <c r="AD99" s="851">
        <v>2.5</v>
      </c>
      <c r="AE99" s="851">
        <v>0</v>
      </c>
      <c r="AF99" s="851">
        <v>0</v>
      </c>
      <c r="AG99" s="851">
        <v>0</v>
      </c>
      <c r="AH99" s="851">
        <f t="shared" si="7"/>
        <v>2.0661157024793391</v>
      </c>
      <c r="AI99" s="851">
        <v>0</v>
      </c>
      <c r="AJ99" s="851"/>
      <c r="AK99" s="851"/>
      <c r="AL99" s="851"/>
      <c r="AM99" s="851"/>
      <c r="AN99" s="851"/>
      <c r="AO99" s="851"/>
      <c r="AP99" s="851"/>
    </row>
    <row r="100" spans="1:42" ht="14">
      <c r="A100" s="856">
        <v>99</v>
      </c>
      <c r="B100" s="425" t="s">
        <v>2772</v>
      </c>
      <c r="C100" s="425" t="s">
        <v>39</v>
      </c>
      <c r="D100" s="425" t="s">
        <v>2377</v>
      </c>
      <c r="E100" s="425" t="s">
        <v>2445</v>
      </c>
      <c r="F100" s="425" t="s">
        <v>835</v>
      </c>
      <c r="G100">
        <v>1</v>
      </c>
      <c r="H100" s="853">
        <v>0.21</v>
      </c>
      <c r="I100" s="853">
        <v>0.3</v>
      </c>
      <c r="J100" s="852">
        <f t="shared" si="6"/>
        <v>6.3E-2</v>
      </c>
      <c r="K100" s="852">
        <f t="shared" si="8"/>
        <v>8.1899999999999994E-3</v>
      </c>
      <c r="L100">
        <v>0</v>
      </c>
      <c r="M100" s="425" t="s">
        <v>47</v>
      </c>
      <c r="N100" s="370">
        <v>2019</v>
      </c>
      <c r="O100" s="425" t="s">
        <v>2383</v>
      </c>
      <c r="P100" s="854" t="s">
        <v>47</v>
      </c>
      <c r="Q100" s="850" t="s">
        <v>92</v>
      </c>
      <c r="R100" s="851">
        <v>0</v>
      </c>
      <c r="S100" s="851">
        <v>0</v>
      </c>
      <c r="T100" s="851">
        <v>0</v>
      </c>
      <c r="U100" s="851">
        <v>0</v>
      </c>
      <c r="V100" s="851">
        <v>0</v>
      </c>
      <c r="W100" s="851">
        <v>0</v>
      </c>
      <c r="X100" s="851">
        <v>0</v>
      </c>
      <c r="Y100" s="851">
        <v>0</v>
      </c>
      <c r="Z100" s="851">
        <v>0</v>
      </c>
      <c r="AA100" s="851">
        <v>0</v>
      </c>
      <c r="AB100" s="851">
        <v>0</v>
      </c>
      <c r="AC100" s="851">
        <v>0</v>
      </c>
      <c r="AD100" s="851">
        <v>2.5</v>
      </c>
      <c r="AE100" s="851">
        <v>0</v>
      </c>
      <c r="AF100" s="851">
        <v>0</v>
      </c>
      <c r="AG100" s="851">
        <v>0</v>
      </c>
      <c r="AH100" s="851">
        <f t="shared" si="7"/>
        <v>2.0661157024793391</v>
      </c>
      <c r="AI100" s="851">
        <v>0</v>
      </c>
      <c r="AJ100" s="851"/>
      <c r="AK100" s="851"/>
      <c r="AL100" s="851"/>
      <c r="AM100" s="851"/>
      <c r="AN100" s="851"/>
      <c r="AO100" s="851"/>
      <c r="AP100" s="851"/>
    </row>
    <row r="101" spans="1:42" ht="14">
      <c r="A101" s="856">
        <v>100</v>
      </c>
      <c r="B101" s="425" t="s">
        <v>2773</v>
      </c>
      <c r="C101" s="425" t="s">
        <v>39</v>
      </c>
      <c r="D101" s="425" t="s">
        <v>2377</v>
      </c>
      <c r="E101" s="425" t="s">
        <v>2446</v>
      </c>
      <c r="F101" s="425" t="s">
        <v>840</v>
      </c>
      <c r="G101">
        <v>1</v>
      </c>
      <c r="H101" s="853">
        <v>0.21</v>
      </c>
      <c r="I101" s="853">
        <v>0.3</v>
      </c>
      <c r="J101" s="852">
        <f t="shared" si="6"/>
        <v>6.3E-2</v>
      </c>
      <c r="K101" s="852">
        <f t="shared" si="8"/>
        <v>8.1899999999999994E-3</v>
      </c>
      <c r="L101">
        <v>0</v>
      </c>
      <c r="M101" s="425" t="s">
        <v>47</v>
      </c>
      <c r="N101" s="370">
        <v>2019</v>
      </c>
      <c r="O101" s="425" t="s">
        <v>2383</v>
      </c>
      <c r="P101" s="854" t="s">
        <v>47</v>
      </c>
      <c r="Q101" s="850" t="s">
        <v>92</v>
      </c>
      <c r="R101" s="851">
        <v>0</v>
      </c>
      <c r="S101" s="851">
        <v>0</v>
      </c>
      <c r="T101" s="851">
        <v>0</v>
      </c>
      <c r="U101" s="851">
        <v>0</v>
      </c>
      <c r="V101" s="851">
        <v>0</v>
      </c>
      <c r="W101" s="851">
        <v>0</v>
      </c>
      <c r="X101" s="851">
        <v>0</v>
      </c>
      <c r="Y101" s="851">
        <v>0</v>
      </c>
      <c r="Z101" s="851">
        <v>0</v>
      </c>
      <c r="AA101" s="851">
        <v>0</v>
      </c>
      <c r="AB101" s="851">
        <v>0</v>
      </c>
      <c r="AC101" s="851">
        <v>0</v>
      </c>
      <c r="AD101" s="851">
        <v>2.5</v>
      </c>
      <c r="AE101" s="851">
        <v>0</v>
      </c>
      <c r="AF101" s="851">
        <v>0</v>
      </c>
      <c r="AG101" s="851">
        <v>0</v>
      </c>
      <c r="AH101" s="851">
        <f t="shared" si="7"/>
        <v>2.0661157024793391</v>
      </c>
      <c r="AI101" s="851">
        <v>0</v>
      </c>
      <c r="AJ101" s="851"/>
      <c r="AK101" s="851"/>
      <c r="AL101" s="851"/>
      <c r="AM101" s="851"/>
      <c r="AN101" s="851"/>
      <c r="AO101" s="851"/>
      <c r="AP101" s="851"/>
    </row>
    <row r="102" spans="1:42" ht="14">
      <c r="A102" s="856">
        <v>101</v>
      </c>
      <c r="B102" s="425" t="s">
        <v>2774</v>
      </c>
      <c r="C102" s="425" t="s">
        <v>39</v>
      </c>
      <c r="D102" s="425" t="s">
        <v>2377</v>
      </c>
      <c r="E102" s="425" t="s">
        <v>2447</v>
      </c>
      <c r="F102" s="425" t="s">
        <v>791</v>
      </c>
      <c r="G102">
        <v>1</v>
      </c>
      <c r="H102" s="853">
        <v>0.21</v>
      </c>
      <c r="I102" s="853">
        <v>0.3</v>
      </c>
      <c r="J102" s="852">
        <f t="shared" si="6"/>
        <v>6.3E-2</v>
      </c>
      <c r="K102" s="852">
        <f t="shared" si="8"/>
        <v>8.1899999999999994E-3</v>
      </c>
      <c r="L102">
        <v>0</v>
      </c>
      <c r="M102" s="425" t="s">
        <v>47</v>
      </c>
      <c r="N102" s="370">
        <v>2019</v>
      </c>
      <c r="O102" s="425" t="s">
        <v>2383</v>
      </c>
      <c r="P102" s="854" t="s">
        <v>47</v>
      </c>
      <c r="Q102" s="850" t="s">
        <v>92</v>
      </c>
      <c r="R102" s="851">
        <v>0</v>
      </c>
      <c r="S102" s="851">
        <v>0</v>
      </c>
      <c r="T102" s="851">
        <v>0</v>
      </c>
      <c r="U102" s="851">
        <v>0</v>
      </c>
      <c r="V102" s="851">
        <v>0</v>
      </c>
      <c r="W102" s="851">
        <v>0</v>
      </c>
      <c r="X102" s="851">
        <v>0</v>
      </c>
      <c r="Y102" s="851">
        <v>0</v>
      </c>
      <c r="Z102" s="851">
        <v>0</v>
      </c>
      <c r="AA102" s="851">
        <v>0</v>
      </c>
      <c r="AB102" s="851">
        <v>0</v>
      </c>
      <c r="AC102" s="851">
        <v>0</v>
      </c>
      <c r="AD102" s="851">
        <v>2.5</v>
      </c>
      <c r="AE102" s="851">
        <v>0</v>
      </c>
      <c r="AF102" s="851">
        <v>0</v>
      </c>
      <c r="AG102" s="851">
        <v>0</v>
      </c>
      <c r="AH102" s="851">
        <f t="shared" si="7"/>
        <v>2.0661157024793391</v>
      </c>
      <c r="AI102" s="851">
        <v>0</v>
      </c>
      <c r="AJ102" s="851"/>
      <c r="AK102" s="851"/>
      <c r="AL102" s="851"/>
      <c r="AM102" s="851"/>
      <c r="AN102" s="851"/>
      <c r="AO102" s="851"/>
      <c r="AP102" s="851"/>
    </row>
    <row r="103" spans="1:42" ht="14">
      <c r="A103" s="856">
        <v>102</v>
      </c>
      <c r="B103" s="425" t="s">
        <v>2775</v>
      </c>
      <c r="C103" s="425" t="s">
        <v>39</v>
      </c>
      <c r="D103" s="425" t="s">
        <v>2377</v>
      </c>
      <c r="E103" s="425" t="s">
        <v>2447</v>
      </c>
      <c r="F103" s="425" t="s">
        <v>832</v>
      </c>
      <c r="G103">
        <v>1</v>
      </c>
      <c r="H103" s="853">
        <v>0.21</v>
      </c>
      <c r="I103" s="853">
        <v>0.3</v>
      </c>
      <c r="J103" s="852">
        <f t="shared" si="6"/>
        <v>6.3E-2</v>
      </c>
      <c r="K103" s="852">
        <f t="shared" si="8"/>
        <v>8.1899999999999994E-3</v>
      </c>
      <c r="L103">
        <v>0</v>
      </c>
      <c r="M103" s="425" t="s">
        <v>47</v>
      </c>
      <c r="N103" s="370">
        <v>2019</v>
      </c>
      <c r="O103" s="425" t="s">
        <v>2383</v>
      </c>
      <c r="P103" s="854" t="s">
        <v>47</v>
      </c>
      <c r="Q103" s="850" t="s">
        <v>92</v>
      </c>
      <c r="R103" s="851">
        <v>0</v>
      </c>
      <c r="S103" s="851">
        <v>0</v>
      </c>
      <c r="T103" s="851">
        <v>0</v>
      </c>
      <c r="U103" s="851">
        <v>0</v>
      </c>
      <c r="V103" s="851">
        <v>0</v>
      </c>
      <c r="W103" s="851">
        <v>0</v>
      </c>
      <c r="X103" s="851">
        <v>0</v>
      </c>
      <c r="Y103" s="851">
        <v>0</v>
      </c>
      <c r="Z103" s="851">
        <v>0</v>
      </c>
      <c r="AA103" s="851">
        <v>0</v>
      </c>
      <c r="AB103" s="851">
        <v>0</v>
      </c>
      <c r="AC103" s="851">
        <v>0</v>
      </c>
      <c r="AD103" s="851">
        <v>2.5</v>
      </c>
      <c r="AE103" s="851">
        <v>0</v>
      </c>
      <c r="AF103" s="851">
        <v>0</v>
      </c>
      <c r="AG103" s="851">
        <v>0</v>
      </c>
      <c r="AH103" s="851">
        <f t="shared" si="7"/>
        <v>2.0661157024793391</v>
      </c>
      <c r="AI103" s="851">
        <v>0</v>
      </c>
      <c r="AJ103" s="851"/>
      <c r="AK103" s="851"/>
      <c r="AL103" s="851"/>
      <c r="AM103" s="851"/>
      <c r="AN103" s="851"/>
      <c r="AO103" s="851"/>
      <c r="AP103" s="851"/>
    </row>
    <row r="104" spans="1:42" ht="14">
      <c r="A104" s="856">
        <v>103</v>
      </c>
      <c r="B104" s="425" t="s">
        <v>2776</v>
      </c>
      <c r="C104" s="425" t="s">
        <v>39</v>
      </c>
      <c r="D104" s="425" t="s">
        <v>2377</v>
      </c>
      <c r="E104" s="425" t="s">
        <v>2447</v>
      </c>
      <c r="F104" s="425" t="s">
        <v>690</v>
      </c>
      <c r="G104">
        <v>1</v>
      </c>
      <c r="H104" s="853">
        <v>0.21</v>
      </c>
      <c r="I104" s="853">
        <v>0.3</v>
      </c>
      <c r="J104" s="852">
        <f t="shared" si="6"/>
        <v>6.3E-2</v>
      </c>
      <c r="K104" s="852">
        <f t="shared" si="8"/>
        <v>8.1899999999999994E-3</v>
      </c>
      <c r="L104">
        <v>0</v>
      </c>
      <c r="M104" s="425" t="s">
        <v>47</v>
      </c>
      <c r="N104" s="370">
        <v>2019</v>
      </c>
      <c r="O104" s="425" t="s">
        <v>2383</v>
      </c>
      <c r="P104" s="854" t="s">
        <v>47</v>
      </c>
      <c r="Q104" s="850" t="s">
        <v>92</v>
      </c>
      <c r="R104" s="851">
        <v>0</v>
      </c>
      <c r="S104" s="851">
        <v>0</v>
      </c>
      <c r="T104" s="851">
        <v>0</v>
      </c>
      <c r="U104" s="851">
        <v>0</v>
      </c>
      <c r="V104" s="851">
        <v>0</v>
      </c>
      <c r="W104" s="851">
        <v>0</v>
      </c>
      <c r="X104" s="851">
        <v>0</v>
      </c>
      <c r="Y104" s="851">
        <v>0</v>
      </c>
      <c r="Z104" s="851">
        <v>0</v>
      </c>
      <c r="AA104" s="851">
        <v>0</v>
      </c>
      <c r="AB104" s="851">
        <v>0</v>
      </c>
      <c r="AC104" s="851">
        <v>0</v>
      </c>
      <c r="AD104" s="851">
        <v>2.5</v>
      </c>
      <c r="AE104" s="851">
        <v>0</v>
      </c>
      <c r="AF104" s="851">
        <v>0</v>
      </c>
      <c r="AG104" s="851">
        <v>0</v>
      </c>
      <c r="AH104" s="851">
        <f t="shared" si="7"/>
        <v>2.0661157024793391</v>
      </c>
      <c r="AI104" s="851">
        <v>0</v>
      </c>
      <c r="AJ104" s="851"/>
      <c r="AK104" s="851"/>
      <c r="AL104" s="851"/>
      <c r="AM104" s="851"/>
      <c r="AN104" s="851"/>
      <c r="AO104" s="851"/>
      <c r="AP104" s="851"/>
    </row>
    <row r="105" spans="1:42" ht="14">
      <c r="A105" s="856">
        <v>104</v>
      </c>
      <c r="B105" s="425" t="s">
        <v>2777</v>
      </c>
      <c r="C105" s="425" t="s">
        <v>39</v>
      </c>
      <c r="D105" s="425" t="s">
        <v>2377</v>
      </c>
      <c r="E105" s="425" t="s">
        <v>2447</v>
      </c>
      <c r="F105" s="425" t="s">
        <v>980</v>
      </c>
      <c r="G105">
        <v>1</v>
      </c>
      <c r="H105" s="853">
        <v>0.21</v>
      </c>
      <c r="I105" s="853">
        <v>0.3</v>
      </c>
      <c r="J105" s="852">
        <f t="shared" si="6"/>
        <v>6.3E-2</v>
      </c>
      <c r="K105" s="852">
        <f t="shared" si="8"/>
        <v>8.1899999999999994E-3</v>
      </c>
      <c r="L105">
        <v>0</v>
      </c>
      <c r="M105" s="425" t="s">
        <v>47</v>
      </c>
      <c r="N105" s="370">
        <v>2019</v>
      </c>
      <c r="O105" s="425" t="s">
        <v>2383</v>
      </c>
      <c r="P105" s="854" t="s">
        <v>47</v>
      </c>
      <c r="Q105" s="850" t="s">
        <v>92</v>
      </c>
      <c r="R105" s="851">
        <v>0</v>
      </c>
      <c r="S105" s="851">
        <v>0</v>
      </c>
      <c r="T105" s="851">
        <v>0</v>
      </c>
      <c r="U105" s="851">
        <v>0</v>
      </c>
      <c r="V105" s="851">
        <v>0</v>
      </c>
      <c r="W105" s="851">
        <v>0</v>
      </c>
      <c r="X105" s="851">
        <v>0</v>
      </c>
      <c r="Y105" s="851">
        <v>0</v>
      </c>
      <c r="Z105" s="851">
        <v>0</v>
      </c>
      <c r="AA105" s="851">
        <v>0</v>
      </c>
      <c r="AB105" s="851">
        <v>0</v>
      </c>
      <c r="AC105" s="851">
        <v>0</v>
      </c>
      <c r="AD105" s="851">
        <v>2.5</v>
      </c>
      <c r="AE105" s="851">
        <v>0</v>
      </c>
      <c r="AF105" s="851">
        <v>0</v>
      </c>
      <c r="AG105" s="851">
        <v>0</v>
      </c>
      <c r="AH105" s="851">
        <f t="shared" si="7"/>
        <v>2.0661157024793391</v>
      </c>
      <c r="AI105" s="851">
        <v>0</v>
      </c>
      <c r="AJ105" s="851"/>
      <c r="AK105" s="851"/>
      <c r="AL105" s="851"/>
      <c r="AM105" s="851"/>
      <c r="AN105" s="851"/>
      <c r="AO105" s="851"/>
      <c r="AP105" s="851"/>
    </row>
    <row r="106" spans="1:42" ht="14">
      <c r="A106" s="856">
        <v>105</v>
      </c>
      <c r="B106" s="425" t="s">
        <v>2778</v>
      </c>
      <c r="C106" s="425" t="s">
        <v>39</v>
      </c>
      <c r="D106" s="425" t="s">
        <v>2377</v>
      </c>
      <c r="E106" s="425" t="s">
        <v>2448</v>
      </c>
      <c r="F106" s="425" t="s">
        <v>650</v>
      </c>
      <c r="G106">
        <v>1</v>
      </c>
      <c r="H106" s="853">
        <v>0.21</v>
      </c>
      <c r="I106" s="853">
        <v>0.3</v>
      </c>
      <c r="J106" s="852">
        <f t="shared" si="6"/>
        <v>6.3E-2</v>
      </c>
      <c r="K106" s="852">
        <f t="shared" si="8"/>
        <v>8.1899999999999994E-3</v>
      </c>
      <c r="L106">
        <v>0</v>
      </c>
      <c r="M106" s="425" t="s">
        <v>47</v>
      </c>
      <c r="N106" s="370">
        <v>2019</v>
      </c>
      <c r="O106" s="425" t="s">
        <v>2383</v>
      </c>
      <c r="P106" s="854" t="s">
        <v>47</v>
      </c>
      <c r="Q106" s="850" t="s">
        <v>92</v>
      </c>
      <c r="R106" s="851">
        <v>0</v>
      </c>
      <c r="S106" s="851">
        <v>0</v>
      </c>
      <c r="T106" s="851">
        <v>0</v>
      </c>
      <c r="U106" s="851">
        <v>0</v>
      </c>
      <c r="V106" s="851">
        <v>0</v>
      </c>
      <c r="W106" s="851">
        <v>0</v>
      </c>
      <c r="X106" s="851">
        <v>0</v>
      </c>
      <c r="Y106" s="851">
        <v>0</v>
      </c>
      <c r="Z106" s="851">
        <v>0</v>
      </c>
      <c r="AA106" s="851">
        <v>0</v>
      </c>
      <c r="AB106" s="851">
        <v>0</v>
      </c>
      <c r="AC106" s="851">
        <v>0</v>
      </c>
      <c r="AD106" s="851">
        <v>2.5</v>
      </c>
      <c r="AE106" s="851">
        <v>0</v>
      </c>
      <c r="AF106" s="851">
        <v>0</v>
      </c>
      <c r="AG106" s="851">
        <v>0</v>
      </c>
      <c r="AH106" s="851">
        <f t="shared" si="7"/>
        <v>2.0661157024793391</v>
      </c>
      <c r="AI106" s="851">
        <v>0</v>
      </c>
      <c r="AJ106" s="851"/>
      <c r="AK106" s="851"/>
      <c r="AL106" s="851"/>
      <c r="AM106" s="851"/>
      <c r="AN106" s="851"/>
      <c r="AO106" s="851"/>
      <c r="AP106" s="851"/>
    </row>
    <row r="107" spans="1:42" ht="14">
      <c r="A107" s="856">
        <v>106</v>
      </c>
      <c r="B107" s="425" t="s">
        <v>2779</v>
      </c>
      <c r="C107" s="425" t="s">
        <v>39</v>
      </c>
      <c r="D107" s="425" t="s">
        <v>2377</v>
      </c>
      <c r="E107" s="425" t="s">
        <v>2448</v>
      </c>
      <c r="F107" s="425" t="s">
        <v>980</v>
      </c>
      <c r="G107">
        <v>1</v>
      </c>
      <c r="H107" s="853">
        <v>0.21</v>
      </c>
      <c r="I107" s="853">
        <v>0.3</v>
      </c>
      <c r="J107" s="852">
        <f t="shared" si="6"/>
        <v>6.3E-2</v>
      </c>
      <c r="K107" s="852">
        <f t="shared" si="8"/>
        <v>8.1899999999999994E-3</v>
      </c>
      <c r="L107">
        <v>0</v>
      </c>
      <c r="M107" s="425" t="s">
        <v>47</v>
      </c>
      <c r="N107" s="370">
        <v>2019</v>
      </c>
      <c r="O107" s="425" t="s">
        <v>2383</v>
      </c>
      <c r="P107" s="854" t="s">
        <v>47</v>
      </c>
      <c r="Q107" s="850" t="s">
        <v>92</v>
      </c>
      <c r="R107" s="851">
        <v>0</v>
      </c>
      <c r="S107" s="851">
        <v>0</v>
      </c>
      <c r="T107" s="851">
        <v>0</v>
      </c>
      <c r="U107" s="851">
        <v>0</v>
      </c>
      <c r="V107" s="851">
        <v>0</v>
      </c>
      <c r="W107" s="851">
        <v>0</v>
      </c>
      <c r="X107" s="851">
        <v>0</v>
      </c>
      <c r="Y107" s="851">
        <v>0</v>
      </c>
      <c r="Z107" s="851">
        <v>0</v>
      </c>
      <c r="AA107" s="851">
        <v>0</v>
      </c>
      <c r="AB107" s="851">
        <v>0</v>
      </c>
      <c r="AC107" s="851">
        <v>0</v>
      </c>
      <c r="AD107" s="851">
        <v>2.5</v>
      </c>
      <c r="AE107" s="851">
        <v>0</v>
      </c>
      <c r="AF107" s="851">
        <v>0</v>
      </c>
      <c r="AG107" s="851">
        <v>0</v>
      </c>
      <c r="AH107" s="851">
        <f t="shared" si="7"/>
        <v>2.0661157024793391</v>
      </c>
      <c r="AI107" s="851">
        <v>0</v>
      </c>
      <c r="AJ107" s="851"/>
      <c r="AK107" s="851"/>
      <c r="AL107" s="851"/>
      <c r="AM107" s="851"/>
      <c r="AN107" s="851"/>
      <c r="AO107" s="851"/>
      <c r="AP107" s="851"/>
    </row>
    <row r="108" spans="1:42" ht="14">
      <c r="A108" s="856">
        <v>107</v>
      </c>
      <c r="B108" s="425" t="s">
        <v>2780</v>
      </c>
      <c r="C108" s="425" t="s">
        <v>39</v>
      </c>
      <c r="D108" s="425" t="s">
        <v>2377</v>
      </c>
      <c r="E108" s="425" t="s">
        <v>2448</v>
      </c>
      <c r="F108" s="425" t="s">
        <v>522</v>
      </c>
      <c r="G108">
        <v>1</v>
      </c>
      <c r="H108" s="853">
        <v>0.21</v>
      </c>
      <c r="I108" s="853">
        <v>0.3</v>
      </c>
      <c r="J108" s="852">
        <f t="shared" si="6"/>
        <v>6.3E-2</v>
      </c>
      <c r="K108" s="852">
        <f t="shared" si="8"/>
        <v>8.1899999999999994E-3</v>
      </c>
      <c r="L108">
        <v>0</v>
      </c>
      <c r="M108" s="425" t="s">
        <v>47</v>
      </c>
      <c r="N108" s="370">
        <v>2019</v>
      </c>
      <c r="O108" s="425" t="s">
        <v>2383</v>
      </c>
      <c r="P108" s="854" t="s">
        <v>47</v>
      </c>
      <c r="Q108" s="850" t="s">
        <v>92</v>
      </c>
      <c r="R108" s="851">
        <v>0</v>
      </c>
      <c r="S108" s="851">
        <v>0</v>
      </c>
      <c r="T108" s="851">
        <v>0</v>
      </c>
      <c r="U108" s="851">
        <v>0</v>
      </c>
      <c r="V108" s="851">
        <v>0</v>
      </c>
      <c r="W108" s="851">
        <v>0</v>
      </c>
      <c r="X108" s="851">
        <v>0</v>
      </c>
      <c r="Y108" s="851">
        <v>0</v>
      </c>
      <c r="Z108" s="851">
        <v>0</v>
      </c>
      <c r="AA108" s="851">
        <v>0</v>
      </c>
      <c r="AB108" s="851">
        <v>0</v>
      </c>
      <c r="AC108" s="851">
        <v>0</v>
      </c>
      <c r="AD108" s="851">
        <v>2.5</v>
      </c>
      <c r="AE108" s="851">
        <v>0</v>
      </c>
      <c r="AF108" s="851">
        <v>0</v>
      </c>
      <c r="AG108" s="851">
        <v>0</v>
      </c>
      <c r="AH108" s="851">
        <f t="shared" si="7"/>
        <v>2.0661157024793391</v>
      </c>
      <c r="AI108" s="851">
        <v>0</v>
      </c>
      <c r="AJ108" s="851"/>
      <c r="AK108" s="851"/>
      <c r="AL108" s="851"/>
      <c r="AM108" s="851"/>
      <c r="AN108" s="851"/>
      <c r="AO108" s="851"/>
      <c r="AP108" s="851"/>
    </row>
    <row r="109" spans="1:42" ht="14">
      <c r="A109" s="856">
        <v>108</v>
      </c>
      <c r="B109" s="425" t="s">
        <v>2781</v>
      </c>
      <c r="C109" s="425" t="s">
        <v>39</v>
      </c>
      <c r="D109" s="425" t="s">
        <v>2377</v>
      </c>
      <c r="E109" s="425" t="s">
        <v>2448</v>
      </c>
      <c r="F109" s="425" t="s">
        <v>854</v>
      </c>
      <c r="G109">
        <v>1</v>
      </c>
      <c r="H109" s="853">
        <v>0.21</v>
      </c>
      <c r="I109" s="853">
        <v>0.3</v>
      </c>
      <c r="J109" s="852">
        <f t="shared" si="6"/>
        <v>6.3E-2</v>
      </c>
      <c r="K109" s="852">
        <f t="shared" si="8"/>
        <v>8.1899999999999994E-3</v>
      </c>
      <c r="L109">
        <v>0</v>
      </c>
      <c r="M109" s="425" t="s">
        <v>47</v>
      </c>
      <c r="N109" s="370">
        <v>2019</v>
      </c>
      <c r="O109" s="425" t="s">
        <v>2383</v>
      </c>
      <c r="P109" s="854" t="s">
        <v>47</v>
      </c>
      <c r="Q109" s="850" t="s">
        <v>92</v>
      </c>
      <c r="R109" s="851">
        <v>0</v>
      </c>
      <c r="S109" s="851">
        <v>0</v>
      </c>
      <c r="T109" s="851">
        <v>0</v>
      </c>
      <c r="U109" s="851">
        <v>0</v>
      </c>
      <c r="V109" s="851">
        <v>0</v>
      </c>
      <c r="W109" s="851">
        <v>0</v>
      </c>
      <c r="X109" s="851">
        <v>0</v>
      </c>
      <c r="Y109" s="851">
        <v>0</v>
      </c>
      <c r="Z109" s="851">
        <v>0</v>
      </c>
      <c r="AA109" s="851">
        <v>0</v>
      </c>
      <c r="AB109" s="851">
        <v>0</v>
      </c>
      <c r="AC109" s="851">
        <v>0</v>
      </c>
      <c r="AD109" s="851">
        <v>2.5</v>
      </c>
      <c r="AE109" s="851">
        <v>0</v>
      </c>
      <c r="AF109" s="851">
        <v>0</v>
      </c>
      <c r="AG109" s="851">
        <v>0</v>
      </c>
      <c r="AH109" s="851">
        <f t="shared" si="7"/>
        <v>2.0661157024793391</v>
      </c>
      <c r="AI109" s="851">
        <v>0</v>
      </c>
      <c r="AJ109" s="851"/>
      <c r="AK109" s="851"/>
      <c r="AL109" s="851"/>
      <c r="AM109" s="851"/>
      <c r="AN109" s="851"/>
      <c r="AO109" s="851"/>
      <c r="AP109" s="851"/>
    </row>
    <row r="110" spans="1:42" ht="14">
      <c r="A110" s="856">
        <v>109</v>
      </c>
      <c r="B110" s="425" t="s">
        <v>2782</v>
      </c>
      <c r="C110" s="425" t="s">
        <v>39</v>
      </c>
      <c r="D110" s="425" t="s">
        <v>2377</v>
      </c>
      <c r="E110" s="425" t="s">
        <v>2449</v>
      </c>
      <c r="F110" s="425" t="s">
        <v>515</v>
      </c>
      <c r="G110">
        <v>1</v>
      </c>
      <c r="H110" s="853">
        <v>0.21</v>
      </c>
      <c r="I110" s="853">
        <v>0.3</v>
      </c>
      <c r="J110" s="852">
        <f t="shared" si="6"/>
        <v>6.3E-2</v>
      </c>
      <c r="K110" s="852">
        <f t="shared" si="8"/>
        <v>8.1899999999999994E-3</v>
      </c>
      <c r="L110">
        <v>0</v>
      </c>
      <c r="M110" s="425" t="s">
        <v>47</v>
      </c>
      <c r="N110" s="370">
        <v>2019</v>
      </c>
      <c r="O110" s="425" t="s">
        <v>2383</v>
      </c>
      <c r="P110" s="854" t="s">
        <v>47</v>
      </c>
      <c r="Q110" s="850" t="s">
        <v>92</v>
      </c>
      <c r="R110" s="851">
        <v>0</v>
      </c>
      <c r="S110" s="851">
        <v>0</v>
      </c>
      <c r="T110" s="851">
        <v>0</v>
      </c>
      <c r="U110" s="851">
        <v>0</v>
      </c>
      <c r="V110" s="851">
        <v>0</v>
      </c>
      <c r="W110" s="851">
        <v>0</v>
      </c>
      <c r="X110" s="851">
        <v>0</v>
      </c>
      <c r="Y110" s="851">
        <v>0</v>
      </c>
      <c r="Z110" s="851">
        <v>0</v>
      </c>
      <c r="AA110" s="851">
        <v>0</v>
      </c>
      <c r="AB110" s="851">
        <v>0</v>
      </c>
      <c r="AC110" s="851">
        <v>0</v>
      </c>
      <c r="AD110" s="851">
        <v>2.5</v>
      </c>
      <c r="AE110" s="851">
        <v>0</v>
      </c>
      <c r="AF110" s="851">
        <v>0</v>
      </c>
      <c r="AG110" s="851">
        <v>0</v>
      </c>
      <c r="AH110" s="851">
        <f t="shared" si="7"/>
        <v>2.0661157024793391</v>
      </c>
      <c r="AI110" s="851">
        <v>0</v>
      </c>
      <c r="AJ110" s="851"/>
      <c r="AK110" s="851"/>
      <c r="AL110" s="851"/>
      <c r="AM110" s="851"/>
      <c r="AN110" s="851"/>
      <c r="AO110" s="851"/>
      <c r="AP110" s="851"/>
    </row>
    <row r="111" spans="1:42" ht="14">
      <c r="A111" s="856">
        <v>110</v>
      </c>
      <c r="B111" s="425" t="s">
        <v>2783</v>
      </c>
      <c r="C111" s="425" t="s">
        <v>39</v>
      </c>
      <c r="D111" s="425" t="s">
        <v>2377</v>
      </c>
      <c r="E111" s="425" t="s">
        <v>2449</v>
      </c>
      <c r="F111" s="425" t="s">
        <v>690</v>
      </c>
      <c r="G111">
        <v>1</v>
      </c>
      <c r="H111" s="853">
        <v>0.21</v>
      </c>
      <c r="I111" s="853">
        <v>0.3</v>
      </c>
      <c r="J111" s="852">
        <f t="shared" si="6"/>
        <v>6.3E-2</v>
      </c>
      <c r="K111" s="852">
        <f t="shared" si="8"/>
        <v>8.1899999999999994E-3</v>
      </c>
      <c r="L111">
        <v>0</v>
      </c>
      <c r="M111" s="425" t="s">
        <v>47</v>
      </c>
      <c r="N111" s="370">
        <v>2019</v>
      </c>
      <c r="O111" s="425" t="s">
        <v>2383</v>
      </c>
      <c r="P111" s="854" t="s">
        <v>47</v>
      </c>
      <c r="Q111" s="850" t="s">
        <v>92</v>
      </c>
      <c r="R111" s="851">
        <v>0</v>
      </c>
      <c r="S111" s="851">
        <v>0</v>
      </c>
      <c r="T111" s="851">
        <v>0</v>
      </c>
      <c r="U111" s="851">
        <v>0</v>
      </c>
      <c r="V111" s="851">
        <v>0</v>
      </c>
      <c r="W111" s="851">
        <v>0</v>
      </c>
      <c r="X111" s="851">
        <v>0</v>
      </c>
      <c r="Y111" s="851">
        <v>0</v>
      </c>
      <c r="Z111" s="851">
        <v>0</v>
      </c>
      <c r="AA111" s="851">
        <v>0</v>
      </c>
      <c r="AB111" s="851">
        <v>0</v>
      </c>
      <c r="AC111" s="851">
        <v>0</v>
      </c>
      <c r="AD111" s="851">
        <v>2.5</v>
      </c>
      <c r="AE111" s="851">
        <v>0</v>
      </c>
      <c r="AF111" s="851">
        <v>0</v>
      </c>
      <c r="AG111" s="851">
        <v>0</v>
      </c>
      <c r="AH111" s="851">
        <f t="shared" si="7"/>
        <v>2.0661157024793391</v>
      </c>
      <c r="AI111" s="851">
        <v>0</v>
      </c>
      <c r="AJ111" s="851"/>
      <c r="AK111" s="851"/>
      <c r="AL111" s="851"/>
      <c r="AM111" s="851"/>
      <c r="AN111" s="851"/>
      <c r="AO111" s="851"/>
      <c r="AP111" s="851"/>
    </row>
    <row r="112" spans="1:42" ht="14">
      <c r="A112" s="856">
        <v>111</v>
      </c>
      <c r="B112" s="425" t="s">
        <v>2784</v>
      </c>
      <c r="C112" s="425" t="s">
        <v>39</v>
      </c>
      <c r="D112" s="425" t="s">
        <v>2377</v>
      </c>
      <c r="E112" s="425" t="s">
        <v>2449</v>
      </c>
      <c r="F112" s="425" t="s">
        <v>980</v>
      </c>
      <c r="G112">
        <v>1</v>
      </c>
      <c r="H112" s="853">
        <v>0.21</v>
      </c>
      <c r="I112" s="853">
        <v>0.3</v>
      </c>
      <c r="J112" s="852">
        <f t="shared" si="6"/>
        <v>6.3E-2</v>
      </c>
      <c r="K112" s="852">
        <f t="shared" si="8"/>
        <v>8.1899999999999994E-3</v>
      </c>
      <c r="L112">
        <v>0</v>
      </c>
      <c r="M112" s="425" t="s">
        <v>47</v>
      </c>
      <c r="N112" s="370">
        <v>2019</v>
      </c>
      <c r="O112" s="425" t="s">
        <v>2383</v>
      </c>
      <c r="P112" s="854" t="s">
        <v>47</v>
      </c>
      <c r="Q112" s="850" t="s">
        <v>92</v>
      </c>
      <c r="R112" s="851">
        <v>0</v>
      </c>
      <c r="S112" s="851">
        <v>0</v>
      </c>
      <c r="T112" s="851">
        <v>0</v>
      </c>
      <c r="U112" s="851">
        <v>0</v>
      </c>
      <c r="V112" s="851">
        <v>0</v>
      </c>
      <c r="W112" s="851">
        <v>0</v>
      </c>
      <c r="X112" s="851">
        <v>0</v>
      </c>
      <c r="Y112" s="851">
        <v>0</v>
      </c>
      <c r="Z112" s="851">
        <v>0</v>
      </c>
      <c r="AA112" s="851">
        <v>0</v>
      </c>
      <c r="AB112" s="851">
        <v>0</v>
      </c>
      <c r="AC112" s="851">
        <v>0</v>
      </c>
      <c r="AD112" s="851">
        <v>2.5</v>
      </c>
      <c r="AE112" s="851">
        <v>0</v>
      </c>
      <c r="AF112" s="851">
        <v>0</v>
      </c>
      <c r="AG112" s="851">
        <v>0</v>
      </c>
      <c r="AH112" s="851">
        <f t="shared" si="7"/>
        <v>2.0661157024793391</v>
      </c>
      <c r="AI112" s="851">
        <v>0</v>
      </c>
      <c r="AJ112" s="851"/>
      <c r="AK112" s="851"/>
      <c r="AL112" s="851"/>
      <c r="AM112" s="851"/>
      <c r="AN112" s="851"/>
      <c r="AO112" s="851"/>
      <c r="AP112" s="851"/>
    </row>
    <row r="113" spans="1:42" ht="14">
      <c r="A113" s="856">
        <v>112</v>
      </c>
      <c r="B113" s="425" t="s">
        <v>2785</v>
      </c>
      <c r="C113" s="425" t="s">
        <v>39</v>
      </c>
      <c r="D113" s="425" t="s">
        <v>2450</v>
      </c>
      <c r="E113" s="425" t="s">
        <v>2451</v>
      </c>
      <c r="F113" s="425" t="s">
        <v>791</v>
      </c>
      <c r="G113">
        <v>1</v>
      </c>
      <c r="H113" s="852">
        <v>0.2</v>
      </c>
      <c r="I113" s="852">
        <v>0.53</v>
      </c>
      <c r="J113" s="852">
        <f t="shared" si="6"/>
        <v>0.10600000000000001</v>
      </c>
      <c r="K113" s="852">
        <f t="shared" si="8"/>
        <v>1.3780000000000001E-2</v>
      </c>
      <c r="L113">
        <v>0</v>
      </c>
      <c r="M113" s="425" t="s">
        <v>47</v>
      </c>
      <c r="N113" s="370">
        <v>2050</v>
      </c>
      <c r="O113" s="425" t="s">
        <v>2383</v>
      </c>
      <c r="P113" s="854" t="s">
        <v>47</v>
      </c>
      <c r="Q113" s="850" t="s">
        <v>92</v>
      </c>
      <c r="R113" s="851">
        <v>0</v>
      </c>
      <c r="S113" s="851">
        <v>0</v>
      </c>
      <c r="T113" s="851">
        <v>0</v>
      </c>
      <c r="U113" s="851">
        <v>0</v>
      </c>
      <c r="V113" s="851">
        <v>0</v>
      </c>
      <c r="W113" s="851">
        <v>0</v>
      </c>
      <c r="X113" s="851">
        <v>0</v>
      </c>
      <c r="Y113" s="851">
        <v>0</v>
      </c>
      <c r="Z113" s="851">
        <v>0</v>
      </c>
      <c r="AA113" s="851">
        <v>0</v>
      </c>
      <c r="AB113" s="851">
        <v>0</v>
      </c>
      <c r="AC113" s="851">
        <v>0</v>
      </c>
      <c r="AD113" s="851">
        <v>2.5</v>
      </c>
      <c r="AE113" s="851">
        <v>0</v>
      </c>
      <c r="AF113" s="851">
        <v>0</v>
      </c>
      <c r="AG113" s="851">
        <v>0</v>
      </c>
      <c r="AH113" s="851">
        <f t="shared" si="7"/>
        <v>2.0661157024793391</v>
      </c>
      <c r="AI113" s="851">
        <v>0</v>
      </c>
      <c r="AJ113" s="851"/>
      <c r="AK113" s="851"/>
      <c r="AL113" s="851"/>
      <c r="AM113" s="851"/>
      <c r="AN113" s="851"/>
      <c r="AO113" s="851"/>
      <c r="AP113" s="851"/>
    </row>
    <row r="114" spans="1:42" ht="14">
      <c r="A114" s="856">
        <v>113</v>
      </c>
      <c r="B114" s="425" t="s">
        <v>2786</v>
      </c>
      <c r="C114" s="425" t="s">
        <v>39</v>
      </c>
      <c r="D114" s="425" t="s">
        <v>2450</v>
      </c>
      <c r="E114" s="425" t="s">
        <v>2451</v>
      </c>
      <c r="F114" s="425" t="s">
        <v>863</v>
      </c>
      <c r="G114">
        <v>1</v>
      </c>
      <c r="H114" s="852">
        <v>0.2</v>
      </c>
      <c r="I114" s="852">
        <v>0.53</v>
      </c>
      <c r="J114" s="852">
        <f t="shared" si="6"/>
        <v>0.10600000000000001</v>
      </c>
      <c r="K114" s="852">
        <f t="shared" si="8"/>
        <v>1.3780000000000001E-2</v>
      </c>
      <c r="L114">
        <v>0</v>
      </c>
      <c r="M114" s="425" t="s">
        <v>47</v>
      </c>
      <c r="N114" s="370">
        <v>2050</v>
      </c>
      <c r="O114" s="425" t="s">
        <v>2383</v>
      </c>
      <c r="P114" s="854" t="s">
        <v>47</v>
      </c>
      <c r="Q114" s="850" t="s">
        <v>92</v>
      </c>
      <c r="R114" s="851">
        <v>0</v>
      </c>
      <c r="S114" s="851">
        <v>0</v>
      </c>
      <c r="T114" s="851">
        <v>0</v>
      </c>
      <c r="U114" s="851">
        <v>0</v>
      </c>
      <c r="V114" s="851">
        <v>0</v>
      </c>
      <c r="W114" s="851">
        <v>0</v>
      </c>
      <c r="X114" s="851">
        <v>0</v>
      </c>
      <c r="Y114" s="851">
        <v>0</v>
      </c>
      <c r="Z114" s="851">
        <v>0</v>
      </c>
      <c r="AA114" s="851">
        <v>0</v>
      </c>
      <c r="AB114" s="851">
        <v>0</v>
      </c>
      <c r="AC114" s="851">
        <v>0</v>
      </c>
      <c r="AD114" s="851">
        <v>2.5</v>
      </c>
      <c r="AE114" s="851">
        <v>0</v>
      </c>
      <c r="AF114" s="851">
        <v>0</v>
      </c>
      <c r="AG114" s="851">
        <v>0</v>
      </c>
      <c r="AH114" s="851">
        <f t="shared" si="7"/>
        <v>2.0661157024793391</v>
      </c>
      <c r="AI114" s="851">
        <v>0</v>
      </c>
      <c r="AJ114" s="851"/>
      <c r="AK114" s="851"/>
      <c r="AL114" s="851"/>
      <c r="AM114" s="851"/>
      <c r="AN114" s="851"/>
      <c r="AO114" s="851"/>
      <c r="AP114" s="851"/>
    </row>
    <row r="115" spans="1:42" ht="14">
      <c r="A115" s="856">
        <v>114</v>
      </c>
      <c r="B115" s="425" t="s">
        <v>2787</v>
      </c>
      <c r="C115" s="425" t="s">
        <v>39</v>
      </c>
      <c r="D115" s="425" t="s">
        <v>2450</v>
      </c>
      <c r="E115" s="425" t="s">
        <v>2451</v>
      </c>
      <c r="F115" s="425" t="s">
        <v>2454</v>
      </c>
      <c r="G115">
        <v>1</v>
      </c>
      <c r="H115" s="852">
        <v>0.2</v>
      </c>
      <c r="I115" s="852">
        <v>0.53</v>
      </c>
      <c r="J115" s="852">
        <f t="shared" si="6"/>
        <v>0.10600000000000001</v>
      </c>
      <c r="K115" s="852">
        <f t="shared" si="8"/>
        <v>1.3780000000000001E-2</v>
      </c>
      <c r="L115">
        <v>0</v>
      </c>
      <c r="M115" s="425" t="s">
        <v>47</v>
      </c>
      <c r="N115" s="370">
        <v>2050</v>
      </c>
      <c r="O115" s="425" t="s">
        <v>2383</v>
      </c>
      <c r="P115" s="854" t="s">
        <v>47</v>
      </c>
      <c r="Q115" s="850" t="s">
        <v>92</v>
      </c>
      <c r="R115" s="851">
        <v>0</v>
      </c>
      <c r="S115" s="851">
        <v>0</v>
      </c>
      <c r="T115" s="851">
        <v>0</v>
      </c>
      <c r="U115" s="851">
        <v>0</v>
      </c>
      <c r="V115" s="851">
        <v>0</v>
      </c>
      <c r="W115" s="851">
        <v>0</v>
      </c>
      <c r="X115" s="851">
        <v>0</v>
      </c>
      <c r="Y115" s="851">
        <v>0</v>
      </c>
      <c r="Z115" s="851">
        <v>0</v>
      </c>
      <c r="AA115" s="851">
        <v>0</v>
      </c>
      <c r="AB115" s="851">
        <v>0</v>
      </c>
      <c r="AC115" s="851">
        <v>0</v>
      </c>
      <c r="AD115" s="851">
        <v>2.5</v>
      </c>
      <c r="AE115" s="851">
        <v>0</v>
      </c>
      <c r="AF115" s="851">
        <v>0</v>
      </c>
      <c r="AG115" s="851">
        <v>0</v>
      </c>
      <c r="AH115" s="851">
        <f t="shared" si="7"/>
        <v>2.0661157024793391</v>
      </c>
      <c r="AI115" s="851">
        <v>0</v>
      </c>
      <c r="AJ115" s="851"/>
      <c r="AK115" s="851"/>
      <c r="AL115" s="851"/>
      <c r="AM115" s="851"/>
      <c r="AN115" s="851"/>
      <c r="AO115" s="851"/>
      <c r="AP115" s="851"/>
    </row>
    <row r="116" spans="1:42" ht="14">
      <c r="A116" s="856">
        <v>115</v>
      </c>
      <c r="B116" s="425" t="s">
        <v>2788</v>
      </c>
      <c r="C116" s="425" t="s">
        <v>39</v>
      </c>
      <c r="D116" s="425" t="s">
        <v>2450</v>
      </c>
      <c r="E116" s="425" t="s">
        <v>2451</v>
      </c>
      <c r="F116" s="425" t="s">
        <v>807</v>
      </c>
      <c r="G116">
        <v>1</v>
      </c>
      <c r="H116" s="852">
        <v>0.2</v>
      </c>
      <c r="I116" s="852">
        <v>0.53</v>
      </c>
      <c r="J116" s="852">
        <f t="shared" si="6"/>
        <v>0.10600000000000001</v>
      </c>
      <c r="K116" s="852">
        <f t="shared" si="8"/>
        <v>1.3780000000000001E-2</v>
      </c>
      <c r="L116">
        <v>0</v>
      </c>
      <c r="M116" s="425" t="s">
        <v>47</v>
      </c>
      <c r="N116" s="370">
        <v>2050</v>
      </c>
      <c r="O116" s="425" t="s">
        <v>2383</v>
      </c>
      <c r="P116" s="854" t="s">
        <v>47</v>
      </c>
      <c r="Q116" s="850" t="s">
        <v>92</v>
      </c>
      <c r="R116" s="851">
        <v>0</v>
      </c>
      <c r="S116" s="851">
        <v>0</v>
      </c>
      <c r="T116" s="851">
        <v>0</v>
      </c>
      <c r="U116" s="851">
        <v>0</v>
      </c>
      <c r="V116" s="851">
        <v>0</v>
      </c>
      <c r="W116" s="851">
        <v>0</v>
      </c>
      <c r="X116" s="851">
        <v>0</v>
      </c>
      <c r="Y116" s="851">
        <v>0</v>
      </c>
      <c r="Z116" s="851">
        <v>0</v>
      </c>
      <c r="AA116" s="851">
        <v>0</v>
      </c>
      <c r="AB116" s="851">
        <v>0</v>
      </c>
      <c r="AC116" s="851">
        <v>0</v>
      </c>
      <c r="AD116" s="851">
        <v>2.5</v>
      </c>
      <c r="AE116" s="851">
        <v>0</v>
      </c>
      <c r="AF116" s="851">
        <v>0</v>
      </c>
      <c r="AG116" s="851">
        <v>0</v>
      </c>
      <c r="AH116" s="851">
        <f t="shared" si="7"/>
        <v>2.0661157024793391</v>
      </c>
      <c r="AI116" s="851">
        <v>0</v>
      </c>
      <c r="AJ116" s="851"/>
      <c r="AK116" s="851"/>
      <c r="AL116" s="851"/>
      <c r="AM116" s="851"/>
      <c r="AN116" s="851"/>
      <c r="AO116" s="851"/>
      <c r="AP116" s="851"/>
    </row>
    <row r="117" spans="1:42" ht="14">
      <c r="A117" s="856">
        <v>116</v>
      </c>
      <c r="B117" s="425" t="s">
        <v>2789</v>
      </c>
      <c r="C117" s="425" t="s">
        <v>39</v>
      </c>
      <c r="D117" s="425" t="s">
        <v>2450</v>
      </c>
      <c r="E117" s="425" t="s">
        <v>2451</v>
      </c>
      <c r="F117" s="425" t="s">
        <v>515</v>
      </c>
      <c r="G117">
        <v>1</v>
      </c>
      <c r="H117" s="852">
        <v>0.2</v>
      </c>
      <c r="I117" s="852">
        <v>0.53</v>
      </c>
      <c r="J117" s="852">
        <f t="shared" si="6"/>
        <v>0.10600000000000001</v>
      </c>
      <c r="K117" s="852">
        <f t="shared" si="8"/>
        <v>1.3780000000000001E-2</v>
      </c>
      <c r="L117">
        <v>0</v>
      </c>
      <c r="M117" s="425" t="s">
        <v>47</v>
      </c>
      <c r="N117" s="370">
        <v>2050</v>
      </c>
      <c r="O117" s="425" t="s">
        <v>2383</v>
      </c>
      <c r="P117" s="854" t="s">
        <v>47</v>
      </c>
      <c r="Q117" s="850" t="s">
        <v>92</v>
      </c>
      <c r="R117" s="851">
        <v>0</v>
      </c>
      <c r="S117" s="851">
        <v>0</v>
      </c>
      <c r="T117" s="851">
        <v>0</v>
      </c>
      <c r="U117" s="851">
        <v>0</v>
      </c>
      <c r="V117" s="851">
        <v>0</v>
      </c>
      <c r="W117" s="851">
        <v>0</v>
      </c>
      <c r="X117" s="851">
        <v>0</v>
      </c>
      <c r="Y117" s="851">
        <v>0</v>
      </c>
      <c r="Z117" s="851">
        <v>0</v>
      </c>
      <c r="AA117" s="851">
        <v>0</v>
      </c>
      <c r="AB117" s="851">
        <v>0</v>
      </c>
      <c r="AC117" s="851">
        <v>0</v>
      </c>
      <c r="AD117" s="851">
        <v>2.5</v>
      </c>
      <c r="AE117" s="851">
        <v>0</v>
      </c>
      <c r="AF117" s="851">
        <v>0</v>
      </c>
      <c r="AG117" s="851">
        <v>0</v>
      </c>
      <c r="AH117" s="851">
        <f t="shared" si="7"/>
        <v>2.0661157024793391</v>
      </c>
      <c r="AI117" s="851">
        <v>0</v>
      </c>
      <c r="AJ117" s="851"/>
      <c r="AK117" s="851"/>
      <c r="AL117" s="851"/>
      <c r="AM117" s="851"/>
      <c r="AN117" s="851"/>
      <c r="AO117" s="851"/>
      <c r="AP117" s="851"/>
    </row>
    <row r="118" spans="1:42" ht="14">
      <c r="A118" s="856">
        <v>117</v>
      </c>
      <c r="B118" s="425" t="s">
        <v>2790</v>
      </c>
      <c r="C118" s="425" t="s">
        <v>39</v>
      </c>
      <c r="D118" s="425" t="s">
        <v>2450</v>
      </c>
      <c r="E118" s="425" t="s">
        <v>2451</v>
      </c>
      <c r="F118" s="425" t="s">
        <v>793</v>
      </c>
      <c r="G118">
        <v>1</v>
      </c>
      <c r="H118" s="852">
        <v>0.2</v>
      </c>
      <c r="I118" s="852">
        <v>0.53</v>
      </c>
      <c r="J118" s="852">
        <f t="shared" si="6"/>
        <v>0.10600000000000001</v>
      </c>
      <c r="K118" s="852">
        <f t="shared" si="8"/>
        <v>1.3780000000000001E-2</v>
      </c>
      <c r="L118">
        <v>0</v>
      </c>
      <c r="M118" s="425" t="s">
        <v>47</v>
      </c>
      <c r="N118" s="370">
        <v>2050</v>
      </c>
      <c r="O118" s="425" t="s">
        <v>2383</v>
      </c>
      <c r="P118" s="854" t="s">
        <v>47</v>
      </c>
      <c r="Q118" s="850" t="s">
        <v>92</v>
      </c>
      <c r="R118" s="851">
        <v>0</v>
      </c>
      <c r="S118" s="851">
        <v>0</v>
      </c>
      <c r="T118" s="851">
        <v>0</v>
      </c>
      <c r="U118" s="851">
        <v>0</v>
      </c>
      <c r="V118" s="851">
        <v>0</v>
      </c>
      <c r="W118" s="851">
        <v>0</v>
      </c>
      <c r="X118" s="851">
        <v>0</v>
      </c>
      <c r="Y118" s="851">
        <v>0</v>
      </c>
      <c r="Z118" s="851">
        <v>0</v>
      </c>
      <c r="AA118" s="851">
        <v>0</v>
      </c>
      <c r="AB118" s="851">
        <v>0</v>
      </c>
      <c r="AC118" s="851">
        <v>0</v>
      </c>
      <c r="AD118" s="851">
        <v>2.5</v>
      </c>
      <c r="AE118" s="851">
        <v>0</v>
      </c>
      <c r="AF118" s="851">
        <v>0</v>
      </c>
      <c r="AG118" s="851">
        <v>0</v>
      </c>
      <c r="AH118" s="851">
        <f t="shared" si="7"/>
        <v>2.0661157024793391</v>
      </c>
      <c r="AI118" s="851">
        <v>0</v>
      </c>
      <c r="AJ118" s="851"/>
      <c r="AK118" s="851"/>
      <c r="AL118" s="851"/>
      <c r="AM118" s="851"/>
      <c r="AN118" s="851"/>
      <c r="AO118" s="851"/>
      <c r="AP118" s="851"/>
    </row>
    <row r="119" spans="1:42" ht="14">
      <c r="A119" s="856">
        <v>118</v>
      </c>
      <c r="B119" s="425" t="s">
        <v>2791</v>
      </c>
      <c r="C119" s="425" t="s">
        <v>39</v>
      </c>
      <c r="D119" s="425" t="s">
        <v>2450</v>
      </c>
      <c r="E119" s="425" t="s">
        <v>2452</v>
      </c>
      <c r="F119" s="425" t="s">
        <v>2454</v>
      </c>
      <c r="G119">
        <v>1</v>
      </c>
      <c r="H119" s="852">
        <v>0.2</v>
      </c>
      <c r="I119" s="852">
        <v>0.53</v>
      </c>
      <c r="J119" s="852">
        <f t="shared" si="6"/>
        <v>0.10600000000000001</v>
      </c>
      <c r="K119" s="852">
        <f t="shared" si="8"/>
        <v>1.3780000000000001E-2</v>
      </c>
      <c r="L119">
        <v>0</v>
      </c>
      <c r="M119" s="425" t="s">
        <v>47</v>
      </c>
      <c r="N119" s="370">
        <v>2050</v>
      </c>
      <c r="O119" s="425" t="s">
        <v>2383</v>
      </c>
      <c r="P119" s="854" t="s">
        <v>47</v>
      </c>
      <c r="Q119" s="850" t="s">
        <v>92</v>
      </c>
      <c r="R119" s="851">
        <v>0</v>
      </c>
      <c r="S119" s="851">
        <v>0</v>
      </c>
      <c r="T119" s="851">
        <v>0</v>
      </c>
      <c r="U119" s="851">
        <v>0</v>
      </c>
      <c r="V119" s="851">
        <v>0</v>
      </c>
      <c r="W119" s="851">
        <v>0</v>
      </c>
      <c r="X119" s="851">
        <v>0</v>
      </c>
      <c r="Y119" s="851">
        <v>0</v>
      </c>
      <c r="Z119" s="851">
        <v>0</v>
      </c>
      <c r="AA119" s="851">
        <v>0</v>
      </c>
      <c r="AB119" s="851">
        <v>0</v>
      </c>
      <c r="AC119" s="851">
        <v>0</v>
      </c>
      <c r="AD119" s="851">
        <v>2.5</v>
      </c>
      <c r="AE119" s="851">
        <v>0</v>
      </c>
      <c r="AF119" s="851">
        <v>0</v>
      </c>
      <c r="AG119" s="851">
        <v>0</v>
      </c>
      <c r="AH119" s="851">
        <f t="shared" si="7"/>
        <v>2.0661157024793391</v>
      </c>
      <c r="AI119" s="851">
        <v>0</v>
      </c>
      <c r="AJ119" s="851"/>
      <c r="AK119" s="851"/>
      <c r="AL119" s="851"/>
      <c r="AM119" s="851"/>
      <c r="AN119" s="851"/>
      <c r="AO119" s="851"/>
      <c r="AP119" s="851"/>
    </row>
    <row r="120" spans="1:42" ht="14">
      <c r="A120" s="856">
        <v>119</v>
      </c>
      <c r="B120" s="425" t="s">
        <v>2792</v>
      </c>
      <c r="C120" s="425" t="s">
        <v>39</v>
      </c>
      <c r="D120" s="425" t="s">
        <v>2450</v>
      </c>
      <c r="E120" s="425" t="s">
        <v>2452</v>
      </c>
      <c r="F120" s="425" t="s">
        <v>854</v>
      </c>
      <c r="G120">
        <v>1</v>
      </c>
      <c r="H120" s="852">
        <v>0.2</v>
      </c>
      <c r="I120" s="852">
        <v>0.53</v>
      </c>
      <c r="J120" s="852">
        <f t="shared" si="6"/>
        <v>0.10600000000000001</v>
      </c>
      <c r="K120" s="852">
        <f t="shared" si="8"/>
        <v>1.3780000000000001E-2</v>
      </c>
      <c r="L120">
        <v>0</v>
      </c>
      <c r="M120" s="425" t="s">
        <v>47</v>
      </c>
      <c r="N120" s="370">
        <v>2050</v>
      </c>
      <c r="O120" s="425" t="s">
        <v>2383</v>
      </c>
      <c r="P120" s="854" t="s">
        <v>47</v>
      </c>
      <c r="Q120" s="850" t="s">
        <v>92</v>
      </c>
      <c r="R120" s="851">
        <v>0</v>
      </c>
      <c r="S120" s="851">
        <v>0</v>
      </c>
      <c r="T120" s="851">
        <v>0</v>
      </c>
      <c r="U120" s="851">
        <v>0</v>
      </c>
      <c r="V120" s="851">
        <v>0</v>
      </c>
      <c r="W120" s="851">
        <v>0</v>
      </c>
      <c r="X120" s="851">
        <v>0</v>
      </c>
      <c r="Y120" s="851">
        <v>0</v>
      </c>
      <c r="Z120" s="851">
        <v>0</v>
      </c>
      <c r="AA120" s="851">
        <v>0</v>
      </c>
      <c r="AB120" s="851">
        <v>0</v>
      </c>
      <c r="AC120" s="851">
        <v>0</v>
      </c>
      <c r="AD120" s="851">
        <v>2.5</v>
      </c>
      <c r="AE120" s="851">
        <v>0</v>
      </c>
      <c r="AF120" s="851">
        <v>0</v>
      </c>
      <c r="AG120" s="851">
        <v>0</v>
      </c>
      <c r="AH120" s="851">
        <f t="shared" si="7"/>
        <v>2.0661157024793391</v>
      </c>
      <c r="AI120" s="851">
        <v>0</v>
      </c>
      <c r="AJ120" s="851"/>
      <c r="AK120" s="851"/>
      <c r="AL120" s="851"/>
      <c r="AM120" s="851"/>
      <c r="AN120" s="851"/>
      <c r="AO120" s="851"/>
      <c r="AP120" s="851"/>
    </row>
    <row r="121" spans="1:42" ht="14">
      <c r="A121" s="856">
        <v>120</v>
      </c>
      <c r="B121" s="425" t="s">
        <v>2793</v>
      </c>
      <c r="C121" s="425" t="s">
        <v>39</v>
      </c>
      <c r="D121" s="425" t="s">
        <v>2450</v>
      </c>
      <c r="E121" s="425" t="s">
        <v>2452</v>
      </c>
      <c r="F121" s="425" t="s">
        <v>980</v>
      </c>
      <c r="G121">
        <v>1</v>
      </c>
      <c r="H121" s="852">
        <v>0.2</v>
      </c>
      <c r="I121" s="852">
        <v>0.53</v>
      </c>
      <c r="J121" s="852">
        <f t="shared" si="6"/>
        <v>0.10600000000000001</v>
      </c>
      <c r="K121" s="852">
        <f t="shared" si="8"/>
        <v>1.3780000000000001E-2</v>
      </c>
      <c r="L121">
        <v>0</v>
      </c>
      <c r="M121" s="425" t="s">
        <v>47</v>
      </c>
      <c r="N121" s="370">
        <v>2050</v>
      </c>
      <c r="O121" s="425" t="s">
        <v>2383</v>
      </c>
      <c r="P121" s="854" t="s">
        <v>47</v>
      </c>
      <c r="Q121" s="850" t="s">
        <v>92</v>
      </c>
      <c r="R121" s="851">
        <v>0</v>
      </c>
      <c r="S121" s="851">
        <v>0</v>
      </c>
      <c r="T121" s="851">
        <v>0</v>
      </c>
      <c r="U121" s="851">
        <v>0</v>
      </c>
      <c r="V121" s="851">
        <v>0</v>
      </c>
      <c r="W121" s="851">
        <v>0</v>
      </c>
      <c r="X121" s="851">
        <v>0</v>
      </c>
      <c r="Y121" s="851">
        <v>0</v>
      </c>
      <c r="Z121" s="851">
        <v>0</v>
      </c>
      <c r="AA121" s="851">
        <v>0</v>
      </c>
      <c r="AB121" s="851">
        <v>0</v>
      </c>
      <c r="AC121" s="851">
        <v>0</v>
      </c>
      <c r="AD121" s="851">
        <v>2.5</v>
      </c>
      <c r="AE121" s="851">
        <v>0</v>
      </c>
      <c r="AF121" s="851">
        <v>0</v>
      </c>
      <c r="AG121" s="851">
        <v>0</v>
      </c>
      <c r="AH121" s="851">
        <f t="shared" si="7"/>
        <v>2.0661157024793391</v>
      </c>
      <c r="AI121" s="851">
        <v>0</v>
      </c>
      <c r="AJ121" s="851"/>
      <c r="AK121" s="851"/>
      <c r="AL121" s="851"/>
      <c r="AM121" s="851"/>
      <c r="AN121" s="851"/>
      <c r="AO121" s="851"/>
      <c r="AP121" s="851"/>
    </row>
    <row r="122" spans="1:42" ht="14">
      <c r="A122" s="856">
        <v>121</v>
      </c>
      <c r="B122" s="425" t="s">
        <v>2794</v>
      </c>
      <c r="C122" s="425" t="s">
        <v>39</v>
      </c>
      <c r="D122" s="425" t="s">
        <v>2450</v>
      </c>
      <c r="E122" s="425" t="s">
        <v>2452</v>
      </c>
      <c r="F122" s="425" t="s">
        <v>2455</v>
      </c>
      <c r="G122">
        <v>1</v>
      </c>
      <c r="H122" s="852">
        <v>0.2</v>
      </c>
      <c r="I122" s="852">
        <v>0.53</v>
      </c>
      <c r="J122" s="852">
        <f t="shared" si="6"/>
        <v>0.10600000000000001</v>
      </c>
      <c r="K122" s="852">
        <f t="shared" si="8"/>
        <v>1.3780000000000001E-2</v>
      </c>
      <c r="L122">
        <v>0</v>
      </c>
      <c r="M122" s="425" t="s">
        <v>47</v>
      </c>
      <c r="N122" s="370">
        <v>2050</v>
      </c>
      <c r="O122" s="425" t="s">
        <v>2383</v>
      </c>
      <c r="P122" s="854" t="s">
        <v>47</v>
      </c>
      <c r="Q122" s="850" t="s">
        <v>92</v>
      </c>
      <c r="R122" s="851">
        <v>0</v>
      </c>
      <c r="S122" s="851">
        <v>0</v>
      </c>
      <c r="T122" s="851">
        <v>0</v>
      </c>
      <c r="U122" s="851">
        <v>0</v>
      </c>
      <c r="V122" s="851">
        <v>0</v>
      </c>
      <c r="W122" s="851">
        <v>0</v>
      </c>
      <c r="X122" s="851">
        <v>0</v>
      </c>
      <c r="Y122" s="851">
        <v>0</v>
      </c>
      <c r="Z122" s="851">
        <v>0</v>
      </c>
      <c r="AA122" s="851">
        <v>0</v>
      </c>
      <c r="AB122" s="851">
        <v>0</v>
      </c>
      <c r="AC122" s="851">
        <v>0</v>
      </c>
      <c r="AD122" s="851">
        <v>2.5</v>
      </c>
      <c r="AE122" s="851">
        <v>0</v>
      </c>
      <c r="AF122" s="851">
        <v>0</v>
      </c>
      <c r="AG122" s="851">
        <v>0</v>
      </c>
      <c r="AH122" s="851">
        <f t="shared" si="7"/>
        <v>2.0661157024793391</v>
      </c>
      <c r="AI122" s="851">
        <v>0</v>
      </c>
      <c r="AJ122" s="851"/>
      <c r="AK122" s="851"/>
      <c r="AL122" s="851"/>
      <c r="AM122" s="851"/>
      <c r="AN122" s="851"/>
      <c r="AO122" s="851"/>
      <c r="AP122" s="851"/>
    </row>
    <row r="123" spans="1:42" ht="14">
      <c r="A123" s="856">
        <v>122</v>
      </c>
      <c r="B123" s="425" t="s">
        <v>2795</v>
      </c>
      <c r="C123" s="425" t="s">
        <v>39</v>
      </c>
      <c r="D123" s="425" t="s">
        <v>2450</v>
      </c>
      <c r="E123" s="425" t="s">
        <v>2452</v>
      </c>
      <c r="F123" s="425" t="s">
        <v>807</v>
      </c>
      <c r="G123">
        <v>1</v>
      </c>
      <c r="H123" s="852">
        <v>0.2</v>
      </c>
      <c r="I123" s="852">
        <v>0.53</v>
      </c>
      <c r="J123" s="852">
        <f t="shared" si="6"/>
        <v>0.10600000000000001</v>
      </c>
      <c r="K123" s="852">
        <f t="shared" si="8"/>
        <v>1.3780000000000001E-2</v>
      </c>
      <c r="L123">
        <v>0</v>
      </c>
      <c r="M123" s="425" t="s">
        <v>47</v>
      </c>
      <c r="N123" s="370">
        <v>2050</v>
      </c>
      <c r="O123" s="425" t="s">
        <v>2383</v>
      </c>
      <c r="P123" s="854" t="s">
        <v>47</v>
      </c>
      <c r="Q123" s="850" t="s">
        <v>92</v>
      </c>
      <c r="R123" s="851">
        <v>0</v>
      </c>
      <c r="S123" s="851">
        <v>0</v>
      </c>
      <c r="T123" s="851">
        <v>0</v>
      </c>
      <c r="U123" s="851">
        <v>0</v>
      </c>
      <c r="V123" s="851">
        <v>0</v>
      </c>
      <c r="W123" s="851">
        <v>0</v>
      </c>
      <c r="X123" s="851">
        <v>0</v>
      </c>
      <c r="Y123" s="851">
        <v>0</v>
      </c>
      <c r="Z123" s="851">
        <v>0</v>
      </c>
      <c r="AA123" s="851">
        <v>0</v>
      </c>
      <c r="AB123" s="851">
        <v>0</v>
      </c>
      <c r="AC123" s="851">
        <v>0</v>
      </c>
      <c r="AD123" s="851">
        <v>2.5</v>
      </c>
      <c r="AE123" s="851">
        <v>0</v>
      </c>
      <c r="AF123" s="851">
        <v>0</v>
      </c>
      <c r="AG123" s="851">
        <v>0</v>
      </c>
      <c r="AH123" s="851">
        <f t="shared" si="7"/>
        <v>2.0661157024793391</v>
      </c>
      <c r="AI123" s="851">
        <v>0</v>
      </c>
      <c r="AJ123" s="851"/>
      <c r="AK123" s="851"/>
      <c r="AL123" s="851"/>
      <c r="AM123" s="851"/>
      <c r="AN123" s="851"/>
      <c r="AO123" s="851"/>
      <c r="AP123" s="851"/>
    </row>
    <row r="124" spans="1:42" ht="14">
      <c r="A124" s="856">
        <v>123</v>
      </c>
      <c r="B124" s="425" t="s">
        <v>2796</v>
      </c>
      <c r="C124" s="425" t="s">
        <v>39</v>
      </c>
      <c r="D124" s="425" t="s">
        <v>2450</v>
      </c>
      <c r="E124" s="425" t="s">
        <v>2452</v>
      </c>
      <c r="F124" s="425" t="s">
        <v>793</v>
      </c>
      <c r="G124">
        <v>1</v>
      </c>
      <c r="H124" s="852">
        <v>0.2</v>
      </c>
      <c r="I124" s="852">
        <v>0.53</v>
      </c>
      <c r="J124" s="852">
        <f t="shared" si="6"/>
        <v>0.10600000000000001</v>
      </c>
      <c r="K124" s="852">
        <f t="shared" si="8"/>
        <v>1.3780000000000001E-2</v>
      </c>
      <c r="L124">
        <v>0</v>
      </c>
      <c r="M124" s="425" t="s">
        <v>47</v>
      </c>
      <c r="N124" s="370">
        <v>2050</v>
      </c>
      <c r="O124" s="425" t="s">
        <v>2383</v>
      </c>
      <c r="P124" s="854" t="s">
        <v>47</v>
      </c>
      <c r="Q124" s="850" t="s">
        <v>92</v>
      </c>
      <c r="R124" s="851">
        <v>0</v>
      </c>
      <c r="S124" s="851">
        <v>0</v>
      </c>
      <c r="T124" s="851">
        <v>0</v>
      </c>
      <c r="U124" s="851">
        <v>0</v>
      </c>
      <c r="V124" s="851">
        <v>0</v>
      </c>
      <c r="W124" s="851">
        <v>0</v>
      </c>
      <c r="X124" s="851">
        <v>0</v>
      </c>
      <c r="Y124" s="851">
        <v>0</v>
      </c>
      <c r="Z124" s="851">
        <v>0</v>
      </c>
      <c r="AA124" s="851">
        <v>0</v>
      </c>
      <c r="AB124" s="851">
        <v>0</v>
      </c>
      <c r="AC124" s="851">
        <v>0</v>
      </c>
      <c r="AD124" s="851">
        <v>2.5</v>
      </c>
      <c r="AE124" s="851">
        <v>0</v>
      </c>
      <c r="AF124" s="851">
        <v>0</v>
      </c>
      <c r="AG124" s="851">
        <v>0</v>
      </c>
      <c r="AH124" s="851">
        <f t="shared" si="7"/>
        <v>2.0661157024793391</v>
      </c>
      <c r="AI124" s="851">
        <v>0</v>
      </c>
      <c r="AJ124" s="851"/>
      <c r="AK124" s="851"/>
      <c r="AL124" s="851"/>
      <c r="AM124" s="851"/>
      <c r="AN124" s="851"/>
      <c r="AO124" s="851"/>
      <c r="AP124" s="851"/>
    </row>
    <row r="125" spans="1:42" ht="14">
      <c r="A125" s="856">
        <v>124</v>
      </c>
      <c r="B125" s="425" t="s">
        <v>2797</v>
      </c>
      <c r="C125" s="425" t="s">
        <v>39</v>
      </c>
      <c r="D125" s="425" t="s">
        <v>2450</v>
      </c>
      <c r="E125" s="425" t="s">
        <v>2453</v>
      </c>
      <c r="F125" s="425" t="s">
        <v>2454</v>
      </c>
      <c r="G125">
        <v>1</v>
      </c>
      <c r="H125" s="852">
        <v>0.2</v>
      </c>
      <c r="I125" s="852">
        <v>0.53</v>
      </c>
      <c r="J125" s="852">
        <f t="shared" si="6"/>
        <v>0.10600000000000001</v>
      </c>
      <c r="K125" s="852">
        <f t="shared" si="8"/>
        <v>1.3780000000000001E-2</v>
      </c>
      <c r="L125">
        <v>0</v>
      </c>
      <c r="M125" s="425" t="s">
        <v>47</v>
      </c>
      <c r="N125" s="370">
        <v>2050</v>
      </c>
      <c r="O125" s="425" t="s">
        <v>2383</v>
      </c>
      <c r="P125" s="854" t="s">
        <v>47</v>
      </c>
      <c r="Q125" s="850" t="s">
        <v>92</v>
      </c>
      <c r="R125" s="851">
        <v>0</v>
      </c>
      <c r="S125" s="851">
        <v>0</v>
      </c>
      <c r="T125" s="851">
        <v>0</v>
      </c>
      <c r="U125" s="851">
        <v>0</v>
      </c>
      <c r="V125" s="851">
        <v>0</v>
      </c>
      <c r="W125" s="851">
        <v>0</v>
      </c>
      <c r="X125" s="851">
        <v>0</v>
      </c>
      <c r="Y125" s="851">
        <v>0</v>
      </c>
      <c r="Z125" s="851">
        <v>0</v>
      </c>
      <c r="AA125" s="851">
        <v>0</v>
      </c>
      <c r="AB125" s="851">
        <v>0</v>
      </c>
      <c r="AC125" s="851">
        <v>0</v>
      </c>
      <c r="AD125" s="851">
        <v>2.5</v>
      </c>
      <c r="AE125" s="851">
        <v>0</v>
      </c>
      <c r="AF125" s="851">
        <v>0</v>
      </c>
      <c r="AG125" s="851">
        <v>0</v>
      </c>
      <c r="AH125" s="851">
        <f t="shared" si="7"/>
        <v>2.0661157024793391</v>
      </c>
      <c r="AI125" s="851">
        <v>0</v>
      </c>
      <c r="AJ125" s="851"/>
      <c r="AK125" s="851"/>
      <c r="AL125" s="851"/>
      <c r="AM125" s="851"/>
      <c r="AN125" s="851"/>
      <c r="AO125" s="851"/>
      <c r="AP125" s="851"/>
    </row>
    <row r="126" spans="1:42" ht="14">
      <c r="A126" s="856">
        <v>125</v>
      </c>
      <c r="B126" s="425" t="s">
        <v>2798</v>
      </c>
      <c r="C126" s="425" t="s">
        <v>39</v>
      </c>
      <c r="D126" s="425" t="s">
        <v>2450</v>
      </c>
      <c r="E126" s="425" t="s">
        <v>2453</v>
      </c>
      <c r="F126" s="425" t="s">
        <v>882</v>
      </c>
      <c r="G126">
        <v>1</v>
      </c>
      <c r="H126" s="852">
        <v>0.2</v>
      </c>
      <c r="I126" s="852">
        <v>0.53</v>
      </c>
      <c r="J126" s="852">
        <f t="shared" si="6"/>
        <v>0.10600000000000001</v>
      </c>
      <c r="K126" s="852">
        <f t="shared" si="8"/>
        <v>1.3780000000000001E-2</v>
      </c>
      <c r="L126">
        <v>0</v>
      </c>
      <c r="M126" s="425" t="s">
        <v>47</v>
      </c>
      <c r="N126" s="370">
        <v>2050</v>
      </c>
      <c r="O126" s="425" t="s">
        <v>2383</v>
      </c>
      <c r="P126" s="854" t="s">
        <v>47</v>
      </c>
      <c r="Q126" s="850" t="s">
        <v>92</v>
      </c>
      <c r="R126" s="851">
        <v>0</v>
      </c>
      <c r="S126" s="851">
        <v>0</v>
      </c>
      <c r="T126" s="851">
        <v>0</v>
      </c>
      <c r="U126" s="851">
        <v>0</v>
      </c>
      <c r="V126" s="851">
        <v>0</v>
      </c>
      <c r="W126" s="851">
        <v>0</v>
      </c>
      <c r="X126" s="851">
        <v>0</v>
      </c>
      <c r="Y126" s="851">
        <v>0</v>
      </c>
      <c r="Z126" s="851">
        <v>0</v>
      </c>
      <c r="AA126" s="851">
        <v>0</v>
      </c>
      <c r="AB126" s="851">
        <v>0</v>
      </c>
      <c r="AC126" s="851">
        <v>0</v>
      </c>
      <c r="AD126" s="851">
        <v>2.5</v>
      </c>
      <c r="AE126" s="851">
        <v>0</v>
      </c>
      <c r="AF126" s="851">
        <v>0</v>
      </c>
      <c r="AG126" s="851">
        <v>0</v>
      </c>
      <c r="AH126" s="851">
        <f t="shared" si="7"/>
        <v>2.0661157024793391</v>
      </c>
      <c r="AI126" s="851">
        <v>0</v>
      </c>
      <c r="AJ126" s="851"/>
      <c r="AK126" s="851"/>
      <c r="AL126" s="851"/>
      <c r="AM126" s="851"/>
      <c r="AN126" s="851"/>
      <c r="AO126" s="851"/>
      <c r="AP126" s="851"/>
    </row>
    <row r="127" spans="1:42" ht="14">
      <c r="A127" s="856">
        <v>126</v>
      </c>
      <c r="B127" s="425" t="s">
        <v>2799</v>
      </c>
      <c r="C127" s="425" t="s">
        <v>39</v>
      </c>
      <c r="D127" s="425" t="s">
        <v>2450</v>
      </c>
      <c r="E127" s="425" t="s">
        <v>2453</v>
      </c>
      <c r="F127" s="425" t="s">
        <v>807</v>
      </c>
      <c r="G127">
        <v>1</v>
      </c>
      <c r="H127" s="852">
        <v>0.2</v>
      </c>
      <c r="I127" s="852">
        <v>0.53</v>
      </c>
      <c r="J127" s="852">
        <f t="shared" si="6"/>
        <v>0.10600000000000001</v>
      </c>
      <c r="K127" s="852">
        <f t="shared" si="8"/>
        <v>1.3780000000000001E-2</v>
      </c>
      <c r="L127">
        <v>0</v>
      </c>
      <c r="M127" s="425" t="s">
        <v>47</v>
      </c>
      <c r="N127" s="370">
        <v>2050</v>
      </c>
      <c r="O127" s="425" t="s">
        <v>2383</v>
      </c>
      <c r="P127" s="854" t="s">
        <v>47</v>
      </c>
      <c r="Q127" s="850" t="s">
        <v>92</v>
      </c>
      <c r="R127" s="851">
        <v>0</v>
      </c>
      <c r="S127" s="851">
        <v>0</v>
      </c>
      <c r="T127" s="851">
        <v>0</v>
      </c>
      <c r="U127" s="851">
        <v>0</v>
      </c>
      <c r="V127" s="851">
        <v>0</v>
      </c>
      <c r="W127" s="851">
        <v>0</v>
      </c>
      <c r="X127" s="851">
        <v>0</v>
      </c>
      <c r="Y127" s="851">
        <v>0</v>
      </c>
      <c r="Z127" s="851">
        <v>0</v>
      </c>
      <c r="AA127" s="851">
        <v>0</v>
      </c>
      <c r="AB127" s="851">
        <v>0</v>
      </c>
      <c r="AC127" s="851">
        <v>0</v>
      </c>
      <c r="AD127" s="851">
        <v>2.5</v>
      </c>
      <c r="AE127" s="851">
        <v>0</v>
      </c>
      <c r="AF127" s="851">
        <v>0</v>
      </c>
      <c r="AG127" s="851">
        <v>0</v>
      </c>
      <c r="AH127" s="851">
        <f t="shared" si="7"/>
        <v>2.0661157024793391</v>
      </c>
      <c r="AI127" s="851">
        <v>0</v>
      </c>
      <c r="AJ127" s="851"/>
      <c r="AK127" s="851"/>
      <c r="AL127" s="851"/>
      <c r="AM127" s="851"/>
      <c r="AN127" s="851"/>
      <c r="AO127" s="851"/>
      <c r="AP127" s="851"/>
    </row>
    <row r="128" spans="1:42" ht="14">
      <c r="A128" s="856">
        <v>127</v>
      </c>
      <c r="B128" s="425" t="s">
        <v>2800</v>
      </c>
      <c r="C128" s="425" t="s">
        <v>39</v>
      </c>
      <c r="D128" s="425" t="s">
        <v>2450</v>
      </c>
      <c r="E128" s="425" t="s">
        <v>2453</v>
      </c>
      <c r="F128" s="425" t="s">
        <v>854</v>
      </c>
      <c r="G128">
        <v>1</v>
      </c>
      <c r="H128" s="852">
        <v>0.2</v>
      </c>
      <c r="I128" s="852">
        <v>0.53</v>
      </c>
      <c r="J128" s="852">
        <f t="shared" si="6"/>
        <v>0.10600000000000001</v>
      </c>
      <c r="K128" s="852">
        <f t="shared" si="8"/>
        <v>1.3780000000000001E-2</v>
      </c>
      <c r="L128">
        <v>0</v>
      </c>
      <c r="M128" s="425" t="s">
        <v>47</v>
      </c>
      <c r="N128" s="370">
        <v>2050</v>
      </c>
      <c r="O128" s="425" t="s">
        <v>2383</v>
      </c>
      <c r="P128" s="854" t="s">
        <v>47</v>
      </c>
      <c r="Q128" s="850" t="s">
        <v>92</v>
      </c>
      <c r="R128" s="851">
        <v>0</v>
      </c>
      <c r="S128" s="851">
        <v>0</v>
      </c>
      <c r="T128" s="851">
        <v>0</v>
      </c>
      <c r="U128" s="851">
        <v>0</v>
      </c>
      <c r="V128" s="851">
        <v>0</v>
      </c>
      <c r="W128" s="851">
        <v>0</v>
      </c>
      <c r="X128" s="851">
        <v>0</v>
      </c>
      <c r="Y128" s="851">
        <v>0</v>
      </c>
      <c r="Z128" s="851">
        <v>0</v>
      </c>
      <c r="AA128" s="851">
        <v>0</v>
      </c>
      <c r="AB128" s="851">
        <v>0</v>
      </c>
      <c r="AC128" s="851">
        <v>0</v>
      </c>
      <c r="AD128" s="851">
        <v>2.5</v>
      </c>
      <c r="AE128" s="851">
        <v>0</v>
      </c>
      <c r="AF128" s="851">
        <v>0</v>
      </c>
      <c r="AG128" s="851">
        <v>0</v>
      </c>
      <c r="AH128" s="851">
        <f t="shared" si="7"/>
        <v>2.0661157024793391</v>
      </c>
      <c r="AI128" s="851">
        <v>0</v>
      </c>
      <c r="AJ128" s="851"/>
      <c r="AK128" s="851"/>
      <c r="AL128" s="851"/>
      <c r="AM128" s="851"/>
      <c r="AN128" s="851"/>
      <c r="AO128" s="851"/>
      <c r="AP128" s="851"/>
    </row>
    <row r="129" spans="1:42" ht="14">
      <c r="A129" s="856">
        <v>128</v>
      </c>
      <c r="B129" s="425" t="s">
        <v>2801</v>
      </c>
      <c r="C129" s="425" t="s">
        <v>39</v>
      </c>
      <c r="D129" s="425" t="s">
        <v>2450</v>
      </c>
      <c r="E129" s="425" t="s">
        <v>2453</v>
      </c>
      <c r="F129" s="425" t="s">
        <v>980</v>
      </c>
      <c r="G129">
        <v>1</v>
      </c>
      <c r="H129" s="852">
        <v>0.2</v>
      </c>
      <c r="I129" s="852">
        <v>0.53</v>
      </c>
      <c r="J129" s="852">
        <f t="shared" si="6"/>
        <v>0.10600000000000001</v>
      </c>
      <c r="K129" s="852">
        <f t="shared" si="8"/>
        <v>1.3780000000000001E-2</v>
      </c>
      <c r="L129">
        <v>0</v>
      </c>
      <c r="M129" s="425" t="s">
        <v>47</v>
      </c>
      <c r="N129" s="370">
        <v>2050</v>
      </c>
      <c r="O129" s="425" t="s">
        <v>2383</v>
      </c>
      <c r="P129" s="854" t="s">
        <v>47</v>
      </c>
      <c r="Q129" s="850" t="s">
        <v>92</v>
      </c>
      <c r="R129" s="851">
        <v>0</v>
      </c>
      <c r="S129" s="851">
        <v>0</v>
      </c>
      <c r="T129" s="851">
        <v>0</v>
      </c>
      <c r="U129" s="851">
        <v>0</v>
      </c>
      <c r="V129" s="851">
        <v>0</v>
      </c>
      <c r="W129" s="851">
        <v>0</v>
      </c>
      <c r="X129" s="851">
        <v>0</v>
      </c>
      <c r="Y129" s="851">
        <v>0</v>
      </c>
      <c r="Z129" s="851">
        <v>0</v>
      </c>
      <c r="AA129" s="851">
        <v>0</v>
      </c>
      <c r="AB129" s="851">
        <v>0</v>
      </c>
      <c r="AC129" s="851">
        <v>0</v>
      </c>
      <c r="AD129" s="851">
        <v>2.5</v>
      </c>
      <c r="AE129" s="851">
        <v>0</v>
      </c>
      <c r="AF129" s="851">
        <v>0</v>
      </c>
      <c r="AG129" s="851">
        <v>0</v>
      </c>
      <c r="AH129" s="851">
        <f t="shared" si="7"/>
        <v>2.0661157024793391</v>
      </c>
      <c r="AI129" s="851">
        <v>0</v>
      </c>
      <c r="AJ129" s="851"/>
      <c r="AK129" s="851"/>
      <c r="AL129" s="851"/>
      <c r="AM129" s="851"/>
      <c r="AN129" s="851"/>
      <c r="AO129" s="851"/>
      <c r="AP129" s="851"/>
    </row>
    <row r="130" spans="1:42" ht="14">
      <c r="A130" s="856">
        <v>129</v>
      </c>
      <c r="B130" s="425" t="s">
        <v>2802</v>
      </c>
      <c r="C130" s="425" t="s">
        <v>39</v>
      </c>
      <c r="D130" s="425" t="s">
        <v>2450</v>
      </c>
      <c r="E130" s="425" t="s">
        <v>2453</v>
      </c>
      <c r="F130" s="425" t="s">
        <v>515</v>
      </c>
      <c r="G130">
        <v>1</v>
      </c>
      <c r="H130" s="852">
        <v>0.2</v>
      </c>
      <c r="I130" s="852">
        <v>0.53</v>
      </c>
      <c r="J130" s="852">
        <f t="shared" si="6"/>
        <v>0.10600000000000001</v>
      </c>
      <c r="K130" s="852">
        <f t="shared" si="8"/>
        <v>1.3780000000000001E-2</v>
      </c>
      <c r="L130">
        <v>0</v>
      </c>
      <c r="M130" s="425" t="s">
        <v>47</v>
      </c>
      <c r="N130" s="370">
        <v>2050</v>
      </c>
      <c r="O130" s="425" t="s">
        <v>2383</v>
      </c>
      <c r="P130" s="854" t="s">
        <v>47</v>
      </c>
      <c r="Q130" s="850" t="s">
        <v>92</v>
      </c>
      <c r="R130" s="851">
        <v>0</v>
      </c>
      <c r="S130" s="851">
        <v>0</v>
      </c>
      <c r="T130" s="851">
        <v>0</v>
      </c>
      <c r="U130" s="851">
        <v>0</v>
      </c>
      <c r="V130" s="851">
        <v>0</v>
      </c>
      <c r="W130" s="851">
        <v>0</v>
      </c>
      <c r="X130" s="851">
        <v>0</v>
      </c>
      <c r="Y130" s="851">
        <v>0</v>
      </c>
      <c r="Z130" s="851">
        <v>0</v>
      </c>
      <c r="AA130" s="851">
        <v>0</v>
      </c>
      <c r="AB130" s="851">
        <v>0</v>
      </c>
      <c r="AC130" s="851">
        <v>0</v>
      </c>
      <c r="AD130" s="851">
        <v>2.5</v>
      </c>
      <c r="AE130" s="851">
        <v>0</v>
      </c>
      <c r="AF130" s="851">
        <v>0</v>
      </c>
      <c r="AG130" s="851">
        <v>0</v>
      </c>
      <c r="AH130" s="851">
        <f t="shared" si="7"/>
        <v>2.0661157024793391</v>
      </c>
      <c r="AI130" s="851">
        <v>0</v>
      </c>
      <c r="AJ130" s="851"/>
      <c r="AK130" s="851"/>
      <c r="AL130" s="851"/>
      <c r="AM130" s="851"/>
      <c r="AN130" s="851"/>
      <c r="AO130" s="851"/>
      <c r="AP130" s="851"/>
    </row>
    <row r="131" spans="1:42" s="868" customFormat="1" ht="14">
      <c r="A131" s="866">
        <v>130</v>
      </c>
      <c r="B131" s="867" t="s">
        <v>2500</v>
      </c>
      <c r="C131" s="867" t="s">
        <v>40</v>
      </c>
      <c r="D131" s="867" t="s">
        <v>2377</v>
      </c>
      <c r="E131" s="867" t="s">
        <v>2501</v>
      </c>
      <c r="F131" s="867" t="s">
        <v>813</v>
      </c>
      <c r="G131" s="868">
        <v>1</v>
      </c>
      <c r="H131" s="869">
        <v>0.53</v>
      </c>
      <c r="I131" s="869">
        <v>10.050000000000001</v>
      </c>
      <c r="J131" s="869">
        <f t="shared" si="6"/>
        <v>5.3265000000000002</v>
      </c>
      <c r="K131" s="869">
        <f t="shared" si="8"/>
        <v>0.69244500000000009</v>
      </c>
      <c r="L131" s="868">
        <v>53</v>
      </c>
      <c r="M131" s="867" t="s">
        <v>2380</v>
      </c>
      <c r="N131" s="866">
        <v>2019</v>
      </c>
      <c r="O131" s="867" t="s">
        <v>2383</v>
      </c>
      <c r="P131" s="870">
        <v>5415058025106</v>
      </c>
      <c r="Q131" s="867" t="s">
        <v>2385</v>
      </c>
      <c r="R131" s="871">
        <v>12.5</v>
      </c>
      <c r="S131" s="871">
        <v>0</v>
      </c>
      <c r="T131" s="871">
        <v>15.6</v>
      </c>
      <c r="U131" s="871">
        <v>0</v>
      </c>
      <c r="V131" s="871">
        <v>13.75</v>
      </c>
      <c r="W131" s="871">
        <v>0</v>
      </c>
      <c r="X131" s="871">
        <v>17.2</v>
      </c>
      <c r="Y131" s="871">
        <v>0</v>
      </c>
      <c r="Z131" s="871">
        <v>31.2</v>
      </c>
      <c r="AA131" s="871">
        <v>0</v>
      </c>
      <c r="AB131" s="871">
        <v>43.7</v>
      </c>
      <c r="AC131" s="871">
        <v>0</v>
      </c>
      <c r="AD131" s="871">
        <v>75.7</v>
      </c>
      <c r="AE131" s="871">
        <v>0</v>
      </c>
      <c r="AF131" s="871">
        <v>34.299999999999997</v>
      </c>
      <c r="AG131" s="871">
        <v>0</v>
      </c>
      <c r="AH131" s="871">
        <v>62.5</v>
      </c>
      <c r="AI131" s="871">
        <v>0</v>
      </c>
      <c r="AJ131" s="871"/>
      <c r="AK131" s="871"/>
      <c r="AL131" s="871"/>
      <c r="AM131" s="871"/>
      <c r="AN131" s="871"/>
      <c r="AO131" s="871"/>
      <c r="AP131" s="871">
        <v>8</v>
      </c>
    </row>
    <row r="132" spans="1:42" s="868" customFormat="1" ht="14">
      <c r="A132" s="866">
        <v>131</v>
      </c>
      <c r="B132" s="867" t="s">
        <v>2505</v>
      </c>
      <c r="C132" s="867" t="s">
        <v>40</v>
      </c>
      <c r="D132" s="867" t="s">
        <v>2377</v>
      </c>
      <c r="E132" s="867" t="s">
        <v>2501</v>
      </c>
      <c r="F132" s="867" t="s">
        <v>830</v>
      </c>
      <c r="G132" s="868">
        <v>1</v>
      </c>
      <c r="H132" s="869">
        <v>0.53</v>
      </c>
      <c r="I132" s="869">
        <v>10.050000000000001</v>
      </c>
      <c r="J132" s="869">
        <f t="shared" ref="J132:J150" si="9">H132*I132*G132</f>
        <v>5.3265000000000002</v>
      </c>
      <c r="K132" s="869">
        <f t="shared" si="8"/>
        <v>0.69244500000000009</v>
      </c>
      <c r="L132" s="868">
        <v>53</v>
      </c>
      <c r="M132" s="867" t="s">
        <v>2380</v>
      </c>
      <c r="N132" s="866">
        <v>2019</v>
      </c>
      <c r="O132" s="867" t="s">
        <v>2383</v>
      </c>
      <c r="P132" s="870">
        <v>5415058025113</v>
      </c>
      <c r="Q132" s="867" t="s">
        <v>2385</v>
      </c>
      <c r="R132" s="871">
        <v>12.5</v>
      </c>
      <c r="S132" s="871">
        <v>0</v>
      </c>
      <c r="T132" s="871">
        <v>15.6</v>
      </c>
      <c r="U132" s="871">
        <v>0</v>
      </c>
      <c r="V132" s="871">
        <v>13.75</v>
      </c>
      <c r="W132" s="871">
        <v>0</v>
      </c>
      <c r="X132" s="871">
        <v>17.2</v>
      </c>
      <c r="Y132" s="871">
        <v>0</v>
      </c>
      <c r="Z132" s="871">
        <v>31.2</v>
      </c>
      <c r="AA132" s="871">
        <v>0</v>
      </c>
      <c r="AB132" s="871">
        <v>43.7</v>
      </c>
      <c r="AC132" s="871">
        <v>0</v>
      </c>
      <c r="AD132" s="871">
        <v>75.7</v>
      </c>
      <c r="AE132" s="871">
        <v>0</v>
      </c>
      <c r="AF132" s="871">
        <v>34.299999999999997</v>
      </c>
      <c r="AG132" s="871">
        <v>0</v>
      </c>
      <c r="AH132" s="871">
        <v>62.5</v>
      </c>
      <c r="AI132" s="871">
        <v>0</v>
      </c>
      <c r="AJ132" s="871"/>
      <c r="AK132" s="871"/>
      <c r="AL132" s="871"/>
      <c r="AM132" s="871"/>
      <c r="AN132" s="871"/>
      <c r="AO132" s="871"/>
      <c r="AP132" s="871">
        <v>8</v>
      </c>
    </row>
    <row r="133" spans="1:42" s="868" customFormat="1" ht="14">
      <c r="A133" s="866">
        <v>132</v>
      </c>
      <c r="B133" s="867" t="s">
        <v>2506</v>
      </c>
      <c r="C133" s="867" t="s">
        <v>40</v>
      </c>
      <c r="D133" s="867" t="s">
        <v>2377</v>
      </c>
      <c r="E133" s="867" t="s">
        <v>2501</v>
      </c>
      <c r="F133" s="867" t="s">
        <v>980</v>
      </c>
      <c r="G133" s="868">
        <v>1</v>
      </c>
      <c r="H133" s="869">
        <v>0.53</v>
      </c>
      <c r="I133" s="869">
        <v>10.050000000000001</v>
      </c>
      <c r="J133" s="869">
        <f t="shared" si="9"/>
        <v>5.3265000000000002</v>
      </c>
      <c r="K133" s="869">
        <f t="shared" si="8"/>
        <v>0.69244500000000009</v>
      </c>
      <c r="L133" s="868">
        <v>53</v>
      </c>
      <c r="M133" s="867" t="s">
        <v>2380</v>
      </c>
      <c r="N133" s="866">
        <v>2019</v>
      </c>
      <c r="O133" s="867" t="s">
        <v>2383</v>
      </c>
      <c r="P133" s="870">
        <v>5415058025120</v>
      </c>
      <c r="Q133" s="867" t="s">
        <v>2385</v>
      </c>
      <c r="R133" s="871">
        <v>12.5</v>
      </c>
      <c r="S133" s="871">
        <v>0</v>
      </c>
      <c r="T133" s="871">
        <v>15.6</v>
      </c>
      <c r="U133" s="871">
        <v>0</v>
      </c>
      <c r="V133" s="871">
        <v>13.75</v>
      </c>
      <c r="W133" s="871">
        <v>0</v>
      </c>
      <c r="X133" s="871">
        <v>17.2</v>
      </c>
      <c r="Y133" s="871">
        <v>0</v>
      </c>
      <c r="Z133" s="871">
        <v>31.2</v>
      </c>
      <c r="AA133" s="871">
        <v>0</v>
      </c>
      <c r="AB133" s="871">
        <v>43.7</v>
      </c>
      <c r="AC133" s="871">
        <v>0</v>
      </c>
      <c r="AD133" s="871">
        <v>75.7</v>
      </c>
      <c r="AE133" s="871">
        <v>0</v>
      </c>
      <c r="AF133" s="871">
        <v>34.299999999999997</v>
      </c>
      <c r="AG133" s="871">
        <v>0</v>
      </c>
      <c r="AH133" s="871">
        <v>62.5</v>
      </c>
      <c r="AI133" s="871">
        <v>0</v>
      </c>
      <c r="AJ133" s="871"/>
      <c r="AK133" s="871"/>
      <c r="AL133" s="871"/>
      <c r="AM133" s="871"/>
      <c r="AN133" s="871"/>
      <c r="AO133" s="871"/>
      <c r="AP133" s="871">
        <v>8</v>
      </c>
    </row>
    <row r="134" spans="1:42" s="868" customFormat="1" ht="14">
      <c r="A134" s="866">
        <v>133</v>
      </c>
      <c r="B134" s="867" t="s">
        <v>2507</v>
      </c>
      <c r="C134" s="867" t="s">
        <v>40</v>
      </c>
      <c r="D134" s="867" t="s">
        <v>2377</v>
      </c>
      <c r="E134" s="867" t="s">
        <v>2501</v>
      </c>
      <c r="F134" s="867" t="s">
        <v>982</v>
      </c>
      <c r="G134" s="868">
        <v>1</v>
      </c>
      <c r="H134" s="869">
        <v>0.53</v>
      </c>
      <c r="I134" s="869">
        <v>10.050000000000001</v>
      </c>
      <c r="J134" s="869">
        <f t="shared" si="9"/>
        <v>5.3265000000000002</v>
      </c>
      <c r="K134" s="869">
        <f t="shared" si="8"/>
        <v>0.69244500000000009</v>
      </c>
      <c r="L134" s="868">
        <v>53</v>
      </c>
      <c r="M134" s="867" t="s">
        <v>2380</v>
      </c>
      <c r="N134" s="866">
        <v>2019</v>
      </c>
      <c r="O134" s="867" t="s">
        <v>2383</v>
      </c>
      <c r="P134" s="870">
        <v>5415058025137</v>
      </c>
      <c r="Q134" s="867" t="s">
        <v>2385</v>
      </c>
      <c r="R134" s="871">
        <v>12.5</v>
      </c>
      <c r="S134" s="871">
        <v>0</v>
      </c>
      <c r="T134" s="871">
        <v>15.6</v>
      </c>
      <c r="U134" s="871">
        <v>0</v>
      </c>
      <c r="V134" s="871">
        <v>13.75</v>
      </c>
      <c r="W134" s="871">
        <v>0</v>
      </c>
      <c r="X134" s="871">
        <v>17.2</v>
      </c>
      <c r="Y134" s="871">
        <v>0</v>
      </c>
      <c r="Z134" s="871">
        <v>31.2</v>
      </c>
      <c r="AA134" s="871">
        <v>0</v>
      </c>
      <c r="AB134" s="871">
        <v>43.7</v>
      </c>
      <c r="AC134" s="871">
        <v>0</v>
      </c>
      <c r="AD134" s="871">
        <v>75.7</v>
      </c>
      <c r="AE134" s="871">
        <v>0</v>
      </c>
      <c r="AF134" s="871">
        <v>34.299999999999997</v>
      </c>
      <c r="AG134" s="871">
        <v>0</v>
      </c>
      <c r="AH134" s="871">
        <v>62.5</v>
      </c>
      <c r="AI134" s="871">
        <v>0</v>
      </c>
      <c r="AJ134" s="871"/>
      <c r="AK134" s="871"/>
      <c r="AL134" s="871"/>
      <c r="AM134" s="871"/>
      <c r="AN134" s="871"/>
      <c r="AO134" s="871"/>
      <c r="AP134" s="871">
        <v>8</v>
      </c>
    </row>
    <row r="135" spans="1:42" s="868" customFormat="1" ht="14">
      <c r="A135" s="866">
        <v>134</v>
      </c>
      <c r="B135" s="867" t="s">
        <v>2508</v>
      </c>
      <c r="C135" s="867" t="s">
        <v>40</v>
      </c>
      <c r="D135" s="867" t="s">
        <v>2377</v>
      </c>
      <c r="E135" s="867" t="s">
        <v>2501</v>
      </c>
      <c r="F135" s="867" t="s">
        <v>882</v>
      </c>
      <c r="G135" s="868">
        <v>1</v>
      </c>
      <c r="H135" s="869">
        <v>0.53</v>
      </c>
      <c r="I135" s="869">
        <v>10.050000000000001</v>
      </c>
      <c r="J135" s="869">
        <f t="shared" si="9"/>
        <v>5.3265000000000002</v>
      </c>
      <c r="K135" s="869">
        <f t="shared" si="8"/>
        <v>0.69244500000000009</v>
      </c>
      <c r="L135" s="868">
        <v>53</v>
      </c>
      <c r="M135" s="867" t="s">
        <v>2380</v>
      </c>
      <c r="N135" s="866">
        <v>2019</v>
      </c>
      <c r="O135" s="867" t="s">
        <v>2383</v>
      </c>
      <c r="P135" s="870">
        <v>5415058025144</v>
      </c>
      <c r="Q135" s="867" t="s">
        <v>2385</v>
      </c>
      <c r="R135" s="871">
        <v>12.5</v>
      </c>
      <c r="S135" s="871">
        <v>0</v>
      </c>
      <c r="T135" s="871">
        <v>15.6</v>
      </c>
      <c r="U135" s="871">
        <v>0</v>
      </c>
      <c r="V135" s="871">
        <v>13.75</v>
      </c>
      <c r="W135" s="871">
        <v>0</v>
      </c>
      <c r="X135" s="871">
        <v>17.2</v>
      </c>
      <c r="Y135" s="871">
        <v>0</v>
      </c>
      <c r="Z135" s="871">
        <v>31.2</v>
      </c>
      <c r="AA135" s="871">
        <v>0</v>
      </c>
      <c r="AB135" s="871">
        <v>43.7</v>
      </c>
      <c r="AC135" s="871">
        <v>0</v>
      </c>
      <c r="AD135" s="871">
        <v>75.7</v>
      </c>
      <c r="AE135" s="871">
        <v>0</v>
      </c>
      <c r="AF135" s="871">
        <v>34.299999999999997</v>
      </c>
      <c r="AG135" s="871">
        <v>0</v>
      </c>
      <c r="AH135" s="871">
        <v>62.5</v>
      </c>
      <c r="AI135" s="871">
        <v>0</v>
      </c>
      <c r="AJ135" s="871"/>
      <c r="AK135" s="871"/>
      <c r="AL135" s="871"/>
      <c r="AM135" s="871"/>
      <c r="AN135" s="871"/>
      <c r="AO135" s="871"/>
      <c r="AP135" s="871">
        <v>8</v>
      </c>
    </row>
    <row r="136" spans="1:42" s="868" customFormat="1" ht="14">
      <c r="A136" s="866">
        <v>135</v>
      </c>
      <c r="B136" s="867" t="s">
        <v>2509</v>
      </c>
      <c r="C136" s="867" t="s">
        <v>40</v>
      </c>
      <c r="D136" s="867" t="s">
        <v>2377</v>
      </c>
      <c r="E136" s="867" t="s">
        <v>2501</v>
      </c>
      <c r="F136" s="867" t="s">
        <v>985</v>
      </c>
      <c r="G136" s="868">
        <v>1</v>
      </c>
      <c r="H136" s="869">
        <v>0.53</v>
      </c>
      <c r="I136" s="869">
        <v>10.050000000000001</v>
      </c>
      <c r="J136" s="869">
        <f t="shared" si="9"/>
        <v>5.3265000000000002</v>
      </c>
      <c r="K136" s="869">
        <f t="shared" ref="K136:K150" si="10">J136*130/1000</f>
        <v>0.69244500000000009</v>
      </c>
      <c r="L136" s="868">
        <v>53</v>
      </c>
      <c r="M136" s="867" t="s">
        <v>2380</v>
      </c>
      <c r="N136" s="866">
        <v>2019</v>
      </c>
      <c r="O136" s="867" t="s">
        <v>2383</v>
      </c>
      <c r="P136" s="870">
        <v>5415058025151</v>
      </c>
      <c r="Q136" s="867" t="s">
        <v>2385</v>
      </c>
      <c r="R136" s="871">
        <v>12.5</v>
      </c>
      <c r="S136" s="871">
        <v>0</v>
      </c>
      <c r="T136" s="871">
        <v>15.6</v>
      </c>
      <c r="U136" s="871">
        <v>0</v>
      </c>
      <c r="V136" s="871">
        <v>13.75</v>
      </c>
      <c r="W136" s="871">
        <v>0</v>
      </c>
      <c r="X136" s="871">
        <v>17.2</v>
      </c>
      <c r="Y136" s="871">
        <v>0</v>
      </c>
      <c r="Z136" s="871">
        <v>31.2</v>
      </c>
      <c r="AA136" s="871">
        <v>0</v>
      </c>
      <c r="AB136" s="871">
        <v>43.7</v>
      </c>
      <c r="AC136" s="871">
        <v>0</v>
      </c>
      <c r="AD136" s="871">
        <v>75.7</v>
      </c>
      <c r="AE136" s="871">
        <v>0</v>
      </c>
      <c r="AF136" s="871">
        <v>34.299999999999997</v>
      </c>
      <c r="AG136" s="871">
        <v>0</v>
      </c>
      <c r="AH136" s="871">
        <v>62.5</v>
      </c>
      <c r="AI136" s="871">
        <v>0</v>
      </c>
      <c r="AJ136" s="871"/>
      <c r="AK136" s="871"/>
      <c r="AL136" s="871"/>
      <c r="AM136" s="871"/>
      <c r="AN136" s="871"/>
      <c r="AO136" s="871"/>
      <c r="AP136" s="871">
        <v>8</v>
      </c>
    </row>
    <row r="137" spans="1:42" s="868" customFormat="1" ht="14">
      <c r="A137" s="866">
        <v>136</v>
      </c>
      <c r="B137" s="867" t="s">
        <v>2510</v>
      </c>
      <c r="C137" s="867" t="s">
        <v>40</v>
      </c>
      <c r="D137" s="867" t="s">
        <v>2377</v>
      </c>
      <c r="E137" s="867" t="s">
        <v>2501</v>
      </c>
      <c r="F137" s="867" t="s">
        <v>690</v>
      </c>
      <c r="G137" s="868">
        <v>1</v>
      </c>
      <c r="H137" s="869">
        <v>0.53</v>
      </c>
      <c r="I137" s="869">
        <v>10.050000000000001</v>
      </c>
      <c r="J137" s="869">
        <f t="shared" si="9"/>
        <v>5.3265000000000002</v>
      </c>
      <c r="K137" s="869">
        <f t="shared" si="10"/>
        <v>0.69244500000000009</v>
      </c>
      <c r="L137" s="868">
        <v>53</v>
      </c>
      <c r="M137" s="867" t="s">
        <v>2380</v>
      </c>
      <c r="N137" s="866">
        <v>2019</v>
      </c>
      <c r="O137" s="867" t="s">
        <v>2383</v>
      </c>
      <c r="P137" s="870">
        <v>5415058025168</v>
      </c>
      <c r="Q137" s="867" t="s">
        <v>2385</v>
      </c>
      <c r="R137" s="871">
        <v>12.5</v>
      </c>
      <c r="S137" s="871">
        <v>0</v>
      </c>
      <c r="T137" s="871">
        <v>15.6</v>
      </c>
      <c r="U137" s="871">
        <v>0</v>
      </c>
      <c r="V137" s="871">
        <v>13.75</v>
      </c>
      <c r="W137" s="871">
        <v>0</v>
      </c>
      <c r="X137" s="871">
        <v>17.2</v>
      </c>
      <c r="Y137" s="871">
        <v>0</v>
      </c>
      <c r="Z137" s="871">
        <v>31.2</v>
      </c>
      <c r="AA137" s="871">
        <v>0</v>
      </c>
      <c r="AB137" s="871">
        <v>43.7</v>
      </c>
      <c r="AC137" s="871">
        <v>0</v>
      </c>
      <c r="AD137" s="871">
        <v>75.7</v>
      </c>
      <c r="AE137" s="871">
        <v>0</v>
      </c>
      <c r="AF137" s="871">
        <v>34.299999999999997</v>
      </c>
      <c r="AG137" s="871">
        <v>0</v>
      </c>
      <c r="AH137" s="871">
        <v>62.5</v>
      </c>
      <c r="AI137" s="871">
        <v>0</v>
      </c>
      <c r="AJ137" s="871"/>
      <c r="AK137" s="871"/>
      <c r="AL137" s="871"/>
      <c r="AM137" s="871"/>
      <c r="AN137" s="871"/>
      <c r="AO137" s="871"/>
      <c r="AP137" s="871">
        <v>8</v>
      </c>
    </row>
    <row r="138" spans="1:42" s="868" customFormat="1" ht="14">
      <c r="A138" s="866">
        <v>137</v>
      </c>
      <c r="B138" s="867" t="s">
        <v>2511</v>
      </c>
      <c r="C138" s="867" t="s">
        <v>40</v>
      </c>
      <c r="D138" s="867" t="s">
        <v>2377</v>
      </c>
      <c r="E138" s="867" t="s">
        <v>2502</v>
      </c>
      <c r="F138" s="867" t="s">
        <v>813</v>
      </c>
      <c r="G138" s="868">
        <v>1</v>
      </c>
      <c r="H138" s="869">
        <v>0.53</v>
      </c>
      <c r="I138" s="869">
        <v>10.050000000000001</v>
      </c>
      <c r="J138" s="869">
        <f t="shared" si="9"/>
        <v>5.3265000000000002</v>
      </c>
      <c r="K138" s="869">
        <f t="shared" si="10"/>
        <v>0.69244500000000009</v>
      </c>
      <c r="L138" s="868">
        <v>53</v>
      </c>
      <c r="M138" s="867" t="s">
        <v>2380</v>
      </c>
      <c r="N138" s="866">
        <v>2019</v>
      </c>
      <c r="O138" s="867" t="s">
        <v>2383</v>
      </c>
      <c r="P138" s="870">
        <v>5415058025175</v>
      </c>
      <c r="Q138" s="867" t="s">
        <v>2385</v>
      </c>
      <c r="R138" s="871">
        <v>12.5</v>
      </c>
      <c r="S138" s="871">
        <v>0</v>
      </c>
      <c r="T138" s="871">
        <v>15.6</v>
      </c>
      <c r="U138" s="871">
        <v>0</v>
      </c>
      <c r="V138" s="871">
        <v>13.75</v>
      </c>
      <c r="W138" s="871">
        <v>0</v>
      </c>
      <c r="X138" s="871">
        <v>17.2</v>
      </c>
      <c r="Y138" s="871">
        <v>0</v>
      </c>
      <c r="Z138" s="871">
        <v>31.2</v>
      </c>
      <c r="AA138" s="871">
        <v>0</v>
      </c>
      <c r="AB138" s="871">
        <v>43.7</v>
      </c>
      <c r="AC138" s="871">
        <v>0</v>
      </c>
      <c r="AD138" s="871">
        <v>75.7</v>
      </c>
      <c r="AE138" s="871">
        <v>0</v>
      </c>
      <c r="AF138" s="871">
        <v>34.299999999999997</v>
      </c>
      <c r="AG138" s="871">
        <v>0</v>
      </c>
      <c r="AH138" s="871">
        <v>62.5</v>
      </c>
      <c r="AI138" s="871">
        <v>0</v>
      </c>
      <c r="AJ138" s="871"/>
      <c r="AK138" s="871"/>
      <c r="AL138" s="871"/>
      <c r="AM138" s="871"/>
      <c r="AN138" s="871"/>
      <c r="AO138" s="871"/>
      <c r="AP138" s="871">
        <v>8</v>
      </c>
    </row>
    <row r="139" spans="1:42" s="868" customFormat="1" ht="14">
      <c r="A139" s="866">
        <v>138</v>
      </c>
      <c r="B139" s="867" t="s">
        <v>2512</v>
      </c>
      <c r="C139" s="867" t="s">
        <v>40</v>
      </c>
      <c r="D139" s="867" t="s">
        <v>2377</v>
      </c>
      <c r="E139" s="867" t="s">
        <v>2502</v>
      </c>
      <c r="F139" s="867" t="s">
        <v>980</v>
      </c>
      <c r="G139" s="868">
        <v>1</v>
      </c>
      <c r="H139" s="869">
        <v>0.53</v>
      </c>
      <c r="I139" s="869">
        <v>10.050000000000001</v>
      </c>
      <c r="J139" s="869">
        <f t="shared" si="9"/>
        <v>5.3265000000000002</v>
      </c>
      <c r="K139" s="869">
        <f t="shared" si="10"/>
        <v>0.69244500000000009</v>
      </c>
      <c r="L139" s="868">
        <v>53</v>
      </c>
      <c r="M139" s="867" t="s">
        <v>2380</v>
      </c>
      <c r="N139" s="866">
        <v>2019</v>
      </c>
      <c r="O139" s="867" t="s">
        <v>2383</v>
      </c>
      <c r="P139" s="870">
        <v>5415058025182</v>
      </c>
      <c r="Q139" s="867" t="s">
        <v>2385</v>
      </c>
      <c r="R139" s="871">
        <v>12.5</v>
      </c>
      <c r="S139" s="871">
        <v>0</v>
      </c>
      <c r="T139" s="871">
        <v>15.6</v>
      </c>
      <c r="U139" s="871">
        <v>0</v>
      </c>
      <c r="V139" s="871">
        <v>13.75</v>
      </c>
      <c r="W139" s="871">
        <v>0</v>
      </c>
      <c r="X139" s="871">
        <v>17.2</v>
      </c>
      <c r="Y139" s="871">
        <v>0</v>
      </c>
      <c r="Z139" s="871">
        <v>31.2</v>
      </c>
      <c r="AA139" s="871">
        <v>0</v>
      </c>
      <c r="AB139" s="871">
        <v>43.7</v>
      </c>
      <c r="AC139" s="871">
        <v>0</v>
      </c>
      <c r="AD139" s="871">
        <v>75.7</v>
      </c>
      <c r="AE139" s="871">
        <v>0</v>
      </c>
      <c r="AF139" s="871">
        <v>34.299999999999997</v>
      </c>
      <c r="AG139" s="871">
        <v>0</v>
      </c>
      <c r="AH139" s="871">
        <v>62.5</v>
      </c>
      <c r="AI139" s="871">
        <v>0</v>
      </c>
      <c r="AJ139" s="871"/>
      <c r="AK139" s="871"/>
      <c r="AL139" s="871"/>
      <c r="AM139" s="871"/>
      <c r="AN139" s="871"/>
      <c r="AO139" s="871"/>
      <c r="AP139" s="871">
        <v>8</v>
      </c>
    </row>
    <row r="140" spans="1:42" s="868" customFormat="1" ht="14">
      <c r="A140" s="866">
        <v>139</v>
      </c>
      <c r="B140" s="867" t="s">
        <v>2513</v>
      </c>
      <c r="C140" s="867" t="s">
        <v>40</v>
      </c>
      <c r="D140" s="867" t="s">
        <v>2377</v>
      </c>
      <c r="E140" s="867" t="s">
        <v>2502</v>
      </c>
      <c r="F140" s="867" t="s">
        <v>863</v>
      </c>
      <c r="G140" s="868">
        <v>1</v>
      </c>
      <c r="H140" s="869">
        <v>0.53</v>
      </c>
      <c r="I140" s="869">
        <v>10.050000000000001</v>
      </c>
      <c r="J140" s="869">
        <f t="shared" si="9"/>
        <v>5.3265000000000002</v>
      </c>
      <c r="K140" s="869">
        <f t="shared" si="10"/>
        <v>0.69244500000000009</v>
      </c>
      <c r="L140" s="868">
        <v>53</v>
      </c>
      <c r="M140" s="867" t="s">
        <v>2380</v>
      </c>
      <c r="N140" s="866">
        <v>2019</v>
      </c>
      <c r="O140" s="867" t="s">
        <v>2383</v>
      </c>
      <c r="P140" s="870">
        <v>5415058025199</v>
      </c>
      <c r="Q140" s="867" t="s">
        <v>2385</v>
      </c>
      <c r="R140" s="871">
        <v>12.5</v>
      </c>
      <c r="S140" s="871">
        <v>0</v>
      </c>
      <c r="T140" s="871">
        <v>15.6</v>
      </c>
      <c r="U140" s="871">
        <v>0</v>
      </c>
      <c r="V140" s="871">
        <v>13.75</v>
      </c>
      <c r="W140" s="871">
        <v>0</v>
      </c>
      <c r="X140" s="871">
        <v>17.2</v>
      </c>
      <c r="Y140" s="871">
        <v>0</v>
      </c>
      <c r="Z140" s="871">
        <v>31.2</v>
      </c>
      <c r="AA140" s="871">
        <v>0</v>
      </c>
      <c r="AB140" s="871">
        <v>43.7</v>
      </c>
      <c r="AC140" s="871">
        <v>0</v>
      </c>
      <c r="AD140" s="871">
        <v>75.7</v>
      </c>
      <c r="AE140" s="871">
        <v>0</v>
      </c>
      <c r="AF140" s="871">
        <v>34.299999999999997</v>
      </c>
      <c r="AG140" s="871">
        <v>0</v>
      </c>
      <c r="AH140" s="871">
        <v>62.5</v>
      </c>
      <c r="AI140" s="871">
        <v>0</v>
      </c>
      <c r="AJ140" s="871"/>
      <c r="AK140" s="871"/>
      <c r="AL140" s="871"/>
      <c r="AM140" s="871"/>
      <c r="AN140" s="871"/>
      <c r="AO140" s="871"/>
      <c r="AP140" s="871">
        <v>8</v>
      </c>
    </row>
    <row r="141" spans="1:42" s="868" customFormat="1" ht="14">
      <c r="A141" s="866">
        <v>140</v>
      </c>
      <c r="B141" s="867" t="s">
        <v>2514</v>
      </c>
      <c r="C141" s="867" t="s">
        <v>40</v>
      </c>
      <c r="D141" s="867" t="s">
        <v>2377</v>
      </c>
      <c r="E141" s="867" t="s">
        <v>2502</v>
      </c>
      <c r="F141" s="867" t="s">
        <v>515</v>
      </c>
      <c r="G141" s="868">
        <v>1</v>
      </c>
      <c r="H141" s="869">
        <v>0.53</v>
      </c>
      <c r="I141" s="869">
        <v>10.050000000000001</v>
      </c>
      <c r="J141" s="869">
        <f t="shared" si="9"/>
        <v>5.3265000000000002</v>
      </c>
      <c r="K141" s="869">
        <f t="shared" si="10"/>
        <v>0.69244500000000009</v>
      </c>
      <c r="L141" s="868">
        <v>53</v>
      </c>
      <c r="M141" s="867" t="s">
        <v>2380</v>
      </c>
      <c r="N141" s="866">
        <v>2019</v>
      </c>
      <c r="O141" s="867" t="s">
        <v>2383</v>
      </c>
      <c r="P141" s="870">
        <v>5415058025205</v>
      </c>
      <c r="Q141" s="867" t="s">
        <v>2385</v>
      </c>
      <c r="R141" s="871">
        <v>12.5</v>
      </c>
      <c r="S141" s="871">
        <v>0</v>
      </c>
      <c r="T141" s="871">
        <v>15.6</v>
      </c>
      <c r="U141" s="871">
        <v>0</v>
      </c>
      <c r="V141" s="871">
        <v>13.75</v>
      </c>
      <c r="W141" s="871">
        <v>0</v>
      </c>
      <c r="X141" s="871">
        <v>17.2</v>
      </c>
      <c r="Y141" s="871">
        <v>0</v>
      </c>
      <c r="Z141" s="871">
        <v>31.2</v>
      </c>
      <c r="AA141" s="871">
        <v>0</v>
      </c>
      <c r="AB141" s="871">
        <v>43.7</v>
      </c>
      <c r="AC141" s="871">
        <v>0</v>
      </c>
      <c r="AD141" s="871">
        <v>75.7</v>
      </c>
      <c r="AE141" s="871">
        <v>0</v>
      </c>
      <c r="AF141" s="871">
        <v>34.299999999999997</v>
      </c>
      <c r="AG141" s="871">
        <v>0</v>
      </c>
      <c r="AH141" s="871">
        <v>62.5</v>
      </c>
      <c r="AI141" s="871">
        <v>0</v>
      </c>
      <c r="AJ141" s="871"/>
      <c r="AK141" s="871"/>
      <c r="AL141" s="871"/>
      <c r="AM141" s="871"/>
      <c r="AN141" s="871"/>
      <c r="AO141" s="871"/>
      <c r="AP141" s="871">
        <v>8</v>
      </c>
    </row>
    <row r="142" spans="1:42" s="868" customFormat="1" ht="14">
      <c r="A142" s="866">
        <v>141</v>
      </c>
      <c r="B142" s="867" t="s">
        <v>2515</v>
      </c>
      <c r="C142" s="867" t="s">
        <v>40</v>
      </c>
      <c r="D142" s="867" t="s">
        <v>2377</v>
      </c>
      <c r="E142" s="867" t="s">
        <v>2502</v>
      </c>
      <c r="F142" s="867" t="s">
        <v>982</v>
      </c>
      <c r="G142" s="868">
        <v>1</v>
      </c>
      <c r="H142" s="869">
        <v>0.53</v>
      </c>
      <c r="I142" s="869">
        <v>10.050000000000001</v>
      </c>
      <c r="J142" s="869">
        <f t="shared" si="9"/>
        <v>5.3265000000000002</v>
      </c>
      <c r="K142" s="869">
        <f t="shared" si="10"/>
        <v>0.69244500000000009</v>
      </c>
      <c r="L142" s="868">
        <v>53</v>
      </c>
      <c r="M142" s="867" t="s">
        <v>2380</v>
      </c>
      <c r="N142" s="866">
        <v>2019</v>
      </c>
      <c r="O142" s="867" t="s">
        <v>2383</v>
      </c>
      <c r="P142" s="870">
        <v>5415058025212</v>
      </c>
      <c r="Q142" s="867" t="s">
        <v>2385</v>
      </c>
      <c r="R142" s="871">
        <v>12.5</v>
      </c>
      <c r="S142" s="871">
        <v>0</v>
      </c>
      <c r="T142" s="871">
        <v>15.6</v>
      </c>
      <c r="U142" s="871">
        <v>0</v>
      </c>
      <c r="V142" s="871">
        <v>13.75</v>
      </c>
      <c r="W142" s="871">
        <v>0</v>
      </c>
      <c r="X142" s="871">
        <v>17.2</v>
      </c>
      <c r="Y142" s="871">
        <v>0</v>
      </c>
      <c r="Z142" s="871">
        <v>31.2</v>
      </c>
      <c r="AA142" s="871">
        <v>0</v>
      </c>
      <c r="AB142" s="871">
        <v>43.7</v>
      </c>
      <c r="AC142" s="871">
        <v>0</v>
      </c>
      <c r="AD142" s="871">
        <v>75.7</v>
      </c>
      <c r="AE142" s="871">
        <v>0</v>
      </c>
      <c r="AF142" s="871">
        <v>34.299999999999997</v>
      </c>
      <c r="AG142" s="871">
        <v>0</v>
      </c>
      <c r="AH142" s="871">
        <v>62.5</v>
      </c>
      <c r="AI142" s="871">
        <v>0</v>
      </c>
      <c r="AJ142" s="871"/>
      <c r="AK142" s="871"/>
      <c r="AL142" s="871"/>
      <c r="AM142" s="871"/>
      <c r="AN142" s="871"/>
      <c r="AO142" s="871"/>
      <c r="AP142" s="871">
        <v>8</v>
      </c>
    </row>
    <row r="143" spans="1:42" s="868" customFormat="1" ht="14">
      <c r="A143" s="866">
        <v>142</v>
      </c>
      <c r="B143" s="867" t="s">
        <v>2516</v>
      </c>
      <c r="C143" s="867" t="s">
        <v>40</v>
      </c>
      <c r="D143" s="867" t="s">
        <v>2377</v>
      </c>
      <c r="E143" s="867" t="s">
        <v>2502</v>
      </c>
      <c r="F143" s="867" t="s">
        <v>993</v>
      </c>
      <c r="G143" s="868">
        <v>1</v>
      </c>
      <c r="H143" s="869">
        <v>0.53</v>
      </c>
      <c r="I143" s="869">
        <v>10.050000000000001</v>
      </c>
      <c r="J143" s="869">
        <f t="shared" si="9"/>
        <v>5.3265000000000002</v>
      </c>
      <c r="K143" s="869">
        <f t="shared" si="10"/>
        <v>0.69244500000000009</v>
      </c>
      <c r="L143" s="868">
        <v>53</v>
      </c>
      <c r="M143" s="867" t="s">
        <v>2380</v>
      </c>
      <c r="N143" s="866">
        <v>2019</v>
      </c>
      <c r="O143" s="867" t="s">
        <v>2383</v>
      </c>
      <c r="P143" s="870">
        <v>5415058025229</v>
      </c>
      <c r="Q143" s="867" t="s">
        <v>2385</v>
      </c>
      <c r="R143" s="871">
        <v>12.5</v>
      </c>
      <c r="S143" s="871">
        <v>0</v>
      </c>
      <c r="T143" s="871">
        <v>15.6</v>
      </c>
      <c r="U143" s="871">
        <v>0</v>
      </c>
      <c r="V143" s="871">
        <v>13.75</v>
      </c>
      <c r="W143" s="871">
        <v>0</v>
      </c>
      <c r="X143" s="871">
        <v>17.2</v>
      </c>
      <c r="Y143" s="871">
        <v>0</v>
      </c>
      <c r="Z143" s="871">
        <v>31.2</v>
      </c>
      <c r="AA143" s="871">
        <v>0</v>
      </c>
      <c r="AB143" s="871">
        <v>43.7</v>
      </c>
      <c r="AC143" s="871">
        <v>0</v>
      </c>
      <c r="AD143" s="871">
        <v>75.7</v>
      </c>
      <c r="AE143" s="871">
        <v>0</v>
      </c>
      <c r="AF143" s="871">
        <v>34.299999999999997</v>
      </c>
      <c r="AG143" s="871">
        <v>0</v>
      </c>
      <c r="AH143" s="871">
        <v>62.5</v>
      </c>
      <c r="AI143" s="871">
        <v>0</v>
      </c>
      <c r="AJ143" s="871"/>
      <c r="AK143" s="871"/>
      <c r="AL143" s="871"/>
      <c r="AM143" s="871"/>
      <c r="AN143" s="871"/>
      <c r="AO143" s="871"/>
      <c r="AP143" s="871">
        <v>8</v>
      </c>
    </row>
    <row r="144" spans="1:42" s="868" customFormat="1" ht="14">
      <c r="A144" s="866">
        <v>143</v>
      </c>
      <c r="B144" s="867" t="s">
        <v>2517</v>
      </c>
      <c r="C144" s="867" t="s">
        <v>40</v>
      </c>
      <c r="D144" s="867" t="s">
        <v>2377</v>
      </c>
      <c r="E144" s="867" t="s">
        <v>2502</v>
      </c>
      <c r="F144" s="867" t="s">
        <v>522</v>
      </c>
      <c r="G144" s="868">
        <v>1</v>
      </c>
      <c r="H144" s="869">
        <v>0.53</v>
      </c>
      <c r="I144" s="869">
        <v>10.050000000000001</v>
      </c>
      <c r="J144" s="869">
        <f t="shared" si="9"/>
        <v>5.3265000000000002</v>
      </c>
      <c r="K144" s="869">
        <f t="shared" si="10"/>
        <v>0.69244500000000009</v>
      </c>
      <c r="L144" s="868">
        <v>53</v>
      </c>
      <c r="M144" s="867" t="s">
        <v>2380</v>
      </c>
      <c r="N144" s="866">
        <v>2019</v>
      </c>
      <c r="O144" s="867" t="s">
        <v>2383</v>
      </c>
      <c r="P144" s="870">
        <v>5415058025236</v>
      </c>
      <c r="Q144" s="867" t="s">
        <v>2385</v>
      </c>
      <c r="R144" s="871">
        <v>12.5</v>
      </c>
      <c r="S144" s="871">
        <v>0</v>
      </c>
      <c r="T144" s="871">
        <v>15.6</v>
      </c>
      <c r="U144" s="871">
        <v>0</v>
      </c>
      <c r="V144" s="871">
        <v>13.75</v>
      </c>
      <c r="W144" s="871">
        <v>0</v>
      </c>
      <c r="X144" s="871">
        <v>17.2</v>
      </c>
      <c r="Y144" s="871">
        <v>0</v>
      </c>
      <c r="Z144" s="871">
        <v>31.2</v>
      </c>
      <c r="AA144" s="871">
        <v>0</v>
      </c>
      <c r="AB144" s="871">
        <v>43.7</v>
      </c>
      <c r="AC144" s="871">
        <v>0</v>
      </c>
      <c r="AD144" s="871">
        <v>75.7</v>
      </c>
      <c r="AE144" s="871">
        <v>0</v>
      </c>
      <c r="AF144" s="871">
        <v>34.299999999999997</v>
      </c>
      <c r="AG144" s="871">
        <v>0</v>
      </c>
      <c r="AH144" s="871">
        <v>62.5</v>
      </c>
      <c r="AI144" s="871">
        <v>0</v>
      </c>
      <c r="AJ144" s="871"/>
      <c r="AK144" s="871"/>
      <c r="AL144" s="871"/>
      <c r="AM144" s="871"/>
      <c r="AN144" s="871"/>
      <c r="AO144" s="871"/>
      <c r="AP144" s="871">
        <v>8</v>
      </c>
    </row>
    <row r="145" spans="1:42" s="868" customFormat="1" ht="14">
      <c r="A145" s="866">
        <v>144</v>
      </c>
      <c r="B145" s="867" t="s">
        <v>2518</v>
      </c>
      <c r="C145" s="867" t="s">
        <v>40</v>
      </c>
      <c r="D145" s="867" t="s">
        <v>2377</v>
      </c>
      <c r="E145" s="867" t="s">
        <v>2503</v>
      </c>
      <c r="F145" s="867" t="s">
        <v>882</v>
      </c>
      <c r="G145" s="868">
        <v>1</v>
      </c>
      <c r="H145" s="869">
        <v>0.53</v>
      </c>
      <c r="I145" s="869">
        <v>10.050000000000001</v>
      </c>
      <c r="J145" s="869">
        <f t="shared" si="9"/>
        <v>5.3265000000000002</v>
      </c>
      <c r="K145" s="869">
        <f t="shared" si="10"/>
        <v>0.69244500000000009</v>
      </c>
      <c r="L145" s="868">
        <v>0</v>
      </c>
      <c r="M145" s="867" t="s">
        <v>47</v>
      </c>
      <c r="N145" s="866">
        <v>2019</v>
      </c>
      <c r="O145" s="867" t="s">
        <v>2383</v>
      </c>
      <c r="P145" s="870">
        <v>5415058025250</v>
      </c>
      <c r="Q145" s="867" t="s">
        <v>2385</v>
      </c>
      <c r="R145" s="871">
        <v>12.5</v>
      </c>
      <c r="S145" s="871">
        <v>0</v>
      </c>
      <c r="T145" s="871">
        <v>15.6</v>
      </c>
      <c r="U145" s="871">
        <v>0</v>
      </c>
      <c r="V145" s="871">
        <v>13.75</v>
      </c>
      <c r="W145" s="871">
        <v>0</v>
      </c>
      <c r="X145" s="871">
        <v>17.2</v>
      </c>
      <c r="Y145" s="871">
        <v>0</v>
      </c>
      <c r="Z145" s="871">
        <v>31.2</v>
      </c>
      <c r="AA145" s="871">
        <v>0</v>
      </c>
      <c r="AB145" s="871">
        <v>43.7</v>
      </c>
      <c r="AC145" s="871">
        <v>0</v>
      </c>
      <c r="AD145" s="871">
        <v>75.7</v>
      </c>
      <c r="AE145" s="871">
        <v>0</v>
      </c>
      <c r="AF145" s="871">
        <v>34.299999999999997</v>
      </c>
      <c r="AG145" s="871">
        <v>0</v>
      </c>
      <c r="AH145" s="871">
        <v>62.5</v>
      </c>
      <c r="AI145" s="871">
        <v>0</v>
      </c>
      <c r="AJ145" s="871"/>
      <c r="AK145" s="871"/>
      <c r="AL145" s="871"/>
      <c r="AM145" s="871"/>
      <c r="AN145" s="871"/>
      <c r="AO145" s="871"/>
      <c r="AP145" s="871">
        <v>8</v>
      </c>
    </row>
    <row r="146" spans="1:42" s="868" customFormat="1" ht="14">
      <c r="A146" s="866">
        <v>145</v>
      </c>
      <c r="B146" s="867" t="s">
        <v>2519</v>
      </c>
      <c r="C146" s="867" t="s">
        <v>40</v>
      </c>
      <c r="D146" s="867" t="s">
        <v>2377</v>
      </c>
      <c r="E146" s="867" t="s">
        <v>2503</v>
      </c>
      <c r="F146" s="867" t="s">
        <v>905</v>
      </c>
      <c r="G146" s="868">
        <v>1</v>
      </c>
      <c r="H146" s="869">
        <v>0.53</v>
      </c>
      <c r="I146" s="869">
        <v>10.050000000000001</v>
      </c>
      <c r="J146" s="869">
        <f t="shared" si="9"/>
        <v>5.3265000000000002</v>
      </c>
      <c r="K146" s="869">
        <f t="shared" si="10"/>
        <v>0.69244500000000009</v>
      </c>
      <c r="L146" s="868">
        <v>0</v>
      </c>
      <c r="M146" s="867" t="s">
        <v>47</v>
      </c>
      <c r="N146" s="866">
        <v>2019</v>
      </c>
      <c r="O146" s="867" t="s">
        <v>2383</v>
      </c>
      <c r="P146" s="870">
        <v>5415058025267</v>
      </c>
      <c r="Q146" s="867" t="s">
        <v>2385</v>
      </c>
      <c r="R146" s="871">
        <v>12.5</v>
      </c>
      <c r="S146" s="871">
        <v>0</v>
      </c>
      <c r="T146" s="871">
        <v>15.6</v>
      </c>
      <c r="U146" s="871">
        <v>0</v>
      </c>
      <c r="V146" s="871">
        <v>13.75</v>
      </c>
      <c r="W146" s="871">
        <v>0</v>
      </c>
      <c r="X146" s="871">
        <v>17.2</v>
      </c>
      <c r="Y146" s="871">
        <v>0</v>
      </c>
      <c r="Z146" s="871">
        <v>31.2</v>
      </c>
      <c r="AA146" s="871">
        <v>0</v>
      </c>
      <c r="AB146" s="871">
        <v>43.7</v>
      </c>
      <c r="AC146" s="871">
        <v>0</v>
      </c>
      <c r="AD146" s="871">
        <v>75.7</v>
      </c>
      <c r="AE146" s="871">
        <v>0</v>
      </c>
      <c r="AF146" s="871">
        <v>34.299999999999997</v>
      </c>
      <c r="AG146" s="871">
        <v>0</v>
      </c>
      <c r="AH146" s="871">
        <v>62.5</v>
      </c>
      <c r="AI146" s="871">
        <v>0</v>
      </c>
      <c r="AJ146" s="871"/>
      <c r="AK146" s="871"/>
      <c r="AL146" s="871"/>
      <c r="AM146" s="871"/>
      <c r="AN146" s="871"/>
      <c r="AO146" s="871"/>
      <c r="AP146" s="871">
        <v>8</v>
      </c>
    </row>
    <row r="147" spans="1:42" s="868" customFormat="1" ht="14">
      <c r="A147" s="866">
        <v>146</v>
      </c>
      <c r="B147" s="867" t="s">
        <v>2520</v>
      </c>
      <c r="C147" s="867" t="s">
        <v>40</v>
      </c>
      <c r="D147" s="867" t="s">
        <v>2377</v>
      </c>
      <c r="E147" s="867" t="s">
        <v>2503</v>
      </c>
      <c r="F147" s="867" t="s">
        <v>980</v>
      </c>
      <c r="G147" s="868">
        <v>1</v>
      </c>
      <c r="H147" s="869">
        <v>0.53</v>
      </c>
      <c r="I147" s="869">
        <v>10.050000000000001</v>
      </c>
      <c r="J147" s="869">
        <f t="shared" si="9"/>
        <v>5.3265000000000002</v>
      </c>
      <c r="K147" s="869">
        <f t="shared" si="10"/>
        <v>0.69244500000000009</v>
      </c>
      <c r="L147" s="868">
        <v>0</v>
      </c>
      <c r="M147" s="867" t="s">
        <v>47</v>
      </c>
      <c r="N147" s="866">
        <v>2019</v>
      </c>
      <c r="O147" s="867" t="s">
        <v>2383</v>
      </c>
      <c r="P147" s="870">
        <v>5415058025274</v>
      </c>
      <c r="Q147" s="867" t="s">
        <v>2385</v>
      </c>
      <c r="R147" s="871">
        <v>12.5</v>
      </c>
      <c r="S147" s="871">
        <v>0</v>
      </c>
      <c r="T147" s="871">
        <v>15.6</v>
      </c>
      <c r="U147" s="871">
        <v>0</v>
      </c>
      <c r="V147" s="871">
        <v>13.75</v>
      </c>
      <c r="W147" s="871">
        <v>0</v>
      </c>
      <c r="X147" s="871">
        <v>17.2</v>
      </c>
      <c r="Y147" s="871">
        <v>0</v>
      </c>
      <c r="Z147" s="871">
        <v>31.2</v>
      </c>
      <c r="AA147" s="871">
        <v>0</v>
      </c>
      <c r="AB147" s="871">
        <v>43.7</v>
      </c>
      <c r="AC147" s="871">
        <v>0</v>
      </c>
      <c r="AD147" s="871">
        <v>75.7</v>
      </c>
      <c r="AE147" s="871">
        <v>0</v>
      </c>
      <c r="AF147" s="871">
        <v>34.299999999999997</v>
      </c>
      <c r="AG147" s="871">
        <v>0</v>
      </c>
      <c r="AH147" s="871">
        <v>62.5</v>
      </c>
      <c r="AI147" s="871">
        <v>0</v>
      </c>
      <c r="AJ147" s="871"/>
      <c r="AK147" s="871"/>
      <c r="AL147" s="871"/>
      <c r="AM147" s="871"/>
      <c r="AN147" s="871"/>
      <c r="AO147" s="871"/>
      <c r="AP147" s="871">
        <v>8</v>
      </c>
    </row>
    <row r="148" spans="1:42" s="868" customFormat="1" ht="14">
      <c r="A148" s="866">
        <v>147</v>
      </c>
      <c r="B148" s="867" t="s">
        <v>2521</v>
      </c>
      <c r="C148" s="867" t="s">
        <v>40</v>
      </c>
      <c r="D148" s="867" t="s">
        <v>2377</v>
      </c>
      <c r="E148" s="867" t="s">
        <v>2503</v>
      </c>
      <c r="F148" s="867" t="s">
        <v>832</v>
      </c>
      <c r="G148" s="868">
        <v>1</v>
      </c>
      <c r="H148" s="869">
        <v>0.53</v>
      </c>
      <c r="I148" s="869">
        <v>10.050000000000001</v>
      </c>
      <c r="J148" s="869">
        <f t="shared" si="9"/>
        <v>5.3265000000000002</v>
      </c>
      <c r="K148" s="869">
        <f t="shared" si="10"/>
        <v>0.69244500000000009</v>
      </c>
      <c r="L148" s="868">
        <v>0</v>
      </c>
      <c r="M148" s="867" t="s">
        <v>47</v>
      </c>
      <c r="N148" s="866">
        <v>2019</v>
      </c>
      <c r="O148" s="867" t="s">
        <v>2383</v>
      </c>
      <c r="P148" s="870">
        <v>5415058025281</v>
      </c>
      <c r="Q148" s="867" t="s">
        <v>2385</v>
      </c>
      <c r="R148" s="871">
        <v>12.5</v>
      </c>
      <c r="S148" s="871">
        <v>0</v>
      </c>
      <c r="T148" s="871">
        <v>15.6</v>
      </c>
      <c r="U148" s="871">
        <v>0</v>
      </c>
      <c r="V148" s="871">
        <v>13.75</v>
      </c>
      <c r="W148" s="871">
        <v>0</v>
      </c>
      <c r="X148" s="871">
        <v>17.2</v>
      </c>
      <c r="Y148" s="871">
        <v>0</v>
      </c>
      <c r="Z148" s="871">
        <v>31.2</v>
      </c>
      <c r="AA148" s="871">
        <v>0</v>
      </c>
      <c r="AB148" s="871">
        <v>43.7</v>
      </c>
      <c r="AC148" s="871">
        <v>0</v>
      </c>
      <c r="AD148" s="871">
        <v>75.7</v>
      </c>
      <c r="AE148" s="871">
        <v>0</v>
      </c>
      <c r="AF148" s="871">
        <v>34.299999999999997</v>
      </c>
      <c r="AG148" s="871">
        <v>0</v>
      </c>
      <c r="AH148" s="871">
        <v>62.5</v>
      </c>
      <c r="AI148" s="871">
        <v>0</v>
      </c>
      <c r="AJ148" s="871"/>
      <c r="AK148" s="871"/>
      <c r="AL148" s="871"/>
      <c r="AM148" s="871"/>
      <c r="AN148" s="871"/>
      <c r="AO148" s="871"/>
      <c r="AP148" s="871">
        <v>8</v>
      </c>
    </row>
    <row r="149" spans="1:42" s="868" customFormat="1" ht="14">
      <c r="A149" s="866">
        <v>148</v>
      </c>
      <c r="B149" s="867" t="s">
        <v>2522</v>
      </c>
      <c r="C149" s="867" t="s">
        <v>40</v>
      </c>
      <c r="D149" s="867" t="s">
        <v>2377</v>
      </c>
      <c r="E149" s="867" t="s">
        <v>2503</v>
      </c>
      <c r="F149" s="867" t="s">
        <v>923</v>
      </c>
      <c r="G149" s="868">
        <v>1</v>
      </c>
      <c r="H149" s="869">
        <v>0.53</v>
      </c>
      <c r="I149" s="869">
        <v>10.050000000000001</v>
      </c>
      <c r="J149" s="869">
        <f t="shared" si="9"/>
        <v>5.3265000000000002</v>
      </c>
      <c r="K149" s="869">
        <f t="shared" si="10"/>
        <v>0.69244500000000009</v>
      </c>
      <c r="L149" s="868">
        <v>0</v>
      </c>
      <c r="M149" s="867" t="s">
        <v>47</v>
      </c>
      <c r="N149" s="866">
        <v>2019</v>
      </c>
      <c r="O149" s="867" t="s">
        <v>2383</v>
      </c>
      <c r="P149" s="870">
        <v>5415058025298</v>
      </c>
      <c r="Q149" s="867" t="s">
        <v>2385</v>
      </c>
      <c r="R149" s="871">
        <v>12.5</v>
      </c>
      <c r="S149" s="871">
        <v>0</v>
      </c>
      <c r="T149" s="871">
        <v>15.6</v>
      </c>
      <c r="U149" s="871">
        <v>0</v>
      </c>
      <c r="V149" s="871">
        <v>13.75</v>
      </c>
      <c r="W149" s="871">
        <v>0</v>
      </c>
      <c r="X149" s="871">
        <v>17.2</v>
      </c>
      <c r="Y149" s="871">
        <v>0</v>
      </c>
      <c r="Z149" s="871">
        <v>31.2</v>
      </c>
      <c r="AA149" s="871">
        <v>0</v>
      </c>
      <c r="AB149" s="871">
        <v>43.7</v>
      </c>
      <c r="AC149" s="871">
        <v>0</v>
      </c>
      <c r="AD149" s="871">
        <v>75.7</v>
      </c>
      <c r="AE149" s="871">
        <v>0</v>
      </c>
      <c r="AF149" s="871">
        <v>34.299999999999997</v>
      </c>
      <c r="AG149" s="871">
        <v>0</v>
      </c>
      <c r="AH149" s="871">
        <v>62.5</v>
      </c>
      <c r="AI149" s="871">
        <v>0</v>
      </c>
      <c r="AJ149" s="871"/>
      <c r="AK149" s="871"/>
      <c r="AL149" s="871"/>
      <c r="AM149" s="871"/>
      <c r="AN149" s="871"/>
      <c r="AO149" s="871"/>
      <c r="AP149" s="871">
        <v>8</v>
      </c>
    </row>
    <row r="150" spans="1:42" s="868" customFormat="1" ht="14" customHeight="1">
      <c r="A150" s="866">
        <v>149</v>
      </c>
      <c r="B150" s="867" t="s">
        <v>2523</v>
      </c>
      <c r="C150" s="867" t="s">
        <v>40</v>
      </c>
      <c r="D150" s="867" t="s">
        <v>2450</v>
      </c>
      <c r="E150" s="867" t="s">
        <v>888</v>
      </c>
      <c r="F150" s="867" t="s">
        <v>813</v>
      </c>
      <c r="G150" s="867">
        <v>6</v>
      </c>
      <c r="H150" s="869">
        <v>0.53</v>
      </c>
      <c r="I150" s="869">
        <v>3</v>
      </c>
      <c r="J150" s="869">
        <f t="shared" si="9"/>
        <v>9.5400000000000009</v>
      </c>
      <c r="K150" s="869">
        <f t="shared" si="10"/>
        <v>1.2402</v>
      </c>
      <c r="L150" s="868">
        <v>0</v>
      </c>
      <c r="M150" s="867" t="s">
        <v>47</v>
      </c>
      <c r="N150" s="866">
        <v>2050</v>
      </c>
      <c r="O150" s="867" t="s">
        <v>2587</v>
      </c>
      <c r="P150" s="870">
        <v>5415058025809</v>
      </c>
      <c r="Q150" s="867" t="s">
        <v>2474</v>
      </c>
      <c r="R150" s="871">
        <v>13</v>
      </c>
      <c r="S150" s="871">
        <v>14.95</v>
      </c>
      <c r="T150" s="871">
        <v>13</v>
      </c>
      <c r="U150" s="871">
        <v>14.95</v>
      </c>
      <c r="V150" s="871">
        <v>14.3</v>
      </c>
      <c r="W150" s="871">
        <v>16.45</v>
      </c>
      <c r="X150" s="871">
        <v>14.3</v>
      </c>
      <c r="Y150" s="871">
        <v>16.45</v>
      </c>
      <c r="Z150" s="871">
        <v>26</v>
      </c>
      <c r="AA150" s="871">
        <v>30</v>
      </c>
      <c r="AB150" s="871">
        <v>35</v>
      </c>
      <c r="AC150" s="871">
        <v>40.25</v>
      </c>
      <c r="AD150" s="871">
        <v>55</v>
      </c>
      <c r="AE150" s="871">
        <v>60.5</v>
      </c>
      <c r="AF150" s="871">
        <v>25</v>
      </c>
      <c r="AG150" s="871">
        <v>28.75</v>
      </c>
      <c r="AH150" s="871">
        <v>45.45</v>
      </c>
      <c r="AI150" s="871">
        <v>50</v>
      </c>
      <c r="AJ150" s="871"/>
      <c r="AK150" s="871"/>
      <c r="AL150" s="871"/>
      <c r="AM150" s="871"/>
      <c r="AN150" s="871"/>
      <c r="AO150" s="871"/>
      <c r="AP150" s="871"/>
    </row>
    <row r="151" spans="1:42" s="868" customFormat="1" ht="14" customHeight="1">
      <c r="A151" s="866">
        <v>150</v>
      </c>
      <c r="B151" s="867" t="s">
        <v>2524</v>
      </c>
      <c r="C151" s="867" t="s">
        <v>40</v>
      </c>
      <c r="D151" s="867" t="s">
        <v>2450</v>
      </c>
      <c r="E151" s="867" t="s">
        <v>888</v>
      </c>
      <c r="F151" s="867" t="s">
        <v>835</v>
      </c>
      <c r="G151" s="867">
        <v>6</v>
      </c>
      <c r="H151" s="869">
        <v>0.53</v>
      </c>
      <c r="I151" s="869">
        <v>3</v>
      </c>
      <c r="J151" s="869">
        <f t="shared" ref="J151:J214" si="11">H151*I151*G151</f>
        <v>9.5400000000000009</v>
      </c>
      <c r="K151" s="869">
        <f t="shared" ref="K151:K214" si="12">J151*130/1000</f>
        <v>1.2402</v>
      </c>
      <c r="L151" s="868">
        <v>0</v>
      </c>
      <c r="M151" s="867" t="s">
        <v>47</v>
      </c>
      <c r="N151" s="866">
        <v>2050</v>
      </c>
      <c r="O151" s="867" t="s">
        <v>2587</v>
      </c>
      <c r="P151" s="870">
        <v>5415058025816</v>
      </c>
      <c r="Q151" s="867" t="s">
        <v>2474</v>
      </c>
      <c r="R151" s="871">
        <v>13</v>
      </c>
      <c r="S151" s="871">
        <v>14.95</v>
      </c>
      <c r="T151" s="871">
        <v>13</v>
      </c>
      <c r="U151" s="871">
        <v>14.95</v>
      </c>
      <c r="V151" s="871">
        <v>14.3</v>
      </c>
      <c r="W151" s="871">
        <v>16.45</v>
      </c>
      <c r="X151" s="871">
        <v>14.3</v>
      </c>
      <c r="Y151" s="871">
        <v>16.45</v>
      </c>
      <c r="Z151" s="871">
        <v>26</v>
      </c>
      <c r="AA151" s="871">
        <v>30</v>
      </c>
      <c r="AB151" s="871">
        <v>35</v>
      </c>
      <c r="AC151" s="871">
        <v>40.25</v>
      </c>
      <c r="AD151" s="871">
        <v>55</v>
      </c>
      <c r="AE151" s="871">
        <v>60.5</v>
      </c>
      <c r="AF151" s="871">
        <v>25</v>
      </c>
      <c r="AG151" s="871">
        <v>28.75</v>
      </c>
      <c r="AH151" s="871">
        <v>45.45</v>
      </c>
      <c r="AI151" s="871">
        <v>50</v>
      </c>
      <c r="AJ151" s="871"/>
      <c r="AK151" s="871"/>
      <c r="AL151" s="871"/>
      <c r="AM151" s="871"/>
      <c r="AN151" s="871"/>
      <c r="AO151" s="871"/>
      <c r="AP151" s="871"/>
    </row>
    <row r="152" spans="1:42" s="868" customFormat="1" ht="14" customHeight="1">
      <c r="A152" s="866">
        <v>151</v>
      </c>
      <c r="B152" s="867" t="s">
        <v>2525</v>
      </c>
      <c r="C152" s="867" t="s">
        <v>40</v>
      </c>
      <c r="D152" s="867" t="s">
        <v>2450</v>
      </c>
      <c r="E152" s="867" t="s">
        <v>888</v>
      </c>
      <c r="F152" s="867" t="s">
        <v>515</v>
      </c>
      <c r="G152" s="867">
        <v>6</v>
      </c>
      <c r="H152" s="869">
        <v>0.53</v>
      </c>
      <c r="I152" s="869">
        <v>3</v>
      </c>
      <c r="J152" s="869">
        <f t="shared" si="11"/>
        <v>9.5400000000000009</v>
      </c>
      <c r="K152" s="869">
        <f t="shared" si="12"/>
        <v>1.2402</v>
      </c>
      <c r="L152" s="868">
        <v>0</v>
      </c>
      <c r="M152" s="867" t="s">
        <v>47</v>
      </c>
      <c r="N152" s="866">
        <v>2050</v>
      </c>
      <c r="O152" s="867" t="s">
        <v>2587</v>
      </c>
      <c r="P152" s="870">
        <v>5415058025823</v>
      </c>
      <c r="Q152" s="867" t="s">
        <v>2474</v>
      </c>
      <c r="R152" s="871">
        <v>13</v>
      </c>
      <c r="S152" s="871">
        <v>14.95</v>
      </c>
      <c r="T152" s="871">
        <v>13</v>
      </c>
      <c r="U152" s="871">
        <v>14.95</v>
      </c>
      <c r="V152" s="871">
        <v>14.3</v>
      </c>
      <c r="W152" s="871">
        <v>16.45</v>
      </c>
      <c r="X152" s="871">
        <v>14.3</v>
      </c>
      <c r="Y152" s="871">
        <v>16.45</v>
      </c>
      <c r="Z152" s="871">
        <v>26</v>
      </c>
      <c r="AA152" s="871">
        <v>30</v>
      </c>
      <c r="AB152" s="871">
        <v>35</v>
      </c>
      <c r="AC152" s="871">
        <v>40.25</v>
      </c>
      <c r="AD152" s="871">
        <v>55</v>
      </c>
      <c r="AE152" s="871">
        <v>60.5</v>
      </c>
      <c r="AF152" s="871">
        <v>25</v>
      </c>
      <c r="AG152" s="871">
        <v>28.75</v>
      </c>
      <c r="AH152" s="871">
        <v>45.45</v>
      </c>
      <c r="AI152" s="871">
        <v>50</v>
      </c>
      <c r="AJ152" s="871"/>
      <c r="AK152" s="871"/>
      <c r="AL152" s="871"/>
      <c r="AM152" s="871"/>
      <c r="AN152" s="871"/>
      <c r="AO152" s="871"/>
      <c r="AP152" s="871"/>
    </row>
    <row r="153" spans="1:42" s="868" customFormat="1" ht="14" customHeight="1">
      <c r="A153" s="866">
        <v>152</v>
      </c>
      <c r="B153" s="867" t="s">
        <v>2526</v>
      </c>
      <c r="C153" s="867" t="s">
        <v>40</v>
      </c>
      <c r="D153" s="867" t="s">
        <v>2450</v>
      </c>
      <c r="E153" s="867" t="s">
        <v>888</v>
      </c>
      <c r="F153" s="867" t="s">
        <v>892</v>
      </c>
      <c r="G153" s="867">
        <v>6</v>
      </c>
      <c r="H153" s="869">
        <v>0.53</v>
      </c>
      <c r="I153" s="869">
        <v>3</v>
      </c>
      <c r="J153" s="869">
        <f t="shared" si="11"/>
        <v>9.5400000000000009</v>
      </c>
      <c r="K153" s="869">
        <f t="shared" si="12"/>
        <v>1.2402</v>
      </c>
      <c r="L153" s="868">
        <v>0</v>
      </c>
      <c r="M153" s="867" t="s">
        <v>47</v>
      </c>
      <c r="N153" s="866">
        <v>2050</v>
      </c>
      <c r="O153" s="867" t="s">
        <v>2587</v>
      </c>
      <c r="P153" s="870">
        <v>5415058025830</v>
      </c>
      <c r="Q153" s="867" t="s">
        <v>2474</v>
      </c>
      <c r="R153" s="871">
        <v>13</v>
      </c>
      <c r="S153" s="871">
        <v>14.95</v>
      </c>
      <c r="T153" s="871">
        <v>13</v>
      </c>
      <c r="U153" s="871">
        <v>14.95</v>
      </c>
      <c r="V153" s="871">
        <v>14.3</v>
      </c>
      <c r="W153" s="871">
        <v>16.45</v>
      </c>
      <c r="X153" s="871">
        <v>14.3</v>
      </c>
      <c r="Y153" s="871">
        <v>16.45</v>
      </c>
      <c r="Z153" s="871">
        <v>26</v>
      </c>
      <c r="AA153" s="871">
        <v>30</v>
      </c>
      <c r="AB153" s="871">
        <v>35</v>
      </c>
      <c r="AC153" s="871">
        <v>40.25</v>
      </c>
      <c r="AD153" s="871">
        <v>55</v>
      </c>
      <c r="AE153" s="871">
        <v>60.5</v>
      </c>
      <c r="AF153" s="871">
        <v>25</v>
      </c>
      <c r="AG153" s="871">
        <v>28.75</v>
      </c>
      <c r="AH153" s="871">
        <v>45.45</v>
      </c>
      <c r="AI153" s="871">
        <v>50</v>
      </c>
      <c r="AJ153" s="871"/>
      <c r="AK153" s="871"/>
      <c r="AL153" s="871"/>
      <c r="AM153" s="871"/>
      <c r="AN153" s="871"/>
      <c r="AO153" s="871"/>
      <c r="AP153" s="871"/>
    </row>
    <row r="154" spans="1:42" s="868" customFormat="1" ht="14" customHeight="1">
      <c r="A154" s="866">
        <v>153</v>
      </c>
      <c r="B154" s="867" t="s">
        <v>2527</v>
      </c>
      <c r="C154" s="867" t="s">
        <v>40</v>
      </c>
      <c r="D154" s="867" t="s">
        <v>2450</v>
      </c>
      <c r="E154" s="867" t="s">
        <v>195</v>
      </c>
      <c r="F154" s="867" t="s">
        <v>894</v>
      </c>
      <c r="G154" s="867">
        <v>1</v>
      </c>
      <c r="H154" s="869">
        <v>0.53</v>
      </c>
      <c r="I154" s="869">
        <v>10.050000000000001</v>
      </c>
      <c r="J154" s="869">
        <f t="shared" si="11"/>
        <v>5.3265000000000002</v>
      </c>
      <c r="K154" s="869">
        <f t="shared" si="12"/>
        <v>0.69244500000000009</v>
      </c>
      <c r="L154" s="868">
        <v>0</v>
      </c>
      <c r="M154" s="867" t="s">
        <v>47</v>
      </c>
      <c r="N154" s="866">
        <v>2050</v>
      </c>
      <c r="O154" s="867" t="s">
        <v>2587</v>
      </c>
      <c r="P154" s="870">
        <v>5415058025342</v>
      </c>
      <c r="Q154" s="867" t="s">
        <v>2474</v>
      </c>
      <c r="R154" s="871">
        <v>13</v>
      </c>
      <c r="S154" s="871">
        <v>14.95</v>
      </c>
      <c r="T154" s="871">
        <v>13</v>
      </c>
      <c r="U154" s="871">
        <v>14.95</v>
      </c>
      <c r="V154" s="871">
        <v>14.3</v>
      </c>
      <c r="W154" s="871">
        <v>16.45</v>
      </c>
      <c r="X154" s="871">
        <v>14.3</v>
      </c>
      <c r="Y154" s="871">
        <v>16.45</v>
      </c>
      <c r="Z154" s="871">
        <v>26</v>
      </c>
      <c r="AA154" s="871">
        <v>30</v>
      </c>
      <c r="AB154" s="871">
        <v>35</v>
      </c>
      <c r="AC154" s="871">
        <v>40.25</v>
      </c>
      <c r="AD154" s="871">
        <v>55</v>
      </c>
      <c r="AE154" s="871">
        <v>60.5</v>
      </c>
      <c r="AF154" s="871">
        <v>25</v>
      </c>
      <c r="AG154" s="871">
        <v>28.75</v>
      </c>
      <c r="AH154" s="871">
        <v>45.45</v>
      </c>
      <c r="AI154" s="871">
        <v>50</v>
      </c>
      <c r="AJ154" s="871"/>
      <c r="AK154" s="871"/>
      <c r="AL154" s="871"/>
      <c r="AM154" s="871"/>
      <c r="AN154" s="871"/>
      <c r="AO154" s="871"/>
      <c r="AP154" s="871"/>
    </row>
    <row r="155" spans="1:42" s="868" customFormat="1" ht="14" customHeight="1">
      <c r="A155" s="866">
        <v>154</v>
      </c>
      <c r="B155" s="867" t="s">
        <v>2528</v>
      </c>
      <c r="C155" s="867" t="s">
        <v>40</v>
      </c>
      <c r="D155" s="867" t="s">
        <v>2450</v>
      </c>
      <c r="E155" s="867" t="s">
        <v>195</v>
      </c>
      <c r="F155" s="867" t="s">
        <v>835</v>
      </c>
      <c r="G155" s="867">
        <v>1</v>
      </c>
      <c r="H155" s="869">
        <v>0.53</v>
      </c>
      <c r="I155" s="869">
        <v>10.050000000000001</v>
      </c>
      <c r="J155" s="869">
        <f t="shared" si="11"/>
        <v>5.3265000000000002</v>
      </c>
      <c r="K155" s="869">
        <f t="shared" si="12"/>
        <v>0.69244500000000009</v>
      </c>
      <c r="L155" s="868">
        <v>0</v>
      </c>
      <c r="M155" s="867" t="s">
        <v>47</v>
      </c>
      <c r="N155" s="866">
        <v>2050</v>
      </c>
      <c r="O155" s="867" t="s">
        <v>2587</v>
      </c>
      <c r="P155" s="870">
        <v>5415058025359</v>
      </c>
      <c r="Q155" s="867" t="s">
        <v>2474</v>
      </c>
      <c r="R155" s="871">
        <v>13</v>
      </c>
      <c r="S155" s="871">
        <v>14.95</v>
      </c>
      <c r="T155" s="871">
        <v>13</v>
      </c>
      <c r="U155" s="871">
        <v>14.95</v>
      </c>
      <c r="V155" s="871">
        <v>14.3</v>
      </c>
      <c r="W155" s="871">
        <v>16.45</v>
      </c>
      <c r="X155" s="871">
        <v>14.3</v>
      </c>
      <c r="Y155" s="871">
        <v>16.45</v>
      </c>
      <c r="Z155" s="871">
        <v>26</v>
      </c>
      <c r="AA155" s="871">
        <v>30</v>
      </c>
      <c r="AB155" s="871">
        <v>35</v>
      </c>
      <c r="AC155" s="871">
        <v>40.25</v>
      </c>
      <c r="AD155" s="871">
        <v>55</v>
      </c>
      <c r="AE155" s="871">
        <v>60.5</v>
      </c>
      <c r="AF155" s="871">
        <v>25</v>
      </c>
      <c r="AG155" s="871">
        <v>28.75</v>
      </c>
      <c r="AH155" s="871">
        <v>45.45</v>
      </c>
      <c r="AI155" s="871">
        <v>50</v>
      </c>
      <c r="AJ155" s="871"/>
      <c r="AK155" s="871"/>
      <c r="AL155" s="871"/>
      <c r="AM155" s="871"/>
      <c r="AN155" s="871"/>
      <c r="AO155" s="871"/>
      <c r="AP155" s="871"/>
    </row>
    <row r="156" spans="1:42" s="868" customFormat="1" ht="14" customHeight="1">
      <c r="A156" s="866">
        <v>155</v>
      </c>
      <c r="B156" s="867" t="s">
        <v>2529</v>
      </c>
      <c r="C156" s="867" t="s">
        <v>40</v>
      </c>
      <c r="D156" s="867" t="s">
        <v>2450</v>
      </c>
      <c r="E156" s="867" t="s">
        <v>195</v>
      </c>
      <c r="F156" s="867" t="s">
        <v>813</v>
      </c>
      <c r="G156" s="867">
        <v>1</v>
      </c>
      <c r="H156" s="869">
        <v>0.53</v>
      </c>
      <c r="I156" s="869">
        <v>10.050000000000001</v>
      </c>
      <c r="J156" s="869">
        <f t="shared" si="11"/>
        <v>5.3265000000000002</v>
      </c>
      <c r="K156" s="869">
        <f t="shared" si="12"/>
        <v>0.69244500000000009</v>
      </c>
      <c r="L156" s="868">
        <v>0</v>
      </c>
      <c r="M156" s="867" t="s">
        <v>47</v>
      </c>
      <c r="N156" s="866">
        <v>2050</v>
      </c>
      <c r="O156" s="867" t="s">
        <v>2587</v>
      </c>
      <c r="P156" s="870">
        <v>5415058025366</v>
      </c>
      <c r="Q156" s="867" t="s">
        <v>2474</v>
      </c>
      <c r="R156" s="871">
        <v>13</v>
      </c>
      <c r="S156" s="871">
        <v>14.95</v>
      </c>
      <c r="T156" s="871">
        <v>13</v>
      </c>
      <c r="U156" s="871">
        <v>14.95</v>
      </c>
      <c r="V156" s="871">
        <v>14.3</v>
      </c>
      <c r="W156" s="871">
        <v>16.45</v>
      </c>
      <c r="X156" s="871">
        <v>14.3</v>
      </c>
      <c r="Y156" s="871">
        <v>16.45</v>
      </c>
      <c r="Z156" s="871">
        <v>26</v>
      </c>
      <c r="AA156" s="871">
        <v>30</v>
      </c>
      <c r="AB156" s="871">
        <v>35</v>
      </c>
      <c r="AC156" s="871">
        <v>40.25</v>
      </c>
      <c r="AD156" s="871">
        <v>55</v>
      </c>
      <c r="AE156" s="871">
        <v>60.5</v>
      </c>
      <c r="AF156" s="871">
        <v>25</v>
      </c>
      <c r="AG156" s="871">
        <v>28.75</v>
      </c>
      <c r="AH156" s="871">
        <v>45.45</v>
      </c>
      <c r="AI156" s="871">
        <v>50</v>
      </c>
      <c r="AJ156" s="871"/>
      <c r="AK156" s="871"/>
      <c r="AL156" s="871"/>
      <c r="AM156" s="871"/>
      <c r="AN156" s="871"/>
      <c r="AO156" s="871"/>
      <c r="AP156" s="871"/>
    </row>
    <row r="157" spans="1:42" s="868" customFormat="1" ht="14" customHeight="1">
      <c r="A157" s="866">
        <v>156</v>
      </c>
      <c r="B157" s="867" t="s">
        <v>2530</v>
      </c>
      <c r="C157" s="867" t="s">
        <v>40</v>
      </c>
      <c r="D157" s="867" t="s">
        <v>2450</v>
      </c>
      <c r="E157" s="867" t="s">
        <v>195</v>
      </c>
      <c r="F157" s="867" t="s">
        <v>791</v>
      </c>
      <c r="G157" s="867">
        <v>1</v>
      </c>
      <c r="H157" s="869">
        <v>0.53</v>
      </c>
      <c r="I157" s="869">
        <v>10.050000000000001</v>
      </c>
      <c r="J157" s="869">
        <f t="shared" si="11"/>
        <v>5.3265000000000002</v>
      </c>
      <c r="K157" s="869">
        <f t="shared" si="12"/>
        <v>0.69244500000000009</v>
      </c>
      <c r="L157" s="868">
        <v>0</v>
      </c>
      <c r="M157" s="867" t="s">
        <v>47</v>
      </c>
      <c r="N157" s="866">
        <v>2050</v>
      </c>
      <c r="O157" s="867" t="s">
        <v>2587</v>
      </c>
      <c r="P157" s="870">
        <v>5415058025373</v>
      </c>
      <c r="Q157" s="867" t="s">
        <v>2474</v>
      </c>
      <c r="R157" s="871">
        <v>13</v>
      </c>
      <c r="S157" s="871">
        <v>14.95</v>
      </c>
      <c r="T157" s="871">
        <v>13</v>
      </c>
      <c r="U157" s="871">
        <v>14.95</v>
      </c>
      <c r="V157" s="871">
        <v>14.3</v>
      </c>
      <c r="W157" s="871">
        <v>16.45</v>
      </c>
      <c r="X157" s="871">
        <v>14.3</v>
      </c>
      <c r="Y157" s="871">
        <v>16.45</v>
      </c>
      <c r="Z157" s="871">
        <v>26</v>
      </c>
      <c r="AA157" s="871">
        <v>30</v>
      </c>
      <c r="AB157" s="871">
        <v>35</v>
      </c>
      <c r="AC157" s="871">
        <v>40.25</v>
      </c>
      <c r="AD157" s="871">
        <v>55</v>
      </c>
      <c r="AE157" s="871">
        <v>60.5</v>
      </c>
      <c r="AF157" s="871">
        <v>25</v>
      </c>
      <c r="AG157" s="871">
        <v>28.75</v>
      </c>
      <c r="AH157" s="871">
        <v>45.45</v>
      </c>
      <c r="AI157" s="871">
        <v>50</v>
      </c>
      <c r="AJ157" s="871"/>
      <c r="AK157" s="871"/>
      <c r="AL157" s="871"/>
      <c r="AM157" s="871"/>
      <c r="AN157" s="871"/>
      <c r="AO157" s="871"/>
      <c r="AP157" s="871"/>
    </row>
    <row r="158" spans="1:42" s="868" customFormat="1" ht="14" customHeight="1">
      <c r="A158" s="866">
        <v>157</v>
      </c>
      <c r="B158" s="867" t="s">
        <v>2531</v>
      </c>
      <c r="C158" s="867" t="s">
        <v>40</v>
      </c>
      <c r="D158" s="867" t="s">
        <v>2450</v>
      </c>
      <c r="E158" s="867" t="s">
        <v>899</v>
      </c>
      <c r="F158" s="867" t="s">
        <v>813</v>
      </c>
      <c r="G158" s="867">
        <v>1</v>
      </c>
      <c r="H158" s="869">
        <v>0.9</v>
      </c>
      <c r="I158" s="869">
        <v>9</v>
      </c>
      <c r="J158" s="869">
        <f t="shared" si="11"/>
        <v>8.1</v>
      </c>
      <c r="K158" s="869">
        <f t="shared" si="12"/>
        <v>1.0529999999999999</v>
      </c>
      <c r="L158" s="868">
        <v>0</v>
      </c>
      <c r="M158" s="867" t="s">
        <v>47</v>
      </c>
      <c r="N158" s="866">
        <v>2050</v>
      </c>
      <c r="O158" s="867" t="s">
        <v>2383</v>
      </c>
      <c r="P158" s="870">
        <v>5415058026028</v>
      </c>
      <c r="Q158" s="867" t="s">
        <v>2474</v>
      </c>
      <c r="R158" s="871">
        <v>13</v>
      </c>
      <c r="S158" s="871">
        <v>14.95</v>
      </c>
      <c r="T158" s="871">
        <v>13</v>
      </c>
      <c r="U158" s="871">
        <v>14.95</v>
      </c>
      <c r="V158" s="871">
        <v>14.3</v>
      </c>
      <c r="W158" s="871">
        <v>16.45</v>
      </c>
      <c r="X158" s="871">
        <v>14.3</v>
      </c>
      <c r="Y158" s="871">
        <v>16.45</v>
      </c>
      <c r="Z158" s="871">
        <v>26</v>
      </c>
      <c r="AA158" s="871">
        <v>30</v>
      </c>
      <c r="AB158" s="871">
        <v>35</v>
      </c>
      <c r="AC158" s="871">
        <v>40.25</v>
      </c>
      <c r="AD158" s="871">
        <v>55</v>
      </c>
      <c r="AE158" s="871">
        <v>60.5</v>
      </c>
      <c r="AF158" s="871">
        <v>25</v>
      </c>
      <c r="AG158" s="871">
        <v>28.75</v>
      </c>
      <c r="AH158" s="871">
        <v>45.45</v>
      </c>
      <c r="AI158" s="871">
        <v>50</v>
      </c>
      <c r="AJ158" s="871"/>
      <c r="AK158" s="871"/>
      <c r="AL158" s="871"/>
      <c r="AM158" s="871"/>
      <c r="AN158" s="871"/>
      <c r="AO158" s="871"/>
      <c r="AP158" s="871"/>
    </row>
    <row r="159" spans="1:42" s="868" customFormat="1" ht="14" customHeight="1">
      <c r="A159" s="866">
        <v>158</v>
      </c>
      <c r="B159" s="867" t="s">
        <v>2532</v>
      </c>
      <c r="C159" s="867" t="s">
        <v>40</v>
      </c>
      <c r="D159" s="867" t="s">
        <v>2450</v>
      </c>
      <c r="E159" s="867" t="s">
        <v>899</v>
      </c>
      <c r="F159" s="867" t="s">
        <v>854</v>
      </c>
      <c r="G159" s="867">
        <v>1</v>
      </c>
      <c r="H159" s="869">
        <v>0.9</v>
      </c>
      <c r="I159" s="869">
        <v>9</v>
      </c>
      <c r="J159" s="869">
        <f t="shared" si="11"/>
        <v>8.1</v>
      </c>
      <c r="K159" s="869">
        <f t="shared" si="12"/>
        <v>1.0529999999999999</v>
      </c>
      <c r="L159" s="868">
        <v>0</v>
      </c>
      <c r="M159" s="867" t="s">
        <v>47</v>
      </c>
      <c r="N159" s="866">
        <v>2050</v>
      </c>
      <c r="O159" s="867" t="s">
        <v>2383</v>
      </c>
      <c r="P159" s="870">
        <v>5415058026042</v>
      </c>
      <c r="Q159" s="867" t="s">
        <v>2474</v>
      </c>
      <c r="R159" s="871">
        <v>13</v>
      </c>
      <c r="S159" s="871">
        <v>14.95</v>
      </c>
      <c r="T159" s="871">
        <v>13</v>
      </c>
      <c r="U159" s="871">
        <v>14.95</v>
      </c>
      <c r="V159" s="871">
        <v>14.3</v>
      </c>
      <c r="W159" s="871">
        <v>16.45</v>
      </c>
      <c r="X159" s="871">
        <v>14.3</v>
      </c>
      <c r="Y159" s="871">
        <v>16.45</v>
      </c>
      <c r="Z159" s="871">
        <v>26</v>
      </c>
      <c r="AA159" s="871">
        <v>30</v>
      </c>
      <c r="AB159" s="871">
        <v>35</v>
      </c>
      <c r="AC159" s="871">
        <v>40.25</v>
      </c>
      <c r="AD159" s="871">
        <v>55</v>
      </c>
      <c r="AE159" s="871">
        <v>60.5</v>
      </c>
      <c r="AF159" s="871">
        <v>25</v>
      </c>
      <c r="AG159" s="871">
        <v>28.75</v>
      </c>
      <c r="AH159" s="871">
        <v>45.45</v>
      </c>
      <c r="AI159" s="871">
        <v>50</v>
      </c>
      <c r="AJ159" s="871"/>
      <c r="AK159" s="871"/>
      <c r="AL159" s="871"/>
      <c r="AM159" s="871"/>
      <c r="AN159" s="871"/>
      <c r="AO159" s="871"/>
      <c r="AP159" s="871"/>
    </row>
    <row r="160" spans="1:42" s="868" customFormat="1" ht="14" customHeight="1">
      <c r="A160" s="866">
        <v>159</v>
      </c>
      <c r="B160" s="867" t="s">
        <v>2533</v>
      </c>
      <c r="C160" s="867" t="s">
        <v>40</v>
      </c>
      <c r="D160" s="867" t="s">
        <v>2450</v>
      </c>
      <c r="E160" s="867" t="s">
        <v>899</v>
      </c>
      <c r="F160" s="867" t="s">
        <v>793</v>
      </c>
      <c r="G160" s="867">
        <v>1</v>
      </c>
      <c r="H160" s="869">
        <v>0.9</v>
      </c>
      <c r="I160" s="869">
        <v>9</v>
      </c>
      <c r="J160" s="869">
        <f t="shared" si="11"/>
        <v>8.1</v>
      </c>
      <c r="K160" s="869">
        <f t="shared" si="12"/>
        <v>1.0529999999999999</v>
      </c>
      <c r="L160" s="868">
        <v>0</v>
      </c>
      <c r="M160" s="867" t="s">
        <v>47</v>
      </c>
      <c r="N160" s="866">
        <v>2050</v>
      </c>
      <c r="O160" s="867" t="s">
        <v>2383</v>
      </c>
      <c r="P160" s="870">
        <v>5415058026066</v>
      </c>
      <c r="Q160" s="867" t="s">
        <v>2474</v>
      </c>
      <c r="R160" s="871">
        <v>13</v>
      </c>
      <c r="S160" s="871">
        <v>14.95</v>
      </c>
      <c r="T160" s="871">
        <v>13</v>
      </c>
      <c r="U160" s="871">
        <v>14.95</v>
      </c>
      <c r="V160" s="871">
        <v>14.3</v>
      </c>
      <c r="W160" s="871">
        <v>16.45</v>
      </c>
      <c r="X160" s="871">
        <v>14.3</v>
      </c>
      <c r="Y160" s="871">
        <v>16.45</v>
      </c>
      <c r="Z160" s="871">
        <v>26</v>
      </c>
      <c r="AA160" s="871">
        <v>30</v>
      </c>
      <c r="AB160" s="871">
        <v>35</v>
      </c>
      <c r="AC160" s="871">
        <v>40.25</v>
      </c>
      <c r="AD160" s="871">
        <v>55</v>
      </c>
      <c r="AE160" s="871">
        <v>60.5</v>
      </c>
      <c r="AF160" s="871">
        <v>25</v>
      </c>
      <c r="AG160" s="871">
        <v>28.75</v>
      </c>
      <c r="AH160" s="871">
        <v>45.45</v>
      </c>
      <c r="AI160" s="871">
        <v>50</v>
      </c>
      <c r="AJ160" s="871"/>
      <c r="AK160" s="871"/>
      <c r="AL160" s="871"/>
      <c r="AM160" s="871"/>
      <c r="AN160" s="871"/>
      <c r="AO160" s="871"/>
      <c r="AP160" s="871"/>
    </row>
    <row r="161" spans="1:42" s="868" customFormat="1" ht="14" customHeight="1">
      <c r="A161" s="866">
        <v>160</v>
      </c>
      <c r="B161" s="867" t="s">
        <v>2534</v>
      </c>
      <c r="C161" s="867" t="s">
        <v>40</v>
      </c>
      <c r="D161" s="867" t="s">
        <v>2450</v>
      </c>
      <c r="E161" s="867" t="s">
        <v>903</v>
      </c>
      <c r="F161" s="867" t="s">
        <v>515</v>
      </c>
      <c r="G161" s="867">
        <v>3</v>
      </c>
      <c r="H161" s="869">
        <v>0.9</v>
      </c>
      <c r="I161" s="869">
        <v>3</v>
      </c>
      <c r="J161" s="869">
        <f t="shared" si="11"/>
        <v>8.1000000000000014</v>
      </c>
      <c r="K161" s="869">
        <f t="shared" si="12"/>
        <v>1.0530000000000002</v>
      </c>
      <c r="L161" s="868">
        <v>0</v>
      </c>
      <c r="M161" s="867" t="s">
        <v>47</v>
      </c>
      <c r="N161" s="866">
        <v>2050</v>
      </c>
      <c r="O161" s="867" t="s">
        <v>2383</v>
      </c>
      <c r="P161" s="870">
        <v>5415058025519</v>
      </c>
      <c r="Q161" s="867" t="s">
        <v>2474</v>
      </c>
      <c r="R161" s="871">
        <v>13</v>
      </c>
      <c r="S161" s="871">
        <v>14.95</v>
      </c>
      <c r="T161" s="871">
        <v>13</v>
      </c>
      <c r="U161" s="871">
        <v>14.95</v>
      </c>
      <c r="V161" s="871">
        <v>14.3</v>
      </c>
      <c r="W161" s="871">
        <v>16.45</v>
      </c>
      <c r="X161" s="871">
        <v>14.3</v>
      </c>
      <c r="Y161" s="871">
        <v>16.45</v>
      </c>
      <c r="Z161" s="871">
        <v>26</v>
      </c>
      <c r="AA161" s="871">
        <v>30</v>
      </c>
      <c r="AB161" s="871">
        <v>35</v>
      </c>
      <c r="AC161" s="871">
        <v>40.25</v>
      </c>
      <c r="AD161" s="871">
        <v>55</v>
      </c>
      <c r="AE161" s="871">
        <v>60.5</v>
      </c>
      <c r="AF161" s="871">
        <v>25</v>
      </c>
      <c r="AG161" s="871">
        <v>28.75</v>
      </c>
      <c r="AH161" s="871">
        <v>45.45</v>
      </c>
      <c r="AI161" s="871">
        <v>50</v>
      </c>
      <c r="AJ161" s="871"/>
      <c r="AK161" s="871"/>
      <c r="AL161" s="871"/>
      <c r="AM161" s="871"/>
      <c r="AN161" s="871"/>
      <c r="AO161" s="871"/>
      <c r="AP161" s="871"/>
    </row>
    <row r="162" spans="1:42" s="868" customFormat="1" ht="14" customHeight="1">
      <c r="A162" s="866">
        <v>161</v>
      </c>
      <c r="B162" s="867" t="s">
        <v>2535</v>
      </c>
      <c r="C162" s="867" t="s">
        <v>40</v>
      </c>
      <c r="D162" s="867" t="s">
        <v>2450</v>
      </c>
      <c r="E162" s="867" t="s">
        <v>903</v>
      </c>
      <c r="F162" s="867" t="s">
        <v>905</v>
      </c>
      <c r="G162" s="867">
        <v>3</v>
      </c>
      <c r="H162" s="869">
        <v>0.9</v>
      </c>
      <c r="I162" s="869">
        <v>3</v>
      </c>
      <c r="J162" s="869">
        <f t="shared" si="11"/>
        <v>8.1000000000000014</v>
      </c>
      <c r="K162" s="869">
        <f t="shared" si="12"/>
        <v>1.0530000000000002</v>
      </c>
      <c r="L162" s="868">
        <v>0</v>
      </c>
      <c r="M162" s="867" t="s">
        <v>47</v>
      </c>
      <c r="N162" s="866">
        <v>2050</v>
      </c>
      <c r="O162" s="867" t="s">
        <v>2383</v>
      </c>
      <c r="P162" s="870">
        <v>5415058025526</v>
      </c>
      <c r="Q162" s="867" t="s">
        <v>2474</v>
      </c>
      <c r="R162" s="871">
        <v>13</v>
      </c>
      <c r="S162" s="871">
        <v>14.95</v>
      </c>
      <c r="T162" s="871">
        <v>13</v>
      </c>
      <c r="U162" s="871">
        <v>14.95</v>
      </c>
      <c r="V162" s="871">
        <v>14.3</v>
      </c>
      <c r="W162" s="871">
        <v>16.45</v>
      </c>
      <c r="X162" s="871">
        <v>14.3</v>
      </c>
      <c r="Y162" s="871">
        <v>16.45</v>
      </c>
      <c r="Z162" s="871">
        <v>26</v>
      </c>
      <c r="AA162" s="871">
        <v>30</v>
      </c>
      <c r="AB162" s="871">
        <v>35</v>
      </c>
      <c r="AC162" s="871">
        <v>40.25</v>
      </c>
      <c r="AD162" s="871">
        <v>55</v>
      </c>
      <c r="AE162" s="871">
        <v>60.5</v>
      </c>
      <c r="AF162" s="871">
        <v>25</v>
      </c>
      <c r="AG162" s="871">
        <v>28.75</v>
      </c>
      <c r="AH162" s="871">
        <v>45.45</v>
      </c>
      <c r="AI162" s="871">
        <v>50</v>
      </c>
      <c r="AJ162" s="871"/>
      <c r="AK162" s="871"/>
      <c r="AL162" s="871"/>
      <c r="AM162" s="871"/>
      <c r="AN162" s="871"/>
      <c r="AO162" s="871"/>
      <c r="AP162" s="871"/>
    </row>
    <row r="163" spans="1:42" s="868" customFormat="1" ht="14" customHeight="1">
      <c r="A163" s="866">
        <v>162</v>
      </c>
      <c r="B163" s="867" t="s">
        <v>2536</v>
      </c>
      <c r="C163" s="867" t="s">
        <v>40</v>
      </c>
      <c r="D163" s="867" t="s">
        <v>2450</v>
      </c>
      <c r="E163" s="867" t="s">
        <v>907</v>
      </c>
      <c r="F163" s="867" t="s">
        <v>894</v>
      </c>
      <c r="G163" s="867">
        <v>5</v>
      </c>
      <c r="H163" s="869">
        <v>0.9</v>
      </c>
      <c r="I163" s="869">
        <v>3</v>
      </c>
      <c r="J163" s="869">
        <f t="shared" si="11"/>
        <v>13.5</v>
      </c>
      <c r="K163" s="869">
        <f t="shared" si="12"/>
        <v>1.7549999999999999</v>
      </c>
      <c r="L163" s="868">
        <v>0</v>
      </c>
      <c r="M163" s="867" t="s">
        <v>47</v>
      </c>
      <c r="N163" s="866">
        <v>2050</v>
      </c>
      <c r="O163" s="867" t="s">
        <v>2383</v>
      </c>
      <c r="P163" s="870">
        <v>5415058025571</v>
      </c>
      <c r="Q163" s="867" t="s">
        <v>2474</v>
      </c>
      <c r="R163" s="871">
        <v>13</v>
      </c>
      <c r="S163" s="871">
        <v>14.95</v>
      </c>
      <c r="T163" s="871">
        <v>13</v>
      </c>
      <c r="U163" s="871">
        <v>14.95</v>
      </c>
      <c r="V163" s="871">
        <v>14.3</v>
      </c>
      <c r="W163" s="871">
        <v>16.45</v>
      </c>
      <c r="X163" s="871">
        <v>14.3</v>
      </c>
      <c r="Y163" s="871">
        <v>16.45</v>
      </c>
      <c r="Z163" s="871">
        <v>26</v>
      </c>
      <c r="AA163" s="871">
        <v>30</v>
      </c>
      <c r="AB163" s="871">
        <v>35</v>
      </c>
      <c r="AC163" s="871">
        <v>40.25</v>
      </c>
      <c r="AD163" s="871">
        <v>55</v>
      </c>
      <c r="AE163" s="871">
        <v>60.5</v>
      </c>
      <c r="AF163" s="871">
        <v>25</v>
      </c>
      <c r="AG163" s="871">
        <v>28.75</v>
      </c>
      <c r="AH163" s="871">
        <v>45.45</v>
      </c>
      <c r="AI163" s="871">
        <v>50</v>
      </c>
      <c r="AJ163" s="871"/>
      <c r="AK163" s="871"/>
      <c r="AL163" s="871"/>
      <c r="AM163" s="871"/>
      <c r="AN163" s="871"/>
      <c r="AO163" s="871"/>
      <c r="AP163" s="871"/>
    </row>
    <row r="164" spans="1:42" s="868" customFormat="1" ht="14" customHeight="1">
      <c r="A164" s="866">
        <v>163</v>
      </c>
      <c r="B164" s="867" t="s">
        <v>2537</v>
      </c>
      <c r="C164" s="867" t="s">
        <v>40</v>
      </c>
      <c r="D164" s="867" t="s">
        <v>2450</v>
      </c>
      <c r="E164" s="867" t="s">
        <v>909</v>
      </c>
      <c r="F164" s="867" t="s">
        <v>905</v>
      </c>
      <c r="G164" s="867">
        <v>4</v>
      </c>
      <c r="H164" s="869">
        <v>0.9</v>
      </c>
      <c r="I164" s="869">
        <v>3</v>
      </c>
      <c r="J164" s="869">
        <f t="shared" si="11"/>
        <v>10.8</v>
      </c>
      <c r="K164" s="869">
        <f t="shared" si="12"/>
        <v>1.4039999999999999</v>
      </c>
      <c r="L164" s="868">
        <v>0</v>
      </c>
      <c r="M164" s="867" t="s">
        <v>47</v>
      </c>
      <c r="N164" s="866">
        <v>2050</v>
      </c>
      <c r="O164" s="867" t="s">
        <v>2383</v>
      </c>
      <c r="P164" s="870">
        <v>5415058025670</v>
      </c>
      <c r="Q164" s="867" t="s">
        <v>2474</v>
      </c>
      <c r="R164" s="871">
        <v>13</v>
      </c>
      <c r="S164" s="871">
        <v>14.95</v>
      </c>
      <c r="T164" s="871">
        <v>13</v>
      </c>
      <c r="U164" s="871">
        <v>14.95</v>
      </c>
      <c r="V164" s="871">
        <v>14.3</v>
      </c>
      <c r="W164" s="871">
        <v>16.45</v>
      </c>
      <c r="X164" s="871">
        <v>14.3</v>
      </c>
      <c r="Y164" s="871">
        <v>16.45</v>
      </c>
      <c r="Z164" s="871">
        <v>26</v>
      </c>
      <c r="AA164" s="871">
        <v>30</v>
      </c>
      <c r="AB164" s="871">
        <v>35</v>
      </c>
      <c r="AC164" s="871">
        <v>40.25</v>
      </c>
      <c r="AD164" s="871">
        <v>55</v>
      </c>
      <c r="AE164" s="871">
        <v>60.5</v>
      </c>
      <c r="AF164" s="871">
        <v>25</v>
      </c>
      <c r="AG164" s="871">
        <v>28.75</v>
      </c>
      <c r="AH164" s="871">
        <v>45.45</v>
      </c>
      <c r="AI164" s="871">
        <v>50</v>
      </c>
      <c r="AJ164" s="871"/>
      <c r="AK164" s="871"/>
      <c r="AL164" s="871"/>
      <c r="AM164" s="871"/>
      <c r="AN164" s="871"/>
      <c r="AO164" s="871"/>
      <c r="AP164" s="871"/>
    </row>
    <row r="165" spans="1:42" s="868" customFormat="1" ht="14" customHeight="1">
      <c r="A165" s="866">
        <v>164</v>
      </c>
      <c r="B165" s="867" t="s">
        <v>2538</v>
      </c>
      <c r="C165" s="867" t="s">
        <v>40</v>
      </c>
      <c r="D165" s="867" t="s">
        <v>2450</v>
      </c>
      <c r="E165" s="867" t="s">
        <v>909</v>
      </c>
      <c r="F165" s="867" t="s">
        <v>835</v>
      </c>
      <c r="G165" s="867">
        <v>4</v>
      </c>
      <c r="H165" s="869">
        <v>0.9</v>
      </c>
      <c r="I165" s="869">
        <v>3</v>
      </c>
      <c r="J165" s="869">
        <f t="shared" si="11"/>
        <v>10.8</v>
      </c>
      <c r="K165" s="869">
        <f t="shared" si="12"/>
        <v>1.4039999999999999</v>
      </c>
      <c r="L165" s="868">
        <v>0</v>
      </c>
      <c r="M165" s="867" t="s">
        <v>47</v>
      </c>
      <c r="N165" s="866">
        <v>2050</v>
      </c>
      <c r="O165" s="867" t="s">
        <v>2383</v>
      </c>
      <c r="P165" s="870">
        <v>5415058025687</v>
      </c>
      <c r="Q165" s="867" t="s">
        <v>2474</v>
      </c>
      <c r="R165" s="871">
        <v>13</v>
      </c>
      <c r="S165" s="871">
        <v>14.95</v>
      </c>
      <c r="T165" s="871">
        <v>13</v>
      </c>
      <c r="U165" s="871">
        <v>14.95</v>
      </c>
      <c r="V165" s="871">
        <v>14.3</v>
      </c>
      <c r="W165" s="871">
        <v>16.45</v>
      </c>
      <c r="X165" s="871">
        <v>14.3</v>
      </c>
      <c r="Y165" s="871">
        <v>16.45</v>
      </c>
      <c r="Z165" s="871">
        <v>26</v>
      </c>
      <c r="AA165" s="871">
        <v>30</v>
      </c>
      <c r="AB165" s="871">
        <v>35</v>
      </c>
      <c r="AC165" s="871">
        <v>40.25</v>
      </c>
      <c r="AD165" s="871">
        <v>55</v>
      </c>
      <c r="AE165" s="871">
        <v>60.5</v>
      </c>
      <c r="AF165" s="871">
        <v>25</v>
      </c>
      <c r="AG165" s="871">
        <v>28.75</v>
      </c>
      <c r="AH165" s="871">
        <v>45.45</v>
      </c>
      <c r="AI165" s="871">
        <v>50</v>
      </c>
      <c r="AJ165" s="871"/>
      <c r="AK165" s="871"/>
      <c r="AL165" s="871"/>
      <c r="AM165" s="871"/>
      <c r="AN165" s="871"/>
      <c r="AO165" s="871"/>
      <c r="AP165" s="871"/>
    </row>
    <row r="166" spans="1:42" s="868" customFormat="1" ht="14" customHeight="1">
      <c r="A166" s="866">
        <v>165</v>
      </c>
      <c r="B166" s="867" t="s">
        <v>2539</v>
      </c>
      <c r="C166" s="867" t="s">
        <v>40</v>
      </c>
      <c r="D166" s="867" t="s">
        <v>2450</v>
      </c>
      <c r="E166" s="867" t="s">
        <v>909</v>
      </c>
      <c r="F166" s="867" t="s">
        <v>791</v>
      </c>
      <c r="G166" s="867">
        <v>4</v>
      </c>
      <c r="H166" s="869">
        <v>0.9</v>
      </c>
      <c r="I166" s="869">
        <v>3</v>
      </c>
      <c r="J166" s="869">
        <f t="shared" si="11"/>
        <v>10.8</v>
      </c>
      <c r="K166" s="869">
        <f t="shared" si="12"/>
        <v>1.4039999999999999</v>
      </c>
      <c r="L166" s="868">
        <v>0</v>
      </c>
      <c r="M166" s="867" t="s">
        <v>47</v>
      </c>
      <c r="N166" s="866">
        <v>2050</v>
      </c>
      <c r="O166" s="867" t="s">
        <v>2383</v>
      </c>
      <c r="P166" s="870">
        <v>5415058025694</v>
      </c>
      <c r="Q166" s="867" t="s">
        <v>2474</v>
      </c>
      <c r="R166" s="871">
        <v>13</v>
      </c>
      <c r="S166" s="871">
        <v>14.95</v>
      </c>
      <c r="T166" s="871">
        <v>13</v>
      </c>
      <c r="U166" s="871">
        <v>14.95</v>
      </c>
      <c r="V166" s="871">
        <v>14.3</v>
      </c>
      <c r="W166" s="871">
        <v>16.45</v>
      </c>
      <c r="X166" s="871">
        <v>14.3</v>
      </c>
      <c r="Y166" s="871">
        <v>16.45</v>
      </c>
      <c r="Z166" s="871">
        <v>26</v>
      </c>
      <c r="AA166" s="871">
        <v>30</v>
      </c>
      <c r="AB166" s="871">
        <v>35</v>
      </c>
      <c r="AC166" s="871">
        <v>40.25</v>
      </c>
      <c r="AD166" s="871">
        <v>55</v>
      </c>
      <c r="AE166" s="871">
        <v>60.5</v>
      </c>
      <c r="AF166" s="871">
        <v>25</v>
      </c>
      <c r="AG166" s="871">
        <v>28.75</v>
      </c>
      <c r="AH166" s="871">
        <v>45.45</v>
      </c>
      <c r="AI166" s="871">
        <v>50</v>
      </c>
      <c r="AJ166" s="871"/>
      <c r="AK166" s="871"/>
      <c r="AL166" s="871"/>
      <c r="AM166" s="871"/>
      <c r="AN166" s="871"/>
      <c r="AO166" s="871"/>
      <c r="AP166" s="871"/>
    </row>
    <row r="167" spans="1:42" s="868" customFormat="1" ht="14" customHeight="1">
      <c r="A167" s="866">
        <v>166</v>
      </c>
      <c r="B167" s="867" t="s">
        <v>2540</v>
      </c>
      <c r="C167" s="867" t="s">
        <v>40</v>
      </c>
      <c r="D167" s="867" t="s">
        <v>2450</v>
      </c>
      <c r="E167" s="867" t="s">
        <v>909</v>
      </c>
      <c r="F167" s="867" t="s">
        <v>913</v>
      </c>
      <c r="G167" s="867">
        <v>4</v>
      </c>
      <c r="H167" s="869">
        <v>0.9</v>
      </c>
      <c r="I167" s="869">
        <v>3</v>
      </c>
      <c r="J167" s="869">
        <f t="shared" si="11"/>
        <v>10.8</v>
      </c>
      <c r="K167" s="869">
        <f t="shared" si="12"/>
        <v>1.4039999999999999</v>
      </c>
      <c r="L167" s="868">
        <v>0</v>
      </c>
      <c r="M167" s="867" t="s">
        <v>47</v>
      </c>
      <c r="N167" s="866">
        <v>2050</v>
      </c>
      <c r="O167" s="867" t="s">
        <v>2383</v>
      </c>
      <c r="P167" s="870">
        <v>5415058025700</v>
      </c>
      <c r="Q167" s="867" t="s">
        <v>2474</v>
      </c>
      <c r="R167" s="871">
        <v>13</v>
      </c>
      <c r="S167" s="871">
        <v>14.95</v>
      </c>
      <c r="T167" s="871">
        <v>13</v>
      </c>
      <c r="U167" s="871">
        <v>14.95</v>
      </c>
      <c r="V167" s="871">
        <v>14.3</v>
      </c>
      <c r="W167" s="871">
        <v>16.45</v>
      </c>
      <c r="X167" s="871">
        <v>14.3</v>
      </c>
      <c r="Y167" s="871">
        <v>16.45</v>
      </c>
      <c r="Z167" s="871">
        <v>26</v>
      </c>
      <c r="AA167" s="871">
        <v>30</v>
      </c>
      <c r="AB167" s="871">
        <v>35</v>
      </c>
      <c r="AC167" s="871">
        <v>40.25</v>
      </c>
      <c r="AD167" s="871">
        <v>55</v>
      </c>
      <c r="AE167" s="871">
        <v>60.5</v>
      </c>
      <c r="AF167" s="871">
        <v>25</v>
      </c>
      <c r="AG167" s="871">
        <v>28.75</v>
      </c>
      <c r="AH167" s="871">
        <v>45.45</v>
      </c>
      <c r="AI167" s="871">
        <v>50</v>
      </c>
      <c r="AJ167" s="871"/>
      <c r="AK167" s="871"/>
      <c r="AL167" s="871"/>
      <c r="AM167" s="871"/>
      <c r="AN167" s="871"/>
      <c r="AO167" s="871"/>
      <c r="AP167" s="871"/>
    </row>
    <row r="168" spans="1:42" s="868" customFormat="1" ht="14" customHeight="1">
      <c r="A168" s="866">
        <v>167</v>
      </c>
      <c r="B168" s="867" t="s">
        <v>2541</v>
      </c>
      <c r="C168" s="867" t="s">
        <v>40</v>
      </c>
      <c r="D168" s="867" t="s">
        <v>2450</v>
      </c>
      <c r="E168" s="867" t="s">
        <v>915</v>
      </c>
      <c r="F168" s="867" t="s">
        <v>863</v>
      </c>
      <c r="G168" s="867">
        <v>4</v>
      </c>
      <c r="H168" s="869">
        <v>0.9</v>
      </c>
      <c r="I168" s="869">
        <v>3</v>
      </c>
      <c r="J168" s="869">
        <f t="shared" si="11"/>
        <v>10.8</v>
      </c>
      <c r="K168" s="869">
        <f t="shared" si="12"/>
        <v>1.4039999999999999</v>
      </c>
      <c r="L168" s="868">
        <v>0</v>
      </c>
      <c r="M168" s="867" t="s">
        <v>47</v>
      </c>
      <c r="N168" s="866">
        <v>2050</v>
      </c>
      <c r="O168" s="867" t="s">
        <v>2383</v>
      </c>
      <c r="P168" s="870">
        <v>5415058025465</v>
      </c>
      <c r="Q168" s="867" t="s">
        <v>2474</v>
      </c>
      <c r="R168" s="871">
        <v>13</v>
      </c>
      <c r="S168" s="871">
        <v>14.95</v>
      </c>
      <c r="T168" s="871">
        <v>13</v>
      </c>
      <c r="U168" s="871">
        <v>14.95</v>
      </c>
      <c r="V168" s="871">
        <v>14.3</v>
      </c>
      <c r="W168" s="871">
        <v>16.45</v>
      </c>
      <c r="X168" s="871">
        <v>14.3</v>
      </c>
      <c r="Y168" s="871">
        <v>16.45</v>
      </c>
      <c r="Z168" s="871">
        <v>26</v>
      </c>
      <c r="AA168" s="871">
        <v>30</v>
      </c>
      <c r="AB168" s="871">
        <v>35</v>
      </c>
      <c r="AC168" s="871">
        <v>40.25</v>
      </c>
      <c r="AD168" s="871">
        <v>55</v>
      </c>
      <c r="AE168" s="871">
        <v>60.5</v>
      </c>
      <c r="AF168" s="871">
        <v>25</v>
      </c>
      <c r="AG168" s="871">
        <v>28.75</v>
      </c>
      <c r="AH168" s="871">
        <v>45.45</v>
      </c>
      <c r="AI168" s="871">
        <v>50</v>
      </c>
      <c r="AJ168" s="871"/>
      <c r="AK168" s="871"/>
      <c r="AL168" s="871"/>
      <c r="AM168" s="871"/>
      <c r="AN168" s="871"/>
      <c r="AO168" s="871"/>
      <c r="AP168" s="871"/>
    </row>
    <row r="169" spans="1:42" s="868" customFormat="1" ht="14" customHeight="1">
      <c r="A169" s="866">
        <v>168</v>
      </c>
      <c r="B169" s="867" t="s">
        <v>2542</v>
      </c>
      <c r="C169" s="867" t="s">
        <v>40</v>
      </c>
      <c r="D169" s="867" t="s">
        <v>2450</v>
      </c>
      <c r="E169" s="867" t="s">
        <v>915</v>
      </c>
      <c r="F169" s="867" t="s">
        <v>835</v>
      </c>
      <c r="G169" s="867">
        <v>4</v>
      </c>
      <c r="H169" s="869">
        <v>0.9</v>
      </c>
      <c r="I169" s="869">
        <v>3</v>
      </c>
      <c r="J169" s="869">
        <f t="shared" si="11"/>
        <v>10.8</v>
      </c>
      <c r="K169" s="869">
        <f t="shared" si="12"/>
        <v>1.4039999999999999</v>
      </c>
      <c r="L169" s="868">
        <v>0</v>
      </c>
      <c r="M169" s="867" t="s">
        <v>47</v>
      </c>
      <c r="N169" s="866">
        <v>2050</v>
      </c>
      <c r="O169" s="867" t="s">
        <v>2383</v>
      </c>
      <c r="P169" s="870">
        <v>5415058025472</v>
      </c>
      <c r="Q169" s="867" t="s">
        <v>2474</v>
      </c>
      <c r="R169" s="871">
        <v>13</v>
      </c>
      <c r="S169" s="871">
        <v>14.95</v>
      </c>
      <c r="T169" s="871">
        <v>13</v>
      </c>
      <c r="U169" s="871">
        <v>14.95</v>
      </c>
      <c r="V169" s="871">
        <v>14.3</v>
      </c>
      <c r="W169" s="871">
        <v>16.45</v>
      </c>
      <c r="X169" s="871">
        <v>14.3</v>
      </c>
      <c r="Y169" s="871">
        <v>16.45</v>
      </c>
      <c r="Z169" s="871">
        <v>26</v>
      </c>
      <c r="AA169" s="871">
        <v>30</v>
      </c>
      <c r="AB169" s="871">
        <v>35</v>
      </c>
      <c r="AC169" s="871">
        <v>40.25</v>
      </c>
      <c r="AD169" s="871">
        <v>55</v>
      </c>
      <c r="AE169" s="871">
        <v>60.5</v>
      </c>
      <c r="AF169" s="871">
        <v>25</v>
      </c>
      <c r="AG169" s="871">
        <v>28.75</v>
      </c>
      <c r="AH169" s="871">
        <v>45.45</v>
      </c>
      <c r="AI169" s="871">
        <v>50</v>
      </c>
      <c r="AJ169" s="871"/>
      <c r="AK169" s="871"/>
      <c r="AL169" s="871"/>
      <c r="AM169" s="871"/>
      <c r="AN169" s="871"/>
      <c r="AO169" s="871"/>
      <c r="AP169" s="871"/>
    </row>
    <row r="170" spans="1:42" s="868" customFormat="1" ht="14" customHeight="1">
      <c r="A170" s="866">
        <v>169</v>
      </c>
      <c r="B170" s="867" t="s">
        <v>2543</v>
      </c>
      <c r="C170" s="867" t="s">
        <v>40</v>
      </c>
      <c r="D170" s="867" t="s">
        <v>2450</v>
      </c>
      <c r="E170" s="867" t="s">
        <v>915</v>
      </c>
      <c r="F170" s="867" t="s">
        <v>813</v>
      </c>
      <c r="G170" s="867">
        <v>4</v>
      </c>
      <c r="H170" s="869">
        <v>0.9</v>
      </c>
      <c r="I170" s="869">
        <v>3</v>
      </c>
      <c r="J170" s="869">
        <f t="shared" si="11"/>
        <v>10.8</v>
      </c>
      <c r="K170" s="869">
        <f t="shared" si="12"/>
        <v>1.4039999999999999</v>
      </c>
      <c r="L170" s="868">
        <v>0</v>
      </c>
      <c r="M170" s="867" t="s">
        <v>47</v>
      </c>
      <c r="N170" s="866">
        <v>2050</v>
      </c>
      <c r="O170" s="867" t="s">
        <v>2383</v>
      </c>
      <c r="P170" s="870">
        <v>5415058025489</v>
      </c>
      <c r="Q170" s="867" t="s">
        <v>2474</v>
      </c>
      <c r="R170" s="871">
        <v>13</v>
      </c>
      <c r="S170" s="871">
        <v>14.95</v>
      </c>
      <c r="T170" s="871">
        <v>13</v>
      </c>
      <c r="U170" s="871">
        <v>14.95</v>
      </c>
      <c r="V170" s="871">
        <v>14.3</v>
      </c>
      <c r="W170" s="871">
        <v>16.45</v>
      </c>
      <c r="X170" s="871">
        <v>14.3</v>
      </c>
      <c r="Y170" s="871">
        <v>16.45</v>
      </c>
      <c r="Z170" s="871">
        <v>26</v>
      </c>
      <c r="AA170" s="871">
        <v>30</v>
      </c>
      <c r="AB170" s="871">
        <v>35</v>
      </c>
      <c r="AC170" s="871">
        <v>40.25</v>
      </c>
      <c r="AD170" s="871">
        <v>55</v>
      </c>
      <c r="AE170" s="871">
        <v>60.5</v>
      </c>
      <c r="AF170" s="871">
        <v>25</v>
      </c>
      <c r="AG170" s="871">
        <v>28.75</v>
      </c>
      <c r="AH170" s="871">
        <v>45.45</v>
      </c>
      <c r="AI170" s="871">
        <v>50</v>
      </c>
      <c r="AJ170" s="871"/>
      <c r="AK170" s="871"/>
      <c r="AL170" s="871"/>
      <c r="AM170" s="871"/>
      <c r="AN170" s="871"/>
      <c r="AO170" s="871"/>
      <c r="AP170" s="871"/>
    </row>
    <row r="171" spans="1:42" s="868" customFormat="1" ht="14" customHeight="1">
      <c r="A171" s="866">
        <v>170</v>
      </c>
      <c r="B171" s="867" t="s">
        <v>2544</v>
      </c>
      <c r="C171" s="867" t="s">
        <v>40</v>
      </c>
      <c r="D171" s="867" t="s">
        <v>2450</v>
      </c>
      <c r="E171" s="867" t="s">
        <v>915</v>
      </c>
      <c r="F171" s="867" t="s">
        <v>894</v>
      </c>
      <c r="G171" s="867">
        <v>4</v>
      </c>
      <c r="H171" s="869">
        <v>0.9</v>
      </c>
      <c r="I171" s="869">
        <v>3</v>
      </c>
      <c r="J171" s="869">
        <f t="shared" si="11"/>
        <v>10.8</v>
      </c>
      <c r="K171" s="869">
        <f t="shared" si="12"/>
        <v>1.4039999999999999</v>
      </c>
      <c r="L171" s="868">
        <v>0</v>
      </c>
      <c r="M171" s="867" t="s">
        <v>47</v>
      </c>
      <c r="N171" s="866">
        <v>2050</v>
      </c>
      <c r="O171" s="867" t="s">
        <v>2383</v>
      </c>
      <c r="P171" s="870">
        <v>5415058025496</v>
      </c>
      <c r="Q171" s="867" t="s">
        <v>2474</v>
      </c>
      <c r="R171" s="871">
        <v>13</v>
      </c>
      <c r="S171" s="871">
        <v>14.95</v>
      </c>
      <c r="T171" s="871">
        <v>13</v>
      </c>
      <c r="U171" s="871">
        <v>14.95</v>
      </c>
      <c r="V171" s="871">
        <v>14.3</v>
      </c>
      <c r="W171" s="871">
        <v>16.45</v>
      </c>
      <c r="X171" s="871">
        <v>14.3</v>
      </c>
      <c r="Y171" s="871">
        <v>16.45</v>
      </c>
      <c r="Z171" s="871">
        <v>26</v>
      </c>
      <c r="AA171" s="871">
        <v>30</v>
      </c>
      <c r="AB171" s="871">
        <v>35</v>
      </c>
      <c r="AC171" s="871">
        <v>40.25</v>
      </c>
      <c r="AD171" s="871">
        <v>55</v>
      </c>
      <c r="AE171" s="871">
        <v>60.5</v>
      </c>
      <c r="AF171" s="871">
        <v>25</v>
      </c>
      <c r="AG171" s="871">
        <v>28.75</v>
      </c>
      <c r="AH171" s="871">
        <v>45.45</v>
      </c>
      <c r="AI171" s="871">
        <v>50</v>
      </c>
      <c r="AJ171" s="871"/>
      <c r="AK171" s="871"/>
      <c r="AL171" s="871"/>
      <c r="AM171" s="871"/>
      <c r="AN171" s="871"/>
      <c r="AO171" s="871"/>
      <c r="AP171" s="871"/>
    </row>
    <row r="172" spans="1:42" s="868" customFormat="1" ht="14" customHeight="1">
      <c r="A172" s="866">
        <v>171</v>
      </c>
      <c r="B172" s="867" t="s">
        <v>2545</v>
      </c>
      <c r="C172" s="867" t="s">
        <v>40</v>
      </c>
      <c r="D172" s="867" t="s">
        <v>2450</v>
      </c>
      <c r="E172" s="867" t="s">
        <v>920</v>
      </c>
      <c r="F172" s="867" t="s">
        <v>905</v>
      </c>
      <c r="G172" s="867">
        <v>3</v>
      </c>
      <c r="H172" s="869">
        <v>0.9</v>
      </c>
      <c r="I172" s="869">
        <v>3</v>
      </c>
      <c r="J172" s="869">
        <f t="shared" si="11"/>
        <v>8.1000000000000014</v>
      </c>
      <c r="K172" s="869">
        <f t="shared" si="12"/>
        <v>1.0530000000000002</v>
      </c>
      <c r="L172" s="868">
        <v>0</v>
      </c>
      <c r="M172" s="867" t="s">
        <v>47</v>
      </c>
      <c r="N172" s="866">
        <v>2050</v>
      </c>
      <c r="O172" s="867" t="s">
        <v>2383</v>
      </c>
      <c r="P172" s="870">
        <v>5415058025601</v>
      </c>
      <c r="Q172" s="867" t="s">
        <v>2474</v>
      </c>
      <c r="R172" s="871">
        <v>13</v>
      </c>
      <c r="S172" s="871">
        <v>14.95</v>
      </c>
      <c r="T172" s="871">
        <v>13</v>
      </c>
      <c r="U172" s="871">
        <v>14.95</v>
      </c>
      <c r="V172" s="871">
        <v>14.3</v>
      </c>
      <c r="W172" s="871">
        <v>16.45</v>
      </c>
      <c r="X172" s="871">
        <v>14.3</v>
      </c>
      <c r="Y172" s="871">
        <v>16.45</v>
      </c>
      <c r="Z172" s="871">
        <v>26</v>
      </c>
      <c r="AA172" s="871">
        <v>30</v>
      </c>
      <c r="AB172" s="871">
        <v>35</v>
      </c>
      <c r="AC172" s="871">
        <v>40.25</v>
      </c>
      <c r="AD172" s="871">
        <v>55</v>
      </c>
      <c r="AE172" s="871">
        <v>60.5</v>
      </c>
      <c r="AF172" s="871">
        <v>25</v>
      </c>
      <c r="AG172" s="871">
        <v>28.75</v>
      </c>
      <c r="AH172" s="871">
        <v>45.45</v>
      </c>
      <c r="AI172" s="871">
        <v>50</v>
      </c>
      <c r="AJ172" s="871"/>
      <c r="AK172" s="871"/>
      <c r="AL172" s="871"/>
      <c r="AM172" s="871"/>
      <c r="AN172" s="871"/>
      <c r="AO172" s="871"/>
      <c r="AP172" s="871"/>
    </row>
    <row r="173" spans="1:42" s="868" customFormat="1" ht="14" customHeight="1">
      <c r="A173" s="866">
        <v>172</v>
      </c>
      <c r="B173" s="867" t="s">
        <v>2546</v>
      </c>
      <c r="C173" s="867" t="s">
        <v>40</v>
      </c>
      <c r="D173" s="867" t="s">
        <v>2450</v>
      </c>
      <c r="E173" s="867" t="s">
        <v>920</v>
      </c>
      <c r="F173" s="867" t="s">
        <v>793</v>
      </c>
      <c r="G173" s="867">
        <v>3</v>
      </c>
      <c r="H173" s="869">
        <v>0.9</v>
      </c>
      <c r="I173" s="869">
        <v>3</v>
      </c>
      <c r="J173" s="869">
        <f t="shared" si="11"/>
        <v>8.1000000000000014</v>
      </c>
      <c r="K173" s="869">
        <f t="shared" si="12"/>
        <v>1.0530000000000002</v>
      </c>
      <c r="L173" s="868">
        <v>0</v>
      </c>
      <c r="M173" s="867" t="s">
        <v>47</v>
      </c>
      <c r="N173" s="866">
        <v>2050</v>
      </c>
      <c r="O173" s="867" t="s">
        <v>2383</v>
      </c>
      <c r="P173" s="870">
        <v>5415058025618</v>
      </c>
      <c r="Q173" s="867" t="s">
        <v>2474</v>
      </c>
      <c r="R173" s="871">
        <v>13</v>
      </c>
      <c r="S173" s="871">
        <v>14.95</v>
      </c>
      <c r="T173" s="871">
        <v>13</v>
      </c>
      <c r="U173" s="871">
        <v>14.95</v>
      </c>
      <c r="V173" s="871">
        <v>14.3</v>
      </c>
      <c r="W173" s="871">
        <v>16.45</v>
      </c>
      <c r="X173" s="871">
        <v>14.3</v>
      </c>
      <c r="Y173" s="871">
        <v>16.45</v>
      </c>
      <c r="Z173" s="871">
        <v>26</v>
      </c>
      <c r="AA173" s="871">
        <v>30</v>
      </c>
      <c r="AB173" s="871">
        <v>35</v>
      </c>
      <c r="AC173" s="871">
        <v>40.25</v>
      </c>
      <c r="AD173" s="871">
        <v>55</v>
      </c>
      <c r="AE173" s="871">
        <v>60.5</v>
      </c>
      <c r="AF173" s="871">
        <v>25</v>
      </c>
      <c r="AG173" s="871">
        <v>28.75</v>
      </c>
      <c r="AH173" s="871">
        <v>45.45</v>
      </c>
      <c r="AI173" s="871">
        <v>50</v>
      </c>
      <c r="AJ173" s="871"/>
      <c r="AK173" s="871"/>
      <c r="AL173" s="871"/>
      <c r="AM173" s="871"/>
      <c r="AN173" s="871"/>
      <c r="AO173" s="871"/>
      <c r="AP173" s="871"/>
    </row>
    <row r="174" spans="1:42" s="868" customFormat="1" ht="14" customHeight="1">
      <c r="A174" s="866">
        <v>173</v>
      </c>
      <c r="B174" s="867" t="s">
        <v>2547</v>
      </c>
      <c r="C174" s="867" t="s">
        <v>40</v>
      </c>
      <c r="D174" s="867" t="s">
        <v>2450</v>
      </c>
      <c r="E174" s="867" t="s">
        <v>920</v>
      </c>
      <c r="F174" s="867" t="s">
        <v>923</v>
      </c>
      <c r="G174" s="867">
        <v>3</v>
      </c>
      <c r="H174" s="869">
        <v>0.9</v>
      </c>
      <c r="I174" s="869">
        <v>3</v>
      </c>
      <c r="J174" s="869">
        <f t="shared" si="11"/>
        <v>8.1000000000000014</v>
      </c>
      <c r="K174" s="869">
        <f t="shared" si="12"/>
        <v>1.0530000000000002</v>
      </c>
      <c r="L174" s="868">
        <v>0</v>
      </c>
      <c r="M174" s="867" t="s">
        <v>47</v>
      </c>
      <c r="N174" s="866">
        <v>2050</v>
      </c>
      <c r="O174" s="867" t="s">
        <v>2383</v>
      </c>
      <c r="P174" s="870">
        <v>5415058025625</v>
      </c>
      <c r="Q174" s="867" t="s">
        <v>2474</v>
      </c>
      <c r="R174" s="871">
        <v>13</v>
      </c>
      <c r="S174" s="871">
        <v>14.95</v>
      </c>
      <c r="T174" s="871">
        <v>13</v>
      </c>
      <c r="U174" s="871">
        <v>14.95</v>
      </c>
      <c r="V174" s="871">
        <v>14.3</v>
      </c>
      <c r="W174" s="871">
        <v>16.45</v>
      </c>
      <c r="X174" s="871">
        <v>14.3</v>
      </c>
      <c r="Y174" s="871">
        <v>16.45</v>
      </c>
      <c r="Z174" s="871">
        <v>26</v>
      </c>
      <c r="AA174" s="871">
        <v>30</v>
      </c>
      <c r="AB174" s="871">
        <v>35</v>
      </c>
      <c r="AC174" s="871">
        <v>40.25</v>
      </c>
      <c r="AD174" s="871">
        <v>55</v>
      </c>
      <c r="AE174" s="871">
        <v>60.5</v>
      </c>
      <c r="AF174" s="871">
        <v>25</v>
      </c>
      <c r="AG174" s="871">
        <v>28.75</v>
      </c>
      <c r="AH174" s="871">
        <v>45.45</v>
      </c>
      <c r="AI174" s="871">
        <v>50</v>
      </c>
      <c r="AJ174" s="871"/>
      <c r="AK174" s="871"/>
      <c r="AL174" s="871"/>
      <c r="AM174" s="871"/>
      <c r="AN174" s="871"/>
      <c r="AO174" s="871"/>
      <c r="AP174" s="871"/>
    </row>
    <row r="175" spans="1:42" s="868" customFormat="1" ht="14" customHeight="1">
      <c r="A175" s="866">
        <v>174</v>
      </c>
      <c r="B175" s="867" t="s">
        <v>2548</v>
      </c>
      <c r="C175" s="867" t="s">
        <v>40</v>
      </c>
      <c r="D175" s="867" t="s">
        <v>2450</v>
      </c>
      <c r="E175" s="867" t="s">
        <v>920</v>
      </c>
      <c r="F175" s="867" t="s">
        <v>813</v>
      </c>
      <c r="G175" s="867">
        <v>3</v>
      </c>
      <c r="H175" s="869">
        <v>0.9</v>
      </c>
      <c r="I175" s="869">
        <v>3</v>
      </c>
      <c r="J175" s="869">
        <f t="shared" si="11"/>
        <v>8.1000000000000014</v>
      </c>
      <c r="K175" s="869">
        <f t="shared" si="12"/>
        <v>1.0530000000000002</v>
      </c>
      <c r="L175" s="868">
        <v>0</v>
      </c>
      <c r="M175" s="867" t="s">
        <v>47</v>
      </c>
      <c r="N175" s="866">
        <v>2050</v>
      </c>
      <c r="O175" s="867" t="s">
        <v>2383</v>
      </c>
      <c r="P175" s="870">
        <v>5415058045401</v>
      </c>
      <c r="Q175" s="867" t="s">
        <v>2474</v>
      </c>
      <c r="R175" s="871">
        <v>13</v>
      </c>
      <c r="S175" s="871">
        <v>14.95</v>
      </c>
      <c r="T175" s="871">
        <v>13</v>
      </c>
      <c r="U175" s="871">
        <v>14.95</v>
      </c>
      <c r="V175" s="871">
        <v>14.3</v>
      </c>
      <c r="W175" s="871">
        <v>16.45</v>
      </c>
      <c r="X175" s="871">
        <v>14.3</v>
      </c>
      <c r="Y175" s="871">
        <v>16.45</v>
      </c>
      <c r="Z175" s="871">
        <v>26</v>
      </c>
      <c r="AA175" s="871">
        <v>30</v>
      </c>
      <c r="AB175" s="871">
        <v>35</v>
      </c>
      <c r="AC175" s="871">
        <v>40.25</v>
      </c>
      <c r="AD175" s="871">
        <v>55</v>
      </c>
      <c r="AE175" s="871">
        <v>60.5</v>
      </c>
      <c r="AF175" s="871">
        <v>25</v>
      </c>
      <c r="AG175" s="871">
        <v>28.75</v>
      </c>
      <c r="AH175" s="871">
        <v>45.45</v>
      </c>
      <c r="AI175" s="871">
        <v>50</v>
      </c>
      <c r="AJ175" s="871"/>
      <c r="AK175" s="871"/>
      <c r="AL175" s="871"/>
      <c r="AM175" s="871"/>
      <c r="AN175" s="871"/>
      <c r="AO175" s="871"/>
      <c r="AP175" s="871"/>
    </row>
    <row r="176" spans="1:42" s="868" customFormat="1" ht="14" customHeight="1">
      <c r="A176" s="866">
        <v>175</v>
      </c>
      <c r="B176" s="867" t="s">
        <v>2549</v>
      </c>
      <c r="C176" s="867" t="s">
        <v>40</v>
      </c>
      <c r="D176" s="867" t="s">
        <v>2450</v>
      </c>
      <c r="E176" s="867" t="s">
        <v>926</v>
      </c>
      <c r="F176" s="867" t="s">
        <v>913</v>
      </c>
      <c r="G176" s="867">
        <v>2</v>
      </c>
      <c r="H176" s="869">
        <v>0.9</v>
      </c>
      <c r="I176" s="869">
        <v>3</v>
      </c>
      <c r="J176" s="869">
        <f t="shared" si="11"/>
        <v>5.4</v>
      </c>
      <c r="K176" s="869">
        <f t="shared" si="12"/>
        <v>0.70199999999999996</v>
      </c>
      <c r="L176" s="868">
        <v>0</v>
      </c>
      <c r="M176" s="867" t="s">
        <v>47</v>
      </c>
      <c r="N176" s="866">
        <v>2050</v>
      </c>
      <c r="O176" s="867" t="s">
        <v>2383</v>
      </c>
      <c r="P176" s="870">
        <v>5415058025380</v>
      </c>
      <c r="Q176" s="867" t="s">
        <v>2474</v>
      </c>
      <c r="R176" s="871">
        <v>13</v>
      </c>
      <c r="S176" s="871">
        <v>14.95</v>
      </c>
      <c r="T176" s="871">
        <v>13</v>
      </c>
      <c r="U176" s="871">
        <v>14.95</v>
      </c>
      <c r="V176" s="871">
        <v>14.3</v>
      </c>
      <c r="W176" s="871">
        <v>16.45</v>
      </c>
      <c r="X176" s="871">
        <v>14.3</v>
      </c>
      <c r="Y176" s="871">
        <v>16.45</v>
      </c>
      <c r="Z176" s="871">
        <v>26</v>
      </c>
      <c r="AA176" s="871">
        <v>30</v>
      </c>
      <c r="AB176" s="871">
        <v>35</v>
      </c>
      <c r="AC176" s="871">
        <v>40.25</v>
      </c>
      <c r="AD176" s="871">
        <v>55</v>
      </c>
      <c r="AE176" s="871">
        <v>60.5</v>
      </c>
      <c r="AF176" s="871">
        <v>25</v>
      </c>
      <c r="AG176" s="871">
        <v>28.75</v>
      </c>
      <c r="AH176" s="871">
        <v>45.45</v>
      </c>
      <c r="AI176" s="871">
        <v>50</v>
      </c>
      <c r="AJ176" s="871"/>
      <c r="AK176" s="871"/>
      <c r="AL176" s="871"/>
      <c r="AM176" s="871"/>
      <c r="AN176" s="871"/>
      <c r="AO176" s="871"/>
      <c r="AP176" s="871"/>
    </row>
    <row r="177" spans="1:42" s="868" customFormat="1" ht="14" customHeight="1">
      <c r="A177" s="866">
        <v>176</v>
      </c>
      <c r="B177" s="867" t="s">
        <v>2550</v>
      </c>
      <c r="C177" s="867" t="s">
        <v>40</v>
      </c>
      <c r="D177" s="867" t="s">
        <v>2450</v>
      </c>
      <c r="E177" s="867" t="s">
        <v>926</v>
      </c>
      <c r="F177" s="867" t="s">
        <v>835</v>
      </c>
      <c r="G177" s="867">
        <v>2</v>
      </c>
      <c r="H177" s="869">
        <v>0.9</v>
      </c>
      <c r="I177" s="869">
        <v>3</v>
      </c>
      <c r="J177" s="869">
        <f t="shared" si="11"/>
        <v>5.4</v>
      </c>
      <c r="K177" s="869">
        <f t="shared" si="12"/>
        <v>0.70199999999999996</v>
      </c>
      <c r="L177" s="868">
        <v>0</v>
      </c>
      <c r="M177" s="867" t="s">
        <v>47</v>
      </c>
      <c r="N177" s="866">
        <v>2050</v>
      </c>
      <c r="O177" s="867" t="s">
        <v>2383</v>
      </c>
      <c r="P177" s="870">
        <v>5415058025397</v>
      </c>
      <c r="Q177" s="867" t="s">
        <v>2474</v>
      </c>
      <c r="R177" s="871">
        <v>13</v>
      </c>
      <c r="S177" s="871">
        <v>14.95</v>
      </c>
      <c r="T177" s="871">
        <v>13</v>
      </c>
      <c r="U177" s="871">
        <v>14.95</v>
      </c>
      <c r="V177" s="871">
        <v>14.3</v>
      </c>
      <c r="W177" s="871">
        <v>16.45</v>
      </c>
      <c r="X177" s="871">
        <v>14.3</v>
      </c>
      <c r="Y177" s="871">
        <v>16.45</v>
      </c>
      <c r="Z177" s="871">
        <v>26</v>
      </c>
      <c r="AA177" s="871">
        <v>30</v>
      </c>
      <c r="AB177" s="871">
        <v>35</v>
      </c>
      <c r="AC177" s="871">
        <v>40.25</v>
      </c>
      <c r="AD177" s="871">
        <v>55</v>
      </c>
      <c r="AE177" s="871">
        <v>60.5</v>
      </c>
      <c r="AF177" s="871">
        <v>25</v>
      </c>
      <c r="AG177" s="871">
        <v>28.75</v>
      </c>
      <c r="AH177" s="871">
        <v>45.45</v>
      </c>
      <c r="AI177" s="871">
        <v>50</v>
      </c>
      <c r="AJ177" s="871"/>
      <c r="AK177" s="871"/>
      <c r="AL177" s="871"/>
      <c r="AM177" s="871"/>
      <c r="AN177" s="871"/>
      <c r="AO177" s="871"/>
      <c r="AP177" s="871"/>
    </row>
    <row r="178" spans="1:42" s="868" customFormat="1" ht="14" customHeight="1">
      <c r="A178" s="866">
        <v>177</v>
      </c>
      <c r="B178" s="867" t="s">
        <v>2551</v>
      </c>
      <c r="C178" s="867" t="s">
        <v>40</v>
      </c>
      <c r="D178" s="867" t="s">
        <v>2450</v>
      </c>
      <c r="E178" s="867" t="s">
        <v>926</v>
      </c>
      <c r="F178" s="867" t="s">
        <v>813</v>
      </c>
      <c r="G178" s="867">
        <v>2</v>
      </c>
      <c r="H178" s="869">
        <v>0.9</v>
      </c>
      <c r="I178" s="869">
        <v>3</v>
      </c>
      <c r="J178" s="869">
        <f t="shared" si="11"/>
        <v>5.4</v>
      </c>
      <c r="K178" s="869">
        <f t="shared" si="12"/>
        <v>0.70199999999999996</v>
      </c>
      <c r="L178" s="868">
        <v>0</v>
      </c>
      <c r="M178" s="867" t="s">
        <v>47</v>
      </c>
      <c r="N178" s="866">
        <v>2050</v>
      </c>
      <c r="O178" s="867" t="s">
        <v>2383</v>
      </c>
      <c r="P178" s="870">
        <v>5415058025403</v>
      </c>
      <c r="Q178" s="867" t="s">
        <v>2474</v>
      </c>
      <c r="R178" s="871">
        <v>13</v>
      </c>
      <c r="S178" s="871">
        <v>14.95</v>
      </c>
      <c r="T178" s="871">
        <v>13</v>
      </c>
      <c r="U178" s="871">
        <v>14.95</v>
      </c>
      <c r="V178" s="871">
        <v>14.3</v>
      </c>
      <c r="W178" s="871">
        <v>16.45</v>
      </c>
      <c r="X178" s="871">
        <v>14.3</v>
      </c>
      <c r="Y178" s="871">
        <v>16.45</v>
      </c>
      <c r="Z178" s="871">
        <v>26</v>
      </c>
      <c r="AA178" s="871">
        <v>30</v>
      </c>
      <c r="AB178" s="871">
        <v>35</v>
      </c>
      <c r="AC178" s="871">
        <v>40.25</v>
      </c>
      <c r="AD178" s="871">
        <v>55</v>
      </c>
      <c r="AE178" s="871">
        <v>60.5</v>
      </c>
      <c r="AF178" s="871">
        <v>25</v>
      </c>
      <c r="AG178" s="871">
        <v>28.75</v>
      </c>
      <c r="AH178" s="871">
        <v>45.45</v>
      </c>
      <c r="AI178" s="871">
        <v>50</v>
      </c>
      <c r="AJ178" s="871"/>
      <c r="AK178" s="871"/>
      <c r="AL178" s="871"/>
      <c r="AM178" s="871"/>
      <c r="AN178" s="871"/>
      <c r="AO178" s="871"/>
      <c r="AP178" s="871"/>
    </row>
    <row r="179" spans="1:42" s="868" customFormat="1" ht="14" customHeight="1">
      <c r="A179" s="866">
        <v>178</v>
      </c>
      <c r="B179" s="867" t="s">
        <v>2552</v>
      </c>
      <c r="C179" s="867" t="s">
        <v>40</v>
      </c>
      <c r="D179" s="867" t="s">
        <v>2450</v>
      </c>
      <c r="E179" s="867" t="s">
        <v>926</v>
      </c>
      <c r="F179" s="867" t="s">
        <v>791</v>
      </c>
      <c r="G179" s="867">
        <v>2</v>
      </c>
      <c r="H179" s="869">
        <v>0.9</v>
      </c>
      <c r="I179" s="869">
        <v>3</v>
      </c>
      <c r="J179" s="869">
        <f t="shared" si="11"/>
        <v>5.4</v>
      </c>
      <c r="K179" s="869">
        <f t="shared" si="12"/>
        <v>0.70199999999999996</v>
      </c>
      <c r="L179" s="868">
        <v>0</v>
      </c>
      <c r="M179" s="867" t="s">
        <v>47</v>
      </c>
      <c r="N179" s="866">
        <v>2050</v>
      </c>
      <c r="O179" s="867" t="s">
        <v>2383</v>
      </c>
      <c r="P179" s="870">
        <v>5415058025410</v>
      </c>
      <c r="Q179" s="867" t="s">
        <v>2474</v>
      </c>
      <c r="R179" s="871">
        <v>13</v>
      </c>
      <c r="S179" s="871">
        <v>14.95</v>
      </c>
      <c r="T179" s="871">
        <v>13</v>
      </c>
      <c r="U179" s="871">
        <v>14.95</v>
      </c>
      <c r="V179" s="871">
        <v>14.3</v>
      </c>
      <c r="W179" s="871">
        <v>16.45</v>
      </c>
      <c r="X179" s="871">
        <v>14.3</v>
      </c>
      <c r="Y179" s="871">
        <v>16.45</v>
      </c>
      <c r="Z179" s="871">
        <v>26</v>
      </c>
      <c r="AA179" s="871">
        <v>30</v>
      </c>
      <c r="AB179" s="871">
        <v>35</v>
      </c>
      <c r="AC179" s="871">
        <v>40.25</v>
      </c>
      <c r="AD179" s="871">
        <v>55</v>
      </c>
      <c r="AE179" s="871">
        <v>60.5</v>
      </c>
      <c r="AF179" s="871">
        <v>25</v>
      </c>
      <c r="AG179" s="871">
        <v>28.75</v>
      </c>
      <c r="AH179" s="871">
        <v>45.45</v>
      </c>
      <c r="AI179" s="871">
        <v>50</v>
      </c>
      <c r="AJ179" s="871"/>
      <c r="AK179" s="871"/>
      <c r="AL179" s="871"/>
      <c r="AM179" s="871"/>
      <c r="AN179" s="871"/>
      <c r="AO179" s="871"/>
      <c r="AP179" s="871"/>
    </row>
    <row r="180" spans="1:42" s="868" customFormat="1" ht="14" customHeight="1">
      <c r="A180" s="866">
        <v>179</v>
      </c>
      <c r="B180" s="867" t="s">
        <v>2553</v>
      </c>
      <c r="C180" s="867" t="s">
        <v>40</v>
      </c>
      <c r="D180" s="867" t="s">
        <v>2450</v>
      </c>
      <c r="E180" s="867" t="s">
        <v>931</v>
      </c>
      <c r="F180" s="867" t="s">
        <v>892</v>
      </c>
      <c r="G180" s="867">
        <v>4</v>
      </c>
      <c r="H180" s="869">
        <v>0.53</v>
      </c>
      <c r="I180" s="869">
        <v>3</v>
      </c>
      <c r="J180" s="869">
        <f t="shared" si="11"/>
        <v>6.36</v>
      </c>
      <c r="K180" s="869">
        <f t="shared" si="12"/>
        <v>0.82680000000000009</v>
      </c>
      <c r="L180" s="868">
        <v>0</v>
      </c>
      <c r="M180" s="867" t="s">
        <v>47</v>
      </c>
      <c r="N180" s="866">
        <v>2050</v>
      </c>
      <c r="O180" s="867" t="s">
        <v>2587</v>
      </c>
      <c r="P180" s="870">
        <v>5415058025892</v>
      </c>
      <c r="Q180" s="867" t="s">
        <v>2474</v>
      </c>
      <c r="R180" s="871">
        <v>13</v>
      </c>
      <c r="S180" s="871">
        <v>14.95</v>
      </c>
      <c r="T180" s="871">
        <v>13</v>
      </c>
      <c r="U180" s="871">
        <v>14.95</v>
      </c>
      <c r="V180" s="871">
        <v>14.3</v>
      </c>
      <c r="W180" s="871">
        <v>16.45</v>
      </c>
      <c r="X180" s="871">
        <v>14.3</v>
      </c>
      <c r="Y180" s="871">
        <v>16.45</v>
      </c>
      <c r="Z180" s="871">
        <v>26</v>
      </c>
      <c r="AA180" s="871">
        <v>30</v>
      </c>
      <c r="AB180" s="871">
        <v>35</v>
      </c>
      <c r="AC180" s="871">
        <v>40.25</v>
      </c>
      <c r="AD180" s="871">
        <v>55</v>
      </c>
      <c r="AE180" s="871">
        <v>60.5</v>
      </c>
      <c r="AF180" s="871">
        <v>25</v>
      </c>
      <c r="AG180" s="871">
        <v>28.75</v>
      </c>
      <c r="AH180" s="871">
        <v>45.45</v>
      </c>
      <c r="AI180" s="871">
        <v>50</v>
      </c>
      <c r="AJ180" s="871"/>
      <c r="AK180" s="871"/>
      <c r="AL180" s="871"/>
      <c r="AM180" s="871"/>
      <c r="AN180" s="871"/>
      <c r="AO180" s="871"/>
      <c r="AP180" s="871"/>
    </row>
    <row r="181" spans="1:42" s="868" customFormat="1" ht="14" customHeight="1">
      <c r="A181" s="866">
        <v>180</v>
      </c>
      <c r="B181" s="867" t="s">
        <v>2554</v>
      </c>
      <c r="C181" s="867" t="s">
        <v>40</v>
      </c>
      <c r="D181" s="867" t="s">
        <v>2450</v>
      </c>
      <c r="E181" s="867" t="s">
        <v>931</v>
      </c>
      <c r="F181" s="867" t="s">
        <v>905</v>
      </c>
      <c r="G181" s="867">
        <v>4</v>
      </c>
      <c r="H181" s="869">
        <v>0.53</v>
      </c>
      <c r="I181" s="869">
        <v>3</v>
      </c>
      <c r="J181" s="869">
        <f t="shared" si="11"/>
        <v>6.36</v>
      </c>
      <c r="K181" s="869">
        <f t="shared" si="12"/>
        <v>0.82680000000000009</v>
      </c>
      <c r="L181" s="868">
        <v>0</v>
      </c>
      <c r="M181" s="867" t="s">
        <v>47</v>
      </c>
      <c r="N181" s="866">
        <v>2050</v>
      </c>
      <c r="O181" s="867" t="s">
        <v>2587</v>
      </c>
      <c r="P181" s="870">
        <v>5415058025908</v>
      </c>
      <c r="Q181" s="867" t="s">
        <v>2474</v>
      </c>
      <c r="R181" s="871">
        <v>13</v>
      </c>
      <c r="S181" s="871">
        <v>14.95</v>
      </c>
      <c r="T181" s="871">
        <v>13</v>
      </c>
      <c r="U181" s="871">
        <v>14.95</v>
      </c>
      <c r="V181" s="871">
        <v>14.3</v>
      </c>
      <c r="W181" s="871">
        <v>16.45</v>
      </c>
      <c r="X181" s="871">
        <v>14.3</v>
      </c>
      <c r="Y181" s="871">
        <v>16.45</v>
      </c>
      <c r="Z181" s="871">
        <v>26</v>
      </c>
      <c r="AA181" s="871">
        <v>30</v>
      </c>
      <c r="AB181" s="871">
        <v>35</v>
      </c>
      <c r="AC181" s="871">
        <v>40.25</v>
      </c>
      <c r="AD181" s="871">
        <v>55</v>
      </c>
      <c r="AE181" s="871">
        <v>60.5</v>
      </c>
      <c r="AF181" s="871">
        <v>25</v>
      </c>
      <c r="AG181" s="871">
        <v>28.75</v>
      </c>
      <c r="AH181" s="871">
        <v>45.45</v>
      </c>
      <c r="AI181" s="871">
        <v>50</v>
      </c>
      <c r="AJ181" s="871"/>
      <c r="AK181" s="871"/>
      <c r="AL181" s="871"/>
      <c r="AM181" s="871"/>
      <c r="AN181" s="871"/>
      <c r="AO181" s="871"/>
      <c r="AP181" s="871"/>
    </row>
    <row r="182" spans="1:42" s="868" customFormat="1" ht="14" customHeight="1">
      <c r="A182" s="866">
        <v>181</v>
      </c>
      <c r="B182" s="867" t="s">
        <v>2555</v>
      </c>
      <c r="C182" s="867" t="s">
        <v>40</v>
      </c>
      <c r="D182" s="867" t="s">
        <v>2450</v>
      </c>
      <c r="E182" s="867" t="s">
        <v>931</v>
      </c>
      <c r="F182" s="867" t="s">
        <v>791</v>
      </c>
      <c r="G182" s="867">
        <v>4</v>
      </c>
      <c r="H182" s="869">
        <v>0.53</v>
      </c>
      <c r="I182" s="869">
        <v>3</v>
      </c>
      <c r="J182" s="869">
        <f t="shared" si="11"/>
        <v>6.36</v>
      </c>
      <c r="K182" s="869">
        <f t="shared" si="12"/>
        <v>0.82680000000000009</v>
      </c>
      <c r="L182" s="868">
        <v>0</v>
      </c>
      <c r="M182" s="867" t="s">
        <v>47</v>
      </c>
      <c r="N182" s="866">
        <v>2050</v>
      </c>
      <c r="O182" s="867" t="s">
        <v>2587</v>
      </c>
      <c r="P182" s="870">
        <v>5415058025915</v>
      </c>
      <c r="Q182" s="867" t="s">
        <v>2474</v>
      </c>
      <c r="R182" s="871">
        <v>13</v>
      </c>
      <c r="S182" s="871">
        <v>14.95</v>
      </c>
      <c r="T182" s="871">
        <v>13</v>
      </c>
      <c r="U182" s="871">
        <v>14.95</v>
      </c>
      <c r="V182" s="871">
        <v>14.3</v>
      </c>
      <c r="W182" s="871">
        <v>16.45</v>
      </c>
      <c r="X182" s="871">
        <v>14.3</v>
      </c>
      <c r="Y182" s="871">
        <v>16.45</v>
      </c>
      <c r="Z182" s="871">
        <v>26</v>
      </c>
      <c r="AA182" s="871">
        <v>30</v>
      </c>
      <c r="AB182" s="871">
        <v>35</v>
      </c>
      <c r="AC182" s="871">
        <v>40.25</v>
      </c>
      <c r="AD182" s="871">
        <v>55</v>
      </c>
      <c r="AE182" s="871">
        <v>60.5</v>
      </c>
      <c r="AF182" s="871">
        <v>25</v>
      </c>
      <c r="AG182" s="871">
        <v>28.75</v>
      </c>
      <c r="AH182" s="871">
        <v>45.45</v>
      </c>
      <c r="AI182" s="871">
        <v>50</v>
      </c>
      <c r="AJ182" s="871"/>
      <c r="AK182" s="871"/>
      <c r="AL182" s="871"/>
      <c r="AM182" s="871"/>
      <c r="AN182" s="871"/>
      <c r="AO182" s="871"/>
      <c r="AP182" s="871"/>
    </row>
    <row r="183" spans="1:42" s="868" customFormat="1" ht="14" customHeight="1">
      <c r="A183" s="866">
        <v>182</v>
      </c>
      <c r="B183" s="867" t="s">
        <v>2556</v>
      </c>
      <c r="C183" s="867" t="s">
        <v>40</v>
      </c>
      <c r="D183" s="867" t="s">
        <v>2450</v>
      </c>
      <c r="E183" s="867" t="s">
        <v>931</v>
      </c>
      <c r="F183" s="867" t="s">
        <v>793</v>
      </c>
      <c r="G183" s="867">
        <v>4</v>
      </c>
      <c r="H183" s="869">
        <v>0.53</v>
      </c>
      <c r="I183" s="869">
        <v>3</v>
      </c>
      <c r="J183" s="869">
        <f t="shared" si="11"/>
        <v>6.36</v>
      </c>
      <c r="K183" s="869">
        <f t="shared" si="12"/>
        <v>0.82680000000000009</v>
      </c>
      <c r="L183" s="868">
        <v>0</v>
      </c>
      <c r="M183" s="867" t="s">
        <v>47</v>
      </c>
      <c r="N183" s="866">
        <v>2050</v>
      </c>
      <c r="O183" s="867" t="s">
        <v>2587</v>
      </c>
      <c r="P183" s="870">
        <v>5415058025922</v>
      </c>
      <c r="Q183" s="867" t="s">
        <v>2474</v>
      </c>
      <c r="R183" s="871">
        <v>13</v>
      </c>
      <c r="S183" s="871">
        <v>14.95</v>
      </c>
      <c r="T183" s="871">
        <v>13</v>
      </c>
      <c r="U183" s="871">
        <v>14.95</v>
      </c>
      <c r="V183" s="871">
        <v>14.3</v>
      </c>
      <c r="W183" s="871">
        <v>16.45</v>
      </c>
      <c r="X183" s="871">
        <v>14.3</v>
      </c>
      <c r="Y183" s="871">
        <v>16.45</v>
      </c>
      <c r="Z183" s="871">
        <v>26</v>
      </c>
      <c r="AA183" s="871">
        <v>30</v>
      </c>
      <c r="AB183" s="871">
        <v>35</v>
      </c>
      <c r="AC183" s="871">
        <v>40.25</v>
      </c>
      <c r="AD183" s="871">
        <v>55</v>
      </c>
      <c r="AE183" s="871">
        <v>60.5</v>
      </c>
      <c r="AF183" s="871">
        <v>25</v>
      </c>
      <c r="AG183" s="871">
        <v>28.75</v>
      </c>
      <c r="AH183" s="871">
        <v>45.45</v>
      </c>
      <c r="AI183" s="871">
        <v>50</v>
      </c>
      <c r="AJ183" s="871"/>
      <c r="AK183" s="871"/>
      <c r="AL183" s="871"/>
      <c r="AM183" s="871"/>
      <c r="AN183" s="871"/>
      <c r="AO183" s="871"/>
      <c r="AP183" s="871"/>
    </row>
    <row r="184" spans="1:42" s="868" customFormat="1" ht="14" customHeight="1">
      <c r="A184" s="866">
        <v>183</v>
      </c>
      <c r="B184" s="867" t="s">
        <v>2557</v>
      </c>
      <c r="C184" s="867" t="s">
        <v>40</v>
      </c>
      <c r="D184" s="867" t="s">
        <v>2450</v>
      </c>
      <c r="E184" s="867" t="s">
        <v>936</v>
      </c>
      <c r="F184" s="867" t="s">
        <v>793</v>
      </c>
      <c r="G184" s="867">
        <v>6</v>
      </c>
      <c r="H184" s="869">
        <v>0.53</v>
      </c>
      <c r="I184" s="869">
        <v>3</v>
      </c>
      <c r="J184" s="869">
        <f t="shared" si="11"/>
        <v>9.5400000000000009</v>
      </c>
      <c r="K184" s="869">
        <f t="shared" si="12"/>
        <v>1.2402</v>
      </c>
      <c r="L184" s="868">
        <v>0</v>
      </c>
      <c r="M184" s="867" t="s">
        <v>47</v>
      </c>
      <c r="N184" s="866">
        <v>2050</v>
      </c>
      <c r="O184" s="867" t="s">
        <v>2587</v>
      </c>
      <c r="P184" s="870">
        <v>5415058026073</v>
      </c>
      <c r="Q184" s="867" t="s">
        <v>2474</v>
      </c>
      <c r="R184" s="871">
        <v>13</v>
      </c>
      <c r="S184" s="871">
        <v>14.95</v>
      </c>
      <c r="T184" s="871">
        <v>13</v>
      </c>
      <c r="U184" s="871">
        <v>14.95</v>
      </c>
      <c r="V184" s="871">
        <v>14.3</v>
      </c>
      <c r="W184" s="871">
        <v>16.45</v>
      </c>
      <c r="X184" s="871">
        <v>14.3</v>
      </c>
      <c r="Y184" s="871">
        <v>16.45</v>
      </c>
      <c r="Z184" s="871">
        <v>26</v>
      </c>
      <c r="AA184" s="871">
        <v>30</v>
      </c>
      <c r="AB184" s="871">
        <v>35</v>
      </c>
      <c r="AC184" s="871">
        <v>40.25</v>
      </c>
      <c r="AD184" s="871">
        <v>55</v>
      </c>
      <c r="AE184" s="871">
        <v>60.5</v>
      </c>
      <c r="AF184" s="871">
        <v>25</v>
      </c>
      <c r="AG184" s="871">
        <v>28.75</v>
      </c>
      <c r="AH184" s="871">
        <v>45.45</v>
      </c>
      <c r="AI184" s="871">
        <v>50</v>
      </c>
      <c r="AJ184" s="871"/>
      <c r="AK184" s="871"/>
      <c r="AL184" s="871"/>
      <c r="AM184" s="871"/>
      <c r="AN184" s="871"/>
      <c r="AO184" s="871"/>
      <c r="AP184" s="871"/>
    </row>
    <row r="185" spans="1:42" s="868" customFormat="1" ht="14" customHeight="1">
      <c r="A185" s="866">
        <v>184</v>
      </c>
      <c r="B185" s="867" t="s">
        <v>2558</v>
      </c>
      <c r="C185" s="867" t="s">
        <v>40</v>
      </c>
      <c r="D185" s="867" t="s">
        <v>2450</v>
      </c>
      <c r="E185" s="867" t="s">
        <v>936</v>
      </c>
      <c r="F185" s="867" t="s">
        <v>515</v>
      </c>
      <c r="G185" s="867">
        <v>6</v>
      </c>
      <c r="H185" s="869">
        <v>0.53</v>
      </c>
      <c r="I185" s="869">
        <v>3</v>
      </c>
      <c r="J185" s="869">
        <f t="shared" si="11"/>
        <v>9.5400000000000009</v>
      </c>
      <c r="K185" s="869">
        <f t="shared" si="12"/>
        <v>1.2402</v>
      </c>
      <c r="L185" s="868">
        <v>0</v>
      </c>
      <c r="M185" s="867" t="s">
        <v>47</v>
      </c>
      <c r="N185" s="866">
        <v>2050</v>
      </c>
      <c r="O185" s="867" t="s">
        <v>2587</v>
      </c>
      <c r="P185" s="870">
        <v>5415058026080</v>
      </c>
      <c r="Q185" s="867" t="s">
        <v>2474</v>
      </c>
      <c r="R185" s="871">
        <v>13</v>
      </c>
      <c r="S185" s="871">
        <v>14.95</v>
      </c>
      <c r="T185" s="871">
        <v>13</v>
      </c>
      <c r="U185" s="871">
        <v>14.95</v>
      </c>
      <c r="V185" s="871">
        <v>14.3</v>
      </c>
      <c r="W185" s="871">
        <v>16.45</v>
      </c>
      <c r="X185" s="871">
        <v>14.3</v>
      </c>
      <c r="Y185" s="871">
        <v>16.45</v>
      </c>
      <c r="Z185" s="871">
        <v>26</v>
      </c>
      <c r="AA185" s="871">
        <v>30</v>
      </c>
      <c r="AB185" s="871">
        <v>35</v>
      </c>
      <c r="AC185" s="871">
        <v>40.25</v>
      </c>
      <c r="AD185" s="871">
        <v>55</v>
      </c>
      <c r="AE185" s="871">
        <v>60.5</v>
      </c>
      <c r="AF185" s="871">
        <v>25</v>
      </c>
      <c r="AG185" s="871">
        <v>28.75</v>
      </c>
      <c r="AH185" s="871">
        <v>45.45</v>
      </c>
      <c r="AI185" s="871">
        <v>50</v>
      </c>
      <c r="AJ185" s="871"/>
      <c r="AK185" s="871"/>
      <c r="AL185" s="871"/>
      <c r="AM185" s="871"/>
      <c r="AN185" s="871"/>
      <c r="AO185" s="871"/>
      <c r="AP185" s="871"/>
    </row>
    <row r="186" spans="1:42" s="868" customFormat="1" ht="14" customHeight="1">
      <c r="A186" s="866">
        <v>185</v>
      </c>
      <c r="B186" s="867" t="s">
        <v>2559</v>
      </c>
      <c r="C186" s="867" t="s">
        <v>40</v>
      </c>
      <c r="D186" s="867" t="s">
        <v>2450</v>
      </c>
      <c r="E186" s="867" t="s">
        <v>936</v>
      </c>
      <c r="F186" s="867" t="s">
        <v>892</v>
      </c>
      <c r="G186" s="867">
        <v>6</v>
      </c>
      <c r="H186" s="869">
        <v>0.53</v>
      </c>
      <c r="I186" s="869">
        <v>3</v>
      </c>
      <c r="J186" s="869">
        <f t="shared" si="11"/>
        <v>9.5400000000000009</v>
      </c>
      <c r="K186" s="869">
        <f t="shared" si="12"/>
        <v>1.2402</v>
      </c>
      <c r="L186" s="868">
        <v>0</v>
      </c>
      <c r="M186" s="867" t="s">
        <v>47</v>
      </c>
      <c r="N186" s="866">
        <v>2050</v>
      </c>
      <c r="O186" s="867" t="s">
        <v>2587</v>
      </c>
      <c r="P186" s="870">
        <v>5415058026097</v>
      </c>
      <c r="Q186" s="867" t="s">
        <v>2474</v>
      </c>
      <c r="R186" s="871">
        <v>13</v>
      </c>
      <c r="S186" s="871">
        <v>14.95</v>
      </c>
      <c r="T186" s="871">
        <v>13</v>
      </c>
      <c r="U186" s="871">
        <v>14.95</v>
      </c>
      <c r="V186" s="871">
        <v>14.3</v>
      </c>
      <c r="W186" s="871">
        <v>16.45</v>
      </c>
      <c r="X186" s="871">
        <v>14.3</v>
      </c>
      <c r="Y186" s="871">
        <v>16.45</v>
      </c>
      <c r="Z186" s="871">
        <v>26</v>
      </c>
      <c r="AA186" s="871">
        <v>30</v>
      </c>
      <c r="AB186" s="871">
        <v>35</v>
      </c>
      <c r="AC186" s="871">
        <v>40.25</v>
      </c>
      <c r="AD186" s="871">
        <v>55</v>
      </c>
      <c r="AE186" s="871">
        <v>60.5</v>
      </c>
      <c r="AF186" s="871">
        <v>25</v>
      </c>
      <c r="AG186" s="871">
        <v>28.75</v>
      </c>
      <c r="AH186" s="871">
        <v>45.45</v>
      </c>
      <c r="AI186" s="871">
        <v>50</v>
      </c>
      <c r="AJ186" s="871"/>
      <c r="AK186" s="871"/>
      <c r="AL186" s="871"/>
      <c r="AM186" s="871"/>
      <c r="AN186" s="871"/>
      <c r="AO186" s="871"/>
      <c r="AP186" s="871"/>
    </row>
    <row r="187" spans="1:42" s="868" customFormat="1" ht="14" customHeight="1">
      <c r="A187" s="866">
        <v>186</v>
      </c>
      <c r="B187" s="867" t="s">
        <v>2560</v>
      </c>
      <c r="C187" s="867" t="s">
        <v>40</v>
      </c>
      <c r="D187" s="867" t="s">
        <v>2450</v>
      </c>
      <c r="E187" s="867" t="s">
        <v>936</v>
      </c>
      <c r="F187" s="867" t="s">
        <v>813</v>
      </c>
      <c r="G187" s="867">
        <v>6</v>
      </c>
      <c r="H187" s="869">
        <v>0.53</v>
      </c>
      <c r="I187" s="869">
        <v>3</v>
      </c>
      <c r="J187" s="869">
        <f t="shared" si="11"/>
        <v>9.5400000000000009</v>
      </c>
      <c r="K187" s="869">
        <f t="shared" si="12"/>
        <v>1.2402</v>
      </c>
      <c r="L187" s="868">
        <v>0</v>
      </c>
      <c r="M187" s="867" t="s">
        <v>47</v>
      </c>
      <c r="N187" s="866">
        <v>2050</v>
      </c>
      <c r="O187" s="867" t="s">
        <v>2587</v>
      </c>
      <c r="P187" s="870">
        <v>5415058026103</v>
      </c>
      <c r="Q187" s="867" t="s">
        <v>2474</v>
      </c>
      <c r="R187" s="871">
        <v>13</v>
      </c>
      <c r="S187" s="871">
        <v>14.95</v>
      </c>
      <c r="T187" s="871">
        <v>13</v>
      </c>
      <c r="U187" s="871">
        <v>14.95</v>
      </c>
      <c r="V187" s="871">
        <v>14.3</v>
      </c>
      <c r="W187" s="871">
        <v>16.45</v>
      </c>
      <c r="X187" s="871">
        <v>14.3</v>
      </c>
      <c r="Y187" s="871">
        <v>16.45</v>
      </c>
      <c r="Z187" s="871">
        <v>26</v>
      </c>
      <c r="AA187" s="871">
        <v>30</v>
      </c>
      <c r="AB187" s="871">
        <v>35</v>
      </c>
      <c r="AC187" s="871">
        <v>40.25</v>
      </c>
      <c r="AD187" s="871">
        <v>55</v>
      </c>
      <c r="AE187" s="871">
        <v>60.5</v>
      </c>
      <c r="AF187" s="871">
        <v>25</v>
      </c>
      <c r="AG187" s="871">
        <v>28.75</v>
      </c>
      <c r="AH187" s="871">
        <v>45.45</v>
      </c>
      <c r="AI187" s="871">
        <v>50</v>
      </c>
      <c r="AJ187" s="871"/>
      <c r="AK187" s="871"/>
      <c r="AL187" s="871"/>
      <c r="AM187" s="871"/>
      <c r="AN187" s="871"/>
      <c r="AO187" s="871"/>
      <c r="AP187" s="871"/>
    </row>
    <row r="188" spans="1:42" s="868" customFormat="1" ht="14" customHeight="1">
      <c r="A188" s="866">
        <v>187</v>
      </c>
      <c r="B188" s="867" t="s">
        <v>2561</v>
      </c>
      <c r="C188" s="867" t="s">
        <v>40</v>
      </c>
      <c r="D188" s="867" t="s">
        <v>2450</v>
      </c>
      <c r="E188" s="867" t="s">
        <v>941</v>
      </c>
      <c r="F188" s="867" t="s">
        <v>793</v>
      </c>
      <c r="G188" s="867">
        <v>4</v>
      </c>
      <c r="H188" s="869">
        <v>0.53</v>
      </c>
      <c r="I188" s="869">
        <v>3</v>
      </c>
      <c r="J188" s="869">
        <f t="shared" si="11"/>
        <v>6.36</v>
      </c>
      <c r="K188" s="869">
        <f t="shared" si="12"/>
        <v>0.82680000000000009</v>
      </c>
      <c r="L188" s="868">
        <v>0</v>
      </c>
      <c r="M188" s="867" t="s">
        <v>47</v>
      </c>
      <c r="N188" s="866">
        <v>2050</v>
      </c>
      <c r="O188" s="867" t="s">
        <v>2587</v>
      </c>
      <c r="P188" s="870">
        <v>5415058025533</v>
      </c>
      <c r="Q188" s="867" t="s">
        <v>2474</v>
      </c>
      <c r="R188" s="871">
        <v>13</v>
      </c>
      <c r="S188" s="871">
        <v>14.95</v>
      </c>
      <c r="T188" s="871">
        <v>13</v>
      </c>
      <c r="U188" s="871">
        <v>14.95</v>
      </c>
      <c r="V188" s="871">
        <v>14.3</v>
      </c>
      <c r="W188" s="871">
        <v>16.45</v>
      </c>
      <c r="X188" s="871">
        <v>14.3</v>
      </c>
      <c r="Y188" s="871">
        <v>16.45</v>
      </c>
      <c r="Z188" s="871">
        <v>26</v>
      </c>
      <c r="AA188" s="871">
        <v>30</v>
      </c>
      <c r="AB188" s="871">
        <v>35</v>
      </c>
      <c r="AC188" s="871">
        <v>40.25</v>
      </c>
      <c r="AD188" s="871">
        <v>55</v>
      </c>
      <c r="AE188" s="871">
        <v>60.5</v>
      </c>
      <c r="AF188" s="871">
        <v>25</v>
      </c>
      <c r="AG188" s="871">
        <v>28.75</v>
      </c>
      <c r="AH188" s="871">
        <v>45.45</v>
      </c>
      <c r="AI188" s="871">
        <v>50</v>
      </c>
      <c r="AJ188" s="871"/>
      <c r="AK188" s="871"/>
      <c r="AL188" s="871"/>
      <c r="AM188" s="871"/>
      <c r="AN188" s="871"/>
      <c r="AO188" s="871"/>
      <c r="AP188" s="871"/>
    </row>
    <row r="189" spans="1:42" s="868" customFormat="1" ht="14" customHeight="1">
      <c r="A189" s="866">
        <v>188</v>
      </c>
      <c r="B189" s="867" t="s">
        <v>2562</v>
      </c>
      <c r="C189" s="867" t="s">
        <v>40</v>
      </c>
      <c r="D189" s="867" t="s">
        <v>2450</v>
      </c>
      <c r="E189" s="867" t="s">
        <v>941</v>
      </c>
      <c r="F189" s="867" t="s">
        <v>835</v>
      </c>
      <c r="G189" s="867">
        <v>4</v>
      </c>
      <c r="H189" s="869">
        <v>0.53</v>
      </c>
      <c r="I189" s="869">
        <v>3</v>
      </c>
      <c r="J189" s="869">
        <f t="shared" si="11"/>
        <v>6.36</v>
      </c>
      <c r="K189" s="869">
        <f t="shared" si="12"/>
        <v>0.82680000000000009</v>
      </c>
      <c r="L189" s="868">
        <v>0</v>
      </c>
      <c r="M189" s="867" t="s">
        <v>47</v>
      </c>
      <c r="N189" s="866">
        <v>2050</v>
      </c>
      <c r="O189" s="867" t="s">
        <v>2587</v>
      </c>
      <c r="P189" s="870">
        <v>5415058025540</v>
      </c>
      <c r="Q189" s="867" t="s">
        <v>2474</v>
      </c>
      <c r="R189" s="871">
        <v>13</v>
      </c>
      <c r="S189" s="871">
        <v>14.95</v>
      </c>
      <c r="T189" s="871">
        <v>13</v>
      </c>
      <c r="U189" s="871">
        <v>14.95</v>
      </c>
      <c r="V189" s="871">
        <v>14.3</v>
      </c>
      <c r="W189" s="871">
        <v>16.45</v>
      </c>
      <c r="X189" s="871">
        <v>14.3</v>
      </c>
      <c r="Y189" s="871">
        <v>16.45</v>
      </c>
      <c r="Z189" s="871">
        <v>26</v>
      </c>
      <c r="AA189" s="871">
        <v>30</v>
      </c>
      <c r="AB189" s="871">
        <v>35</v>
      </c>
      <c r="AC189" s="871">
        <v>40.25</v>
      </c>
      <c r="AD189" s="871">
        <v>55</v>
      </c>
      <c r="AE189" s="871">
        <v>60.5</v>
      </c>
      <c r="AF189" s="871">
        <v>25</v>
      </c>
      <c r="AG189" s="871">
        <v>28.75</v>
      </c>
      <c r="AH189" s="871">
        <v>45.45</v>
      </c>
      <c r="AI189" s="871">
        <v>50</v>
      </c>
      <c r="AJ189" s="871"/>
      <c r="AK189" s="871"/>
      <c r="AL189" s="871"/>
      <c r="AM189" s="871"/>
      <c r="AN189" s="871"/>
      <c r="AO189" s="871"/>
      <c r="AP189" s="871"/>
    </row>
    <row r="190" spans="1:42" s="868" customFormat="1" ht="14" customHeight="1">
      <c r="A190" s="866">
        <v>189</v>
      </c>
      <c r="B190" s="867" t="s">
        <v>2563</v>
      </c>
      <c r="C190" s="867" t="s">
        <v>40</v>
      </c>
      <c r="D190" s="867" t="s">
        <v>2450</v>
      </c>
      <c r="E190" s="867" t="s">
        <v>941</v>
      </c>
      <c r="F190" s="867" t="s">
        <v>944</v>
      </c>
      <c r="G190" s="867">
        <v>4</v>
      </c>
      <c r="H190" s="869">
        <v>0.53</v>
      </c>
      <c r="I190" s="869">
        <v>3</v>
      </c>
      <c r="J190" s="869">
        <f t="shared" si="11"/>
        <v>6.36</v>
      </c>
      <c r="K190" s="869">
        <f t="shared" si="12"/>
        <v>0.82680000000000009</v>
      </c>
      <c r="L190" s="868">
        <v>0</v>
      </c>
      <c r="M190" s="867" t="s">
        <v>47</v>
      </c>
      <c r="N190" s="866">
        <v>2050</v>
      </c>
      <c r="O190" s="867" t="s">
        <v>2587</v>
      </c>
      <c r="P190" s="870">
        <v>5415058025557</v>
      </c>
      <c r="Q190" s="867" t="s">
        <v>2474</v>
      </c>
      <c r="R190" s="871">
        <v>13</v>
      </c>
      <c r="S190" s="871">
        <v>14.95</v>
      </c>
      <c r="T190" s="871">
        <v>13</v>
      </c>
      <c r="U190" s="871">
        <v>14.95</v>
      </c>
      <c r="V190" s="871">
        <v>14.3</v>
      </c>
      <c r="W190" s="871">
        <v>16.45</v>
      </c>
      <c r="X190" s="871">
        <v>14.3</v>
      </c>
      <c r="Y190" s="871">
        <v>16.45</v>
      </c>
      <c r="Z190" s="871">
        <v>26</v>
      </c>
      <c r="AA190" s="871">
        <v>30</v>
      </c>
      <c r="AB190" s="871">
        <v>35</v>
      </c>
      <c r="AC190" s="871">
        <v>40.25</v>
      </c>
      <c r="AD190" s="871">
        <v>55</v>
      </c>
      <c r="AE190" s="871">
        <v>60.5</v>
      </c>
      <c r="AF190" s="871">
        <v>25</v>
      </c>
      <c r="AG190" s="871">
        <v>28.75</v>
      </c>
      <c r="AH190" s="871">
        <v>45.45</v>
      </c>
      <c r="AI190" s="871">
        <v>50</v>
      </c>
      <c r="AJ190" s="871"/>
      <c r="AK190" s="871"/>
      <c r="AL190" s="871"/>
      <c r="AM190" s="871"/>
      <c r="AN190" s="871"/>
      <c r="AO190" s="871"/>
      <c r="AP190" s="871"/>
    </row>
    <row r="191" spans="1:42" s="868" customFormat="1" ht="14" customHeight="1">
      <c r="A191" s="866">
        <v>190</v>
      </c>
      <c r="B191" s="867" t="s">
        <v>2564</v>
      </c>
      <c r="C191" s="867" t="s">
        <v>40</v>
      </c>
      <c r="D191" s="867" t="s">
        <v>2450</v>
      </c>
      <c r="E191" s="867" t="s">
        <v>941</v>
      </c>
      <c r="F191" s="867" t="s">
        <v>791</v>
      </c>
      <c r="G191" s="867">
        <v>4</v>
      </c>
      <c r="H191" s="869">
        <v>0.53</v>
      </c>
      <c r="I191" s="869">
        <v>3</v>
      </c>
      <c r="J191" s="869">
        <f t="shared" si="11"/>
        <v>6.36</v>
      </c>
      <c r="K191" s="869">
        <f t="shared" si="12"/>
        <v>0.82680000000000009</v>
      </c>
      <c r="L191" s="868">
        <v>0</v>
      </c>
      <c r="M191" s="867" t="s">
        <v>47</v>
      </c>
      <c r="N191" s="866">
        <v>2050</v>
      </c>
      <c r="O191" s="867" t="s">
        <v>2587</v>
      </c>
      <c r="P191" s="870">
        <v>5415058025564</v>
      </c>
      <c r="Q191" s="867" t="s">
        <v>2474</v>
      </c>
      <c r="R191" s="871">
        <v>13</v>
      </c>
      <c r="S191" s="871">
        <v>14.95</v>
      </c>
      <c r="T191" s="871">
        <v>13</v>
      </c>
      <c r="U191" s="871">
        <v>14.95</v>
      </c>
      <c r="V191" s="871">
        <v>14.3</v>
      </c>
      <c r="W191" s="871">
        <v>16.45</v>
      </c>
      <c r="X191" s="871">
        <v>14.3</v>
      </c>
      <c r="Y191" s="871">
        <v>16.45</v>
      </c>
      <c r="Z191" s="871">
        <v>26</v>
      </c>
      <c r="AA191" s="871">
        <v>30</v>
      </c>
      <c r="AB191" s="871">
        <v>35</v>
      </c>
      <c r="AC191" s="871">
        <v>40.25</v>
      </c>
      <c r="AD191" s="871">
        <v>55</v>
      </c>
      <c r="AE191" s="871">
        <v>60.5</v>
      </c>
      <c r="AF191" s="871">
        <v>25</v>
      </c>
      <c r="AG191" s="871">
        <v>28.75</v>
      </c>
      <c r="AH191" s="871">
        <v>45.45</v>
      </c>
      <c r="AI191" s="871">
        <v>50</v>
      </c>
      <c r="AJ191" s="871"/>
      <c r="AK191" s="871"/>
      <c r="AL191" s="871"/>
      <c r="AM191" s="871"/>
      <c r="AN191" s="871"/>
      <c r="AO191" s="871"/>
      <c r="AP191" s="871"/>
    </row>
    <row r="192" spans="1:42" s="868" customFormat="1" ht="14" customHeight="1">
      <c r="A192" s="866">
        <v>191</v>
      </c>
      <c r="B192" s="867" t="s">
        <v>2565</v>
      </c>
      <c r="C192" s="867" t="s">
        <v>40</v>
      </c>
      <c r="D192" s="867" t="s">
        <v>2450</v>
      </c>
      <c r="E192" s="867" t="s">
        <v>947</v>
      </c>
      <c r="F192" s="867" t="s">
        <v>515</v>
      </c>
      <c r="G192" s="867">
        <v>4</v>
      </c>
      <c r="H192" s="869">
        <v>0.9</v>
      </c>
      <c r="I192" s="869">
        <v>3</v>
      </c>
      <c r="J192" s="869">
        <f t="shared" si="11"/>
        <v>10.8</v>
      </c>
      <c r="K192" s="869">
        <f t="shared" si="12"/>
        <v>1.4039999999999999</v>
      </c>
      <c r="L192" s="868">
        <v>0</v>
      </c>
      <c r="M192" s="867" t="s">
        <v>47</v>
      </c>
      <c r="N192" s="866">
        <v>2050</v>
      </c>
      <c r="O192" s="867" t="s">
        <v>2383</v>
      </c>
      <c r="P192" s="870">
        <v>5415058025304</v>
      </c>
      <c r="Q192" s="867" t="s">
        <v>2474</v>
      </c>
      <c r="R192" s="871">
        <v>13</v>
      </c>
      <c r="S192" s="871">
        <v>14.95</v>
      </c>
      <c r="T192" s="871">
        <v>13</v>
      </c>
      <c r="U192" s="871">
        <v>14.95</v>
      </c>
      <c r="V192" s="871">
        <v>14.3</v>
      </c>
      <c r="W192" s="871">
        <v>16.45</v>
      </c>
      <c r="X192" s="871">
        <v>14.3</v>
      </c>
      <c r="Y192" s="871">
        <v>16.45</v>
      </c>
      <c r="Z192" s="871">
        <v>26</v>
      </c>
      <c r="AA192" s="871">
        <v>30</v>
      </c>
      <c r="AB192" s="871">
        <v>35</v>
      </c>
      <c r="AC192" s="871">
        <v>40.25</v>
      </c>
      <c r="AD192" s="871">
        <v>55</v>
      </c>
      <c r="AE192" s="871">
        <v>60.5</v>
      </c>
      <c r="AF192" s="871">
        <v>25</v>
      </c>
      <c r="AG192" s="871">
        <v>28.75</v>
      </c>
      <c r="AH192" s="871">
        <v>45.45</v>
      </c>
      <c r="AI192" s="871">
        <v>50</v>
      </c>
      <c r="AJ192" s="871"/>
      <c r="AK192" s="871"/>
      <c r="AL192" s="871"/>
      <c r="AM192" s="871"/>
      <c r="AN192" s="871"/>
      <c r="AO192" s="871"/>
      <c r="AP192" s="871"/>
    </row>
    <row r="193" spans="1:42" s="868" customFormat="1" ht="14" customHeight="1">
      <c r="A193" s="866">
        <v>192</v>
      </c>
      <c r="B193" s="867" t="s">
        <v>2566</v>
      </c>
      <c r="C193" s="867" t="s">
        <v>40</v>
      </c>
      <c r="D193" s="867" t="s">
        <v>2450</v>
      </c>
      <c r="E193" s="867" t="s">
        <v>947</v>
      </c>
      <c r="F193" s="867" t="s">
        <v>813</v>
      </c>
      <c r="G193" s="867">
        <v>4</v>
      </c>
      <c r="H193" s="869">
        <v>0.9</v>
      </c>
      <c r="I193" s="869">
        <v>3</v>
      </c>
      <c r="J193" s="869">
        <f t="shared" si="11"/>
        <v>10.8</v>
      </c>
      <c r="K193" s="869">
        <f t="shared" si="12"/>
        <v>1.4039999999999999</v>
      </c>
      <c r="L193" s="868">
        <v>0</v>
      </c>
      <c r="M193" s="867" t="s">
        <v>47</v>
      </c>
      <c r="N193" s="866">
        <v>2050</v>
      </c>
      <c r="O193" s="867" t="s">
        <v>2383</v>
      </c>
      <c r="P193" s="870">
        <v>5415058025328</v>
      </c>
      <c r="Q193" s="867" t="s">
        <v>2474</v>
      </c>
      <c r="R193" s="871">
        <v>13</v>
      </c>
      <c r="S193" s="871">
        <v>14.95</v>
      </c>
      <c r="T193" s="871">
        <v>13</v>
      </c>
      <c r="U193" s="871">
        <v>14.95</v>
      </c>
      <c r="V193" s="871">
        <v>14.3</v>
      </c>
      <c r="W193" s="871">
        <v>16.45</v>
      </c>
      <c r="X193" s="871">
        <v>14.3</v>
      </c>
      <c r="Y193" s="871">
        <v>16.45</v>
      </c>
      <c r="Z193" s="871">
        <v>26</v>
      </c>
      <c r="AA193" s="871">
        <v>30</v>
      </c>
      <c r="AB193" s="871">
        <v>35</v>
      </c>
      <c r="AC193" s="871">
        <v>40.25</v>
      </c>
      <c r="AD193" s="871">
        <v>55</v>
      </c>
      <c r="AE193" s="871">
        <v>60.5</v>
      </c>
      <c r="AF193" s="871">
        <v>25</v>
      </c>
      <c r="AG193" s="871">
        <v>28.75</v>
      </c>
      <c r="AH193" s="871">
        <v>45.45</v>
      </c>
      <c r="AI193" s="871">
        <v>50</v>
      </c>
      <c r="AJ193" s="871"/>
      <c r="AK193" s="871"/>
      <c r="AL193" s="871"/>
      <c r="AM193" s="871"/>
      <c r="AN193" s="871"/>
      <c r="AO193" s="871"/>
      <c r="AP193" s="871"/>
    </row>
    <row r="194" spans="1:42" s="868" customFormat="1" ht="14" customHeight="1">
      <c r="A194" s="866">
        <v>193</v>
      </c>
      <c r="B194" s="867" t="s">
        <v>2567</v>
      </c>
      <c r="C194" s="867" t="s">
        <v>40</v>
      </c>
      <c r="D194" s="867" t="s">
        <v>2450</v>
      </c>
      <c r="E194" s="867" t="s">
        <v>947</v>
      </c>
      <c r="F194" s="867" t="s">
        <v>913</v>
      </c>
      <c r="G194" s="867">
        <v>4</v>
      </c>
      <c r="H194" s="869">
        <v>0.9</v>
      </c>
      <c r="I194" s="869">
        <v>3</v>
      </c>
      <c r="J194" s="869">
        <f t="shared" si="11"/>
        <v>10.8</v>
      </c>
      <c r="K194" s="869">
        <f t="shared" si="12"/>
        <v>1.4039999999999999</v>
      </c>
      <c r="L194" s="868">
        <v>0</v>
      </c>
      <c r="M194" s="867" t="s">
        <v>47</v>
      </c>
      <c r="N194" s="866">
        <v>2050</v>
      </c>
      <c r="O194" s="867" t="s">
        <v>2383</v>
      </c>
      <c r="P194" s="870">
        <v>5415058025335</v>
      </c>
      <c r="Q194" s="867" t="s">
        <v>2474</v>
      </c>
      <c r="R194" s="871">
        <v>13</v>
      </c>
      <c r="S194" s="871">
        <v>14.95</v>
      </c>
      <c r="T194" s="871">
        <v>13</v>
      </c>
      <c r="U194" s="871">
        <v>14.95</v>
      </c>
      <c r="V194" s="871">
        <v>14.3</v>
      </c>
      <c r="W194" s="871">
        <v>16.45</v>
      </c>
      <c r="X194" s="871">
        <v>14.3</v>
      </c>
      <c r="Y194" s="871">
        <v>16.45</v>
      </c>
      <c r="Z194" s="871">
        <v>26</v>
      </c>
      <c r="AA194" s="871">
        <v>30</v>
      </c>
      <c r="AB194" s="871">
        <v>35</v>
      </c>
      <c r="AC194" s="871">
        <v>40.25</v>
      </c>
      <c r="AD194" s="871">
        <v>55</v>
      </c>
      <c r="AE194" s="871">
        <v>60.5</v>
      </c>
      <c r="AF194" s="871">
        <v>25</v>
      </c>
      <c r="AG194" s="871">
        <v>28.75</v>
      </c>
      <c r="AH194" s="871">
        <v>45.45</v>
      </c>
      <c r="AI194" s="871">
        <v>50</v>
      </c>
      <c r="AJ194" s="871"/>
      <c r="AK194" s="871"/>
      <c r="AL194" s="871"/>
      <c r="AM194" s="871"/>
      <c r="AN194" s="871"/>
      <c r="AO194" s="871"/>
      <c r="AP194" s="871"/>
    </row>
    <row r="195" spans="1:42" s="868" customFormat="1" ht="14" customHeight="1">
      <c r="A195" s="866">
        <v>194</v>
      </c>
      <c r="B195" s="867" t="s">
        <v>2568</v>
      </c>
      <c r="C195" s="867" t="s">
        <v>40</v>
      </c>
      <c r="D195" s="867" t="s">
        <v>2450</v>
      </c>
      <c r="E195" s="867" t="s">
        <v>951</v>
      </c>
      <c r="F195" s="867" t="s">
        <v>835</v>
      </c>
      <c r="G195" s="867">
        <v>4</v>
      </c>
      <c r="H195" s="869">
        <v>0.9</v>
      </c>
      <c r="I195" s="869">
        <v>3</v>
      </c>
      <c r="J195" s="869">
        <f t="shared" si="11"/>
        <v>10.8</v>
      </c>
      <c r="K195" s="869">
        <f t="shared" si="12"/>
        <v>1.4039999999999999</v>
      </c>
      <c r="L195" s="868">
        <v>0</v>
      </c>
      <c r="M195" s="867" t="s">
        <v>47</v>
      </c>
      <c r="N195" s="866">
        <v>2050</v>
      </c>
      <c r="O195" s="867" t="s">
        <v>2383</v>
      </c>
      <c r="P195" s="870">
        <v>5415058025311</v>
      </c>
      <c r="Q195" s="867" t="s">
        <v>2474</v>
      </c>
      <c r="R195" s="871">
        <v>13</v>
      </c>
      <c r="S195" s="871">
        <v>14.95</v>
      </c>
      <c r="T195" s="871">
        <v>13</v>
      </c>
      <c r="U195" s="871">
        <v>14.95</v>
      </c>
      <c r="V195" s="871">
        <v>14.3</v>
      </c>
      <c r="W195" s="871">
        <v>16.45</v>
      </c>
      <c r="X195" s="871">
        <v>14.3</v>
      </c>
      <c r="Y195" s="871">
        <v>16.45</v>
      </c>
      <c r="Z195" s="871">
        <v>26</v>
      </c>
      <c r="AA195" s="871">
        <v>30</v>
      </c>
      <c r="AB195" s="871">
        <v>35</v>
      </c>
      <c r="AC195" s="871">
        <v>40.25</v>
      </c>
      <c r="AD195" s="871">
        <v>55</v>
      </c>
      <c r="AE195" s="871">
        <v>60.5</v>
      </c>
      <c r="AF195" s="871">
        <v>25</v>
      </c>
      <c r="AG195" s="871">
        <v>28.75</v>
      </c>
      <c r="AH195" s="871">
        <v>45.45</v>
      </c>
      <c r="AI195" s="871">
        <v>50</v>
      </c>
      <c r="AJ195" s="871"/>
      <c r="AK195" s="871"/>
      <c r="AL195" s="871"/>
      <c r="AM195" s="871"/>
      <c r="AN195" s="871"/>
      <c r="AO195" s="871"/>
      <c r="AP195" s="871"/>
    </row>
    <row r="196" spans="1:42" s="868" customFormat="1" ht="14" customHeight="1">
      <c r="A196" s="866">
        <v>195</v>
      </c>
      <c r="B196" s="867" t="s">
        <v>2569</v>
      </c>
      <c r="C196" s="867" t="s">
        <v>40</v>
      </c>
      <c r="D196" s="867" t="s">
        <v>2450</v>
      </c>
      <c r="E196" s="867" t="s">
        <v>953</v>
      </c>
      <c r="F196" s="867" t="s">
        <v>835</v>
      </c>
      <c r="G196" s="867">
        <v>5</v>
      </c>
      <c r="H196" s="869">
        <v>0.53</v>
      </c>
      <c r="I196" s="869">
        <v>3</v>
      </c>
      <c r="J196" s="869">
        <f t="shared" si="11"/>
        <v>7.95</v>
      </c>
      <c r="K196" s="869">
        <f t="shared" si="12"/>
        <v>1.0335000000000001</v>
      </c>
      <c r="L196" s="868">
        <v>0</v>
      </c>
      <c r="M196" s="867" t="s">
        <v>47</v>
      </c>
      <c r="N196" s="866">
        <v>2050</v>
      </c>
      <c r="O196" s="867" t="s">
        <v>2587</v>
      </c>
      <c r="P196" s="870">
        <v>5415058025632</v>
      </c>
      <c r="Q196" s="867" t="s">
        <v>2474</v>
      </c>
      <c r="R196" s="871">
        <v>13</v>
      </c>
      <c r="S196" s="871">
        <v>14.95</v>
      </c>
      <c r="T196" s="871">
        <v>13</v>
      </c>
      <c r="U196" s="871">
        <v>14.95</v>
      </c>
      <c r="V196" s="871">
        <v>14.3</v>
      </c>
      <c r="W196" s="871">
        <v>16.45</v>
      </c>
      <c r="X196" s="871">
        <v>14.3</v>
      </c>
      <c r="Y196" s="871">
        <v>16.45</v>
      </c>
      <c r="Z196" s="871">
        <v>26</v>
      </c>
      <c r="AA196" s="871">
        <v>30</v>
      </c>
      <c r="AB196" s="871">
        <v>35</v>
      </c>
      <c r="AC196" s="871">
        <v>40.25</v>
      </c>
      <c r="AD196" s="871">
        <v>55</v>
      </c>
      <c r="AE196" s="871">
        <v>60.5</v>
      </c>
      <c r="AF196" s="871">
        <v>25</v>
      </c>
      <c r="AG196" s="871">
        <v>28.75</v>
      </c>
      <c r="AH196" s="871">
        <v>45.45</v>
      </c>
      <c r="AI196" s="871">
        <v>50</v>
      </c>
      <c r="AJ196" s="871"/>
      <c r="AK196" s="871"/>
      <c r="AL196" s="871"/>
      <c r="AM196" s="871"/>
      <c r="AN196" s="871"/>
      <c r="AO196" s="871"/>
      <c r="AP196" s="871"/>
    </row>
    <row r="197" spans="1:42" s="868" customFormat="1" ht="14" customHeight="1">
      <c r="A197" s="866">
        <v>196</v>
      </c>
      <c r="B197" s="867" t="s">
        <v>2570</v>
      </c>
      <c r="C197" s="867" t="s">
        <v>40</v>
      </c>
      <c r="D197" s="867" t="s">
        <v>2450</v>
      </c>
      <c r="E197" s="867" t="s">
        <v>953</v>
      </c>
      <c r="F197" s="867" t="s">
        <v>793</v>
      </c>
      <c r="G197" s="867">
        <v>5</v>
      </c>
      <c r="H197" s="869">
        <v>0.53</v>
      </c>
      <c r="I197" s="869">
        <v>3</v>
      </c>
      <c r="J197" s="869">
        <f t="shared" si="11"/>
        <v>7.95</v>
      </c>
      <c r="K197" s="869">
        <f t="shared" si="12"/>
        <v>1.0335000000000001</v>
      </c>
      <c r="L197" s="868">
        <v>0</v>
      </c>
      <c r="M197" s="867" t="s">
        <v>47</v>
      </c>
      <c r="N197" s="866">
        <v>2050</v>
      </c>
      <c r="O197" s="867" t="s">
        <v>2587</v>
      </c>
      <c r="P197" s="870">
        <v>5415058025649</v>
      </c>
      <c r="Q197" s="867" t="s">
        <v>2474</v>
      </c>
      <c r="R197" s="871">
        <v>13</v>
      </c>
      <c r="S197" s="871">
        <v>14.95</v>
      </c>
      <c r="T197" s="871">
        <v>13</v>
      </c>
      <c r="U197" s="871">
        <v>14.95</v>
      </c>
      <c r="V197" s="871">
        <v>14.3</v>
      </c>
      <c r="W197" s="871">
        <v>16.45</v>
      </c>
      <c r="X197" s="871">
        <v>14.3</v>
      </c>
      <c r="Y197" s="871">
        <v>16.45</v>
      </c>
      <c r="Z197" s="871">
        <v>26</v>
      </c>
      <c r="AA197" s="871">
        <v>30</v>
      </c>
      <c r="AB197" s="871">
        <v>35</v>
      </c>
      <c r="AC197" s="871">
        <v>40.25</v>
      </c>
      <c r="AD197" s="871">
        <v>55</v>
      </c>
      <c r="AE197" s="871">
        <v>60.5</v>
      </c>
      <c r="AF197" s="871">
        <v>25</v>
      </c>
      <c r="AG197" s="871">
        <v>28.75</v>
      </c>
      <c r="AH197" s="871">
        <v>45.45</v>
      </c>
      <c r="AI197" s="871">
        <v>50</v>
      </c>
      <c r="AJ197" s="871"/>
      <c r="AK197" s="871"/>
      <c r="AL197" s="871"/>
      <c r="AM197" s="871"/>
      <c r="AN197" s="871"/>
      <c r="AO197" s="871"/>
      <c r="AP197" s="871"/>
    </row>
    <row r="198" spans="1:42" s="868" customFormat="1" ht="14" customHeight="1">
      <c r="A198" s="866">
        <v>197</v>
      </c>
      <c r="B198" s="867" t="s">
        <v>2571</v>
      </c>
      <c r="C198" s="867" t="s">
        <v>40</v>
      </c>
      <c r="D198" s="867" t="s">
        <v>2450</v>
      </c>
      <c r="E198" s="867" t="s">
        <v>953</v>
      </c>
      <c r="F198" s="867" t="s">
        <v>956</v>
      </c>
      <c r="G198" s="867">
        <v>5</v>
      </c>
      <c r="H198" s="869">
        <v>0.53</v>
      </c>
      <c r="I198" s="869">
        <v>3</v>
      </c>
      <c r="J198" s="869">
        <f t="shared" si="11"/>
        <v>7.95</v>
      </c>
      <c r="K198" s="869">
        <f t="shared" si="12"/>
        <v>1.0335000000000001</v>
      </c>
      <c r="L198" s="868">
        <v>0</v>
      </c>
      <c r="M198" s="867" t="s">
        <v>47</v>
      </c>
      <c r="N198" s="866">
        <v>2050</v>
      </c>
      <c r="O198" s="867" t="s">
        <v>2587</v>
      </c>
      <c r="P198" s="870">
        <v>5415058025656</v>
      </c>
      <c r="Q198" s="867" t="s">
        <v>2474</v>
      </c>
      <c r="R198" s="871">
        <v>13</v>
      </c>
      <c r="S198" s="871">
        <v>14.95</v>
      </c>
      <c r="T198" s="871">
        <v>13</v>
      </c>
      <c r="U198" s="871">
        <v>14.95</v>
      </c>
      <c r="V198" s="871">
        <v>14.3</v>
      </c>
      <c r="W198" s="871">
        <v>16.45</v>
      </c>
      <c r="X198" s="871">
        <v>14.3</v>
      </c>
      <c r="Y198" s="871">
        <v>16.45</v>
      </c>
      <c r="Z198" s="871">
        <v>26</v>
      </c>
      <c r="AA198" s="871">
        <v>30</v>
      </c>
      <c r="AB198" s="871">
        <v>35</v>
      </c>
      <c r="AC198" s="871">
        <v>40.25</v>
      </c>
      <c r="AD198" s="871">
        <v>55</v>
      </c>
      <c r="AE198" s="871">
        <v>60.5</v>
      </c>
      <c r="AF198" s="871">
        <v>25</v>
      </c>
      <c r="AG198" s="871">
        <v>28.75</v>
      </c>
      <c r="AH198" s="871">
        <v>45.45</v>
      </c>
      <c r="AI198" s="871">
        <v>50</v>
      </c>
      <c r="AJ198" s="871"/>
      <c r="AK198" s="871"/>
      <c r="AL198" s="871"/>
      <c r="AM198" s="871"/>
      <c r="AN198" s="871"/>
      <c r="AO198" s="871"/>
      <c r="AP198" s="871"/>
    </row>
    <row r="199" spans="1:42" s="868" customFormat="1" ht="14" customHeight="1">
      <c r="A199" s="866">
        <v>198</v>
      </c>
      <c r="B199" s="867" t="s">
        <v>2572</v>
      </c>
      <c r="C199" s="867" t="s">
        <v>40</v>
      </c>
      <c r="D199" s="867" t="s">
        <v>2450</v>
      </c>
      <c r="E199" s="867" t="s">
        <v>953</v>
      </c>
      <c r="F199" s="867" t="s">
        <v>813</v>
      </c>
      <c r="G199" s="867">
        <v>5</v>
      </c>
      <c r="H199" s="869">
        <v>0.53</v>
      </c>
      <c r="I199" s="869">
        <v>3</v>
      </c>
      <c r="J199" s="869">
        <f t="shared" si="11"/>
        <v>7.95</v>
      </c>
      <c r="K199" s="869">
        <f t="shared" si="12"/>
        <v>1.0335000000000001</v>
      </c>
      <c r="L199" s="868">
        <v>0</v>
      </c>
      <c r="M199" s="867" t="s">
        <v>47</v>
      </c>
      <c r="N199" s="866">
        <v>2050</v>
      </c>
      <c r="O199" s="867" t="s">
        <v>2587</v>
      </c>
      <c r="P199" s="870">
        <v>5415058025663</v>
      </c>
      <c r="Q199" s="867" t="s">
        <v>2474</v>
      </c>
      <c r="R199" s="871">
        <v>13</v>
      </c>
      <c r="S199" s="871">
        <v>14.95</v>
      </c>
      <c r="T199" s="871">
        <v>13</v>
      </c>
      <c r="U199" s="871">
        <v>14.95</v>
      </c>
      <c r="V199" s="871">
        <v>14.3</v>
      </c>
      <c r="W199" s="871">
        <v>16.45</v>
      </c>
      <c r="X199" s="871">
        <v>14.3</v>
      </c>
      <c r="Y199" s="871">
        <v>16.45</v>
      </c>
      <c r="Z199" s="871">
        <v>26</v>
      </c>
      <c r="AA199" s="871">
        <v>30</v>
      </c>
      <c r="AB199" s="871">
        <v>35</v>
      </c>
      <c r="AC199" s="871">
        <v>40.25</v>
      </c>
      <c r="AD199" s="871">
        <v>55</v>
      </c>
      <c r="AE199" s="871">
        <v>60.5</v>
      </c>
      <c r="AF199" s="871">
        <v>25</v>
      </c>
      <c r="AG199" s="871">
        <v>28.75</v>
      </c>
      <c r="AH199" s="871">
        <v>45.45</v>
      </c>
      <c r="AI199" s="871">
        <v>50</v>
      </c>
      <c r="AJ199" s="871"/>
      <c r="AK199" s="871"/>
      <c r="AL199" s="871"/>
      <c r="AM199" s="871"/>
      <c r="AN199" s="871"/>
      <c r="AO199" s="871"/>
      <c r="AP199" s="871"/>
    </row>
    <row r="200" spans="1:42" s="868" customFormat="1" ht="14" customHeight="1">
      <c r="A200" s="866">
        <v>199</v>
      </c>
      <c r="B200" s="867" t="s">
        <v>2573</v>
      </c>
      <c r="C200" s="867" t="s">
        <v>40</v>
      </c>
      <c r="D200" s="867" t="s">
        <v>2450</v>
      </c>
      <c r="E200" s="867" t="s">
        <v>959</v>
      </c>
      <c r="F200" s="867" t="s">
        <v>813</v>
      </c>
      <c r="G200" s="867">
        <v>5</v>
      </c>
      <c r="H200" s="869">
        <v>0.9</v>
      </c>
      <c r="I200" s="869">
        <v>3</v>
      </c>
      <c r="J200" s="869">
        <f t="shared" si="11"/>
        <v>13.5</v>
      </c>
      <c r="K200" s="869">
        <f t="shared" si="12"/>
        <v>1.7549999999999999</v>
      </c>
      <c r="L200" s="868">
        <v>0</v>
      </c>
      <c r="M200" s="867" t="s">
        <v>47</v>
      </c>
      <c r="N200" s="866">
        <v>2050</v>
      </c>
      <c r="O200" s="867" t="s">
        <v>2383</v>
      </c>
      <c r="P200" s="870">
        <v>5415058025977</v>
      </c>
      <c r="Q200" s="867" t="s">
        <v>2474</v>
      </c>
      <c r="R200" s="871">
        <v>13</v>
      </c>
      <c r="S200" s="871">
        <v>14.95</v>
      </c>
      <c r="T200" s="871">
        <v>13</v>
      </c>
      <c r="U200" s="871">
        <v>14.95</v>
      </c>
      <c r="V200" s="871">
        <v>14.3</v>
      </c>
      <c r="W200" s="871">
        <v>16.45</v>
      </c>
      <c r="X200" s="871">
        <v>14.3</v>
      </c>
      <c r="Y200" s="871">
        <v>16.45</v>
      </c>
      <c r="Z200" s="871">
        <v>26</v>
      </c>
      <c r="AA200" s="871">
        <v>30</v>
      </c>
      <c r="AB200" s="871">
        <v>35</v>
      </c>
      <c r="AC200" s="871">
        <v>40.25</v>
      </c>
      <c r="AD200" s="871">
        <v>55</v>
      </c>
      <c r="AE200" s="871">
        <v>60.5</v>
      </c>
      <c r="AF200" s="871">
        <v>25</v>
      </c>
      <c r="AG200" s="871">
        <v>28.75</v>
      </c>
      <c r="AH200" s="871">
        <v>45.45</v>
      </c>
      <c r="AI200" s="871">
        <v>50</v>
      </c>
      <c r="AJ200" s="871"/>
      <c r="AK200" s="871"/>
      <c r="AL200" s="871"/>
      <c r="AM200" s="871"/>
      <c r="AN200" s="871"/>
      <c r="AO200" s="871"/>
      <c r="AP200" s="871"/>
    </row>
    <row r="201" spans="1:42" s="868" customFormat="1" ht="14" customHeight="1">
      <c r="A201" s="866">
        <v>200</v>
      </c>
      <c r="B201" s="867" t="s">
        <v>2574</v>
      </c>
      <c r="C201" s="867" t="s">
        <v>40</v>
      </c>
      <c r="D201" s="867" t="s">
        <v>2450</v>
      </c>
      <c r="E201" s="867" t="s">
        <v>959</v>
      </c>
      <c r="F201" s="867" t="s">
        <v>913</v>
      </c>
      <c r="G201" s="867">
        <v>5</v>
      </c>
      <c r="H201" s="869">
        <v>0.9</v>
      </c>
      <c r="I201" s="869">
        <v>3</v>
      </c>
      <c r="J201" s="869">
        <f t="shared" si="11"/>
        <v>13.5</v>
      </c>
      <c r="K201" s="869">
        <f t="shared" si="12"/>
        <v>1.7549999999999999</v>
      </c>
      <c r="L201" s="868">
        <v>0</v>
      </c>
      <c r="M201" s="867" t="s">
        <v>47</v>
      </c>
      <c r="N201" s="866">
        <v>2050</v>
      </c>
      <c r="O201" s="867" t="s">
        <v>2383</v>
      </c>
      <c r="P201" s="870">
        <v>5415058025984</v>
      </c>
      <c r="Q201" s="867" t="s">
        <v>2474</v>
      </c>
      <c r="R201" s="871">
        <v>13</v>
      </c>
      <c r="S201" s="871">
        <v>14.95</v>
      </c>
      <c r="T201" s="871">
        <v>13</v>
      </c>
      <c r="U201" s="871">
        <v>14.95</v>
      </c>
      <c r="V201" s="871">
        <v>14.3</v>
      </c>
      <c r="W201" s="871">
        <v>16.45</v>
      </c>
      <c r="X201" s="871">
        <v>14.3</v>
      </c>
      <c r="Y201" s="871">
        <v>16.45</v>
      </c>
      <c r="Z201" s="871">
        <v>26</v>
      </c>
      <c r="AA201" s="871">
        <v>30</v>
      </c>
      <c r="AB201" s="871">
        <v>35</v>
      </c>
      <c r="AC201" s="871">
        <v>40.25</v>
      </c>
      <c r="AD201" s="871">
        <v>55</v>
      </c>
      <c r="AE201" s="871">
        <v>60.5</v>
      </c>
      <c r="AF201" s="871">
        <v>25</v>
      </c>
      <c r="AG201" s="871">
        <v>28.75</v>
      </c>
      <c r="AH201" s="871">
        <v>45.45</v>
      </c>
      <c r="AI201" s="871">
        <v>50</v>
      </c>
      <c r="AJ201" s="871"/>
      <c r="AK201" s="871"/>
      <c r="AL201" s="871"/>
      <c r="AM201" s="871"/>
      <c r="AN201" s="871"/>
      <c r="AO201" s="871"/>
      <c r="AP201" s="871"/>
    </row>
    <row r="202" spans="1:42" s="868" customFormat="1" ht="14" customHeight="1">
      <c r="A202" s="866">
        <v>201</v>
      </c>
      <c r="B202" s="867" t="s">
        <v>2575</v>
      </c>
      <c r="C202" s="867" t="s">
        <v>40</v>
      </c>
      <c r="D202" s="867" t="s">
        <v>2450</v>
      </c>
      <c r="E202" s="867" t="s">
        <v>959</v>
      </c>
      <c r="F202" s="867" t="s">
        <v>515</v>
      </c>
      <c r="G202" s="867">
        <v>5</v>
      </c>
      <c r="H202" s="869">
        <v>0.9</v>
      </c>
      <c r="I202" s="869">
        <v>3</v>
      </c>
      <c r="J202" s="869">
        <f t="shared" si="11"/>
        <v>13.5</v>
      </c>
      <c r="K202" s="869">
        <f t="shared" si="12"/>
        <v>1.7549999999999999</v>
      </c>
      <c r="L202" s="868">
        <v>0</v>
      </c>
      <c r="M202" s="867" t="s">
        <v>47</v>
      </c>
      <c r="N202" s="866">
        <v>2050</v>
      </c>
      <c r="O202" s="867" t="s">
        <v>2383</v>
      </c>
      <c r="P202" s="870">
        <v>5415058026004</v>
      </c>
      <c r="Q202" s="867" t="s">
        <v>2474</v>
      </c>
      <c r="R202" s="871">
        <v>13</v>
      </c>
      <c r="S202" s="871">
        <v>14.95</v>
      </c>
      <c r="T202" s="871">
        <v>13</v>
      </c>
      <c r="U202" s="871">
        <v>14.95</v>
      </c>
      <c r="V202" s="871">
        <v>14.3</v>
      </c>
      <c r="W202" s="871">
        <v>16.45</v>
      </c>
      <c r="X202" s="871">
        <v>14.3</v>
      </c>
      <c r="Y202" s="871">
        <v>16.45</v>
      </c>
      <c r="Z202" s="871">
        <v>26</v>
      </c>
      <c r="AA202" s="871">
        <v>30</v>
      </c>
      <c r="AB202" s="871">
        <v>35</v>
      </c>
      <c r="AC202" s="871">
        <v>40.25</v>
      </c>
      <c r="AD202" s="871">
        <v>55</v>
      </c>
      <c r="AE202" s="871">
        <v>60.5</v>
      </c>
      <c r="AF202" s="871">
        <v>25</v>
      </c>
      <c r="AG202" s="871">
        <v>28.75</v>
      </c>
      <c r="AH202" s="871">
        <v>45.45</v>
      </c>
      <c r="AI202" s="871">
        <v>50</v>
      </c>
      <c r="AJ202" s="871"/>
      <c r="AK202" s="871"/>
      <c r="AL202" s="871"/>
      <c r="AM202" s="871"/>
      <c r="AN202" s="871"/>
      <c r="AO202" s="871"/>
      <c r="AP202" s="871"/>
    </row>
    <row r="203" spans="1:42" s="868" customFormat="1" ht="14" customHeight="1">
      <c r="A203" s="866">
        <v>202</v>
      </c>
      <c r="B203" s="867" t="s">
        <v>2576</v>
      </c>
      <c r="C203" s="867" t="s">
        <v>40</v>
      </c>
      <c r="D203" s="867" t="s">
        <v>2450</v>
      </c>
      <c r="E203" s="867" t="s">
        <v>959</v>
      </c>
      <c r="F203" s="867" t="s">
        <v>892</v>
      </c>
      <c r="G203" s="867">
        <v>5</v>
      </c>
      <c r="H203" s="869">
        <v>0.9</v>
      </c>
      <c r="I203" s="869">
        <v>3</v>
      </c>
      <c r="J203" s="869">
        <f t="shared" si="11"/>
        <v>13.5</v>
      </c>
      <c r="K203" s="869">
        <f t="shared" si="12"/>
        <v>1.7549999999999999</v>
      </c>
      <c r="L203" s="868">
        <v>0</v>
      </c>
      <c r="M203" s="867" t="s">
        <v>47</v>
      </c>
      <c r="N203" s="866">
        <v>2050</v>
      </c>
      <c r="O203" s="867" t="s">
        <v>2383</v>
      </c>
      <c r="P203" s="870">
        <v>5415058026011</v>
      </c>
      <c r="Q203" s="867" t="s">
        <v>2474</v>
      </c>
      <c r="R203" s="871">
        <v>13</v>
      </c>
      <c r="S203" s="871">
        <v>14.95</v>
      </c>
      <c r="T203" s="871">
        <v>13</v>
      </c>
      <c r="U203" s="871">
        <v>14.95</v>
      </c>
      <c r="V203" s="871">
        <v>14.3</v>
      </c>
      <c r="W203" s="871">
        <v>16.45</v>
      </c>
      <c r="X203" s="871">
        <v>14.3</v>
      </c>
      <c r="Y203" s="871">
        <v>16.45</v>
      </c>
      <c r="Z203" s="871">
        <v>26</v>
      </c>
      <c r="AA203" s="871">
        <v>30</v>
      </c>
      <c r="AB203" s="871">
        <v>35</v>
      </c>
      <c r="AC203" s="871">
        <v>40.25</v>
      </c>
      <c r="AD203" s="871">
        <v>55</v>
      </c>
      <c r="AE203" s="871">
        <v>60.5</v>
      </c>
      <c r="AF203" s="871">
        <v>25</v>
      </c>
      <c r="AG203" s="871">
        <v>28.75</v>
      </c>
      <c r="AH203" s="871">
        <v>45.45</v>
      </c>
      <c r="AI203" s="871">
        <v>50</v>
      </c>
      <c r="AJ203" s="871"/>
      <c r="AK203" s="871"/>
      <c r="AL203" s="871"/>
      <c r="AM203" s="871"/>
      <c r="AN203" s="871"/>
      <c r="AO203" s="871"/>
      <c r="AP203" s="871"/>
    </row>
    <row r="204" spans="1:42" s="868" customFormat="1" ht="14" customHeight="1">
      <c r="A204" s="866">
        <v>203</v>
      </c>
      <c r="B204" s="867" t="s">
        <v>2577</v>
      </c>
      <c r="C204" s="867" t="s">
        <v>40</v>
      </c>
      <c r="D204" s="867" t="s">
        <v>2450</v>
      </c>
      <c r="E204" s="867" t="s">
        <v>964</v>
      </c>
      <c r="F204" s="867" t="s">
        <v>863</v>
      </c>
      <c r="G204" s="867">
        <v>4</v>
      </c>
      <c r="H204" s="869">
        <v>0.53</v>
      </c>
      <c r="I204" s="869">
        <v>3</v>
      </c>
      <c r="J204" s="869">
        <f t="shared" si="11"/>
        <v>6.36</v>
      </c>
      <c r="K204" s="869">
        <f t="shared" si="12"/>
        <v>0.82680000000000009</v>
      </c>
      <c r="L204" s="868">
        <v>0</v>
      </c>
      <c r="M204" s="867" t="s">
        <v>47</v>
      </c>
      <c r="N204" s="866">
        <v>2050</v>
      </c>
      <c r="O204" s="867" t="s">
        <v>2587</v>
      </c>
      <c r="P204" s="870">
        <v>5415058025854</v>
      </c>
      <c r="Q204" s="867" t="s">
        <v>2474</v>
      </c>
      <c r="R204" s="871">
        <v>13</v>
      </c>
      <c r="S204" s="871">
        <v>14.95</v>
      </c>
      <c r="T204" s="871">
        <v>13</v>
      </c>
      <c r="U204" s="871">
        <v>14.95</v>
      </c>
      <c r="V204" s="871">
        <v>14.3</v>
      </c>
      <c r="W204" s="871">
        <v>16.45</v>
      </c>
      <c r="X204" s="871">
        <v>14.3</v>
      </c>
      <c r="Y204" s="871">
        <v>16.45</v>
      </c>
      <c r="Z204" s="871">
        <v>26</v>
      </c>
      <c r="AA204" s="871">
        <v>30</v>
      </c>
      <c r="AB204" s="871">
        <v>35</v>
      </c>
      <c r="AC204" s="871">
        <v>40.25</v>
      </c>
      <c r="AD204" s="871">
        <v>55</v>
      </c>
      <c r="AE204" s="871">
        <v>60.5</v>
      </c>
      <c r="AF204" s="871">
        <v>25</v>
      </c>
      <c r="AG204" s="871">
        <v>28.75</v>
      </c>
      <c r="AH204" s="871">
        <v>45.45</v>
      </c>
      <c r="AI204" s="871">
        <v>50</v>
      </c>
      <c r="AJ204" s="871"/>
      <c r="AK204" s="871"/>
      <c r="AL204" s="871"/>
      <c r="AM204" s="871"/>
      <c r="AN204" s="871"/>
      <c r="AO204" s="871"/>
      <c r="AP204" s="871"/>
    </row>
    <row r="205" spans="1:42" s="868" customFormat="1" ht="14" customHeight="1">
      <c r="A205" s="866">
        <v>204</v>
      </c>
      <c r="B205" s="867" t="s">
        <v>2578</v>
      </c>
      <c r="C205" s="867" t="s">
        <v>40</v>
      </c>
      <c r="D205" s="867" t="s">
        <v>2450</v>
      </c>
      <c r="E205" s="867" t="s">
        <v>964</v>
      </c>
      <c r="F205" s="867" t="s">
        <v>913</v>
      </c>
      <c r="G205" s="867">
        <v>4</v>
      </c>
      <c r="H205" s="869">
        <v>0.53</v>
      </c>
      <c r="I205" s="869">
        <v>3</v>
      </c>
      <c r="J205" s="869">
        <f t="shared" si="11"/>
        <v>6.36</v>
      </c>
      <c r="K205" s="869">
        <f t="shared" si="12"/>
        <v>0.82680000000000009</v>
      </c>
      <c r="L205" s="868">
        <v>0</v>
      </c>
      <c r="M205" s="867" t="s">
        <v>47</v>
      </c>
      <c r="N205" s="866">
        <v>2050</v>
      </c>
      <c r="O205" s="867" t="s">
        <v>2383</v>
      </c>
      <c r="P205" s="870">
        <v>5415058025861</v>
      </c>
      <c r="Q205" s="867" t="s">
        <v>2474</v>
      </c>
      <c r="R205" s="871">
        <v>13</v>
      </c>
      <c r="S205" s="871">
        <v>14.95</v>
      </c>
      <c r="T205" s="871">
        <v>13</v>
      </c>
      <c r="U205" s="871">
        <v>14.95</v>
      </c>
      <c r="V205" s="871">
        <v>14.3</v>
      </c>
      <c r="W205" s="871">
        <v>16.45</v>
      </c>
      <c r="X205" s="871">
        <v>14.3</v>
      </c>
      <c r="Y205" s="871">
        <v>16.45</v>
      </c>
      <c r="Z205" s="871">
        <v>26</v>
      </c>
      <c r="AA205" s="871">
        <v>30</v>
      </c>
      <c r="AB205" s="871">
        <v>35</v>
      </c>
      <c r="AC205" s="871">
        <v>40.25</v>
      </c>
      <c r="AD205" s="871">
        <v>55</v>
      </c>
      <c r="AE205" s="871">
        <v>60.5</v>
      </c>
      <c r="AF205" s="871">
        <v>25</v>
      </c>
      <c r="AG205" s="871">
        <v>28.75</v>
      </c>
      <c r="AH205" s="871">
        <v>45.45</v>
      </c>
      <c r="AI205" s="871">
        <v>50</v>
      </c>
      <c r="AJ205" s="871"/>
      <c r="AK205" s="871"/>
      <c r="AL205" s="871"/>
      <c r="AM205" s="871"/>
      <c r="AN205" s="871"/>
      <c r="AO205" s="871"/>
      <c r="AP205" s="871"/>
    </row>
    <row r="206" spans="1:42" s="868" customFormat="1" ht="14" customHeight="1">
      <c r="A206" s="866">
        <v>205</v>
      </c>
      <c r="B206" s="867" t="s">
        <v>2579</v>
      </c>
      <c r="C206" s="867" t="s">
        <v>40</v>
      </c>
      <c r="D206" s="867" t="s">
        <v>2450</v>
      </c>
      <c r="E206" s="867" t="s">
        <v>964</v>
      </c>
      <c r="F206" s="867" t="s">
        <v>892</v>
      </c>
      <c r="G206" s="867">
        <v>4</v>
      </c>
      <c r="H206" s="869">
        <v>0.53</v>
      </c>
      <c r="I206" s="869">
        <v>3</v>
      </c>
      <c r="J206" s="869">
        <f t="shared" si="11"/>
        <v>6.36</v>
      </c>
      <c r="K206" s="869">
        <f t="shared" si="12"/>
        <v>0.82680000000000009</v>
      </c>
      <c r="L206" s="868">
        <v>0</v>
      </c>
      <c r="M206" s="867" t="s">
        <v>47</v>
      </c>
      <c r="N206" s="866">
        <v>2050</v>
      </c>
      <c r="O206" s="867" t="s">
        <v>2383</v>
      </c>
      <c r="P206" s="870">
        <v>5415058025878</v>
      </c>
      <c r="Q206" s="867" t="s">
        <v>2474</v>
      </c>
      <c r="R206" s="871">
        <v>13</v>
      </c>
      <c r="S206" s="871">
        <v>14.95</v>
      </c>
      <c r="T206" s="871">
        <v>13</v>
      </c>
      <c r="U206" s="871">
        <v>14.95</v>
      </c>
      <c r="V206" s="871">
        <v>14.3</v>
      </c>
      <c r="W206" s="871">
        <v>16.45</v>
      </c>
      <c r="X206" s="871">
        <v>14.3</v>
      </c>
      <c r="Y206" s="871">
        <v>16.45</v>
      </c>
      <c r="Z206" s="871">
        <v>26</v>
      </c>
      <c r="AA206" s="871">
        <v>30</v>
      </c>
      <c r="AB206" s="871">
        <v>35</v>
      </c>
      <c r="AC206" s="871">
        <v>40.25</v>
      </c>
      <c r="AD206" s="871">
        <v>55</v>
      </c>
      <c r="AE206" s="871">
        <v>60.5</v>
      </c>
      <c r="AF206" s="871">
        <v>25</v>
      </c>
      <c r="AG206" s="871">
        <v>28.75</v>
      </c>
      <c r="AH206" s="871">
        <v>45.45</v>
      </c>
      <c r="AI206" s="871">
        <v>50</v>
      </c>
      <c r="AJ206" s="871"/>
      <c r="AK206" s="871"/>
      <c r="AL206" s="871"/>
      <c r="AM206" s="871"/>
      <c r="AN206" s="871"/>
      <c r="AO206" s="871"/>
      <c r="AP206" s="871"/>
    </row>
    <row r="207" spans="1:42" s="868" customFormat="1" ht="14" customHeight="1">
      <c r="A207" s="866">
        <v>206</v>
      </c>
      <c r="B207" s="867" t="s">
        <v>2580</v>
      </c>
      <c r="C207" s="867" t="s">
        <v>40</v>
      </c>
      <c r="D207" s="867" t="s">
        <v>2450</v>
      </c>
      <c r="E207" s="867" t="s">
        <v>964</v>
      </c>
      <c r="F207" s="867" t="s">
        <v>813</v>
      </c>
      <c r="G207" s="867">
        <v>4</v>
      </c>
      <c r="H207" s="869">
        <v>0.53</v>
      </c>
      <c r="I207" s="869">
        <v>3</v>
      </c>
      <c r="J207" s="869">
        <f t="shared" si="11"/>
        <v>6.36</v>
      </c>
      <c r="K207" s="869">
        <f t="shared" si="12"/>
        <v>0.82680000000000009</v>
      </c>
      <c r="L207" s="868">
        <v>0</v>
      </c>
      <c r="M207" s="867" t="s">
        <v>47</v>
      </c>
      <c r="N207" s="866">
        <v>2050</v>
      </c>
      <c r="O207" s="867" t="s">
        <v>2383</v>
      </c>
      <c r="P207" s="870">
        <v>5415058025885</v>
      </c>
      <c r="Q207" s="867" t="s">
        <v>2474</v>
      </c>
      <c r="R207" s="871">
        <v>13</v>
      </c>
      <c r="S207" s="871">
        <v>14.95</v>
      </c>
      <c r="T207" s="871">
        <v>13</v>
      </c>
      <c r="U207" s="871">
        <v>14.95</v>
      </c>
      <c r="V207" s="871">
        <v>14.3</v>
      </c>
      <c r="W207" s="871">
        <v>16.45</v>
      </c>
      <c r="X207" s="871">
        <v>14.3</v>
      </c>
      <c r="Y207" s="871">
        <v>16.45</v>
      </c>
      <c r="Z207" s="871">
        <v>26</v>
      </c>
      <c r="AA207" s="871">
        <v>30</v>
      </c>
      <c r="AB207" s="871">
        <v>35</v>
      </c>
      <c r="AC207" s="871">
        <v>40.25</v>
      </c>
      <c r="AD207" s="871">
        <v>55</v>
      </c>
      <c r="AE207" s="871">
        <v>60.5</v>
      </c>
      <c r="AF207" s="871">
        <v>25</v>
      </c>
      <c r="AG207" s="871">
        <v>28.75</v>
      </c>
      <c r="AH207" s="871">
        <v>45.45</v>
      </c>
      <c r="AI207" s="871">
        <v>50</v>
      </c>
      <c r="AJ207" s="871"/>
      <c r="AK207" s="871"/>
      <c r="AL207" s="871"/>
      <c r="AM207" s="871"/>
      <c r="AN207" s="871"/>
      <c r="AO207" s="871"/>
      <c r="AP207" s="871"/>
    </row>
    <row r="208" spans="1:42" s="868" customFormat="1" ht="14" customHeight="1">
      <c r="A208" s="866">
        <v>207</v>
      </c>
      <c r="B208" s="867" t="s">
        <v>2581</v>
      </c>
      <c r="C208" s="867" t="s">
        <v>40</v>
      </c>
      <c r="D208" s="867" t="s">
        <v>2450</v>
      </c>
      <c r="E208" s="867" t="s">
        <v>969</v>
      </c>
      <c r="F208" s="867" t="s">
        <v>522</v>
      </c>
      <c r="G208" s="867">
        <v>4</v>
      </c>
      <c r="H208" s="869">
        <v>0.9</v>
      </c>
      <c r="I208" s="869">
        <v>3</v>
      </c>
      <c r="J208" s="869">
        <f t="shared" si="11"/>
        <v>10.8</v>
      </c>
      <c r="K208" s="869">
        <f t="shared" si="12"/>
        <v>1.4039999999999999</v>
      </c>
      <c r="L208" s="868">
        <v>0</v>
      </c>
      <c r="M208" s="867" t="s">
        <v>47</v>
      </c>
      <c r="N208" s="866">
        <v>2050</v>
      </c>
      <c r="O208" s="867" t="s">
        <v>2383</v>
      </c>
      <c r="P208" s="870">
        <v>5415058025762</v>
      </c>
      <c r="Q208" s="867" t="s">
        <v>2474</v>
      </c>
      <c r="R208" s="871">
        <v>13</v>
      </c>
      <c r="S208" s="871">
        <v>14.95</v>
      </c>
      <c r="T208" s="871">
        <v>13</v>
      </c>
      <c r="U208" s="871">
        <v>14.95</v>
      </c>
      <c r="V208" s="871">
        <v>14.3</v>
      </c>
      <c r="W208" s="871">
        <v>16.45</v>
      </c>
      <c r="X208" s="871">
        <v>14.3</v>
      </c>
      <c r="Y208" s="871">
        <v>16.45</v>
      </c>
      <c r="Z208" s="871">
        <v>26</v>
      </c>
      <c r="AA208" s="871">
        <v>30</v>
      </c>
      <c r="AB208" s="871">
        <v>35</v>
      </c>
      <c r="AC208" s="871">
        <v>40.25</v>
      </c>
      <c r="AD208" s="871">
        <v>55</v>
      </c>
      <c r="AE208" s="871">
        <v>60.5</v>
      </c>
      <c r="AF208" s="871">
        <v>25</v>
      </c>
      <c r="AG208" s="871">
        <v>28.75</v>
      </c>
      <c r="AH208" s="871">
        <v>45.45</v>
      </c>
      <c r="AI208" s="871">
        <v>50</v>
      </c>
      <c r="AJ208" s="871"/>
      <c r="AK208" s="871"/>
      <c r="AL208" s="871"/>
      <c r="AM208" s="871"/>
      <c r="AN208" s="871"/>
      <c r="AO208" s="871"/>
      <c r="AP208" s="871"/>
    </row>
    <row r="209" spans="1:42" s="868" customFormat="1" ht="14" customHeight="1">
      <c r="A209" s="866">
        <v>208</v>
      </c>
      <c r="B209" s="867" t="s">
        <v>2582</v>
      </c>
      <c r="C209" s="867" t="s">
        <v>40</v>
      </c>
      <c r="D209" s="867" t="s">
        <v>2450</v>
      </c>
      <c r="E209" s="867" t="s">
        <v>969</v>
      </c>
      <c r="F209" s="867" t="s">
        <v>835</v>
      </c>
      <c r="G209" s="867">
        <v>4</v>
      </c>
      <c r="H209" s="869">
        <v>0.9</v>
      </c>
      <c r="I209" s="869">
        <v>3</v>
      </c>
      <c r="J209" s="869">
        <f t="shared" si="11"/>
        <v>10.8</v>
      </c>
      <c r="K209" s="869">
        <f t="shared" si="12"/>
        <v>1.4039999999999999</v>
      </c>
      <c r="L209" s="868">
        <v>0</v>
      </c>
      <c r="M209" s="867" t="s">
        <v>47</v>
      </c>
      <c r="N209" s="866">
        <v>2050</v>
      </c>
      <c r="O209" s="867" t="s">
        <v>2383</v>
      </c>
      <c r="P209" s="870">
        <v>5415058025779</v>
      </c>
      <c r="Q209" s="867" t="s">
        <v>2474</v>
      </c>
      <c r="R209" s="871">
        <v>13</v>
      </c>
      <c r="S209" s="871">
        <v>14.95</v>
      </c>
      <c r="T209" s="871">
        <v>13</v>
      </c>
      <c r="U209" s="871">
        <v>14.95</v>
      </c>
      <c r="V209" s="871">
        <v>14.3</v>
      </c>
      <c r="W209" s="871">
        <v>16.45</v>
      </c>
      <c r="X209" s="871">
        <v>14.3</v>
      </c>
      <c r="Y209" s="871">
        <v>16.45</v>
      </c>
      <c r="Z209" s="871">
        <v>26</v>
      </c>
      <c r="AA209" s="871">
        <v>30</v>
      </c>
      <c r="AB209" s="871">
        <v>35</v>
      </c>
      <c r="AC209" s="871">
        <v>40.25</v>
      </c>
      <c r="AD209" s="871">
        <v>55</v>
      </c>
      <c r="AE209" s="871">
        <v>60.5</v>
      </c>
      <c r="AF209" s="871">
        <v>25</v>
      </c>
      <c r="AG209" s="871">
        <v>28.75</v>
      </c>
      <c r="AH209" s="871">
        <v>45.45</v>
      </c>
      <c r="AI209" s="871">
        <v>50</v>
      </c>
      <c r="AJ209" s="871"/>
      <c r="AK209" s="871"/>
      <c r="AL209" s="871"/>
      <c r="AM209" s="871"/>
      <c r="AN209" s="871"/>
      <c r="AO209" s="871"/>
      <c r="AP209" s="871"/>
    </row>
    <row r="210" spans="1:42" s="868" customFormat="1" ht="14" customHeight="1">
      <c r="A210" s="866">
        <v>209</v>
      </c>
      <c r="B210" s="867" t="s">
        <v>2583</v>
      </c>
      <c r="C210" s="867" t="s">
        <v>40</v>
      </c>
      <c r="D210" s="867" t="s">
        <v>2450</v>
      </c>
      <c r="E210" s="867" t="s">
        <v>969</v>
      </c>
      <c r="F210" s="867" t="s">
        <v>813</v>
      </c>
      <c r="G210" s="867">
        <v>4</v>
      </c>
      <c r="H210" s="869">
        <v>0.9</v>
      </c>
      <c r="I210" s="869">
        <v>3</v>
      </c>
      <c r="J210" s="869">
        <f t="shared" si="11"/>
        <v>10.8</v>
      </c>
      <c r="K210" s="869">
        <f t="shared" si="12"/>
        <v>1.4039999999999999</v>
      </c>
      <c r="L210" s="868">
        <v>0</v>
      </c>
      <c r="M210" s="867" t="s">
        <v>47</v>
      </c>
      <c r="N210" s="866">
        <v>2050</v>
      </c>
      <c r="O210" s="867" t="s">
        <v>2383</v>
      </c>
      <c r="P210" s="870">
        <v>5415058025786</v>
      </c>
      <c r="Q210" s="867" t="s">
        <v>2474</v>
      </c>
      <c r="R210" s="871">
        <v>13</v>
      </c>
      <c r="S210" s="871">
        <v>14.95</v>
      </c>
      <c r="T210" s="871">
        <v>13</v>
      </c>
      <c r="U210" s="871">
        <v>14.95</v>
      </c>
      <c r="V210" s="871">
        <v>14.3</v>
      </c>
      <c r="W210" s="871">
        <v>16.45</v>
      </c>
      <c r="X210" s="871">
        <v>14.3</v>
      </c>
      <c r="Y210" s="871">
        <v>16.45</v>
      </c>
      <c r="Z210" s="871">
        <v>26</v>
      </c>
      <c r="AA210" s="871">
        <v>30</v>
      </c>
      <c r="AB210" s="871">
        <v>35</v>
      </c>
      <c r="AC210" s="871">
        <v>40.25</v>
      </c>
      <c r="AD210" s="871">
        <v>55</v>
      </c>
      <c r="AE210" s="871">
        <v>60.5</v>
      </c>
      <c r="AF210" s="871">
        <v>25</v>
      </c>
      <c r="AG210" s="871">
        <v>28.75</v>
      </c>
      <c r="AH210" s="871">
        <v>45.45</v>
      </c>
      <c r="AI210" s="871">
        <v>50</v>
      </c>
      <c r="AJ210" s="871"/>
      <c r="AK210" s="871"/>
      <c r="AL210" s="871"/>
      <c r="AM210" s="871"/>
      <c r="AN210" s="871"/>
      <c r="AO210" s="871"/>
      <c r="AP210" s="871"/>
    </row>
    <row r="211" spans="1:42" s="868" customFormat="1" ht="14" customHeight="1">
      <c r="A211" s="866">
        <v>210</v>
      </c>
      <c r="B211" s="867" t="s">
        <v>2584</v>
      </c>
      <c r="C211" s="867" t="s">
        <v>40</v>
      </c>
      <c r="D211" s="867" t="s">
        <v>2450</v>
      </c>
      <c r="E211" s="867" t="s">
        <v>969</v>
      </c>
      <c r="F211" s="867" t="s">
        <v>863</v>
      </c>
      <c r="G211" s="867">
        <v>4</v>
      </c>
      <c r="H211" s="869">
        <v>0.9</v>
      </c>
      <c r="I211" s="869">
        <v>3</v>
      </c>
      <c r="J211" s="869">
        <f t="shared" si="11"/>
        <v>10.8</v>
      </c>
      <c r="K211" s="869">
        <f t="shared" si="12"/>
        <v>1.4039999999999999</v>
      </c>
      <c r="L211" s="868">
        <v>0</v>
      </c>
      <c r="M211" s="867" t="s">
        <v>47</v>
      </c>
      <c r="N211" s="866">
        <v>2050</v>
      </c>
      <c r="O211" s="867" t="s">
        <v>2383</v>
      </c>
      <c r="P211" s="870">
        <v>5415058025793</v>
      </c>
      <c r="Q211" s="867" t="s">
        <v>2474</v>
      </c>
      <c r="R211" s="871">
        <v>13</v>
      </c>
      <c r="S211" s="871">
        <v>14.95</v>
      </c>
      <c r="T211" s="871">
        <v>13</v>
      </c>
      <c r="U211" s="871">
        <v>14.95</v>
      </c>
      <c r="V211" s="871">
        <v>14.3</v>
      </c>
      <c r="W211" s="871">
        <v>16.45</v>
      </c>
      <c r="X211" s="871">
        <v>14.3</v>
      </c>
      <c r="Y211" s="871">
        <v>16.45</v>
      </c>
      <c r="Z211" s="871">
        <v>26</v>
      </c>
      <c r="AA211" s="871">
        <v>30</v>
      </c>
      <c r="AB211" s="871">
        <v>35</v>
      </c>
      <c r="AC211" s="871">
        <v>40.25</v>
      </c>
      <c r="AD211" s="871">
        <v>55</v>
      </c>
      <c r="AE211" s="871">
        <v>60.5</v>
      </c>
      <c r="AF211" s="871">
        <v>25</v>
      </c>
      <c r="AG211" s="871">
        <v>28.75</v>
      </c>
      <c r="AH211" s="871">
        <v>45.45</v>
      </c>
      <c r="AI211" s="871">
        <v>50</v>
      </c>
      <c r="AJ211" s="871"/>
      <c r="AK211" s="871"/>
      <c r="AL211" s="871"/>
      <c r="AM211" s="871"/>
      <c r="AN211" s="871"/>
      <c r="AO211" s="871"/>
      <c r="AP211" s="871"/>
    </row>
    <row r="212" spans="1:42" s="868" customFormat="1" ht="14" customHeight="1">
      <c r="A212" s="866">
        <v>211</v>
      </c>
      <c r="B212" s="867" t="s">
        <v>2585</v>
      </c>
      <c r="C212" s="867" t="s">
        <v>40</v>
      </c>
      <c r="D212" s="867" t="s">
        <v>2450</v>
      </c>
      <c r="E212" s="867" t="s">
        <v>974</v>
      </c>
      <c r="F212" s="867" t="s">
        <v>905</v>
      </c>
      <c r="G212" s="867">
        <v>1</v>
      </c>
      <c r="H212" s="869">
        <v>0.9</v>
      </c>
      <c r="I212" s="869">
        <v>9</v>
      </c>
      <c r="J212" s="869">
        <f t="shared" si="11"/>
        <v>8.1</v>
      </c>
      <c r="K212" s="869">
        <f t="shared" si="12"/>
        <v>1.0529999999999999</v>
      </c>
      <c r="L212" s="868">
        <v>0</v>
      </c>
      <c r="M212" s="867" t="s">
        <v>47</v>
      </c>
      <c r="N212" s="866">
        <v>2050</v>
      </c>
      <c r="O212" s="867" t="s">
        <v>2383</v>
      </c>
      <c r="P212" s="870">
        <v>5415058025588</v>
      </c>
      <c r="Q212" s="867" t="s">
        <v>2474</v>
      </c>
      <c r="R212" s="871">
        <v>13</v>
      </c>
      <c r="S212" s="871">
        <v>14.95</v>
      </c>
      <c r="T212" s="871">
        <v>13</v>
      </c>
      <c r="U212" s="871">
        <v>14.95</v>
      </c>
      <c r="V212" s="871">
        <v>14.3</v>
      </c>
      <c r="W212" s="871">
        <v>16.45</v>
      </c>
      <c r="X212" s="871">
        <v>14.3</v>
      </c>
      <c r="Y212" s="871">
        <v>16.45</v>
      </c>
      <c r="Z212" s="871">
        <v>26</v>
      </c>
      <c r="AA212" s="871">
        <v>30</v>
      </c>
      <c r="AB212" s="871">
        <v>35</v>
      </c>
      <c r="AC212" s="871">
        <v>40.25</v>
      </c>
      <c r="AD212" s="871">
        <v>55</v>
      </c>
      <c r="AE212" s="871">
        <v>60.5</v>
      </c>
      <c r="AF212" s="871">
        <v>25</v>
      </c>
      <c r="AG212" s="871">
        <v>28.75</v>
      </c>
      <c r="AH212" s="871">
        <v>45.45</v>
      </c>
      <c r="AI212" s="871">
        <v>50</v>
      </c>
      <c r="AJ212" s="871"/>
      <c r="AK212" s="871"/>
      <c r="AL212" s="871"/>
      <c r="AM212" s="871"/>
      <c r="AN212" s="871"/>
      <c r="AO212" s="871"/>
      <c r="AP212" s="871"/>
    </row>
    <row r="213" spans="1:42" s="868" customFormat="1" ht="14" customHeight="1">
      <c r="A213" s="866">
        <v>212</v>
      </c>
      <c r="B213" s="867" t="s">
        <v>2586</v>
      </c>
      <c r="C213" s="867" t="s">
        <v>40</v>
      </c>
      <c r="D213" s="867" t="s">
        <v>2450</v>
      </c>
      <c r="E213" s="867" t="s">
        <v>974</v>
      </c>
      <c r="F213" s="867" t="s">
        <v>515</v>
      </c>
      <c r="G213" s="867">
        <v>1</v>
      </c>
      <c r="H213" s="869">
        <v>0.9</v>
      </c>
      <c r="I213" s="869">
        <v>9</v>
      </c>
      <c r="J213" s="869">
        <f t="shared" si="11"/>
        <v>8.1</v>
      </c>
      <c r="K213" s="869">
        <f t="shared" si="12"/>
        <v>1.0529999999999999</v>
      </c>
      <c r="L213" s="868">
        <v>0</v>
      </c>
      <c r="M213" s="867" t="s">
        <v>47</v>
      </c>
      <c r="N213" s="866">
        <v>2050</v>
      </c>
      <c r="O213" s="867" t="s">
        <v>2383</v>
      </c>
      <c r="P213" s="870">
        <v>5415058025595</v>
      </c>
      <c r="Q213" s="867" t="s">
        <v>2474</v>
      </c>
      <c r="R213" s="871">
        <v>13</v>
      </c>
      <c r="S213" s="871">
        <v>14.95</v>
      </c>
      <c r="T213" s="871">
        <v>13</v>
      </c>
      <c r="U213" s="871">
        <v>14.95</v>
      </c>
      <c r="V213" s="871">
        <v>14.3</v>
      </c>
      <c r="W213" s="871">
        <v>16.45</v>
      </c>
      <c r="X213" s="871">
        <v>14.3</v>
      </c>
      <c r="Y213" s="871">
        <v>16.45</v>
      </c>
      <c r="Z213" s="871">
        <v>26</v>
      </c>
      <c r="AA213" s="871">
        <v>30</v>
      </c>
      <c r="AB213" s="871">
        <v>35</v>
      </c>
      <c r="AC213" s="871">
        <v>40.25</v>
      </c>
      <c r="AD213" s="871">
        <v>55</v>
      </c>
      <c r="AE213" s="871">
        <v>60.5</v>
      </c>
      <c r="AF213" s="871">
        <v>25</v>
      </c>
      <c r="AG213" s="871">
        <v>28.75</v>
      </c>
      <c r="AH213" s="871">
        <v>45.45</v>
      </c>
      <c r="AI213" s="871">
        <v>50</v>
      </c>
      <c r="AJ213" s="871"/>
      <c r="AK213" s="871"/>
      <c r="AL213" s="871"/>
      <c r="AM213" s="871"/>
      <c r="AN213" s="871"/>
      <c r="AO213" s="871"/>
      <c r="AP213" s="871"/>
    </row>
    <row r="214" spans="1:42" s="868" customFormat="1" ht="14">
      <c r="A214" s="866">
        <v>213</v>
      </c>
      <c r="B214" s="867" t="s">
        <v>2803</v>
      </c>
      <c r="C214" s="867" t="s">
        <v>40</v>
      </c>
      <c r="D214" s="867" t="s">
        <v>2377</v>
      </c>
      <c r="E214" s="867" t="s">
        <v>2501</v>
      </c>
      <c r="F214" s="867" t="s">
        <v>813</v>
      </c>
      <c r="G214" s="868">
        <v>1</v>
      </c>
      <c r="H214" s="869">
        <v>0.21</v>
      </c>
      <c r="I214" s="869">
        <v>0.3</v>
      </c>
      <c r="J214" s="869">
        <f t="shared" si="11"/>
        <v>6.3E-2</v>
      </c>
      <c r="K214" s="869">
        <f t="shared" si="12"/>
        <v>8.1899999999999994E-3</v>
      </c>
      <c r="L214" s="868">
        <v>53</v>
      </c>
      <c r="M214" s="867" t="s">
        <v>2380</v>
      </c>
      <c r="N214" s="866">
        <v>2019</v>
      </c>
      <c r="O214" s="867" t="s">
        <v>2383</v>
      </c>
      <c r="P214" s="870" t="s">
        <v>47</v>
      </c>
      <c r="Q214" s="867" t="s">
        <v>92</v>
      </c>
      <c r="R214" s="871">
        <v>0</v>
      </c>
      <c r="S214" s="871">
        <v>0</v>
      </c>
      <c r="T214" s="871">
        <v>0</v>
      </c>
      <c r="U214" s="871">
        <v>0</v>
      </c>
      <c r="V214" s="871">
        <v>0</v>
      </c>
      <c r="W214" s="871">
        <v>0</v>
      </c>
      <c r="X214" s="871">
        <v>0</v>
      </c>
      <c r="Y214" s="871">
        <v>0</v>
      </c>
      <c r="Z214" s="871">
        <v>0</v>
      </c>
      <c r="AA214" s="871">
        <v>0</v>
      </c>
      <c r="AB214" s="871">
        <v>0</v>
      </c>
      <c r="AC214" s="871">
        <v>0</v>
      </c>
      <c r="AD214" s="871">
        <v>2.5</v>
      </c>
      <c r="AE214" s="871">
        <v>0</v>
      </c>
      <c r="AF214" s="871">
        <v>0</v>
      </c>
      <c r="AG214" s="871">
        <v>0</v>
      </c>
      <c r="AH214" s="871">
        <f t="shared" ref="AH214:AH277" si="13">2.5/1.21</f>
        <v>2.0661157024793391</v>
      </c>
      <c r="AI214" s="871">
        <v>0</v>
      </c>
      <c r="AJ214" s="871"/>
      <c r="AK214" s="871"/>
      <c r="AL214" s="871"/>
      <c r="AM214" s="871"/>
      <c r="AN214" s="871"/>
      <c r="AO214" s="871"/>
      <c r="AP214" s="871"/>
    </row>
    <row r="215" spans="1:42" s="868" customFormat="1" ht="14">
      <c r="A215" s="866">
        <v>214</v>
      </c>
      <c r="B215" s="867" t="s">
        <v>2804</v>
      </c>
      <c r="C215" s="867" t="s">
        <v>40</v>
      </c>
      <c r="D215" s="867" t="s">
        <v>2377</v>
      </c>
      <c r="E215" s="867" t="s">
        <v>2501</v>
      </c>
      <c r="F215" s="867" t="s">
        <v>830</v>
      </c>
      <c r="G215" s="868">
        <v>1</v>
      </c>
      <c r="H215" s="869">
        <v>0.21</v>
      </c>
      <c r="I215" s="869">
        <v>0.3</v>
      </c>
      <c r="J215" s="869">
        <f t="shared" ref="J215:J278" si="14">H215*I215*G215</f>
        <v>6.3E-2</v>
      </c>
      <c r="K215" s="869">
        <f t="shared" ref="K215:K278" si="15">J215*130/1000</f>
        <v>8.1899999999999994E-3</v>
      </c>
      <c r="L215" s="868">
        <v>53</v>
      </c>
      <c r="M215" s="867" t="s">
        <v>2380</v>
      </c>
      <c r="N215" s="866">
        <v>2019</v>
      </c>
      <c r="O215" s="867" t="s">
        <v>2383</v>
      </c>
      <c r="P215" s="870" t="s">
        <v>47</v>
      </c>
      <c r="Q215" s="867" t="s">
        <v>92</v>
      </c>
      <c r="R215" s="871">
        <v>0</v>
      </c>
      <c r="S215" s="871">
        <v>0</v>
      </c>
      <c r="T215" s="871">
        <v>0</v>
      </c>
      <c r="U215" s="871">
        <v>0</v>
      </c>
      <c r="V215" s="871">
        <v>0</v>
      </c>
      <c r="W215" s="871">
        <v>0</v>
      </c>
      <c r="X215" s="871">
        <v>0</v>
      </c>
      <c r="Y215" s="871">
        <v>0</v>
      </c>
      <c r="Z215" s="871">
        <v>0</v>
      </c>
      <c r="AA215" s="871">
        <v>0</v>
      </c>
      <c r="AB215" s="871">
        <v>0</v>
      </c>
      <c r="AC215" s="871">
        <v>0</v>
      </c>
      <c r="AD215" s="871">
        <v>2.5</v>
      </c>
      <c r="AE215" s="871">
        <v>0</v>
      </c>
      <c r="AF215" s="871">
        <v>0</v>
      </c>
      <c r="AG215" s="871">
        <v>0</v>
      </c>
      <c r="AH215" s="871">
        <f t="shared" si="13"/>
        <v>2.0661157024793391</v>
      </c>
      <c r="AI215" s="871">
        <v>0</v>
      </c>
      <c r="AJ215" s="871"/>
      <c r="AK215" s="871"/>
      <c r="AL215" s="871"/>
      <c r="AM215" s="871"/>
      <c r="AN215" s="871"/>
      <c r="AO215" s="871"/>
      <c r="AP215" s="871"/>
    </row>
    <row r="216" spans="1:42" s="868" customFormat="1" ht="14">
      <c r="A216" s="866">
        <v>215</v>
      </c>
      <c r="B216" s="867" t="s">
        <v>2805</v>
      </c>
      <c r="C216" s="867" t="s">
        <v>40</v>
      </c>
      <c r="D216" s="867" t="s">
        <v>2377</v>
      </c>
      <c r="E216" s="867" t="s">
        <v>2501</v>
      </c>
      <c r="F216" s="867" t="s">
        <v>980</v>
      </c>
      <c r="G216" s="868">
        <v>1</v>
      </c>
      <c r="H216" s="869">
        <v>0.21</v>
      </c>
      <c r="I216" s="869">
        <v>0.3</v>
      </c>
      <c r="J216" s="869">
        <f t="shared" si="14"/>
        <v>6.3E-2</v>
      </c>
      <c r="K216" s="869">
        <f t="shared" si="15"/>
        <v>8.1899999999999994E-3</v>
      </c>
      <c r="L216" s="868">
        <v>53</v>
      </c>
      <c r="M216" s="867" t="s">
        <v>2380</v>
      </c>
      <c r="N216" s="866">
        <v>2019</v>
      </c>
      <c r="O216" s="867" t="s">
        <v>2383</v>
      </c>
      <c r="P216" s="870" t="s">
        <v>47</v>
      </c>
      <c r="Q216" s="867" t="s">
        <v>92</v>
      </c>
      <c r="R216" s="871">
        <v>0</v>
      </c>
      <c r="S216" s="871">
        <v>0</v>
      </c>
      <c r="T216" s="871">
        <v>0</v>
      </c>
      <c r="U216" s="871">
        <v>0</v>
      </c>
      <c r="V216" s="871">
        <v>0</v>
      </c>
      <c r="W216" s="871">
        <v>0</v>
      </c>
      <c r="X216" s="871">
        <v>0</v>
      </c>
      <c r="Y216" s="871">
        <v>0</v>
      </c>
      <c r="Z216" s="871">
        <v>0</v>
      </c>
      <c r="AA216" s="871">
        <v>0</v>
      </c>
      <c r="AB216" s="871">
        <v>0</v>
      </c>
      <c r="AC216" s="871">
        <v>0</v>
      </c>
      <c r="AD216" s="871">
        <v>2.5</v>
      </c>
      <c r="AE216" s="871">
        <v>0</v>
      </c>
      <c r="AF216" s="871">
        <v>0</v>
      </c>
      <c r="AG216" s="871">
        <v>0</v>
      </c>
      <c r="AH216" s="871">
        <f t="shared" si="13"/>
        <v>2.0661157024793391</v>
      </c>
      <c r="AI216" s="871">
        <v>0</v>
      </c>
      <c r="AJ216" s="871"/>
      <c r="AK216" s="871"/>
      <c r="AL216" s="871"/>
      <c r="AM216" s="871"/>
      <c r="AN216" s="871"/>
      <c r="AO216" s="871"/>
      <c r="AP216" s="871"/>
    </row>
    <row r="217" spans="1:42" s="868" customFormat="1" ht="14">
      <c r="A217" s="866">
        <v>216</v>
      </c>
      <c r="B217" s="867" t="s">
        <v>2806</v>
      </c>
      <c r="C217" s="867" t="s">
        <v>40</v>
      </c>
      <c r="D217" s="867" t="s">
        <v>2377</v>
      </c>
      <c r="E217" s="867" t="s">
        <v>2501</v>
      </c>
      <c r="F217" s="867" t="s">
        <v>982</v>
      </c>
      <c r="G217" s="868">
        <v>1</v>
      </c>
      <c r="H217" s="869">
        <v>0.21</v>
      </c>
      <c r="I217" s="869">
        <v>0.3</v>
      </c>
      <c r="J217" s="869">
        <f t="shared" si="14"/>
        <v>6.3E-2</v>
      </c>
      <c r="K217" s="869">
        <f t="shared" si="15"/>
        <v>8.1899999999999994E-3</v>
      </c>
      <c r="L217" s="868">
        <v>53</v>
      </c>
      <c r="M217" s="867" t="s">
        <v>2380</v>
      </c>
      <c r="N217" s="866">
        <v>2019</v>
      </c>
      <c r="O217" s="867" t="s">
        <v>2383</v>
      </c>
      <c r="P217" s="870" t="s">
        <v>47</v>
      </c>
      <c r="Q217" s="867" t="s">
        <v>92</v>
      </c>
      <c r="R217" s="871">
        <v>0</v>
      </c>
      <c r="S217" s="871">
        <v>0</v>
      </c>
      <c r="T217" s="871">
        <v>0</v>
      </c>
      <c r="U217" s="871">
        <v>0</v>
      </c>
      <c r="V217" s="871">
        <v>0</v>
      </c>
      <c r="W217" s="871">
        <v>0</v>
      </c>
      <c r="X217" s="871">
        <v>0</v>
      </c>
      <c r="Y217" s="871">
        <v>0</v>
      </c>
      <c r="Z217" s="871">
        <v>0</v>
      </c>
      <c r="AA217" s="871">
        <v>0</v>
      </c>
      <c r="AB217" s="871">
        <v>0</v>
      </c>
      <c r="AC217" s="871">
        <v>0</v>
      </c>
      <c r="AD217" s="871">
        <v>2.5</v>
      </c>
      <c r="AE217" s="871">
        <v>0</v>
      </c>
      <c r="AF217" s="871">
        <v>0</v>
      </c>
      <c r="AG217" s="871">
        <v>0</v>
      </c>
      <c r="AH217" s="871">
        <f t="shared" si="13"/>
        <v>2.0661157024793391</v>
      </c>
      <c r="AI217" s="871">
        <v>0</v>
      </c>
      <c r="AJ217" s="871"/>
      <c r="AK217" s="871"/>
      <c r="AL217" s="871"/>
      <c r="AM217" s="871"/>
      <c r="AN217" s="871"/>
      <c r="AO217" s="871"/>
      <c r="AP217" s="871"/>
    </row>
    <row r="218" spans="1:42" s="868" customFormat="1" ht="14">
      <c r="A218" s="866">
        <v>217</v>
      </c>
      <c r="B218" s="867" t="s">
        <v>2807</v>
      </c>
      <c r="C218" s="867" t="s">
        <v>40</v>
      </c>
      <c r="D218" s="867" t="s">
        <v>2377</v>
      </c>
      <c r="E218" s="867" t="s">
        <v>2501</v>
      </c>
      <c r="F218" s="867" t="s">
        <v>882</v>
      </c>
      <c r="G218" s="868">
        <v>1</v>
      </c>
      <c r="H218" s="869">
        <v>0.21</v>
      </c>
      <c r="I218" s="869">
        <v>0.3</v>
      </c>
      <c r="J218" s="869">
        <f t="shared" si="14"/>
        <v>6.3E-2</v>
      </c>
      <c r="K218" s="869">
        <f t="shared" si="15"/>
        <v>8.1899999999999994E-3</v>
      </c>
      <c r="L218" s="868">
        <v>53</v>
      </c>
      <c r="M218" s="867" t="s">
        <v>2380</v>
      </c>
      <c r="N218" s="866">
        <v>2019</v>
      </c>
      <c r="O218" s="867" t="s">
        <v>2383</v>
      </c>
      <c r="P218" s="870" t="s">
        <v>47</v>
      </c>
      <c r="Q218" s="867" t="s">
        <v>92</v>
      </c>
      <c r="R218" s="871">
        <v>0</v>
      </c>
      <c r="S218" s="871">
        <v>0</v>
      </c>
      <c r="T218" s="871">
        <v>0</v>
      </c>
      <c r="U218" s="871">
        <v>0</v>
      </c>
      <c r="V218" s="871">
        <v>0</v>
      </c>
      <c r="W218" s="871">
        <v>0</v>
      </c>
      <c r="X218" s="871">
        <v>0</v>
      </c>
      <c r="Y218" s="871">
        <v>0</v>
      </c>
      <c r="Z218" s="871">
        <v>0</v>
      </c>
      <c r="AA218" s="871">
        <v>0</v>
      </c>
      <c r="AB218" s="871">
        <v>0</v>
      </c>
      <c r="AC218" s="871">
        <v>0</v>
      </c>
      <c r="AD218" s="871">
        <v>2.5</v>
      </c>
      <c r="AE218" s="871">
        <v>0</v>
      </c>
      <c r="AF218" s="871">
        <v>0</v>
      </c>
      <c r="AG218" s="871">
        <v>0</v>
      </c>
      <c r="AH218" s="871">
        <f t="shared" si="13"/>
        <v>2.0661157024793391</v>
      </c>
      <c r="AI218" s="871">
        <v>0</v>
      </c>
      <c r="AJ218" s="871"/>
      <c r="AK218" s="871"/>
      <c r="AL218" s="871"/>
      <c r="AM218" s="871"/>
      <c r="AN218" s="871"/>
      <c r="AO218" s="871"/>
      <c r="AP218" s="871"/>
    </row>
    <row r="219" spans="1:42" s="868" customFormat="1" ht="14">
      <c r="A219" s="866">
        <v>218</v>
      </c>
      <c r="B219" s="867" t="s">
        <v>2808</v>
      </c>
      <c r="C219" s="867" t="s">
        <v>40</v>
      </c>
      <c r="D219" s="867" t="s">
        <v>2377</v>
      </c>
      <c r="E219" s="867" t="s">
        <v>2501</v>
      </c>
      <c r="F219" s="867" t="s">
        <v>985</v>
      </c>
      <c r="G219" s="868">
        <v>1</v>
      </c>
      <c r="H219" s="869">
        <v>0.21</v>
      </c>
      <c r="I219" s="869">
        <v>0.3</v>
      </c>
      <c r="J219" s="869">
        <f t="shared" si="14"/>
        <v>6.3E-2</v>
      </c>
      <c r="K219" s="869">
        <f t="shared" si="15"/>
        <v>8.1899999999999994E-3</v>
      </c>
      <c r="L219" s="868">
        <v>53</v>
      </c>
      <c r="M219" s="867" t="s">
        <v>2380</v>
      </c>
      <c r="N219" s="866">
        <v>2019</v>
      </c>
      <c r="O219" s="867" t="s">
        <v>2383</v>
      </c>
      <c r="P219" s="870" t="s">
        <v>47</v>
      </c>
      <c r="Q219" s="867" t="s">
        <v>92</v>
      </c>
      <c r="R219" s="871">
        <v>0</v>
      </c>
      <c r="S219" s="871">
        <v>0</v>
      </c>
      <c r="T219" s="871">
        <v>0</v>
      </c>
      <c r="U219" s="871">
        <v>0</v>
      </c>
      <c r="V219" s="871">
        <v>0</v>
      </c>
      <c r="W219" s="871">
        <v>0</v>
      </c>
      <c r="X219" s="871">
        <v>0</v>
      </c>
      <c r="Y219" s="871">
        <v>0</v>
      </c>
      <c r="Z219" s="871">
        <v>0</v>
      </c>
      <c r="AA219" s="871">
        <v>0</v>
      </c>
      <c r="AB219" s="871">
        <v>0</v>
      </c>
      <c r="AC219" s="871">
        <v>0</v>
      </c>
      <c r="AD219" s="871">
        <v>2.5</v>
      </c>
      <c r="AE219" s="871">
        <v>0</v>
      </c>
      <c r="AF219" s="871">
        <v>0</v>
      </c>
      <c r="AG219" s="871">
        <v>0</v>
      </c>
      <c r="AH219" s="871">
        <f t="shared" si="13"/>
        <v>2.0661157024793391</v>
      </c>
      <c r="AI219" s="871">
        <v>0</v>
      </c>
      <c r="AJ219" s="871"/>
      <c r="AK219" s="871"/>
      <c r="AL219" s="871"/>
      <c r="AM219" s="871"/>
      <c r="AN219" s="871"/>
      <c r="AO219" s="871"/>
      <c r="AP219" s="871"/>
    </row>
    <row r="220" spans="1:42" s="868" customFormat="1" ht="14">
      <c r="A220" s="866">
        <v>219</v>
      </c>
      <c r="B220" s="867" t="s">
        <v>2809</v>
      </c>
      <c r="C220" s="867" t="s">
        <v>40</v>
      </c>
      <c r="D220" s="867" t="s">
        <v>2377</v>
      </c>
      <c r="E220" s="867" t="s">
        <v>2501</v>
      </c>
      <c r="F220" s="867" t="s">
        <v>690</v>
      </c>
      <c r="G220" s="868">
        <v>1</v>
      </c>
      <c r="H220" s="869">
        <v>0.21</v>
      </c>
      <c r="I220" s="869">
        <v>0.3</v>
      </c>
      <c r="J220" s="869">
        <f t="shared" si="14"/>
        <v>6.3E-2</v>
      </c>
      <c r="K220" s="869">
        <f t="shared" si="15"/>
        <v>8.1899999999999994E-3</v>
      </c>
      <c r="L220" s="868">
        <v>53</v>
      </c>
      <c r="M220" s="867" t="s">
        <v>2380</v>
      </c>
      <c r="N220" s="866">
        <v>2019</v>
      </c>
      <c r="O220" s="867" t="s">
        <v>2383</v>
      </c>
      <c r="P220" s="870" t="s">
        <v>47</v>
      </c>
      <c r="Q220" s="867" t="s">
        <v>92</v>
      </c>
      <c r="R220" s="871">
        <v>0</v>
      </c>
      <c r="S220" s="871">
        <v>0</v>
      </c>
      <c r="T220" s="871">
        <v>0</v>
      </c>
      <c r="U220" s="871">
        <v>0</v>
      </c>
      <c r="V220" s="871">
        <v>0</v>
      </c>
      <c r="W220" s="871">
        <v>0</v>
      </c>
      <c r="X220" s="871">
        <v>0</v>
      </c>
      <c r="Y220" s="871">
        <v>0</v>
      </c>
      <c r="Z220" s="871">
        <v>0</v>
      </c>
      <c r="AA220" s="871">
        <v>0</v>
      </c>
      <c r="AB220" s="871">
        <v>0</v>
      </c>
      <c r="AC220" s="871">
        <v>0</v>
      </c>
      <c r="AD220" s="871">
        <v>2.5</v>
      </c>
      <c r="AE220" s="871">
        <v>0</v>
      </c>
      <c r="AF220" s="871">
        <v>0</v>
      </c>
      <c r="AG220" s="871">
        <v>0</v>
      </c>
      <c r="AH220" s="871">
        <f t="shared" si="13"/>
        <v>2.0661157024793391</v>
      </c>
      <c r="AI220" s="871">
        <v>0</v>
      </c>
      <c r="AJ220" s="871"/>
      <c r="AK220" s="871"/>
      <c r="AL220" s="871"/>
      <c r="AM220" s="871"/>
      <c r="AN220" s="871"/>
      <c r="AO220" s="871"/>
      <c r="AP220" s="871"/>
    </row>
    <row r="221" spans="1:42" s="868" customFormat="1" ht="14">
      <c r="A221" s="866">
        <v>220</v>
      </c>
      <c r="B221" s="867" t="s">
        <v>2810</v>
      </c>
      <c r="C221" s="867" t="s">
        <v>40</v>
      </c>
      <c r="D221" s="867" t="s">
        <v>2377</v>
      </c>
      <c r="E221" s="867" t="s">
        <v>2502</v>
      </c>
      <c r="F221" s="867" t="s">
        <v>813</v>
      </c>
      <c r="G221" s="868">
        <v>1</v>
      </c>
      <c r="H221" s="869">
        <v>0.21</v>
      </c>
      <c r="I221" s="869">
        <v>0.3</v>
      </c>
      <c r="J221" s="869">
        <f t="shared" si="14"/>
        <v>6.3E-2</v>
      </c>
      <c r="K221" s="869">
        <f t="shared" si="15"/>
        <v>8.1899999999999994E-3</v>
      </c>
      <c r="L221" s="868">
        <v>53</v>
      </c>
      <c r="M221" s="867" t="s">
        <v>2380</v>
      </c>
      <c r="N221" s="866">
        <v>2019</v>
      </c>
      <c r="O221" s="867" t="s">
        <v>2383</v>
      </c>
      <c r="P221" s="870" t="s">
        <v>47</v>
      </c>
      <c r="Q221" s="867" t="s">
        <v>92</v>
      </c>
      <c r="R221" s="871">
        <v>0</v>
      </c>
      <c r="S221" s="871">
        <v>0</v>
      </c>
      <c r="T221" s="871">
        <v>0</v>
      </c>
      <c r="U221" s="871">
        <v>0</v>
      </c>
      <c r="V221" s="871">
        <v>0</v>
      </c>
      <c r="W221" s="871">
        <v>0</v>
      </c>
      <c r="X221" s="871">
        <v>0</v>
      </c>
      <c r="Y221" s="871">
        <v>0</v>
      </c>
      <c r="Z221" s="871">
        <v>0</v>
      </c>
      <c r="AA221" s="871">
        <v>0</v>
      </c>
      <c r="AB221" s="871">
        <v>0</v>
      </c>
      <c r="AC221" s="871">
        <v>0</v>
      </c>
      <c r="AD221" s="871">
        <v>2.5</v>
      </c>
      <c r="AE221" s="871">
        <v>0</v>
      </c>
      <c r="AF221" s="871">
        <v>0</v>
      </c>
      <c r="AG221" s="871">
        <v>0</v>
      </c>
      <c r="AH221" s="871">
        <f t="shared" si="13"/>
        <v>2.0661157024793391</v>
      </c>
      <c r="AI221" s="871">
        <v>0</v>
      </c>
      <c r="AJ221" s="871"/>
      <c r="AK221" s="871"/>
      <c r="AL221" s="871"/>
      <c r="AM221" s="871"/>
      <c r="AN221" s="871"/>
      <c r="AO221" s="871"/>
      <c r="AP221" s="871"/>
    </row>
    <row r="222" spans="1:42" s="868" customFormat="1" ht="14">
      <c r="A222" s="866">
        <v>221</v>
      </c>
      <c r="B222" s="867" t="s">
        <v>2811</v>
      </c>
      <c r="C222" s="867" t="s">
        <v>40</v>
      </c>
      <c r="D222" s="867" t="s">
        <v>2377</v>
      </c>
      <c r="E222" s="867" t="s">
        <v>2502</v>
      </c>
      <c r="F222" s="867" t="s">
        <v>980</v>
      </c>
      <c r="G222" s="868">
        <v>1</v>
      </c>
      <c r="H222" s="869">
        <v>0.21</v>
      </c>
      <c r="I222" s="869">
        <v>0.3</v>
      </c>
      <c r="J222" s="869">
        <f t="shared" si="14"/>
        <v>6.3E-2</v>
      </c>
      <c r="K222" s="869">
        <f t="shared" si="15"/>
        <v>8.1899999999999994E-3</v>
      </c>
      <c r="L222" s="868">
        <v>53</v>
      </c>
      <c r="M222" s="867" t="s">
        <v>2380</v>
      </c>
      <c r="N222" s="866">
        <v>2019</v>
      </c>
      <c r="O222" s="867" t="s">
        <v>2383</v>
      </c>
      <c r="P222" s="870" t="s">
        <v>47</v>
      </c>
      <c r="Q222" s="867" t="s">
        <v>92</v>
      </c>
      <c r="R222" s="871">
        <v>0</v>
      </c>
      <c r="S222" s="871">
        <v>0</v>
      </c>
      <c r="T222" s="871">
        <v>0</v>
      </c>
      <c r="U222" s="871">
        <v>0</v>
      </c>
      <c r="V222" s="871">
        <v>0</v>
      </c>
      <c r="W222" s="871">
        <v>0</v>
      </c>
      <c r="X222" s="871">
        <v>0</v>
      </c>
      <c r="Y222" s="871">
        <v>0</v>
      </c>
      <c r="Z222" s="871">
        <v>0</v>
      </c>
      <c r="AA222" s="871">
        <v>0</v>
      </c>
      <c r="AB222" s="871">
        <v>0</v>
      </c>
      <c r="AC222" s="871">
        <v>0</v>
      </c>
      <c r="AD222" s="871">
        <v>2.5</v>
      </c>
      <c r="AE222" s="871">
        <v>0</v>
      </c>
      <c r="AF222" s="871">
        <v>0</v>
      </c>
      <c r="AG222" s="871">
        <v>0</v>
      </c>
      <c r="AH222" s="871">
        <f t="shared" si="13"/>
        <v>2.0661157024793391</v>
      </c>
      <c r="AI222" s="871">
        <v>0</v>
      </c>
      <c r="AJ222" s="871"/>
      <c r="AK222" s="871"/>
      <c r="AL222" s="871"/>
      <c r="AM222" s="871"/>
      <c r="AN222" s="871"/>
      <c r="AO222" s="871"/>
      <c r="AP222" s="871"/>
    </row>
    <row r="223" spans="1:42" s="868" customFormat="1" ht="14">
      <c r="A223" s="866">
        <v>222</v>
      </c>
      <c r="B223" s="867" t="s">
        <v>2812</v>
      </c>
      <c r="C223" s="867" t="s">
        <v>40</v>
      </c>
      <c r="D223" s="867" t="s">
        <v>2377</v>
      </c>
      <c r="E223" s="867" t="s">
        <v>2502</v>
      </c>
      <c r="F223" s="867" t="s">
        <v>863</v>
      </c>
      <c r="G223" s="868">
        <v>1</v>
      </c>
      <c r="H223" s="869">
        <v>0.21</v>
      </c>
      <c r="I223" s="869">
        <v>0.3</v>
      </c>
      <c r="J223" s="869">
        <f t="shared" si="14"/>
        <v>6.3E-2</v>
      </c>
      <c r="K223" s="869">
        <f t="shared" si="15"/>
        <v>8.1899999999999994E-3</v>
      </c>
      <c r="L223" s="868">
        <v>53</v>
      </c>
      <c r="M223" s="867" t="s">
        <v>2380</v>
      </c>
      <c r="N223" s="866">
        <v>2019</v>
      </c>
      <c r="O223" s="867" t="s">
        <v>2383</v>
      </c>
      <c r="P223" s="870" t="s">
        <v>47</v>
      </c>
      <c r="Q223" s="867" t="s">
        <v>92</v>
      </c>
      <c r="R223" s="871">
        <v>0</v>
      </c>
      <c r="S223" s="871">
        <v>0</v>
      </c>
      <c r="T223" s="871">
        <v>0</v>
      </c>
      <c r="U223" s="871">
        <v>0</v>
      </c>
      <c r="V223" s="871">
        <v>0</v>
      </c>
      <c r="W223" s="871">
        <v>0</v>
      </c>
      <c r="X223" s="871">
        <v>0</v>
      </c>
      <c r="Y223" s="871">
        <v>0</v>
      </c>
      <c r="Z223" s="871">
        <v>0</v>
      </c>
      <c r="AA223" s="871">
        <v>0</v>
      </c>
      <c r="AB223" s="871">
        <v>0</v>
      </c>
      <c r="AC223" s="871">
        <v>0</v>
      </c>
      <c r="AD223" s="871">
        <v>2.5</v>
      </c>
      <c r="AE223" s="871">
        <v>0</v>
      </c>
      <c r="AF223" s="871">
        <v>0</v>
      </c>
      <c r="AG223" s="871">
        <v>0</v>
      </c>
      <c r="AH223" s="871">
        <f t="shared" si="13"/>
        <v>2.0661157024793391</v>
      </c>
      <c r="AI223" s="871">
        <v>0</v>
      </c>
      <c r="AJ223" s="871"/>
      <c r="AK223" s="871"/>
      <c r="AL223" s="871"/>
      <c r="AM223" s="871"/>
      <c r="AN223" s="871"/>
      <c r="AO223" s="871"/>
      <c r="AP223" s="871"/>
    </row>
    <row r="224" spans="1:42" s="868" customFormat="1" ht="14">
      <c r="A224" s="866">
        <v>223</v>
      </c>
      <c r="B224" s="867" t="s">
        <v>2813</v>
      </c>
      <c r="C224" s="867" t="s">
        <v>40</v>
      </c>
      <c r="D224" s="867" t="s">
        <v>2377</v>
      </c>
      <c r="E224" s="867" t="s">
        <v>2502</v>
      </c>
      <c r="F224" s="867" t="s">
        <v>515</v>
      </c>
      <c r="G224" s="868">
        <v>1</v>
      </c>
      <c r="H224" s="869">
        <v>0.21</v>
      </c>
      <c r="I224" s="869">
        <v>0.3</v>
      </c>
      <c r="J224" s="869">
        <f t="shared" si="14"/>
        <v>6.3E-2</v>
      </c>
      <c r="K224" s="869">
        <f t="shared" si="15"/>
        <v>8.1899999999999994E-3</v>
      </c>
      <c r="L224" s="868">
        <v>53</v>
      </c>
      <c r="M224" s="867" t="s">
        <v>2380</v>
      </c>
      <c r="N224" s="866">
        <v>2019</v>
      </c>
      <c r="O224" s="867" t="s">
        <v>2383</v>
      </c>
      <c r="P224" s="870" t="s">
        <v>47</v>
      </c>
      <c r="Q224" s="867" t="s">
        <v>92</v>
      </c>
      <c r="R224" s="871">
        <v>0</v>
      </c>
      <c r="S224" s="871">
        <v>0</v>
      </c>
      <c r="T224" s="871">
        <v>0</v>
      </c>
      <c r="U224" s="871">
        <v>0</v>
      </c>
      <c r="V224" s="871">
        <v>0</v>
      </c>
      <c r="W224" s="871">
        <v>0</v>
      </c>
      <c r="X224" s="871">
        <v>0</v>
      </c>
      <c r="Y224" s="871">
        <v>0</v>
      </c>
      <c r="Z224" s="871">
        <v>0</v>
      </c>
      <c r="AA224" s="871">
        <v>0</v>
      </c>
      <c r="AB224" s="871">
        <v>0</v>
      </c>
      <c r="AC224" s="871">
        <v>0</v>
      </c>
      <c r="AD224" s="871">
        <v>2.5</v>
      </c>
      <c r="AE224" s="871">
        <v>0</v>
      </c>
      <c r="AF224" s="871">
        <v>0</v>
      </c>
      <c r="AG224" s="871">
        <v>0</v>
      </c>
      <c r="AH224" s="871">
        <f t="shared" si="13"/>
        <v>2.0661157024793391</v>
      </c>
      <c r="AI224" s="871">
        <v>0</v>
      </c>
      <c r="AJ224" s="871"/>
      <c r="AK224" s="871"/>
      <c r="AL224" s="871"/>
      <c r="AM224" s="871"/>
      <c r="AN224" s="871"/>
      <c r="AO224" s="871"/>
      <c r="AP224" s="871"/>
    </row>
    <row r="225" spans="1:42" s="868" customFormat="1" ht="14">
      <c r="A225" s="866">
        <v>224</v>
      </c>
      <c r="B225" s="867" t="s">
        <v>2814</v>
      </c>
      <c r="C225" s="867" t="s">
        <v>40</v>
      </c>
      <c r="D225" s="867" t="s">
        <v>2377</v>
      </c>
      <c r="E225" s="867" t="s">
        <v>2502</v>
      </c>
      <c r="F225" s="867" t="s">
        <v>982</v>
      </c>
      <c r="G225" s="868">
        <v>1</v>
      </c>
      <c r="H225" s="869">
        <v>0.21</v>
      </c>
      <c r="I225" s="869">
        <v>0.3</v>
      </c>
      <c r="J225" s="869">
        <f t="shared" si="14"/>
        <v>6.3E-2</v>
      </c>
      <c r="K225" s="869">
        <f t="shared" si="15"/>
        <v>8.1899999999999994E-3</v>
      </c>
      <c r="L225" s="868">
        <v>53</v>
      </c>
      <c r="M225" s="867" t="s">
        <v>2380</v>
      </c>
      <c r="N225" s="866">
        <v>2019</v>
      </c>
      <c r="O225" s="867" t="s">
        <v>2383</v>
      </c>
      <c r="P225" s="870" t="s">
        <v>47</v>
      </c>
      <c r="Q225" s="867" t="s">
        <v>92</v>
      </c>
      <c r="R225" s="871">
        <v>0</v>
      </c>
      <c r="S225" s="871">
        <v>0</v>
      </c>
      <c r="T225" s="871">
        <v>0</v>
      </c>
      <c r="U225" s="871">
        <v>0</v>
      </c>
      <c r="V225" s="871">
        <v>0</v>
      </c>
      <c r="W225" s="871">
        <v>0</v>
      </c>
      <c r="X225" s="871">
        <v>0</v>
      </c>
      <c r="Y225" s="871">
        <v>0</v>
      </c>
      <c r="Z225" s="871">
        <v>0</v>
      </c>
      <c r="AA225" s="871">
        <v>0</v>
      </c>
      <c r="AB225" s="871">
        <v>0</v>
      </c>
      <c r="AC225" s="871">
        <v>0</v>
      </c>
      <c r="AD225" s="871">
        <v>2.5</v>
      </c>
      <c r="AE225" s="871">
        <v>0</v>
      </c>
      <c r="AF225" s="871">
        <v>0</v>
      </c>
      <c r="AG225" s="871">
        <v>0</v>
      </c>
      <c r="AH225" s="871">
        <f t="shared" si="13"/>
        <v>2.0661157024793391</v>
      </c>
      <c r="AI225" s="871">
        <v>0</v>
      </c>
      <c r="AJ225" s="871"/>
      <c r="AK225" s="871"/>
      <c r="AL225" s="871"/>
      <c r="AM225" s="871"/>
      <c r="AN225" s="871"/>
      <c r="AO225" s="871"/>
      <c r="AP225" s="871"/>
    </row>
    <row r="226" spans="1:42" s="868" customFormat="1" ht="14">
      <c r="A226" s="866">
        <v>225</v>
      </c>
      <c r="B226" s="867" t="s">
        <v>2815</v>
      </c>
      <c r="C226" s="867" t="s">
        <v>40</v>
      </c>
      <c r="D226" s="867" t="s">
        <v>2377</v>
      </c>
      <c r="E226" s="867" t="s">
        <v>2502</v>
      </c>
      <c r="F226" s="867" t="s">
        <v>993</v>
      </c>
      <c r="G226" s="868">
        <v>1</v>
      </c>
      <c r="H226" s="869">
        <v>0.21</v>
      </c>
      <c r="I226" s="869">
        <v>0.3</v>
      </c>
      <c r="J226" s="869">
        <f t="shared" si="14"/>
        <v>6.3E-2</v>
      </c>
      <c r="K226" s="869">
        <f t="shared" si="15"/>
        <v>8.1899999999999994E-3</v>
      </c>
      <c r="L226" s="868">
        <v>53</v>
      </c>
      <c r="M226" s="867" t="s">
        <v>2380</v>
      </c>
      <c r="N226" s="866">
        <v>2019</v>
      </c>
      <c r="O226" s="867" t="s">
        <v>2383</v>
      </c>
      <c r="P226" s="870" t="s">
        <v>47</v>
      </c>
      <c r="Q226" s="867" t="s">
        <v>92</v>
      </c>
      <c r="R226" s="871">
        <v>0</v>
      </c>
      <c r="S226" s="871">
        <v>0</v>
      </c>
      <c r="T226" s="871">
        <v>0</v>
      </c>
      <c r="U226" s="871">
        <v>0</v>
      </c>
      <c r="V226" s="871">
        <v>0</v>
      </c>
      <c r="W226" s="871">
        <v>0</v>
      </c>
      <c r="X226" s="871">
        <v>0</v>
      </c>
      <c r="Y226" s="871">
        <v>0</v>
      </c>
      <c r="Z226" s="871">
        <v>0</v>
      </c>
      <c r="AA226" s="871">
        <v>0</v>
      </c>
      <c r="AB226" s="871">
        <v>0</v>
      </c>
      <c r="AC226" s="871">
        <v>0</v>
      </c>
      <c r="AD226" s="871">
        <v>2.5</v>
      </c>
      <c r="AE226" s="871">
        <v>0</v>
      </c>
      <c r="AF226" s="871">
        <v>0</v>
      </c>
      <c r="AG226" s="871">
        <v>0</v>
      </c>
      <c r="AH226" s="871">
        <f t="shared" si="13"/>
        <v>2.0661157024793391</v>
      </c>
      <c r="AI226" s="871">
        <v>0</v>
      </c>
      <c r="AJ226" s="871"/>
      <c r="AK226" s="871"/>
      <c r="AL226" s="871"/>
      <c r="AM226" s="871"/>
      <c r="AN226" s="871"/>
      <c r="AO226" s="871"/>
      <c r="AP226" s="871"/>
    </row>
    <row r="227" spans="1:42" s="868" customFormat="1" ht="14">
      <c r="A227" s="866">
        <v>226</v>
      </c>
      <c r="B227" s="867" t="s">
        <v>2816</v>
      </c>
      <c r="C227" s="867" t="s">
        <v>40</v>
      </c>
      <c r="D227" s="867" t="s">
        <v>2377</v>
      </c>
      <c r="E227" s="867" t="s">
        <v>2502</v>
      </c>
      <c r="F227" s="867" t="s">
        <v>522</v>
      </c>
      <c r="G227" s="868">
        <v>1</v>
      </c>
      <c r="H227" s="869">
        <v>0.21</v>
      </c>
      <c r="I227" s="869">
        <v>0.3</v>
      </c>
      <c r="J227" s="869">
        <f t="shared" si="14"/>
        <v>6.3E-2</v>
      </c>
      <c r="K227" s="869">
        <f t="shared" si="15"/>
        <v>8.1899999999999994E-3</v>
      </c>
      <c r="L227" s="868">
        <v>53</v>
      </c>
      <c r="M227" s="867" t="s">
        <v>2380</v>
      </c>
      <c r="N227" s="866">
        <v>2019</v>
      </c>
      <c r="O227" s="867" t="s">
        <v>2383</v>
      </c>
      <c r="P227" s="870" t="s">
        <v>47</v>
      </c>
      <c r="Q227" s="867" t="s">
        <v>92</v>
      </c>
      <c r="R227" s="871">
        <v>0</v>
      </c>
      <c r="S227" s="871">
        <v>0</v>
      </c>
      <c r="T227" s="871">
        <v>0</v>
      </c>
      <c r="U227" s="871">
        <v>0</v>
      </c>
      <c r="V227" s="871">
        <v>0</v>
      </c>
      <c r="W227" s="871">
        <v>0</v>
      </c>
      <c r="X227" s="871">
        <v>0</v>
      </c>
      <c r="Y227" s="871">
        <v>0</v>
      </c>
      <c r="Z227" s="871">
        <v>0</v>
      </c>
      <c r="AA227" s="871">
        <v>0</v>
      </c>
      <c r="AB227" s="871">
        <v>0</v>
      </c>
      <c r="AC227" s="871">
        <v>0</v>
      </c>
      <c r="AD227" s="871">
        <v>2.5</v>
      </c>
      <c r="AE227" s="871">
        <v>0</v>
      </c>
      <c r="AF227" s="871">
        <v>0</v>
      </c>
      <c r="AG227" s="871">
        <v>0</v>
      </c>
      <c r="AH227" s="871">
        <f t="shared" si="13"/>
        <v>2.0661157024793391</v>
      </c>
      <c r="AI227" s="871">
        <v>0</v>
      </c>
      <c r="AJ227" s="871"/>
      <c r="AK227" s="871"/>
      <c r="AL227" s="871"/>
      <c r="AM227" s="871"/>
      <c r="AN227" s="871"/>
      <c r="AO227" s="871"/>
      <c r="AP227" s="871"/>
    </row>
    <row r="228" spans="1:42" s="868" customFormat="1" ht="14">
      <c r="A228" s="866">
        <v>227</v>
      </c>
      <c r="B228" s="867" t="s">
        <v>2817</v>
      </c>
      <c r="C228" s="867" t="s">
        <v>40</v>
      </c>
      <c r="D228" s="867" t="s">
        <v>2377</v>
      </c>
      <c r="E228" s="867" t="s">
        <v>2503</v>
      </c>
      <c r="F228" s="867" t="s">
        <v>882</v>
      </c>
      <c r="G228" s="868">
        <v>1</v>
      </c>
      <c r="H228" s="869">
        <v>0.21</v>
      </c>
      <c r="I228" s="869">
        <v>0.3</v>
      </c>
      <c r="J228" s="869">
        <f t="shared" si="14"/>
        <v>6.3E-2</v>
      </c>
      <c r="K228" s="869">
        <f t="shared" si="15"/>
        <v>8.1899999999999994E-3</v>
      </c>
      <c r="L228" s="868">
        <v>0</v>
      </c>
      <c r="M228" s="867" t="s">
        <v>47</v>
      </c>
      <c r="N228" s="866">
        <v>2019</v>
      </c>
      <c r="O228" s="867" t="s">
        <v>2383</v>
      </c>
      <c r="P228" s="870" t="s">
        <v>47</v>
      </c>
      <c r="Q228" s="867" t="s">
        <v>92</v>
      </c>
      <c r="R228" s="871">
        <v>0</v>
      </c>
      <c r="S228" s="871">
        <v>0</v>
      </c>
      <c r="T228" s="871">
        <v>0</v>
      </c>
      <c r="U228" s="871">
        <v>0</v>
      </c>
      <c r="V228" s="871">
        <v>0</v>
      </c>
      <c r="W228" s="871">
        <v>0</v>
      </c>
      <c r="X228" s="871">
        <v>0</v>
      </c>
      <c r="Y228" s="871">
        <v>0</v>
      </c>
      <c r="Z228" s="871">
        <v>0</v>
      </c>
      <c r="AA228" s="871">
        <v>0</v>
      </c>
      <c r="AB228" s="871">
        <v>0</v>
      </c>
      <c r="AC228" s="871">
        <v>0</v>
      </c>
      <c r="AD228" s="871">
        <v>2.5</v>
      </c>
      <c r="AE228" s="871">
        <v>0</v>
      </c>
      <c r="AF228" s="871">
        <v>0</v>
      </c>
      <c r="AG228" s="871">
        <v>0</v>
      </c>
      <c r="AH228" s="871">
        <f t="shared" si="13"/>
        <v>2.0661157024793391</v>
      </c>
      <c r="AI228" s="871">
        <v>0</v>
      </c>
      <c r="AJ228" s="871"/>
      <c r="AK228" s="871"/>
      <c r="AL228" s="871"/>
      <c r="AM228" s="871"/>
      <c r="AN228" s="871"/>
      <c r="AO228" s="871"/>
      <c r="AP228" s="871"/>
    </row>
    <row r="229" spans="1:42" s="868" customFormat="1" ht="14">
      <c r="A229" s="866">
        <v>228</v>
      </c>
      <c r="B229" s="867" t="s">
        <v>2818</v>
      </c>
      <c r="C229" s="867" t="s">
        <v>40</v>
      </c>
      <c r="D229" s="867" t="s">
        <v>2377</v>
      </c>
      <c r="E229" s="867" t="s">
        <v>2503</v>
      </c>
      <c r="F229" s="867" t="s">
        <v>905</v>
      </c>
      <c r="G229" s="868">
        <v>1</v>
      </c>
      <c r="H229" s="869">
        <v>0.21</v>
      </c>
      <c r="I229" s="869">
        <v>0.3</v>
      </c>
      <c r="J229" s="869">
        <f t="shared" si="14"/>
        <v>6.3E-2</v>
      </c>
      <c r="K229" s="869">
        <f t="shared" si="15"/>
        <v>8.1899999999999994E-3</v>
      </c>
      <c r="L229" s="868">
        <v>0</v>
      </c>
      <c r="M229" s="867" t="s">
        <v>47</v>
      </c>
      <c r="N229" s="866">
        <v>2019</v>
      </c>
      <c r="O229" s="867" t="s">
        <v>2383</v>
      </c>
      <c r="P229" s="870" t="s">
        <v>47</v>
      </c>
      <c r="Q229" s="867" t="s">
        <v>92</v>
      </c>
      <c r="R229" s="871">
        <v>0</v>
      </c>
      <c r="S229" s="871">
        <v>0</v>
      </c>
      <c r="T229" s="871">
        <v>0</v>
      </c>
      <c r="U229" s="871">
        <v>0</v>
      </c>
      <c r="V229" s="871">
        <v>0</v>
      </c>
      <c r="W229" s="871">
        <v>0</v>
      </c>
      <c r="X229" s="871">
        <v>0</v>
      </c>
      <c r="Y229" s="871">
        <v>0</v>
      </c>
      <c r="Z229" s="871">
        <v>0</v>
      </c>
      <c r="AA229" s="871">
        <v>0</v>
      </c>
      <c r="AB229" s="871">
        <v>0</v>
      </c>
      <c r="AC229" s="871">
        <v>0</v>
      </c>
      <c r="AD229" s="871">
        <v>2.5</v>
      </c>
      <c r="AE229" s="871">
        <v>0</v>
      </c>
      <c r="AF229" s="871">
        <v>0</v>
      </c>
      <c r="AG229" s="871">
        <v>0</v>
      </c>
      <c r="AH229" s="871">
        <f t="shared" si="13"/>
        <v>2.0661157024793391</v>
      </c>
      <c r="AI229" s="871">
        <v>0</v>
      </c>
      <c r="AJ229" s="871"/>
      <c r="AK229" s="871"/>
      <c r="AL229" s="871"/>
      <c r="AM229" s="871"/>
      <c r="AN229" s="871"/>
      <c r="AO229" s="871"/>
      <c r="AP229" s="871"/>
    </row>
    <row r="230" spans="1:42" s="868" customFormat="1" ht="14">
      <c r="A230" s="866">
        <v>229</v>
      </c>
      <c r="B230" s="867" t="s">
        <v>2819</v>
      </c>
      <c r="C230" s="867" t="s">
        <v>40</v>
      </c>
      <c r="D230" s="867" t="s">
        <v>2377</v>
      </c>
      <c r="E230" s="867" t="s">
        <v>2503</v>
      </c>
      <c r="F230" s="867" t="s">
        <v>980</v>
      </c>
      <c r="G230" s="868">
        <v>1</v>
      </c>
      <c r="H230" s="869">
        <v>0.21</v>
      </c>
      <c r="I230" s="869">
        <v>0.3</v>
      </c>
      <c r="J230" s="869">
        <f t="shared" si="14"/>
        <v>6.3E-2</v>
      </c>
      <c r="K230" s="869">
        <f t="shared" si="15"/>
        <v>8.1899999999999994E-3</v>
      </c>
      <c r="L230" s="868">
        <v>0</v>
      </c>
      <c r="M230" s="867" t="s">
        <v>47</v>
      </c>
      <c r="N230" s="866">
        <v>2019</v>
      </c>
      <c r="O230" s="867" t="s">
        <v>2383</v>
      </c>
      <c r="P230" s="870" t="s">
        <v>47</v>
      </c>
      <c r="Q230" s="867" t="s">
        <v>92</v>
      </c>
      <c r="R230" s="871">
        <v>0</v>
      </c>
      <c r="S230" s="871">
        <v>0</v>
      </c>
      <c r="T230" s="871">
        <v>0</v>
      </c>
      <c r="U230" s="871">
        <v>0</v>
      </c>
      <c r="V230" s="871">
        <v>0</v>
      </c>
      <c r="W230" s="871">
        <v>0</v>
      </c>
      <c r="X230" s="871">
        <v>0</v>
      </c>
      <c r="Y230" s="871">
        <v>0</v>
      </c>
      <c r="Z230" s="871">
        <v>0</v>
      </c>
      <c r="AA230" s="871">
        <v>0</v>
      </c>
      <c r="AB230" s="871">
        <v>0</v>
      </c>
      <c r="AC230" s="871">
        <v>0</v>
      </c>
      <c r="AD230" s="871">
        <v>2.5</v>
      </c>
      <c r="AE230" s="871">
        <v>0</v>
      </c>
      <c r="AF230" s="871">
        <v>0</v>
      </c>
      <c r="AG230" s="871">
        <v>0</v>
      </c>
      <c r="AH230" s="871">
        <f t="shared" si="13"/>
        <v>2.0661157024793391</v>
      </c>
      <c r="AI230" s="871">
        <v>0</v>
      </c>
      <c r="AJ230" s="871"/>
      <c r="AK230" s="871"/>
      <c r="AL230" s="871"/>
      <c r="AM230" s="871"/>
      <c r="AN230" s="871"/>
      <c r="AO230" s="871"/>
      <c r="AP230" s="871"/>
    </row>
    <row r="231" spans="1:42" s="868" customFormat="1" ht="14">
      <c r="A231" s="866">
        <v>230</v>
      </c>
      <c r="B231" s="867" t="s">
        <v>2820</v>
      </c>
      <c r="C231" s="867" t="s">
        <v>40</v>
      </c>
      <c r="D231" s="867" t="s">
        <v>2377</v>
      </c>
      <c r="E231" s="867" t="s">
        <v>2503</v>
      </c>
      <c r="F231" s="867" t="s">
        <v>832</v>
      </c>
      <c r="G231" s="868">
        <v>1</v>
      </c>
      <c r="H231" s="869">
        <v>0.21</v>
      </c>
      <c r="I231" s="869">
        <v>0.3</v>
      </c>
      <c r="J231" s="869">
        <f t="shared" si="14"/>
        <v>6.3E-2</v>
      </c>
      <c r="K231" s="869">
        <f t="shared" si="15"/>
        <v>8.1899999999999994E-3</v>
      </c>
      <c r="L231" s="868">
        <v>0</v>
      </c>
      <c r="M231" s="867" t="s">
        <v>47</v>
      </c>
      <c r="N231" s="866">
        <v>2019</v>
      </c>
      <c r="O231" s="867" t="s">
        <v>2383</v>
      </c>
      <c r="P231" s="870" t="s">
        <v>47</v>
      </c>
      <c r="Q231" s="867" t="s">
        <v>92</v>
      </c>
      <c r="R231" s="871">
        <v>0</v>
      </c>
      <c r="S231" s="871">
        <v>0</v>
      </c>
      <c r="T231" s="871">
        <v>0</v>
      </c>
      <c r="U231" s="871">
        <v>0</v>
      </c>
      <c r="V231" s="871">
        <v>0</v>
      </c>
      <c r="W231" s="871">
        <v>0</v>
      </c>
      <c r="X231" s="871">
        <v>0</v>
      </c>
      <c r="Y231" s="871">
        <v>0</v>
      </c>
      <c r="Z231" s="871">
        <v>0</v>
      </c>
      <c r="AA231" s="871">
        <v>0</v>
      </c>
      <c r="AB231" s="871">
        <v>0</v>
      </c>
      <c r="AC231" s="871">
        <v>0</v>
      </c>
      <c r="AD231" s="871">
        <v>2.5</v>
      </c>
      <c r="AE231" s="871">
        <v>0</v>
      </c>
      <c r="AF231" s="871">
        <v>0</v>
      </c>
      <c r="AG231" s="871">
        <v>0</v>
      </c>
      <c r="AH231" s="871">
        <f t="shared" si="13"/>
        <v>2.0661157024793391</v>
      </c>
      <c r="AI231" s="871">
        <v>0</v>
      </c>
      <c r="AJ231" s="871"/>
      <c r="AK231" s="871"/>
      <c r="AL231" s="871"/>
      <c r="AM231" s="871"/>
      <c r="AN231" s="871"/>
      <c r="AO231" s="871"/>
      <c r="AP231" s="871"/>
    </row>
    <row r="232" spans="1:42" s="868" customFormat="1" ht="14">
      <c r="A232" s="866">
        <v>231</v>
      </c>
      <c r="B232" s="867" t="s">
        <v>2821</v>
      </c>
      <c r="C232" s="867" t="s">
        <v>40</v>
      </c>
      <c r="D232" s="867" t="s">
        <v>2377</v>
      </c>
      <c r="E232" s="867" t="s">
        <v>2503</v>
      </c>
      <c r="F232" s="867" t="s">
        <v>923</v>
      </c>
      <c r="G232" s="868">
        <v>1</v>
      </c>
      <c r="H232" s="869">
        <v>0.21</v>
      </c>
      <c r="I232" s="869">
        <v>0.3</v>
      </c>
      <c r="J232" s="869">
        <f t="shared" si="14"/>
        <v>6.3E-2</v>
      </c>
      <c r="K232" s="869">
        <f t="shared" si="15"/>
        <v>8.1899999999999994E-3</v>
      </c>
      <c r="L232" s="868">
        <v>0</v>
      </c>
      <c r="M232" s="867" t="s">
        <v>47</v>
      </c>
      <c r="N232" s="866">
        <v>2019</v>
      </c>
      <c r="O232" s="867" t="s">
        <v>2383</v>
      </c>
      <c r="P232" s="870" t="s">
        <v>47</v>
      </c>
      <c r="Q232" s="867" t="s">
        <v>92</v>
      </c>
      <c r="R232" s="871">
        <v>0</v>
      </c>
      <c r="S232" s="871">
        <v>0</v>
      </c>
      <c r="T232" s="871">
        <v>0</v>
      </c>
      <c r="U232" s="871">
        <v>0</v>
      </c>
      <c r="V232" s="871">
        <v>0</v>
      </c>
      <c r="W232" s="871">
        <v>0</v>
      </c>
      <c r="X232" s="871">
        <v>0</v>
      </c>
      <c r="Y232" s="871">
        <v>0</v>
      </c>
      <c r="Z232" s="871">
        <v>0</v>
      </c>
      <c r="AA232" s="871">
        <v>0</v>
      </c>
      <c r="AB232" s="871">
        <v>0</v>
      </c>
      <c r="AC232" s="871">
        <v>0</v>
      </c>
      <c r="AD232" s="871">
        <v>2.5</v>
      </c>
      <c r="AE232" s="871">
        <v>0</v>
      </c>
      <c r="AF232" s="871">
        <v>0</v>
      </c>
      <c r="AG232" s="871">
        <v>0</v>
      </c>
      <c r="AH232" s="871">
        <f t="shared" si="13"/>
        <v>2.0661157024793391</v>
      </c>
      <c r="AI232" s="871">
        <v>0</v>
      </c>
      <c r="AJ232" s="871"/>
      <c r="AK232" s="871"/>
      <c r="AL232" s="871"/>
      <c r="AM232" s="871"/>
      <c r="AN232" s="871"/>
      <c r="AO232" s="871"/>
      <c r="AP232" s="871"/>
    </row>
    <row r="233" spans="1:42" s="868" customFormat="1" ht="14">
      <c r="A233" s="866">
        <v>232</v>
      </c>
      <c r="B233" s="867" t="s">
        <v>2822</v>
      </c>
      <c r="C233" s="867" t="s">
        <v>40</v>
      </c>
      <c r="D233" s="867" t="s">
        <v>2450</v>
      </c>
      <c r="E233" s="867" t="s">
        <v>888</v>
      </c>
      <c r="F233" s="867" t="s">
        <v>813</v>
      </c>
      <c r="G233" s="868">
        <v>1</v>
      </c>
      <c r="H233" s="869">
        <v>0.2</v>
      </c>
      <c r="I233" s="869">
        <v>0.53</v>
      </c>
      <c r="J233" s="869">
        <f t="shared" si="14"/>
        <v>0.10600000000000001</v>
      </c>
      <c r="K233" s="869">
        <f t="shared" si="15"/>
        <v>1.3780000000000001E-2</v>
      </c>
      <c r="L233" s="868">
        <v>0</v>
      </c>
      <c r="M233" s="867" t="s">
        <v>47</v>
      </c>
      <c r="N233" s="866">
        <v>2050</v>
      </c>
      <c r="O233" s="867" t="s">
        <v>2587</v>
      </c>
      <c r="P233" s="870" t="s">
        <v>47</v>
      </c>
      <c r="Q233" s="867" t="s">
        <v>92</v>
      </c>
      <c r="R233" s="871">
        <v>0</v>
      </c>
      <c r="S233" s="871">
        <v>0</v>
      </c>
      <c r="T233" s="871">
        <v>0</v>
      </c>
      <c r="U233" s="871">
        <v>0</v>
      </c>
      <c r="V233" s="871">
        <v>0</v>
      </c>
      <c r="W233" s="871">
        <v>0</v>
      </c>
      <c r="X233" s="871">
        <v>0</v>
      </c>
      <c r="Y233" s="871">
        <v>0</v>
      </c>
      <c r="Z233" s="871">
        <v>0</v>
      </c>
      <c r="AA233" s="871">
        <v>0</v>
      </c>
      <c r="AB233" s="871">
        <v>0</v>
      </c>
      <c r="AC233" s="871">
        <v>0</v>
      </c>
      <c r="AD233" s="871">
        <v>2.5</v>
      </c>
      <c r="AE233" s="871">
        <v>0</v>
      </c>
      <c r="AF233" s="871">
        <v>0</v>
      </c>
      <c r="AG233" s="871">
        <v>0</v>
      </c>
      <c r="AH233" s="871">
        <f t="shared" si="13"/>
        <v>2.0661157024793391</v>
      </c>
      <c r="AI233" s="871">
        <v>0</v>
      </c>
      <c r="AJ233" s="871"/>
      <c r="AK233" s="871"/>
      <c r="AL233" s="871"/>
      <c r="AM233" s="871"/>
      <c r="AN233" s="871"/>
      <c r="AO233" s="871"/>
      <c r="AP233" s="871"/>
    </row>
    <row r="234" spans="1:42" s="868" customFormat="1" ht="14">
      <c r="A234" s="866">
        <v>233</v>
      </c>
      <c r="B234" s="867" t="s">
        <v>2823</v>
      </c>
      <c r="C234" s="867" t="s">
        <v>40</v>
      </c>
      <c r="D234" s="867" t="s">
        <v>2450</v>
      </c>
      <c r="E234" s="867" t="s">
        <v>888</v>
      </c>
      <c r="F234" s="867" t="s">
        <v>835</v>
      </c>
      <c r="G234" s="868">
        <v>1</v>
      </c>
      <c r="H234" s="869">
        <v>0.2</v>
      </c>
      <c r="I234" s="869">
        <v>0.53</v>
      </c>
      <c r="J234" s="869">
        <f t="shared" si="14"/>
        <v>0.10600000000000001</v>
      </c>
      <c r="K234" s="869">
        <f t="shared" si="15"/>
        <v>1.3780000000000001E-2</v>
      </c>
      <c r="L234" s="868">
        <v>0</v>
      </c>
      <c r="M234" s="867" t="s">
        <v>47</v>
      </c>
      <c r="N234" s="866">
        <v>2050</v>
      </c>
      <c r="O234" s="867" t="s">
        <v>2587</v>
      </c>
      <c r="P234" s="870" t="s">
        <v>47</v>
      </c>
      <c r="Q234" s="867" t="s">
        <v>92</v>
      </c>
      <c r="R234" s="871">
        <v>0</v>
      </c>
      <c r="S234" s="871">
        <v>0</v>
      </c>
      <c r="T234" s="871">
        <v>0</v>
      </c>
      <c r="U234" s="871">
        <v>0</v>
      </c>
      <c r="V234" s="871">
        <v>0</v>
      </c>
      <c r="W234" s="871">
        <v>0</v>
      </c>
      <c r="X234" s="871">
        <v>0</v>
      </c>
      <c r="Y234" s="871">
        <v>0</v>
      </c>
      <c r="Z234" s="871">
        <v>0</v>
      </c>
      <c r="AA234" s="871">
        <v>0</v>
      </c>
      <c r="AB234" s="871">
        <v>0</v>
      </c>
      <c r="AC234" s="871">
        <v>0</v>
      </c>
      <c r="AD234" s="871">
        <v>2.5</v>
      </c>
      <c r="AE234" s="871">
        <v>0</v>
      </c>
      <c r="AF234" s="871">
        <v>0</v>
      </c>
      <c r="AG234" s="871">
        <v>0</v>
      </c>
      <c r="AH234" s="871">
        <f t="shared" si="13"/>
        <v>2.0661157024793391</v>
      </c>
      <c r="AI234" s="871">
        <v>0</v>
      </c>
      <c r="AJ234" s="871"/>
      <c r="AK234" s="871"/>
      <c r="AL234" s="871"/>
      <c r="AM234" s="871"/>
      <c r="AN234" s="871"/>
      <c r="AO234" s="871"/>
      <c r="AP234" s="871"/>
    </row>
    <row r="235" spans="1:42" s="868" customFormat="1" ht="14">
      <c r="A235" s="866">
        <v>234</v>
      </c>
      <c r="B235" s="867" t="s">
        <v>2824</v>
      </c>
      <c r="C235" s="867" t="s">
        <v>40</v>
      </c>
      <c r="D235" s="867" t="s">
        <v>2450</v>
      </c>
      <c r="E235" s="867" t="s">
        <v>888</v>
      </c>
      <c r="F235" s="867" t="s">
        <v>515</v>
      </c>
      <c r="G235" s="868">
        <v>1</v>
      </c>
      <c r="H235" s="869">
        <v>0.2</v>
      </c>
      <c r="I235" s="869">
        <v>0.53</v>
      </c>
      <c r="J235" s="869">
        <f t="shared" si="14"/>
        <v>0.10600000000000001</v>
      </c>
      <c r="K235" s="869">
        <f t="shared" si="15"/>
        <v>1.3780000000000001E-2</v>
      </c>
      <c r="L235" s="868">
        <v>0</v>
      </c>
      <c r="M235" s="867" t="s">
        <v>47</v>
      </c>
      <c r="N235" s="866">
        <v>2050</v>
      </c>
      <c r="O235" s="867" t="s">
        <v>2587</v>
      </c>
      <c r="P235" s="870" t="s">
        <v>47</v>
      </c>
      <c r="Q235" s="867" t="s">
        <v>92</v>
      </c>
      <c r="R235" s="871">
        <v>0</v>
      </c>
      <c r="S235" s="871">
        <v>0</v>
      </c>
      <c r="T235" s="871">
        <v>0</v>
      </c>
      <c r="U235" s="871">
        <v>0</v>
      </c>
      <c r="V235" s="871">
        <v>0</v>
      </c>
      <c r="W235" s="871">
        <v>0</v>
      </c>
      <c r="X235" s="871">
        <v>0</v>
      </c>
      <c r="Y235" s="871">
        <v>0</v>
      </c>
      <c r="Z235" s="871">
        <v>0</v>
      </c>
      <c r="AA235" s="871">
        <v>0</v>
      </c>
      <c r="AB235" s="871">
        <v>0</v>
      </c>
      <c r="AC235" s="871">
        <v>0</v>
      </c>
      <c r="AD235" s="871">
        <v>2.5</v>
      </c>
      <c r="AE235" s="871">
        <v>0</v>
      </c>
      <c r="AF235" s="871">
        <v>0</v>
      </c>
      <c r="AG235" s="871">
        <v>0</v>
      </c>
      <c r="AH235" s="871">
        <f t="shared" si="13"/>
        <v>2.0661157024793391</v>
      </c>
      <c r="AI235" s="871">
        <v>0</v>
      </c>
      <c r="AJ235" s="871"/>
      <c r="AK235" s="871"/>
      <c r="AL235" s="871"/>
      <c r="AM235" s="871"/>
      <c r="AN235" s="871"/>
      <c r="AO235" s="871"/>
      <c r="AP235" s="871"/>
    </row>
    <row r="236" spans="1:42" s="868" customFormat="1" ht="14">
      <c r="A236" s="866">
        <v>235</v>
      </c>
      <c r="B236" s="867" t="s">
        <v>2825</v>
      </c>
      <c r="C236" s="867" t="s">
        <v>40</v>
      </c>
      <c r="D236" s="867" t="s">
        <v>2450</v>
      </c>
      <c r="E236" s="867" t="s">
        <v>888</v>
      </c>
      <c r="F236" s="867" t="s">
        <v>892</v>
      </c>
      <c r="G236" s="868">
        <v>1</v>
      </c>
      <c r="H236" s="869">
        <v>0.2</v>
      </c>
      <c r="I236" s="869">
        <v>0.53</v>
      </c>
      <c r="J236" s="869">
        <f t="shared" si="14"/>
        <v>0.10600000000000001</v>
      </c>
      <c r="K236" s="869">
        <f t="shared" si="15"/>
        <v>1.3780000000000001E-2</v>
      </c>
      <c r="L236" s="868">
        <v>0</v>
      </c>
      <c r="M236" s="867" t="s">
        <v>47</v>
      </c>
      <c r="N236" s="866">
        <v>2050</v>
      </c>
      <c r="O236" s="867" t="s">
        <v>2587</v>
      </c>
      <c r="P236" s="870" t="s">
        <v>47</v>
      </c>
      <c r="Q236" s="867" t="s">
        <v>92</v>
      </c>
      <c r="R236" s="871">
        <v>0</v>
      </c>
      <c r="S236" s="871">
        <v>0</v>
      </c>
      <c r="T236" s="871">
        <v>0</v>
      </c>
      <c r="U236" s="871">
        <v>0</v>
      </c>
      <c r="V236" s="871">
        <v>0</v>
      </c>
      <c r="W236" s="871">
        <v>0</v>
      </c>
      <c r="X236" s="871">
        <v>0</v>
      </c>
      <c r="Y236" s="871">
        <v>0</v>
      </c>
      <c r="Z236" s="871">
        <v>0</v>
      </c>
      <c r="AA236" s="871">
        <v>0</v>
      </c>
      <c r="AB236" s="871">
        <v>0</v>
      </c>
      <c r="AC236" s="871">
        <v>0</v>
      </c>
      <c r="AD236" s="871">
        <v>2.5</v>
      </c>
      <c r="AE236" s="871">
        <v>0</v>
      </c>
      <c r="AF236" s="871">
        <v>0</v>
      </c>
      <c r="AG236" s="871">
        <v>0</v>
      </c>
      <c r="AH236" s="871">
        <f t="shared" si="13"/>
        <v>2.0661157024793391</v>
      </c>
      <c r="AI236" s="871">
        <v>0</v>
      </c>
      <c r="AJ236" s="871"/>
      <c r="AK236" s="871"/>
      <c r="AL236" s="871"/>
      <c r="AM236" s="871"/>
      <c r="AN236" s="871"/>
      <c r="AO236" s="871"/>
      <c r="AP236" s="871"/>
    </row>
    <row r="237" spans="1:42" s="868" customFormat="1" ht="14">
      <c r="A237" s="866">
        <v>236</v>
      </c>
      <c r="B237" s="867" t="s">
        <v>2826</v>
      </c>
      <c r="C237" s="867" t="s">
        <v>40</v>
      </c>
      <c r="D237" s="867" t="s">
        <v>2450</v>
      </c>
      <c r="E237" s="867" t="s">
        <v>195</v>
      </c>
      <c r="F237" s="867" t="s">
        <v>894</v>
      </c>
      <c r="G237" s="868">
        <v>1</v>
      </c>
      <c r="H237" s="869">
        <v>0.2</v>
      </c>
      <c r="I237" s="869">
        <v>0.53</v>
      </c>
      <c r="J237" s="869">
        <f t="shared" si="14"/>
        <v>0.10600000000000001</v>
      </c>
      <c r="K237" s="869">
        <f t="shared" si="15"/>
        <v>1.3780000000000001E-2</v>
      </c>
      <c r="L237" s="868">
        <v>0</v>
      </c>
      <c r="M237" s="867" t="s">
        <v>47</v>
      </c>
      <c r="N237" s="866">
        <v>2050</v>
      </c>
      <c r="O237" s="867" t="s">
        <v>2587</v>
      </c>
      <c r="P237" s="870" t="s">
        <v>47</v>
      </c>
      <c r="Q237" s="867" t="s">
        <v>92</v>
      </c>
      <c r="R237" s="871">
        <v>0</v>
      </c>
      <c r="S237" s="871">
        <v>0</v>
      </c>
      <c r="T237" s="871">
        <v>0</v>
      </c>
      <c r="U237" s="871">
        <v>0</v>
      </c>
      <c r="V237" s="871">
        <v>0</v>
      </c>
      <c r="W237" s="871">
        <v>0</v>
      </c>
      <c r="X237" s="871">
        <v>0</v>
      </c>
      <c r="Y237" s="871">
        <v>0</v>
      </c>
      <c r="Z237" s="871">
        <v>0</v>
      </c>
      <c r="AA237" s="871">
        <v>0</v>
      </c>
      <c r="AB237" s="871">
        <v>0</v>
      </c>
      <c r="AC237" s="871">
        <v>0</v>
      </c>
      <c r="AD237" s="871">
        <v>2.5</v>
      </c>
      <c r="AE237" s="871">
        <v>0</v>
      </c>
      <c r="AF237" s="871">
        <v>0</v>
      </c>
      <c r="AG237" s="871">
        <v>0</v>
      </c>
      <c r="AH237" s="871">
        <f t="shared" si="13"/>
        <v>2.0661157024793391</v>
      </c>
      <c r="AI237" s="871">
        <v>0</v>
      </c>
      <c r="AJ237" s="871"/>
      <c r="AK237" s="871"/>
      <c r="AL237" s="871"/>
      <c r="AM237" s="871"/>
      <c r="AN237" s="871"/>
      <c r="AO237" s="871"/>
      <c r="AP237" s="871"/>
    </row>
    <row r="238" spans="1:42" s="868" customFormat="1" ht="14">
      <c r="A238" s="866">
        <v>237</v>
      </c>
      <c r="B238" s="867" t="s">
        <v>2827</v>
      </c>
      <c r="C238" s="867" t="s">
        <v>40</v>
      </c>
      <c r="D238" s="867" t="s">
        <v>2450</v>
      </c>
      <c r="E238" s="867" t="s">
        <v>195</v>
      </c>
      <c r="F238" s="867" t="s">
        <v>835</v>
      </c>
      <c r="G238" s="868">
        <v>1</v>
      </c>
      <c r="H238" s="869">
        <v>0.2</v>
      </c>
      <c r="I238" s="869">
        <v>0.53</v>
      </c>
      <c r="J238" s="869">
        <f t="shared" si="14"/>
        <v>0.10600000000000001</v>
      </c>
      <c r="K238" s="869">
        <f t="shared" si="15"/>
        <v>1.3780000000000001E-2</v>
      </c>
      <c r="L238" s="868">
        <v>0</v>
      </c>
      <c r="M238" s="867" t="s">
        <v>47</v>
      </c>
      <c r="N238" s="866">
        <v>2050</v>
      </c>
      <c r="O238" s="867" t="s">
        <v>2587</v>
      </c>
      <c r="P238" s="870" t="s">
        <v>47</v>
      </c>
      <c r="Q238" s="867" t="s">
        <v>92</v>
      </c>
      <c r="R238" s="871">
        <v>0</v>
      </c>
      <c r="S238" s="871">
        <v>0</v>
      </c>
      <c r="T238" s="871">
        <v>0</v>
      </c>
      <c r="U238" s="871">
        <v>0</v>
      </c>
      <c r="V238" s="871">
        <v>0</v>
      </c>
      <c r="W238" s="871">
        <v>0</v>
      </c>
      <c r="X238" s="871">
        <v>0</v>
      </c>
      <c r="Y238" s="871">
        <v>0</v>
      </c>
      <c r="Z238" s="871">
        <v>0</v>
      </c>
      <c r="AA238" s="871">
        <v>0</v>
      </c>
      <c r="AB238" s="871">
        <v>0</v>
      </c>
      <c r="AC238" s="871">
        <v>0</v>
      </c>
      <c r="AD238" s="871">
        <v>2.5</v>
      </c>
      <c r="AE238" s="871">
        <v>0</v>
      </c>
      <c r="AF238" s="871">
        <v>0</v>
      </c>
      <c r="AG238" s="871">
        <v>0</v>
      </c>
      <c r="AH238" s="871">
        <f t="shared" si="13"/>
        <v>2.0661157024793391</v>
      </c>
      <c r="AI238" s="871">
        <v>0</v>
      </c>
      <c r="AJ238" s="871"/>
      <c r="AK238" s="871"/>
      <c r="AL238" s="871"/>
      <c r="AM238" s="871"/>
      <c r="AN238" s="871"/>
      <c r="AO238" s="871"/>
      <c r="AP238" s="871"/>
    </row>
    <row r="239" spans="1:42" s="868" customFormat="1" ht="14">
      <c r="A239" s="866">
        <v>238</v>
      </c>
      <c r="B239" s="867" t="s">
        <v>2828</v>
      </c>
      <c r="C239" s="867" t="s">
        <v>40</v>
      </c>
      <c r="D239" s="867" t="s">
        <v>2450</v>
      </c>
      <c r="E239" s="867" t="s">
        <v>195</v>
      </c>
      <c r="F239" s="867" t="s">
        <v>813</v>
      </c>
      <c r="G239" s="868">
        <v>1</v>
      </c>
      <c r="H239" s="869">
        <v>0.2</v>
      </c>
      <c r="I239" s="869">
        <v>0.53</v>
      </c>
      <c r="J239" s="869">
        <f t="shared" si="14"/>
        <v>0.10600000000000001</v>
      </c>
      <c r="K239" s="869">
        <f t="shared" si="15"/>
        <v>1.3780000000000001E-2</v>
      </c>
      <c r="L239" s="868">
        <v>0</v>
      </c>
      <c r="M239" s="867" t="s">
        <v>47</v>
      </c>
      <c r="N239" s="866">
        <v>2050</v>
      </c>
      <c r="O239" s="867" t="s">
        <v>2587</v>
      </c>
      <c r="P239" s="870" t="s">
        <v>47</v>
      </c>
      <c r="Q239" s="867" t="s">
        <v>92</v>
      </c>
      <c r="R239" s="871">
        <v>0</v>
      </c>
      <c r="S239" s="871">
        <v>0</v>
      </c>
      <c r="T239" s="871">
        <v>0</v>
      </c>
      <c r="U239" s="871">
        <v>0</v>
      </c>
      <c r="V239" s="871">
        <v>0</v>
      </c>
      <c r="W239" s="871">
        <v>0</v>
      </c>
      <c r="X239" s="871">
        <v>0</v>
      </c>
      <c r="Y239" s="871">
        <v>0</v>
      </c>
      <c r="Z239" s="871">
        <v>0</v>
      </c>
      <c r="AA239" s="871">
        <v>0</v>
      </c>
      <c r="AB239" s="871">
        <v>0</v>
      </c>
      <c r="AC239" s="871">
        <v>0</v>
      </c>
      <c r="AD239" s="871">
        <v>2.5</v>
      </c>
      <c r="AE239" s="871">
        <v>0</v>
      </c>
      <c r="AF239" s="871">
        <v>0</v>
      </c>
      <c r="AG239" s="871">
        <v>0</v>
      </c>
      <c r="AH239" s="871">
        <f t="shared" si="13"/>
        <v>2.0661157024793391</v>
      </c>
      <c r="AI239" s="871">
        <v>0</v>
      </c>
      <c r="AJ239" s="871"/>
      <c r="AK239" s="871"/>
      <c r="AL239" s="871"/>
      <c r="AM239" s="871"/>
      <c r="AN239" s="871"/>
      <c r="AO239" s="871"/>
      <c r="AP239" s="871"/>
    </row>
    <row r="240" spans="1:42" s="868" customFormat="1" ht="14">
      <c r="A240" s="866">
        <v>239</v>
      </c>
      <c r="B240" s="867" t="s">
        <v>2829</v>
      </c>
      <c r="C240" s="867" t="s">
        <v>40</v>
      </c>
      <c r="D240" s="867" t="s">
        <v>2450</v>
      </c>
      <c r="E240" s="867" t="s">
        <v>195</v>
      </c>
      <c r="F240" s="867" t="s">
        <v>791</v>
      </c>
      <c r="G240" s="868">
        <v>1</v>
      </c>
      <c r="H240" s="869">
        <v>0.2</v>
      </c>
      <c r="I240" s="869">
        <v>0.53</v>
      </c>
      <c r="J240" s="869">
        <f t="shared" si="14"/>
        <v>0.10600000000000001</v>
      </c>
      <c r="K240" s="869">
        <f t="shared" si="15"/>
        <v>1.3780000000000001E-2</v>
      </c>
      <c r="L240" s="868">
        <v>0</v>
      </c>
      <c r="M240" s="867" t="s">
        <v>47</v>
      </c>
      <c r="N240" s="866">
        <v>2050</v>
      </c>
      <c r="O240" s="867" t="s">
        <v>2587</v>
      </c>
      <c r="P240" s="870" t="s">
        <v>47</v>
      </c>
      <c r="Q240" s="867" t="s">
        <v>92</v>
      </c>
      <c r="R240" s="871">
        <v>0</v>
      </c>
      <c r="S240" s="871">
        <v>0</v>
      </c>
      <c r="T240" s="871">
        <v>0</v>
      </c>
      <c r="U240" s="871">
        <v>0</v>
      </c>
      <c r="V240" s="871">
        <v>0</v>
      </c>
      <c r="W240" s="871">
        <v>0</v>
      </c>
      <c r="X240" s="871">
        <v>0</v>
      </c>
      <c r="Y240" s="871">
        <v>0</v>
      </c>
      <c r="Z240" s="871">
        <v>0</v>
      </c>
      <c r="AA240" s="871">
        <v>0</v>
      </c>
      <c r="AB240" s="871">
        <v>0</v>
      </c>
      <c r="AC240" s="871">
        <v>0</v>
      </c>
      <c r="AD240" s="871">
        <v>2.5</v>
      </c>
      <c r="AE240" s="871">
        <v>0</v>
      </c>
      <c r="AF240" s="871">
        <v>0</v>
      </c>
      <c r="AG240" s="871">
        <v>0</v>
      </c>
      <c r="AH240" s="871">
        <f t="shared" si="13"/>
        <v>2.0661157024793391</v>
      </c>
      <c r="AI240" s="871">
        <v>0</v>
      </c>
      <c r="AJ240" s="871"/>
      <c r="AK240" s="871"/>
      <c r="AL240" s="871"/>
      <c r="AM240" s="871"/>
      <c r="AN240" s="871"/>
      <c r="AO240" s="871"/>
      <c r="AP240" s="871"/>
    </row>
    <row r="241" spans="1:42" s="868" customFormat="1" ht="14">
      <c r="A241" s="866">
        <v>240</v>
      </c>
      <c r="B241" s="867" t="s">
        <v>2830</v>
      </c>
      <c r="C241" s="867" t="s">
        <v>40</v>
      </c>
      <c r="D241" s="867" t="s">
        <v>2450</v>
      </c>
      <c r="E241" s="867" t="s">
        <v>899</v>
      </c>
      <c r="F241" s="867" t="s">
        <v>813</v>
      </c>
      <c r="G241" s="868">
        <v>1</v>
      </c>
      <c r="H241" s="869">
        <v>0.2</v>
      </c>
      <c r="I241" s="869">
        <v>0.53</v>
      </c>
      <c r="J241" s="869">
        <f t="shared" si="14"/>
        <v>0.10600000000000001</v>
      </c>
      <c r="K241" s="869">
        <f t="shared" si="15"/>
        <v>1.3780000000000001E-2</v>
      </c>
      <c r="L241" s="868">
        <v>0</v>
      </c>
      <c r="M241" s="867" t="s">
        <v>47</v>
      </c>
      <c r="N241" s="866">
        <v>2050</v>
      </c>
      <c r="O241" s="867" t="s">
        <v>2383</v>
      </c>
      <c r="P241" s="870" t="s">
        <v>47</v>
      </c>
      <c r="Q241" s="867" t="s">
        <v>92</v>
      </c>
      <c r="R241" s="871">
        <v>0</v>
      </c>
      <c r="S241" s="871">
        <v>0</v>
      </c>
      <c r="T241" s="871">
        <v>0</v>
      </c>
      <c r="U241" s="871">
        <v>0</v>
      </c>
      <c r="V241" s="871">
        <v>0</v>
      </c>
      <c r="W241" s="871">
        <v>0</v>
      </c>
      <c r="X241" s="871">
        <v>0</v>
      </c>
      <c r="Y241" s="871">
        <v>0</v>
      </c>
      <c r="Z241" s="871">
        <v>0</v>
      </c>
      <c r="AA241" s="871">
        <v>0</v>
      </c>
      <c r="AB241" s="871">
        <v>0</v>
      </c>
      <c r="AC241" s="871">
        <v>0</v>
      </c>
      <c r="AD241" s="871">
        <v>2.5</v>
      </c>
      <c r="AE241" s="871">
        <v>0</v>
      </c>
      <c r="AF241" s="871">
        <v>0</v>
      </c>
      <c r="AG241" s="871">
        <v>0</v>
      </c>
      <c r="AH241" s="871">
        <f t="shared" si="13"/>
        <v>2.0661157024793391</v>
      </c>
      <c r="AI241" s="871">
        <v>0</v>
      </c>
      <c r="AJ241" s="871"/>
      <c r="AK241" s="871"/>
      <c r="AL241" s="871"/>
      <c r="AM241" s="871"/>
      <c r="AN241" s="871"/>
      <c r="AO241" s="871"/>
      <c r="AP241" s="871"/>
    </row>
    <row r="242" spans="1:42" s="868" customFormat="1" ht="14">
      <c r="A242" s="866">
        <v>241</v>
      </c>
      <c r="B242" s="867" t="s">
        <v>2831</v>
      </c>
      <c r="C242" s="867" t="s">
        <v>40</v>
      </c>
      <c r="D242" s="867" t="s">
        <v>2450</v>
      </c>
      <c r="E242" s="867" t="s">
        <v>899</v>
      </c>
      <c r="F242" s="867" t="s">
        <v>854</v>
      </c>
      <c r="G242" s="868">
        <v>1</v>
      </c>
      <c r="H242" s="869">
        <v>0.2</v>
      </c>
      <c r="I242" s="869">
        <v>0.53</v>
      </c>
      <c r="J242" s="869">
        <f t="shared" si="14"/>
        <v>0.10600000000000001</v>
      </c>
      <c r="K242" s="869">
        <f t="shared" si="15"/>
        <v>1.3780000000000001E-2</v>
      </c>
      <c r="L242" s="868">
        <v>0</v>
      </c>
      <c r="M242" s="867" t="s">
        <v>47</v>
      </c>
      <c r="N242" s="866">
        <v>2050</v>
      </c>
      <c r="O242" s="867" t="s">
        <v>2383</v>
      </c>
      <c r="P242" s="870" t="s">
        <v>47</v>
      </c>
      <c r="Q242" s="867" t="s">
        <v>92</v>
      </c>
      <c r="R242" s="871">
        <v>0</v>
      </c>
      <c r="S242" s="871">
        <v>0</v>
      </c>
      <c r="T242" s="871">
        <v>0</v>
      </c>
      <c r="U242" s="871">
        <v>0</v>
      </c>
      <c r="V242" s="871">
        <v>0</v>
      </c>
      <c r="W242" s="871">
        <v>0</v>
      </c>
      <c r="X242" s="871">
        <v>0</v>
      </c>
      <c r="Y242" s="871">
        <v>0</v>
      </c>
      <c r="Z242" s="871">
        <v>0</v>
      </c>
      <c r="AA242" s="871">
        <v>0</v>
      </c>
      <c r="AB242" s="871">
        <v>0</v>
      </c>
      <c r="AC242" s="871">
        <v>0</v>
      </c>
      <c r="AD242" s="871">
        <v>2.5</v>
      </c>
      <c r="AE242" s="871">
        <v>0</v>
      </c>
      <c r="AF242" s="871">
        <v>0</v>
      </c>
      <c r="AG242" s="871">
        <v>0</v>
      </c>
      <c r="AH242" s="871">
        <f t="shared" si="13"/>
        <v>2.0661157024793391</v>
      </c>
      <c r="AI242" s="871">
        <v>0</v>
      </c>
      <c r="AJ242" s="871"/>
      <c r="AK242" s="871"/>
      <c r="AL242" s="871"/>
      <c r="AM242" s="871"/>
      <c r="AN242" s="871"/>
      <c r="AO242" s="871"/>
      <c r="AP242" s="871"/>
    </row>
    <row r="243" spans="1:42" s="868" customFormat="1" ht="14">
      <c r="A243" s="866">
        <v>242</v>
      </c>
      <c r="B243" s="867" t="s">
        <v>2832</v>
      </c>
      <c r="C243" s="867" t="s">
        <v>40</v>
      </c>
      <c r="D243" s="867" t="s">
        <v>2450</v>
      </c>
      <c r="E243" s="867" t="s">
        <v>899</v>
      </c>
      <c r="F243" s="867" t="s">
        <v>793</v>
      </c>
      <c r="G243" s="868">
        <v>1</v>
      </c>
      <c r="H243" s="869">
        <v>0.2</v>
      </c>
      <c r="I243" s="869">
        <v>0.53</v>
      </c>
      <c r="J243" s="869">
        <f t="shared" si="14"/>
        <v>0.10600000000000001</v>
      </c>
      <c r="K243" s="869">
        <f t="shared" si="15"/>
        <v>1.3780000000000001E-2</v>
      </c>
      <c r="L243" s="868">
        <v>0</v>
      </c>
      <c r="M243" s="867" t="s">
        <v>47</v>
      </c>
      <c r="N243" s="866">
        <v>2050</v>
      </c>
      <c r="O243" s="867" t="s">
        <v>2383</v>
      </c>
      <c r="P243" s="870" t="s">
        <v>47</v>
      </c>
      <c r="Q243" s="867" t="s">
        <v>92</v>
      </c>
      <c r="R243" s="871">
        <v>0</v>
      </c>
      <c r="S243" s="871">
        <v>0</v>
      </c>
      <c r="T243" s="871">
        <v>0</v>
      </c>
      <c r="U243" s="871">
        <v>0</v>
      </c>
      <c r="V243" s="871">
        <v>0</v>
      </c>
      <c r="W243" s="871">
        <v>0</v>
      </c>
      <c r="X243" s="871">
        <v>0</v>
      </c>
      <c r="Y243" s="871">
        <v>0</v>
      </c>
      <c r="Z243" s="871">
        <v>0</v>
      </c>
      <c r="AA243" s="871">
        <v>0</v>
      </c>
      <c r="AB243" s="871">
        <v>0</v>
      </c>
      <c r="AC243" s="871">
        <v>0</v>
      </c>
      <c r="AD243" s="871">
        <v>2.5</v>
      </c>
      <c r="AE243" s="871">
        <v>0</v>
      </c>
      <c r="AF243" s="871">
        <v>0</v>
      </c>
      <c r="AG243" s="871">
        <v>0</v>
      </c>
      <c r="AH243" s="871">
        <f t="shared" si="13"/>
        <v>2.0661157024793391</v>
      </c>
      <c r="AI243" s="871">
        <v>0</v>
      </c>
      <c r="AJ243" s="871"/>
      <c r="AK243" s="871"/>
      <c r="AL243" s="871"/>
      <c r="AM243" s="871"/>
      <c r="AN243" s="871"/>
      <c r="AO243" s="871"/>
      <c r="AP243" s="871"/>
    </row>
    <row r="244" spans="1:42" s="868" customFormat="1" ht="14">
      <c r="A244" s="866">
        <v>243</v>
      </c>
      <c r="B244" s="867" t="s">
        <v>2833</v>
      </c>
      <c r="C244" s="867" t="s">
        <v>40</v>
      </c>
      <c r="D244" s="867" t="s">
        <v>2450</v>
      </c>
      <c r="E244" s="867" t="s">
        <v>903</v>
      </c>
      <c r="F244" s="867" t="s">
        <v>515</v>
      </c>
      <c r="G244" s="868">
        <v>1</v>
      </c>
      <c r="H244" s="869">
        <v>0.2</v>
      </c>
      <c r="I244" s="869">
        <v>0.53</v>
      </c>
      <c r="J244" s="869">
        <f t="shared" si="14"/>
        <v>0.10600000000000001</v>
      </c>
      <c r="K244" s="869">
        <f t="shared" si="15"/>
        <v>1.3780000000000001E-2</v>
      </c>
      <c r="L244" s="868">
        <v>0</v>
      </c>
      <c r="M244" s="867" t="s">
        <v>47</v>
      </c>
      <c r="N244" s="866">
        <v>2050</v>
      </c>
      <c r="O244" s="867" t="s">
        <v>2383</v>
      </c>
      <c r="P244" s="870" t="s">
        <v>47</v>
      </c>
      <c r="Q244" s="867" t="s">
        <v>92</v>
      </c>
      <c r="R244" s="871">
        <v>0</v>
      </c>
      <c r="S244" s="871">
        <v>0</v>
      </c>
      <c r="T244" s="871">
        <v>0</v>
      </c>
      <c r="U244" s="871">
        <v>0</v>
      </c>
      <c r="V244" s="871">
        <v>0</v>
      </c>
      <c r="W244" s="871">
        <v>0</v>
      </c>
      <c r="X244" s="871">
        <v>0</v>
      </c>
      <c r="Y244" s="871">
        <v>0</v>
      </c>
      <c r="Z244" s="871">
        <v>0</v>
      </c>
      <c r="AA244" s="871">
        <v>0</v>
      </c>
      <c r="AB244" s="871">
        <v>0</v>
      </c>
      <c r="AC244" s="871">
        <v>0</v>
      </c>
      <c r="AD244" s="871">
        <v>2.5</v>
      </c>
      <c r="AE244" s="871">
        <v>0</v>
      </c>
      <c r="AF244" s="871">
        <v>0</v>
      </c>
      <c r="AG244" s="871">
        <v>0</v>
      </c>
      <c r="AH244" s="871">
        <f t="shared" si="13"/>
        <v>2.0661157024793391</v>
      </c>
      <c r="AI244" s="871">
        <v>0</v>
      </c>
      <c r="AJ244" s="871"/>
      <c r="AK244" s="871"/>
      <c r="AL244" s="871"/>
      <c r="AM244" s="871"/>
      <c r="AN244" s="871"/>
      <c r="AO244" s="871"/>
      <c r="AP244" s="871"/>
    </row>
    <row r="245" spans="1:42" s="868" customFormat="1" ht="14">
      <c r="A245" s="866">
        <v>244</v>
      </c>
      <c r="B245" s="867" t="s">
        <v>2834</v>
      </c>
      <c r="C245" s="867" t="s">
        <v>40</v>
      </c>
      <c r="D245" s="867" t="s">
        <v>2450</v>
      </c>
      <c r="E245" s="867" t="s">
        <v>903</v>
      </c>
      <c r="F245" s="867" t="s">
        <v>905</v>
      </c>
      <c r="G245" s="868">
        <v>1</v>
      </c>
      <c r="H245" s="869">
        <v>0.2</v>
      </c>
      <c r="I245" s="869">
        <v>0.53</v>
      </c>
      <c r="J245" s="869">
        <f t="shared" si="14"/>
        <v>0.10600000000000001</v>
      </c>
      <c r="K245" s="869">
        <f t="shared" si="15"/>
        <v>1.3780000000000001E-2</v>
      </c>
      <c r="L245" s="868">
        <v>0</v>
      </c>
      <c r="M245" s="867" t="s">
        <v>47</v>
      </c>
      <c r="N245" s="866">
        <v>2050</v>
      </c>
      <c r="O245" s="867" t="s">
        <v>2383</v>
      </c>
      <c r="P245" s="870" t="s">
        <v>47</v>
      </c>
      <c r="Q245" s="867" t="s">
        <v>92</v>
      </c>
      <c r="R245" s="871">
        <v>0</v>
      </c>
      <c r="S245" s="871">
        <v>0</v>
      </c>
      <c r="T245" s="871">
        <v>0</v>
      </c>
      <c r="U245" s="871">
        <v>0</v>
      </c>
      <c r="V245" s="871">
        <v>0</v>
      </c>
      <c r="W245" s="871">
        <v>0</v>
      </c>
      <c r="X245" s="871">
        <v>0</v>
      </c>
      <c r="Y245" s="871">
        <v>0</v>
      </c>
      <c r="Z245" s="871">
        <v>0</v>
      </c>
      <c r="AA245" s="871">
        <v>0</v>
      </c>
      <c r="AB245" s="871">
        <v>0</v>
      </c>
      <c r="AC245" s="871">
        <v>0</v>
      </c>
      <c r="AD245" s="871">
        <v>2.5</v>
      </c>
      <c r="AE245" s="871">
        <v>0</v>
      </c>
      <c r="AF245" s="871">
        <v>0</v>
      </c>
      <c r="AG245" s="871">
        <v>0</v>
      </c>
      <c r="AH245" s="871">
        <f t="shared" si="13"/>
        <v>2.0661157024793391</v>
      </c>
      <c r="AI245" s="871">
        <v>0</v>
      </c>
      <c r="AJ245" s="871"/>
      <c r="AK245" s="871"/>
      <c r="AL245" s="871"/>
      <c r="AM245" s="871"/>
      <c r="AN245" s="871"/>
      <c r="AO245" s="871"/>
      <c r="AP245" s="871"/>
    </row>
    <row r="246" spans="1:42" s="868" customFormat="1" ht="14">
      <c r="A246" s="866">
        <v>245</v>
      </c>
      <c r="B246" s="867" t="s">
        <v>2835</v>
      </c>
      <c r="C246" s="867" t="s">
        <v>40</v>
      </c>
      <c r="D246" s="867" t="s">
        <v>2450</v>
      </c>
      <c r="E246" s="867" t="s">
        <v>907</v>
      </c>
      <c r="F246" s="867" t="s">
        <v>894</v>
      </c>
      <c r="G246" s="868">
        <v>1</v>
      </c>
      <c r="H246" s="869">
        <v>0.2</v>
      </c>
      <c r="I246" s="869">
        <v>0.53</v>
      </c>
      <c r="J246" s="869">
        <f t="shared" si="14"/>
        <v>0.10600000000000001</v>
      </c>
      <c r="K246" s="869">
        <f t="shared" si="15"/>
        <v>1.3780000000000001E-2</v>
      </c>
      <c r="L246" s="868">
        <v>0</v>
      </c>
      <c r="M246" s="867" t="s">
        <v>47</v>
      </c>
      <c r="N246" s="866">
        <v>2050</v>
      </c>
      <c r="O246" s="867" t="s">
        <v>2383</v>
      </c>
      <c r="P246" s="870" t="s">
        <v>47</v>
      </c>
      <c r="Q246" s="867" t="s">
        <v>92</v>
      </c>
      <c r="R246" s="871">
        <v>0</v>
      </c>
      <c r="S246" s="871">
        <v>0</v>
      </c>
      <c r="T246" s="871">
        <v>0</v>
      </c>
      <c r="U246" s="871">
        <v>0</v>
      </c>
      <c r="V246" s="871">
        <v>0</v>
      </c>
      <c r="W246" s="871">
        <v>0</v>
      </c>
      <c r="X246" s="871">
        <v>0</v>
      </c>
      <c r="Y246" s="871">
        <v>0</v>
      </c>
      <c r="Z246" s="871">
        <v>0</v>
      </c>
      <c r="AA246" s="871">
        <v>0</v>
      </c>
      <c r="AB246" s="871">
        <v>0</v>
      </c>
      <c r="AC246" s="871">
        <v>0</v>
      </c>
      <c r="AD246" s="871">
        <v>2.5</v>
      </c>
      <c r="AE246" s="871">
        <v>0</v>
      </c>
      <c r="AF246" s="871">
        <v>0</v>
      </c>
      <c r="AG246" s="871">
        <v>0</v>
      </c>
      <c r="AH246" s="871">
        <f t="shared" si="13"/>
        <v>2.0661157024793391</v>
      </c>
      <c r="AI246" s="871">
        <v>0</v>
      </c>
      <c r="AJ246" s="871"/>
      <c r="AK246" s="871"/>
      <c r="AL246" s="871"/>
      <c r="AM246" s="871"/>
      <c r="AN246" s="871"/>
      <c r="AO246" s="871"/>
      <c r="AP246" s="871"/>
    </row>
    <row r="247" spans="1:42" s="868" customFormat="1" ht="14">
      <c r="A247" s="866">
        <v>246</v>
      </c>
      <c r="B247" s="867" t="s">
        <v>2836</v>
      </c>
      <c r="C247" s="867" t="s">
        <v>40</v>
      </c>
      <c r="D247" s="867" t="s">
        <v>2450</v>
      </c>
      <c r="E247" s="867" t="s">
        <v>909</v>
      </c>
      <c r="F247" s="867" t="s">
        <v>905</v>
      </c>
      <c r="G247" s="868">
        <v>1</v>
      </c>
      <c r="H247" s="869">
        <v>0.2</v>
      </c>
      <c r="I247" s="869">
        <v>0.53</v>
      </c>
      <c r="J247" s="869">
        <f t="shared" si="14"/>
        <v>0.10600000000000001</v>
      </c>
      <c r="K247" s="869">
        <f t="shared" si="15"/>
        <v>1.3780000000000001E-2</v>
      </c>
      <c r="L247" s="868">
        <v>0</v>
      </c>
      <c r="M247" s="867" t="s">
        <v>47</v>
      </c>
      <c r="N247" s="866">
        <v>2050</v>
      </c>
      <c r="O247" s="867" t="s">
        <v>2383</v>
      </c>
      <c r="P247" s="870" t="s">
        <v>47</v>
      </c>
      <c r="Q247" s="867" t="s">
        <v>92</v>
      </c>
      <c r="R247" s="871">
        <v>0</v>
      </c>
      <c r="S247" s="871">
        <v>0</v>
      </c>
      <c r="T247" s="871">
        <v>0</v>
      </c>
      <c r="U247" s="871">
        <v>0</v>
      </c>
      <c r="V247" s="871">
        <v>0</v>
      </c>
      <c r="W247" s="871">
        <v>0</v>
      </c>
      <c r="X247" s="871">
        <v>0</v>
      </c>
      <c r="Y247" s="871">
        <v>0</v>
      </c>
      <c r="Z247" s="871">
        <v>0</v>
      </c>
      <c r="AA247" s="871">
        <v>0</v>
      </c>
      <c r="AB247" s="871">
        <v>0</v>
      </c>
      <c r="AC247" s="871">
        <v>0</v>
      </c>
      <c r="AD247" s="871">
        <v>2.5</v>
      </c>
      <c r="AE247" s="871">
        <v>0</v>
      </c>
      <c r="AF247" s="871">
        <v>0</v>
      </c>
      <c r="AG247" s="871">
        <v>0</v>
      </c>
      <c r="AH247" s="871">
        <f t="shared" si="13"/>
        <v>2.0661157024793391</v>
      </c>
      <c r="AI247" s="871">
        <v>0</v>
      </c>
      <c r="AJ247" s="871"/>
      <c r="AK247" s="871"/>
      <c r="AL247" s="871"/>
      <c r="AM247" s="871"/>
      <c r="AN247" s="871"/>
      <c r="AO247" s="871"/>
      <c r="AP247" s="871"/>
    </row>
    <row r="248" spans="1:42" s="868" customFormat="1" ht="14">
      <c r="A248" s="866">
        <v>247</v>
      </c>
      <c r="B248" s="867" t="s">
        <v>2837</v>
      </c>
      <c r="C248" s="867" t="s">
        <v>40</v>
      </c>
      <c r="D248" s="867" t="s">
        <v>2450</v>
      </c>
      <c r="E248" s="867" t="s">
        <v>909</v>
      </c>
      <c r="F248" s="867" t="s">
        <v>835</v>
      </c>
      <c r="G248" s="868">
        <v>1</v>
      </c>
      <c r="H248" s="869">
        <v>0.2</v>
      </c>
      <c r="I248" s="869">
        <v>0.53</v>
      </c>
      <c r="J248" s="869">
        <f t="shared" si="14"/>
        <v>0.10600000000000001</v>
      </c>
      <c r="K248" s="869">
        <f t="shared" si="15"/>
        <v>1.3780000000000001E-2</v>
      </c>
      <c r="L248" s="868">
        <v>0</v>
      </c>
      <c r="M248" s="867" t="s">
        <v>47</v>
      </c>
      <c r="N248" s="866">
        <v>2050</v>
      </c>
      <c r="O248" s="867" t="s">
        <v>2383</v>
      </c>
      <c r="P248" s="870" t="s">
        <v>47</v>
      </c>
      <c r="Q248" s="867" t="s">
        <v>92</v>
      </c>
      <c r="R248" s="871">
        <v>0</v>
      </c>
      <c r="S248" s="871">
        <v>0</v>
      </c>
      <c r="T248" s="871">
        <v>0</v>
      </c>
      <c r="U248" s="871">
        <v>0</v>
      </c>
      <c r="V248" s="871">
        <v>0</v>
      </c>
      <c r="W248" s="871">
        <v>0</v>
      </c>
      <c r="X248" s="871">
        <v>0</v>
      </c>
      <c r="Y248" s="871">
        <v>0</v>
      </c>
      <c r="Z248" s="871">
        <v>0</v>
      </c>
      <c r="AA248" s="871">
        <v>0</v>
      </c>
      <c r="AB248" s="871">
        <v>0</v>
      </c>
      <c r="AC248" s="871">
        <v>0</v>
      </c>
      <c r="AD248" s="871">
        <v>2.5</v>
      </c>
      <c r="AE248" s="871">
        <v>0</v>
      </c>
      <c r="AF248" s="871">
        <v>0</v>
      </c>
      <c r="AG248" s="871">
        <v>0</v>
      </c>
      <c r="AH248" s="871">
        <f t="shared" si="13"/>
        <v>2.0661157024793391</v>
      </c>
      <c r="AI248" s="871">
        <v>0</v>
      </c>
      <c r="AJ248" s="871"/>
      <c r="AK248" s="871"/>
      <c r="AL248" s="871"/>
      <c r="AM248" s="871"/>
      <c r="AN248" s="871"/>
      <c r="AO248" s="871"/>
      <c r="AP248" s="871"/>
    </row>
    <row r="249" spans="1:42" s="868" customFormat="1" ht="14">
      <c r="A249" s="866">
        <v>248</v>
      </c>
      <c r="B249" s="867" t="s">
        <v>2838</v>
      </c>
      <c r="C249" s="867" t="s">
        <v>40</v>
      </c>
      <c r="D249" s="867" t="s">
        <v>2450</v>
      </c>
      <c r="E249" s="867" t="s">
        <v>909</v>
      </c>
      <c r="F249" s="867" t="s">
        <v>791</v>
      </c>
      <c r="G249" s="868">
        <v>1</v>
      </c>
      <c r="H249" s="869">
        <v>0.2</v>
      </c>
      <c r="I249" s="869">
        <v>0.53</v>
      </c>
      <c r="J249" s="869">
        <f t="shared" si="14"/>
        <v>0.10600000000000001</v>
      </c>
      <c r="K249" s="869">
        <f t="shared" si="15"/>
        <v>1.3780000000000001E-2</v>
      </c>
      <c r="L249" s="868">
        <v>0</v>
      </c>
      <c r="M249" s="867" t="s">
        <v>47</v>
      </c>
      <c r="N249" s="866">
        <v>2050</v>
      </c>
      <c r="O249" s="867" t="s">
        <v>2383</v>
      </c>
      <c r="P249" s="870" t="s">
        <v>47</v>
      </c>
      <c r="Q249" s="867" t="s">
        <v>92</v>
      </c>
      <c r="R249" s="871">
        <v>0</v>
      </c>
      <c r="S249" s="871">
        <v>0</v>
      </c>
      <c r="T249" s="871">
        <v>0</v>
      </c>
      <c r="U249" s="871">
        <v>0</v>
      </c>
      <c r="V249" s="871">
        <v>0</v>
      </c>
      <c r="W249" s="871">
        <v>0</v>
      </c>
      <c r="X249" s="871">
        <v>0</v>
      </c>
      <c r="Y249" s="871">
        <v>0</v>
      </c>
      <c r="Z249" s="871">
        <v>0</v>
      </c>
      <c r="AA249" s="871">
        <v>0</v>
      </c>
      <c r="AB249" s="871">
        <v>0</v>
      </c>
      <c r="AC249" s="871">
        <v>0</v>
      </c>
      <c r="AD249" s="871">
        <v>2.5</v>
      </c>
      <c r="AE249" s="871">
        <v>0</v>
      </c>
      <c r="AF249" s="871">
        <v>0</v>
      </c>
      <c r="AG249" s="871">
        <v>0</v>
      </c>
      <c r="AH249" s="871">
        <f t="shared" si="13"/>
        <v>2.0661157024793391</v>
      </c>
      <c r="AI249" s="871">
        <v>0</v>
      </c>
      <c r="AJ249" s="871"/>
      <c r="AK249" s="871"/>
      <c r="AL249" s="871"/>
      <c r="AM249" s="871"/>
      <c r="AN249" s="871"/>
      <c r="AO249" s="871"/>
      <c r="AP249" s="871"/>
    </row>
    <row r="250" spans="1:42" s="868" customFormat="1" ht="14">
      <c r="A250" s="866">
        <v>249</v>
      </c>
      <c r="B250" s="867" t="s">
        <v>2839</v>
      </c>
      <c r="C250" s="867" t="s">
        <v>40</v>
      </c>
      <c r="D250" s="867" t="s">
        <v>2450</v>
      </c>
      <c r="E250" s="867" t="s">
        <v>909</v>
      </c>
      <c r="F250" s="867" t="s">
        <v>913</v>
      </c>
      <c r="G250" s="868">
        <v>1</v>
      </c>
      <c r="H250" s="869">
        <v>0.2</v>
      </c>
      <c r="I250" s="869">
        <v>0.53</v>
      </c>
      <c r="J250" s="869">
        <f t="shared" si="14"/>
        <v>0.10600000000000001</v>
      </c>
      <c r="K250" s="869">
        <f t="shared" si="15"/>
        <v>1.3780000000000001E-2</v>
      </c>
      <c r="L250" s="868">
        <v>0</v>
      </c>
      <c r="M250" s="867" t="s">
        <v>47</v>
      </c>
      <c r="N250" s="866">
        <v>2050</v>
      </c>
      <c r="O250" s="867" t="s">
        <v>2383</v>
      </c>
      <c r="P250" s="870" t="s">
        <v>47</v>
      </c>
      <c r="Q250" s="867" t="s">
        <v>92</v>
      </c>
      <c r="R250" s="871">
        <v>0</v>
      </c>
      <c r="S250" s="871">
        <v>0</v>
      </c>
      <c r="T250" s="871">
        <v>0</v>
      </c>
      <c r="U250" s="871">
        <v>0</v>
      </c>
      <c r="V250" s="871">
        <v>0</v>
      </c>
      <c r="W250" s="871">
        <v>0</v>
      </c>
      <c r="X250" s="871">
        <v>0</v>
      </c>
      <c r="Y250" s="871">
        <v>0</v>
      </c>
      <c r="Z250" s="871">
        <v>0</v>
      </c>
      <c r="AA250" s="871">
        <v>0</v>
      </c>
      <c r="AB250" s="871">
        <v>0</v>
      </c>
      <c r="AC250" s="871">
        <v>0</v>
      </c>
      <c r="AD250" s="871">
        <v>2.5</v>
      </c>
      <c r="AE250" s="871">
        <v>0</v>
      </c>
      <c r="AF250" s="871">
        <v>0</v>
      </c>
      <c r="AG250" s="871">
        <v>0</v>
      </c>
      <c r="AH250" s="871">
        <f t="shared" si="13"/>
        <v>2.0661157024793391</v>
      </c>
      <c r="AI250" s="871">
        <v>0</v>
      </c>
      <c r="AJ250" s="871"/>
      <c r="AK250" s="871"/>
      <c r="AL250" s="871"/>
      <c r="AM250" s="871"/>
      <c r="AN250" s="871"/>
      <c r="AO250" s="871"/>
      <c r="AP250" s="871"/>
    </row>
    <row r="251" spans="1:42" s="868" customFormat="1" ht="14">
      <c r="A251" s="866">
        <v>250</v>
      </c>
      <c r="B251" s="867" t="s">
        <v>2840</v>
      </c>
      <c r="C251" s="867" t="s">
        <v>40</v>
      </c>
      <c r="D251" s="867" t="s">
        <v>2450</v>
      </c>
      <c r="E251" s="867" t="s">
        <v>915</v>
      </c>
      <c r="F251" s="867" t="s">
        <v>863</v>
      </c>
      <c r="G251" s="868">
        <v>1</v>
      </c>
      <c r="H251" s="869">
        <v>0.2</v>
      </c>
      <c r="I251" s="869">
        <v>0.53</v>
      </c>
      <c r="J251" s="869">
        <f t="shared" si="14"/>
        <v>0.10600000000000001</v>
      </c>
      <c r="K251" s="869">
        <f t="shared" si="15"/>
        <v>1.3780000000000001E-2</v>
      </c>
      <c r="L251" s="868">
        <v>0</v>
      </c>
      <c r="M251" s="867" t="s">
        <v>47</v>
      </c>
      <c r="N251" s="866">
        <v>2050</v>
      </c>
      <c r="O251" s="867" t="s">
        <v>2383</v>
      </c>
      <c r="P251" s="870" t="s">
        <v>47</v>
      </c>
      <c r="Q251" s="867" t="s">
        <v>92</v>
      </c>
      <c r="R251" s="871">
        <v>0</v>
      </c>
      <c r="S251" s="871">
        <v>0</v>
      </c>
      <c r="T251" s="871">
        <v>0</v>
      </c>
      <c r="U251" s="871">
        <v>0</v>
      </c>
      <c r="V251" s="871">
        <v>0</v>
      </c>
      <c r="W251" s="871">
        <v>0</v>
      </c>
      <c r="X251" s="871">
        <v>0</v>
      </c>
      <c r="Y251" s="871">
        <v>0</v>
      </c>
      <c r="Z251" s="871">
        <v>0</v>
      </c>
      <c r="AA251" s="871">
        <v>0</v>
      </c>
      <c r="AB251" s="871">
        <v>0</v>
      </c>
      <c r="AC251" s="871">
        <v>0</v>
      </c>
      <c r="AD251" s="871">
        <v>2.5</v>
      </c>
      <c r="AE251" s="871">
        <v>0</v>
      </c>
      <c r="AF251" s="871">
        <v>0</v>
      </c>
      <c r="AG251" s="871">
        <v>0</v>
      </c>
      <c r="AH251" s="871">
        <f t="shared" si="13"/>
        <v>2.0661157024793391</v>
      </c>
      <c r="AI251" s="871">
        <v>0</v>
      </c>
      <c r="AJ251" s="871"/>
      <c r="AK251" s="871"/>
      <c r="AL251" s="871"/>
      <c r="AM251" s="871"/>
      <c r="AN251" s="871"/>
      <c r="AO251" s="871"/>
      <c r="AP251" s="871"/>
    </row>
    <row r="252" spans="1:42" s="868" customFormat="1" ht="14">
      <c r="A252" s="866">
        <v>251</v>
      </c>
      <c r="B252" s="867" t="s">
        <v>2841</v>
      </c>
      <c r="C252" s="867" t="s">
        <v>40</v>
      </c>
      <c r="D252" s="867" t="s">
        <v>2450</v>
      </c>
      <c r="E252" s="867" t="s">
        <v>915</v>
      </c>
      <c r="F252" s="867" t="s">
        <v>835</v>
      </c>
      <c r="G252" s="868">
        <v>1</v>
      </c>
      <c r="H252" s="869">
        <v>0.2</v>
      </c>
      <c r="I252" s="869">
        <v>0.53</v>
      </c>
      <c r="J252" s="869">
        <f t="shared" si="14"/>
        <v>0.10600000000000001</v>
      </c>
      <c r="K252" s="869">
        <f t="shared" si="15"/>
        <v>1.3780000000000001E-2</v>
      </c>
      <c r="L252" s="868">
        <v>0</v>
      </c>
      <c r="M252" s="867" t="s">
        <v>47</v>
      </c>
      <c r="N252" s="866">
        <v>2050</v>
      </c>
      <c r="O252" s="867" t="s">
        <v>2383</v>
      </c>
      <c r="P252" s="870" t="s">
        <v>47</v>
      </c>
      <c r="Q252" s="867" t="s">
        <v>92</v>
      </c>
      <c r="R252" s="871">
        <v>0</v>
      </c>
      <c r="S252" s="871">
        <v>0</v>
      </c>
      <c r="T252" s="871">
        <v>0</v>
      </c>
      <c r="U252" s="871">
        <v>0</v>
      </c>
      <c r="V252" s="871">
        <v>0</v>
      </c>
      <c r="W252" s="871">
        <v>0</v>
      </c>
      <c r="X252" s="871">
        <v>0</v>
      </c>
      <c r="Y252" s="871">
        <v>0</v>
      </c>
      <c r="Z252" s="871">
        <v>0</v>
      </c>
      <c r="AA252" s="871">
        <v>0</v>
      </c>
      <c r="AB252" s="871">
        <v>0</v>
      </c>
      <c r="AC252" s="871">
        <v>0</v>
      </c>
      <c r="AD252" s="871">
        <v>2.5</v>
      </c>
      <c r="AE252" s="871">
        <v>0</v>
      </c>
      <c r="AF252" s="871">
        <v>0</v>
      </c>
      <c r="AG252" s="871">
        <v>0</v>
      </c>
      <c r="AH252" s="871">
        <f t="shared" si="13"/>
        <v>2.0661157024793391</v>
      </c>
      <c r="AI252" s="871">
        <v>0</v>
      </c>
      <c r="AJ252" s="871"/>
      <c r="AK252" s="871"/>
      <c r="AL252" s="871"/>
      <c r="AM252" s="871"/>
      <c r="AN252" s="871"/>
      <c r="AO252" s="871"/>
      <c r="AP252" s="871"/>
    </row>
    <row r="253" spans="1:42" s="868" customFormat="1" ht="14">
      <c r="A253" s="866">
        <v>252</v>
      </c>
      <c r="B253" s="867" t="s">
        <v>2842</v>
      </c>
      <c r="C253" s="867" t="s">
        <v>40</v>
      </c>
      <c r="D253" s="867" t="s">
        <v>2450</v>
      </c>
      <c r="E253" s="867" t="s">
        <v>915</v>
      </c>
      <c r="F253" s="867" t="s">
        <v>813</v>
      </c>
      <c r="G253" s="868">
        <v>1</v>
      </c>
      <c r="H253" s="869">
        <v>0.2</v>
      </c>
      <c r="I253" s="869">
        <v>0.53</v>
      </c>
      <c r="J253" s="869">
        <f t="shared" si="14"/>
        <v>0.10600000000000001</v>
      </c>
      <c r="K253" s="869">
        <f t="shared" si="15"/>
        <v>1.3780000000000001E-2</v>
      </c>
      <c r="L253" s="868">
        <v>0</v>
      </c>
      <c r="M253" s="867" t="s">
        <v>47</v>
      </c>
      <c r="N253" s="866">
        <v>2050</v>
      </c>
      <c r="O253" s="867" t="s">
        <v>2383</v>
      </c>
      <c r="P253" s="870" t="s">
        <v>47</v>
      </c>
      <c r="Q253" s="867" t="s">
        <v>92</v>
      </c>
      <c r="R253" s="871">
        <v>0</v>
      </c>
      <c r="S253" s="871">
        <v>0</v>
      </c>
      <c r="T253" s="871">
        <v>0</v>
      </c>
      <c r="U253" s="871">
        <v>0</v>
      </c>
      <c r="V253" s="871">
        <v>0</v>
      </c>
      <c r="W253" s="871">
        <v>0</v>
      </c>
      <c r="X253" s="871">
        <v>0</v>
      </c>
      <c r="Y253" s="871">
        <v>0</v>
      </c>
      <c r="Z253" s="871">
        <v>0</v>
      </c>
      <c r="AA253" s="871">
        <v>0</v>
      </c>
      <c r="AB253" s="871">
        <v>0</v>
      </c>
      <c r="AC253" s="871">
        <v>0</v>
      </c>
      <c r="AD253" s="871">
        <v>2.5</v>
      </c>
      <c r="AE253" s="871">
        <v>0</v>
      </c>
      <c r="AF253" s="871">
        <v>0</v>
      </c>
      <c r="AG253" s="871">
        <v>0</v>
      </c>
      <c r="AH253" s="871">
        <f t="shared" si="13"/>
        <v>2.0661157024793391</v>
      </c>
      <c r="AI253" s="871">
        <v>0</v>
      </c>
      <c r="AJ253" s="871"/>
      <c r="AK253" s="871"/>
      <c r="AL253" s="871"/>
      <c r="AM253" s="871"/>
      <c r="AN253" s="871"/>
      <c r="AO253" s="871"/>
      <c r="AP253" s="871"/>
    </row>
    <row r="254" spans="1:42" s="868" customFormat="1" ht="14">
      <c r="A254" s="866">
        <v>253</v>
      </c>
      <c r="B254" s="867" t="s">
        <v>2843</v>
      </c>
      <c r="C254" s="867" t="s">
        <v>40</v>
      </c>
      <c r="D254" s="867" t="s">
        <v>2450</v>
      </c>
      <c r="E254" s="867" t="s">
        <v>915</v>
      </c>
      <c r="F254" s="867" t="s">
        <v>894</v>
      </c>
      <c r="G254" s="868">
        <v>1</v>
      </c>
      <c r="H254" s="869">
        <v>0.2</v>
      </c>
      <c r="I254" s="869">
        <v>0.53</v>
      </c>
      <c r="J254" s="869">
        <f t="shared" si="14"/>
        <v>0.10600000000000001</v>
      </c>
      <c r="K254" s="869">
        <f t="shared" si="15"/>
        <v>1.3780000000000001E-2</v>
      </c>
      <c r="L254" s="868">
        <v>0</v>
      </c>
      <c r="M254" s="867" t="s">
        <v>47</v>
      </c>
      <c r="N254" s="866">
        <v>2050</v>
      </c>
      <c r="O254" s="867" t="s">
        <v>2383</v>
      </c>
      <c r="P254" s="870" t="s">
        <v>47</v>
      </c>
      <c r="Q254" s="867" t="s">
        <v>92</v>
      </c>
      <c r="R254" s="871">
        <v>0</v>
      </c>
      <c r="S254" s="871">
        <v>0</v>
      </c>
      <c r="T254" s="871">
        <v>0</v>
      </c>
      <c r="U254" s="871">
        <v>0</v>
      </c>
      <c r="V254" s="871">
        <v>0</v>
      </c>
      <c r="W254" s="871">
        <v>0</v>
      </c>
      <c r="X254" s="871">
        <v>0</v>
      </c>
      <c r="Y254" s="871">
        <v>0</v>
      </c>
      <c r="Z254" s="871">
        <v>0</v>
      </c>
      <c r="AA254" s="871">
        <v>0</v>
      </c>
      <c r="AB254" s="871">
        <v>0</v>
      </c>
      <c r="AC254" s="871">
        <v>0</v>
      </c>
      <c r="AD254" s="871">
        <v>2.5</v>
      </c>
      <c r="AE254" s="871">
        <v>0</v>
      </c>
      <c r="AF254" s="871">
        <v>0</v>
      </c>
      <c r="AG254" s="871">
        <v>0</v>
      </c>
      <c r="AH254" s="871">
        <f t="shared" si="13"/>
        <v>2.0661157024793391</v>
      </c>
      <c r="AI254" s="871">
        <v>0</v>
      </c>
      <c r="AJ254" s="871"/>
      <c r="AK254" s="871"/>
      <c r="AL254" s="871"/>
      <c r="AM254" s="871"/>
      <c r="AN254" s="871"/>
      <c r="AO254" s="871"/>
      <c r="AP254" s="871"/>
    </row>
    <row r="255" spans="1:42" s="868" customFormat="1" ht="14">
      <c r="A255" s="866">
        <v>254</v>
      </c>
      <c r="B255" s="867" t="s">
        <v>2844</v>
      </c>
      <c r="C255" s="867" t="s">
        <v>40</v>
      </c>
      <c r="D255" s="867" t="s">
        <v>2450</v>
      </c>
      <c r="E255" s="867" t="s">
        <v>920</v>
      </c>
      <c r="F255" s="867" t="s">
        <v>905</v>
      </c>
      <c r="G255" s="868">
        <v>1</v>
      </c>
      <c r="H255" s="869">
        <v>0.2</v>
      </c>
      <c r="I255" s="869">
        <v>0.53</v>
      </c>
      <c r="J255" s="869">
        <f t="shared" si="14"/>
        <v>0.10600000000000001</v>
      </c>
      <c r="K255" s="869">
        <f t="shared" si="15"/>
        <v>1.3780000000000001E-2</v>
      </c>
      <c r="L255" s="868">
        <v>0</v>
      </c>
      <c r="M255" s="867" t="s">
        <v>47</v>
      </c>
      <c r="N255" s="866">
        <v>2050</v>
      </c>
      <c r="O255" s="867" t="s">
        <v>2383</v>
      </c>
      <c r="P255" s="870" t="s">
        <v>47</v>
      </c>
      <c r="Q255" s="867" t="s">
        <v>92</v>
      </c>
      <c r="R255" s="871">
        <v>0</v>
      </c>
      <c r="S255" s="871">
        <v>0</v>
      </c>
      <c r="T255" s="871">
        <v>0</v>
      </c>
      <c r="U255" s="871">
        <v>0</v>
      </c>
      <c r="V255" s="871">
        <v>0</v>
      </c>
      <c r="W255" s="871">
        <v>0</v>
      </c>
      <c r="X255" s="871">
        <v>0</v>
      </c>
      <c r="Y255" s="871">
        <v>0</v>
      </c>
      <c r="Z255" s="871">
        <v>0</v>
      </c>
      <c r="AA255" s="871">
        <v>0</v>
      </c>
      <c r="AB255" s="871">
        <v>0</v>
      </c>
      <c r="AC255" s="871">
        <v>0</v>
      </c>
      <c r="AD255" s="871">
        <v>2.5</v>
      </c>
      <c r="AE255" s="871">
        <v>0</v>
      </c>
      <c r="AF255" s="871">
        <v>0</v>
      </c>
      <c r="AG255" s="871">
        <v>0</v>
      </c>
      <c r="AH255" s="871">
        <f t="shared" si="13"/>
        <v>2.0661157024793391</v>
      </c>
      <c r="AI255" s="871">
        <v>0</v>
      </c>
      <c r="AJ255" s="871"/>
      <c r="AK255" s="871"/>
      <c r="AL255" s="871"/>
      <c r="AM255" s="871"/>
      <c r="AN255" s="871"/>
      <c r="AO255" s="871"/>
      <c r="AP255" s="871"/>
    </row>
    <row r="256" spans="1:42" s="868" customFormat="1" ht="14">
      <c r="A256" s="866">
        <v>255</v>
      </c>
      <c r="B256" s="867" t="s">
        <v>2845</v>
      </c>
      <c r="C256" s="867" t="s">
        <v>40</v>
      </c>
      <c r="D256" s="867" t="s">
        <v>2450</v>
      </c>
      <c r="E256" s="867" t="s">
        <v>920</v>
      </c>
      <c r="F256" s="867" t="s">
        <v>793</v>
      </c>
      <c r="G256" s="868">
        <v>1</v>
      </c>
      <c r="H256" s="869">
        <v>0.2</v>
      </c>
      <c r="I256" s="869">
        <v>0.53</v>
      </c>
      <c r="J256" s="869">
        <f t="shared" si="14"/>
        <v>0.10600000000000001</v>
      </c>
      <c r="K256" s="869">
        <f t="shared" si="15"/>
        <v>1.3780000000000001E-2</v>
      </c>
      <c r="L256" s="868">
        <v>0</v>
      </c>
      <c r="M256" s="867" t="s">
        <v>47</v>
      </c>
      <c r="N256" s="866">
        <v>2050</v>
      </c>
      <c r="O256" s="867" t="s">
        <v>2383</v>
      </c>
      <c r="P256" s="870" t="s">
        <v>47</v>
      </c>
      <c r="Q256" s="867" t="s">
        <v>92</v>
      </c>
      <c r="R256" s="871">
        <v>0</v>
      </c>
      <c r="S256" s="871">
        <v>0</v>
      </c>
      <c r="T256" s="871">
        <v>0</v>
      </c>
      <c r="U256" s="871">
        <v>0</v>
      </c>
      <c r="V256" s="871">
        <v>0</v>
      </c>
      <c r="W256" s="871">
        <v>0</v>
      </c>
      <c r="X256" s="871">
        <v>0</v>
      </c>
      <c r="Y256" s="871">
        <v>0</v>
      </c>
      <c r="Z256" s="871">
        <v>0</v>
      </c>
      <c r="AA256" s="871">
        <v>0</v>
      </c>
      <c r="AB256" s="871">
        <v>0</v>
      </c>
      <c r="AC256" s="871">
        <v>0</v>
      </c>
      <c r="AD256" s="871">
        <v>2.5</v>
      </c>
      <c r="AE256" s="871">
        <v>0</v>
      </c>
      <c r="AF256" s="871">
        <v>0</v>
      </c>
      <c r="AG256" s="871">
        <v>0</v>
      </c>
      <c r="AH256" s="871">
        <f t="shared" si="13"/>
        <v>2.0661157024793391</v>
      </c>
      <c r="AI256" s="871">
        <v>0</v>
      </c>
      <c r="AJ256" s="871"/>
      <c r="AK256" s="871"/>
      <c r="AL256" s="871"/>
      <c r="AM256" s="871"/>
      <c r="AN256" s="871"/>
      <c r="AO256" s="871"/>
      <c r="AP256" s="871"/>
    </row>
    <row r="257" spans="1:42" s="868" customFormat="1" ht="14">
      <c r="A257" s="866">
        <v>256</v>
      </c>
      <c r="B257" s="867" t="s">
        <v>2846</v>
      </c>
      <c r="C257" s="867" t="s">
        <v>40</v>
      </c>
      <c r="D257" s="867" t="s">
        <v>2450</v>
      </c>
      <c r="E257" s="867" t="s">
        <v>920</v>
      </c>
      <c r="F257" s="867" t="s">
        <v>923</v>
      </c>
      <c r="G257" s="868">
        <v>1</v>
      </c>
      <c r="H257" s="869">
        <v>0.2</v>
      </c>
      <c r="I257" s="869">
        <v>0.53</v>
      </c>
      <c r="J257" s="869">
        <f t="shared" si="14"/>
        <v>0.10600000000000001</v>
      </c>
      <c r="K257" s="869">
        <f t="shared" si="15"/>
        <v>1.3780000000000001E-2</v>
      </c>
      <c r="L257" s="868">
        <v>0</v>
      </c>
      <c r="M257" s="867" t="s">
        <v>47</v>
      </c>
      <c r="N257" s="866">
        <v>2050</v>
      </c>
      <c r="O257" s="867" t="s">
        <v>2383</v>
      </c>
      <c r="P257" s="870" t="s">
        <v>47</v>
      </c>
      <c r="Q257" s="867" t="s">
        <v>92</v>
      </c>
      <c r="R257" s="871">
        <v>0</v>
      </c>
      <c r="S257" s="871">
        <v>0</v>
      </c>
      <c r="T257" s="871">
        <v>0</v>
      </c>
      <c r="U257" s="871">
        <v>0</v>
      </c>
      <c r="V257" s="871">
        <v>0</v>
      </c>
      <c r="W257" s="871">
        <v>0</v>
      </c>
      <c r="X257" s="871">
        <v>0</v>
      </c>
      <c r="Y257" s="871">
        <v>0</v>
      </c>
      <c r="Z257" s="871">
        <v>0</v>
      </c>
      <c r="AA257" s="871">
        <v>0</v>
      </c>
      <c r="AB257" s="871">
        <v>0</v>
      </c>
      <c r="AC257" s="871">
        <v>0</v>
      </c>
      <c r="AD257" s="871">
        <v>2.5</v>
      </c>
      <c r="AE257" s="871">
        <v>0</v>
      </c>
      <c r="AF257" s="871">
        <v>0</v>
      </c>
      <c r="AG257" s="871">
        <v>0</v>
      </c>
      <c r="AH257" s="871">
        <f t="shared" si="13"/>
        <v>2.0661157024793391</v>
      </c>
      <c r="AI257" s="871">
        <v>0</v>
      </c>
      <c r="AJ257" s="871"/>
      <c r="AK257" s="871"/>
      <c r="AL257" s="871"/>
      <c r="AM257" s="871"/>
      <c r="AN257" s="871"/>
      <c r="AO257" s="871"/>
      <c r="AP257" s="871"/>
    </row>
    <row r="258" spans="1:42" s="868" customFormat="1" ht="14">
      <c r="A258" s="866">
        <v>257</v>
      </c>
      <c r="B258" s="867" t="s">
        <v>2847</v>
      </c>
      <c r="C258" s="867" t="s">
        <v>40</v>
      </c>
      <c r="D258" s="867" t="s">
        <v>2450</v>
      </c>
      <c r="E258" s="867" t="s">
        <v>920</v>
      </c>
      <c r="F258" s="867" t="s">
        <v>813</v>
      </c>
      <c r="G258" s="868">
        <v>1</v>
      </c>
      <c r="H258" s="869">
        <v>0.2</v>
      </c>
      <c r="I258" s="869">
        <v>0.53</v>
      </c>
      <c r="J258" s="869">
        <f t="shared" si="14"/>
        <v>0.10600000000000001</v>
      </c>
      <c r="K258" s="869">
        <f t="shared" si="15"/>
        <v>1.3780000000000001E-2</v>
      </c>
      <c r="L258" s="868">
        <v>0</v>
      </c>
      <c r="M258" s="867" t="s">
        <v>47</v>
      </c>
      <c r="N258" s="866">
        <v>2050</v>
      </c>
      <c r="O258" s="867" t="s">
        <v>2383</v>
      </c>
      <c r="P258" s="870" t="s">
        <v>47</v>
      </c>
      <c r="Q258" s="867" t="s">
        <v>92</v>
      </c>
      <c r="R258" s="871">
        <v>0</v>
      </c>
      <c r="S258" s="871">
        <v>0</v>
      </c>
      <c r="T258" s="871">
        <v>0</v>
      </c>
      <c r="U258" s="871">
        <v>0</v>
      </c>
      <c r="V258" s="871">
        <v>0</v>
      </c>
      <c r="W258" s="871">
        <v>0</v>
      </c>
      <c r="X258" s="871">
        <v>0</v>
      </c>
      <c r="Y258" s="871">
        <v>0</v>
      </c>
      <c r="Z258" s="871">
        <v>0</v>
      </c>
      <c r="AA258" s="871">
        <v>0</v>
      </c>
      <c r="AB258" s="871">
        <v>0</v>
      </c>
      <c r="AC258" s="871">
        <v>0</v>
      </c>
      <c r="AD258" s="871">
        <v>2.5</v>
      </c>
      <c r="AE258" s="871">
        <v>0</v>
      </c>
      <c r="AF258" s="871">
        <v>0</v>
      </c>
      <c r="AG258" s="871">
        <v>0</v>
      </c>
      <c r="AH258" s="871">
        <f t="shared" si="13"/>
        <v>2.0661157024793391</v>
      </c>
      <c r="AI258" s="871">
        <v>0</v>
      </c>
      <c r="AJ258" s="871"/>
      <c r="AK258" s="871"/>
      <c r="AL258" s="871"/>
      <c r="AM258" s="871"/>
      <c r="AN258" s="871"/>
      <c r="AO258" s="871"/>
      <c r="AP258" s="871"/>
    </row>
    <row r="259" spans="1:42" s="868" customFormat="1" ht="14">
      <c r="A259" s="866">
        <v>258</v>
      </c>
      <c r="B259" s="867" t="s">
        <v>2848</v>
      </c>
      <c r="C259" s="867" t="s">
        <v>40</v>
      </c>
      <c r="D259" s="867" t="s">
        <v>2450</v>
      </c>
      <c r="E259" s="867" t="s">
        <v>926</v>
      </c>
      <c r="F259" s="867" t="s">
        <v>913</v>
      </c>
      <c r="G259" s="868">
        <v>1</v>
      </c>
      <c r="H259" s="869">
        <v>0.2</v>
      </c>
      <c r="I259" s="869">
        <v>0.53</v>
      </c>
      <c r="J259" s="869">
        <f t="shared" si="14"/>
        <v>0.10600000000000001</v>
      </c>
      <c r="K259" s="869">
        <f t="shared" si="15"/>
        <v>1.3780000000000001E-2</v>
      </c>
      <c r="L259" s="868">
        <v>0</v>
      </c>
      <c r="M259" s="867" t="s">
        <v>47</v>
      </c>
      <c r="N259" s="866">
        <v>2050</v>
      </c>
      <c r="O259" s="867" t="s">
        <v>2383</v>
      </c>
      <c r="P259" s="870" t="s">
        <v>47</v>
      </c>
      <c r="Q259" s="867" t="s">
        <v>92</v>
      </c>
      <c r="R259" s="871">
        <v>0</v>
      </c>
      <c r="S259" s="871">
        <v>0</v>
      </c>
      <c r="T259" s="871">
        <v>0</v>
      </c>
      <c r="U259" s="871">
        <v>0</v>
      </c>
      <c r="V259" s="871">
        <v>0</v>
      </c>
      <c r="W259" s="871">
        <v>0</v>
      </c>
      <c r="X259" s="871">
        <v>0</v>
      </c>
      <c r="Y259" s="871">
        <v>0</v>
      </c>
      <c r="Z259" s="871">
        <v>0</v>
      </c>
      <c r="AA259" s="871">
        <v>0</v>
      </c>
      <c r="AB259" s="871">
        <v>0</v>
      </c>
      <c r="AC259" s="871">
        <v>0</v>
      </c>
      <c r="AD259" s="871">
        <v>2.5</v>
      </c>
      <c r="AE259" s="871">
        <v>0</v>
      </c>
      <c r="AF259" s="871">
        <v>0</v>
      </c>
      <c r="AG259" s="871">
        <v>0</v>
      </c>
      <c r="AH259" s="871">
        <f t="shared" si="13"/>
        <v>2.0661157024793391</v>
      </c>
      <c r="AI259" s="871">
        <v>0</v>
      </c>
      <c r="AJ259" s="871"/>
      <c r="AK259" s="871"/>
      <c r="AL259" s="871"/>
      <c r="AM259" s="871"/>
      <c r="AN259" s="871"/>
      <c r="AO259" s="871"/>
      <c r="AP259" s="871"/>
    </row>
    <row r="260" spans="1:42" s="868" customFormat="1" ht="14">
      <c r="A260" s="866">
        <v>259</v>
      </c>
      <c r="B260" s="867" t="s">
        <v>2849</v>
      </c>
      <c r="C260" s="867" t="s">
        <v>40</v>
      </c>
      <c r="D260" s="867" t="s">
        <v>2450</v>
      </c>
      <c r="E260" s="867" t="s">
        <v>926</v>
      </c>
      <c r="F260" s="867" t="s">
        <v>835</v>
      </c>
      <c r="G260" s="868">
        <v>1</v>
      </c>
      <c r="H260" s="869">
        <v>0.2</v>
      </c>
      <c r="I260" s="869">
        <v>0.53</v>
      </c>
      <c r="J260" s="869">
        <f t="shared" si="14"/>
        <v>0.10600000000000001</v>
      </c>
      <c r="K260" s="869">
        <f t="shared" si="15"/>
        <v>1.3780000000000001E-2</v>
      </c>
      <c r="L260" s="868">
        <v>0</v>
      </c>
      <c r="M260" s="867" t="s">
        <v>47</v>
      </c>
      <c r="N260" s="866">
        <v>2050</v>
      </c>
      <c r="O260" s="867" t="s">
        <v>2383</v>
      </c>
      <c r="P260" s="870" t="s">
        <v>47</v>
      </c>
      <c r="Q260" s="867" t="s">
        <v>92</v>
      </c>
      <c r="R260" s="871">
        <v>0</v>
      </c>
      <c r="S260" s="871">
        <v>0</v>
      </c>
      <c r="T260" s="871">
        <v>0</v>
      </c>
      <c r="U260" s="871">
        <v>0</v>
      </c>
      <c r="V260" s="871">
        <v>0</v>
      </c>
      <c r="W260" s="871">
        <v>0</v>
      </c>
      <c r="X260" s="871">
        <v>0</v>
      </c>
      <c r="Y260" s="871">
        <v>0</v>
      </c>
      <c r="Z260" s="871">
        <v>0</v>
      </c>
      <c r="AA260" s="871">
        <v>0</v>
      </c>
      <c r="AB260" s="871">
        <v>0</v>
      </c>
      <c r="AC260" s="871">
        <v>0</v>
      </c>
      <c r="AD260" s="871">
        <v>2.5</v>
      </c>
      <c r="AE260" s="871">
        <v>0</v>
      </c>
      <c r="AF260" s="871">
        <v>0</v>
      </c>
      <c r="AG260" s="871">
        <v>0</v>
      </c>
      <c r="AH260" s="871">
        <f t="shared" si="13"/>
        <v>2.0661157024793391</v>
      </c>
      <c r="AI260" s="871">
        <v>0</v>
      </c>
      <c r="AJ260" s="871"/>
      <c r="AK260" s="871"/>
      <c r="AL260" s="871"/>
      <c r="AM260" s="871"/>
      <c r="AN260" s="871"/>
      <c r="AO260" s="871"/>
      <c r="AP260" s="871"/>
    </row>
    <row r="261" spans="1:42" s="868" customFormat="1" ht="14">
      <c r="A261" s="866">
        <v>260</v>
      </c>
      <c r="B261" s="867" t="s">
        <v>2850</v>
      </c>
      <c r="C261" s="867" t="s">
        <v>40</v>
      </c>
      <c r="D261" s="867" t="s">
        <v>2450</v>
      </c>
      <c r="E261" s="867" t="s">
        <v>926</v>
      </c>
      <c r="F261" s="867" t="s">
        <v>813</v>
      </c>
      <c r="G261" s="868">
        <v>1</v>
      </c>
      <c r="H261" s="869">
        <v>0.2</v>
      </c>
      <c r="I261" s="869">
        <v>0.53</v>
      </c>
      <c r="J261" s="869">
        <f t="shared" si="14"/>
        <v>0.10600000000000001</v>
      </c>
      <c r="K261" s="869">
        <f t="shared" si="15"/>
        <v>1.3780000000000001E-2</v>
      </c>
      <c r="L261" s="868">
        <v>0</v>
      </c>
      <c r="M261" s="867" t="s">
        <v>47</v>
      </c>
      <c r="N261" s="866">
        <v>2050</v>
      </c>
      <c r="O261" s="867" t="s">
        <v>2383</v>
      </c>
      <c r="P261" s="870" t="s">
        <v>47</v>
      </c>
      <c r="Q261" s="867" t="s">
        <v>92</v>
      </c>
      <c r="R261" s="871">
        <v>0</v>
      </c>
      <c r="S261" s="871">
        <v>0</v>
      </c>
      <c r="T261" s="871">
        <v>0</v>
      </c>
      <c r="U261" s="871">
        <v>0</v>
      </c>
      <c r="V261" s="871">
        <v>0</v>
      </c>
      <c r="W261" s="871">
        <v>0</v>
      </c>
      <c r="X261" s="871">
        <v>0</v>
      </c>
      <c r="Y261" s="871">
        <v>0</v>
      </c>
      <c r="Z261" s="871">
        <v>0</v>
      </c>
      <c r="AA261" s="871">
        <v>0</v>
      </c>
      <c r="AB261" s="871">
        <v>0</v>
      </c>
      <c r="AC261" s="871">
        <v>0</v>
      </c>
      <c r="AD261" s="871">
        <v>2.5</v>
      </c>
      <c r="AE261" s="871">
        <v>0</v>
      </c>
      <c r="AF261" s="871">
        <v>0</v>
      </c>
      <c r="AG261" s="871">
        <v>0</v>
      </c>
      <c r="AH261" s="871">
        <f t="shared" si="13"/>
        <v>2.0661157024793391</v>
      </c>
      <c r="AI261" s="871">
        <v>0</v>
      </c>
      <c r="AJ261" s="871"/>
      <c r="AK261" s="871"/>
      <c r="AL261" s="871"/>
      <c r="AM261" s="871"/>
      <c r="AN261" s="871"/>
      <c r="AO261" s="871"/>
      <c r="AP261" s="871"/>
    </row>
    <row r="262" spans="1:42" s="868" customFormat="1" ht="14">
      <c r="A262" s="866">
        <v>261</v>
      </c>
      <c r="B262" s="867" t="s">
        <v>2851</v>
      </c>
      <c r="C262" s="867" t="s">
        <v>40</v>
      </c>
      <c r="D262" s="867" t="s">
        <v>2450</v>
      </c>
      <c r="E262" s="867" t="s">
        <v>926</v>
      </c>
      <c r="F262" s="867" t="s">
        <v>791</v>
      </c>
      <c r="G262" s="868">
        <v>1</v>
      </c>
      <c r="H262" s="869">
        <v>0.2</v>
      </c>
      <c r="I262" s="869">
        <v>0.53</v>
      </c>
      <c r="J262" s="869">
        <f t="shared" si="14"/>
        <v>0.10600000000000001</v>
      </c>
      <c r="K262" s="869">
        <f t="shared" si="15"/>
        <v>1.3780000000000001E-2</v>
      </c>
      <c r="L262" s="868">
        <v>0</v>
      </c>
      <c r="M262" s="867" t="s">
        <v>47</v>
      </c>
      <c r="N262" s="866">
        <v>2050</v>
      </c>
      <c r="O262" s="867" t="s">
        <v>2383</v>
      </c>
      <c r="P262" s="870" t="s">
        <v>47</v>
      </c>
      <c r="Q262" s="867" t="s">
        <v>92</v>
      </c>
      <c r="R262" s="871">
        <v>0</v>
      </c>
      <c r="S262" s="871">
        <v>0</v>
      </c>
      <c r="T262" s="871">
        <v>0</v>
      </c>
      <c r="U262" s="871">
        <v>0</v>
      </c>
      <c r="V262" s="871">
        <v>0</v>
      </c>
      <c r="W262" s="871">
        <v>0</v>
      </c>
      <c r="X262" s="871">
        <v>0</v>
      </c>
      <c r="Y262" s="871">
        <v>0</v>
      </c>
      <c r="Z262" s="871">
        <v>0</v>
      </c>
      <c r="AA262" s="871">
        <v>0</v>
      </c>
      <c r="AB262" s="871">
        <v>0</v>
      </c>
      <c r="AC262" s="871">
        <v>0</v>
      </c>
      <c r="AD262" s="871">
        <v>2.5</v>
      </c>
      <c r="AE262" s="871">
        <v>0</v>
      </c>
      <c r="AF262" s="871">
        <v>0</v>
      </c>
      <c r="AG262" s="871">
        <v>0</v>
      </c>
      <c r="AH262" s="871">
        <f t="shared" si="13"/>
        <v>2.0661157024793391</v>
      </c>
      <c r="AI262" s="871">
        <v>0</v>
      </c>
      <c r="AJ262" s="871"/>
      <c r="AK262" s="871"/>
      <c r="AL262" s="871"/>
      <c r="AM262" s="871"/>
      <c r="AN262" s="871"/>
      <c r="AO262" s="871"/>
      <c r="AP262" s="871"/>
    </row>
    <row r="263" spans="1:42" s="868" customFormat="1" ht="14">
      <c r="A263" s="866">
        <v>262</v>
      </c>
      <c r="B263" s="867" t="s">
        <v>2852</v>
      </c>
      <c r="C263" s="867" t="s">
        <v>40</v>
      </c>
      <c r="D263" s="867" t="s">
        <v>2450</v>
      </c>
      <c r="E263" s="867" t="s">
        <v>931</v>
      </c>
      <c r="F263" s="867" t="s">
        <v>892</v>
      </c>
      <c r="G263" s="868">
        <v>1</v>
      </c>
      <c r="H263" s="869">
        <v>0.2</v>
      </c>
      <c r="I263" s="869">
        <v>0.53</v>
      </c>
      <c r="J263" s="869">
        <f t="shared" si="14"/>
        <v>0.10600000000000001</v>
      </c>
      <c r="K263" s="869">
        <f t="shared" si="15"/>
        <v>1.3780000000000001E-2</v>
      </c>
      <c r="L263" s="868">
        <v>0</v>
      </c>
      <c r="M263" s="867" t="s">
        <v>47</v>
      </c>
      <c r="N263" s="866">
        <v>2050</v>
      </c>
      <c r="O263" s="867" t="s">
        <v>2587</v>
      </c>
      <c r="P263" s="870" t="s">
        <v>47</v>
      </c>
      <c r="Q263" s="867" t="s">
        <v>92</v>
      </c>
      <c r="R263" s="871">
        <v>0</v>
      </c>
      <c r="S263" s="871">
        <v>0</v>
      </c>
      <c r="T263" s="871">
        <v>0</v>
      </c>
      <c r="U263" s="871">
        <v>0</v>
      </c>
      <c r="V263" s="871">
        <v>0</v>
      </c>
      <c r="W263" s="871">
        <v>0</v>
      </c>
      <c r="X263" s="871">
        <v>0</v>
      </c>
      <c r="Y263" s="871">
        <v>0</v>
      </c>
      <c r="Z263" s="871">
        <v>0</v>
      </c>
      <c r="AA263" s="871">
        <v>0</v>
      </c>
      <c r="AB263" s="871">
        <v>0</v>
      </c>
      <c r="AC263" s="871">
        <v>0</v>
      </c>
      <c r="AD263" s="871">
        <v>2.5</v>
      </c>
      <c r="AE263" s="871">
        <v>0</v>
      </c>
      <c r="AF263" s="871">
        <v>0</v>
      </c>
      <c r="AG263" s="871">
        <v>0</v>
      </c>
      <c r="AH263" s="871">
        <f t="shared" si="13"/>
        <v>2.0661157024793391</v>
      </c>
      <c r="AI263" s="871">
        <v>0</v>
      </c>
      <c r="AJ263" s="871"/>
      <c r="AK263" s="871"/>
      <c r="AL263" s="871"/>
      <c r="AM263" s="871"/>
      <c r="AN263" s="871"/>
      <c r="AO263" s="871"/>
      <c r="AP263" s="871"/>
    </row>
    <row r="264" spans="1:42" s="868" customFormat="1" ht="14">
      <c r="A264" s="866">
        <v>263</v>
      </c>
      <c r="B264" s="867" t="s">
        <v>2853</v>
      </c>
      <c r="C264" s="867" t="s">
        <v>40</v>
      </c>
      <c r="D264" s="867" t="s">
        <v>2450</v>
      </c>
      <c r="E264" s="867" t="s">
        <v>931</v>
      </c>
      <c r="F264" s="867" t="s">
        <v>905</v>
      </c>
      <c r="G264" s="868">
        <v>1</v>
      </c>
      <c r="H264" s="869">
        <v>0.2</v>
      </c>
      <c r="I264" s="869">
        <v>0.53</v>
      </c>
      <c r="J264" s="869">
        <f t="shared" si="14"/>
        <v>0.10600000000000001</v>
      </c>
      <c r="K264" s="869">
        <f t="shared" si="15"/>
        <v>1.3780000000000001E-2</v>
      </c>
      <c r="L264" s="868">
        <v>0</v>
      </c>
      <c r="M264" s="867" t="s">
        <v>47</v>
      </c>
      <c r="N264" s="866">
        <v>2050</v>
      </c>
      <c r="O264" s="867" t="s">
        <v>2587</v>
      </c>
      <c r="P264" s="870" t="s">
        <v>47</v>
      </c>
      <c r="Q264" s="867" t="s">
        <v>92</v>
      </c>
      <c r="R264" s="871">
        <v>0</v>
      </c>
      <c r="S264" s="871">
        <v>0</v>
      </c>
      <c r="T264" s="871">
        <v>0</v>
      </c>
      <c r="U264" s="871">
        <v>0</v>
      </c>
      <c r="V264" s="871">
        <v>0</v>
      </c>
      <c r="W264" s="871">
        <v>0</v>
      </c>
      <c r="X264" s="871">
        <v>0</v>
      </c>
      <c r="Y264" s="871">
        <v>0</v>
      </c>
      <c r="Z264" s="871">
        <v>0</v>
      </c>
      <c r="AA264" s="871">
        <v>0</v>
      </c>
      <c r="AB264" s="871">
        <v>0</v>
      </c>
      <c r="AC264" s="871">
        <v>0</v>
      </c>
      <c r="AD264" s="871">
        <v>2.5</v>
      </c>
      <c r="AE264" s="871">
        <v>0</v>
      </c>
      <c r="AF264" s="871">
        <v>0</v>
      </c>
      <c r="AG264" s="871">
        <v>0</v>
      </c>
      <c r="AH264" s="871">
        <f t="shared" si="13"/>
        <v>2.0661157024793391</v>
      </c>
      <c r="AI264" s="871">
        <v>0</v>
      </c>
      <c r="AJ264" s="871"/>
      <c r="AK264" s="871"/>
      <c r="AL264" s="871"/>
      <c r="AM264" s="871"/>
      <c r="AN264" s="871"/>
      <c r="AO264" s="871"/>
      <c r="AP264" s="871"/>
    </row>
    <row r="265" spans="1:42" s="868" customFormat="1" ht="14">
      <c r="A265" s="866">
        <v>264</v>
      </c>
      <c r="B265" s="867" t="s">
        <v>2854</v>
      </c>
      <c r="C265" s="867" t="s">
        <v>40</v>
      </c>
      <c r="D265" s="867" t="s">
        <v>2450</v>
      </c>
      <c r="E265" s="867" t="s">
        <v>931</v>
      </c>
      <c r="F265" s="867" t="s">
        <v>791</v>
      </c>
      <c r="G265" s="868">
        <v>1</v>
      </c>
      <c r="H265" s="869">
        <v>0.2</v>
      </c>
      <c r="I265" s="869">
        <v>0.53</v>
      </c>
      <c r="J265" s="869">
        <f t="shared" si="14"/>
        <v>0.10600000000000001</v>
      </c>
      <c r="K265" s="869">
        <f t="shared" si="15"/>
        <v>1.3780000000000001E-2</v>
      </c>
      <c r="L265" s="868">
        <v>0</v>
      </c>
      <c r="M265" s="867" t="s">
        <v>47</v>
      </c>
      <c r="N265" s="866">
        <v>2050</v>
      </c>
      <c r="O265" s="867" t="s">
        <v>2587</v>
      </c>
      <c r="P265" s="870" t="s">
        <v>47</v>
      </c>
      <c r="Q265" s="867" t="s">
        <v>92</v>
      </c>
      <c r="R265" s="871">
        <v>0</v>
      </c>
      <c r="S265" s="871">
        <v>0</v>
      </c>
      <c r="T265" s="871">
        <v>0</v>
      </c>
      <c r="U265" s="871">
        <v>0</v>
      </c>
      <c r="V265" s="871">
        <v>0</v>
      </c>
      <c r="W265" s="871">
        <v>0</v>
      </c>
      <c r="X265" s="871">
        <v>0</v>
      </c>
      <c r="Y265" s="871">
        <v>0</v>
      </c>
      <c r="Z265" s="871">
        <v>0</v>
      </c>
      <c r="AA265" s="871">
        <v>0</v>
      </c>
      <c r="AB265" s="871">
        <v>0</v>
      </c>
      <c r="AC265" s="871">
        <v>0</v>
      </c>
      <c r="AD265" s="871">
        <v>2.5</v>
      </c>
      <c r="AE265" s="871">
        <v>0</v>
      </c>
      <c r="AF265" s="871">
        <v>0</v>
      </c>
      <c r="AG265" s="871">
        <v>0</v>
      </c>
      <c r="AH265" s="871">
        <f t="shared" si="13"/>
        <v>2.0661157024793391</v>
      </c>
      <c r="AI265" s="871">
        <v>0</v>
      </c>
      <c r="AJ265" s="871"/>
      <c r="AK265" s="871"/>
      <c r="AL265" s="871"/>
      <c r="AM265" s="871"/>
      <c r="AN265" s="871"/>
      <c r="AO265" s="871"/>
      <c r="AP265" s="871"/>
    </row>
    <row r="266" spans="1:42" s="868" customFormat="1" ht="14">
      <c r="A266" s="866">
        <v>265</v>
      </c>
      <c r="B266" s="867" t="s">
        <v>2855</v>
      </c>
      <c r="C266" s="867" t="s">
        <v>40</v>
      </c>
      <c r="D266" s="867" t="s">
        <v>2450</v>
      </c>
      <c r="E266" s="867" t="s">
        <v>931</v>
      </c>
      <c r="F266" s="867" t="s">
        <v>793</v>
      </c>
      <c r="G266" s="868">
        <v>1</v>
      </c>
      <c r="H266" s="869">
        <v>0.2</v>
      </c>
      <c r="I266" s="869">
        <v>0.53</v>
      </c>
      <c r="J266" s="869">
        <f t="shared" si="14"/>
        <v>0.10600000000000001</v>
      </c>
      <c r="K266" s="869">
        <f t="shared" si="15"/>
        <v>1.3780000000000001E-2</v>
      </c>
      <c r="L266" s="868">
        <v>0</v>
      </c>
      <c r="M266" s="867" t="s">
        <v>47</v>
      </c>
      <c r="N266" s="866">
        <v>2050</v>
      </c>
      <c r="O266" s="867" t="s">
        <v>2587</v>
      </c>
      <c r="P266" s="870" t="s">
        <v>47</v>
      </c>
      <c r="Q266" s="867" t="s">
        <v>92</v>
      </c>
      <c r="R266" s="871">
        <v>0</v>
      </c>
      <c r="S266" s="871">
        <v>0</v>
      </c>
      <c r="T266" s="871">
        <v>0</v>
      </c>
      <c r="U266" s="871">
        <v>0</v>
      </c>
      <c r="V266" s="871">
        <v>0</v>
      </c>
      <c r="W266" s="871">
        <v>0</v>
      </c>
      <c r="X266" s="871">
        <v>0</v>
      </c>
      <c r="Y266" s="871">
        <v>0</v>
      </c>
      <c r="Z266" s="871">
        <v>0</v>
      </c>
      <c r="AA266" s="871">
        <v>0</v>
      </c>
      <c r="AB266" s="871">
        <v>0</v>
      </c>
      <c r="AC266" s="871">
        <v>0</v>
      </c>
      <c r="AD266" s="871">
        <v>2.5</v>
      </c>
      <c r="AE266" s="871">
        <v>0</v>
      </c>
      <c r="AF266" s="871">
        <v>0</v>
      </c>
      <c r="AG266" s="871">
        <v>0</v>
      </c>
      <c r="AH266" s="871">
        <f t="shared" si="13"/>
        <v>2.0661157024793391</v>
      </c>
      <c r="AI266" s="871">
        <v>0</v>
      </c>
      <c r="AJ266" s="871"/>
      <c r="AK266" s="871"/>
      <c r="AL266" s="871"/>
      <c r="AM266" s="871"/>
      <c r="AN266" s="871"/>
      <c r="AO266" s="871"/>
      <c r="AP266" s="871"/>
    </row>
    <row r="267" spans="1:42" s="868" customFormat="1" ht="14">
      <c r="A267" s="866">
        <v>266</v>
      </c>
      <c r="B267" s="867" t="s">
        <v>2856</v>
      </c>
      <c r="C267" s="867" t="s">
        <v>40</v>
      </c>
      <c r="D267" s="867" t="s">
        <v>2450</v>
      </c>
      <c r="E267" s="867" t="s">
        <v>936</v>
      </c>
      <c r="F267" s="867" t="s">
        <v>793</v>
      </c>
      <c r="G267" s="868">
        <v>1</v>
      </c>
      <c r="H267" s="869">
        <v>0.2</v>
      </c>
      <c r="I267" s="869">
        <v>0.53</v>
      </c>
      <c r="J267" s="869">
        <f t="shared" si="14"/>
        <v>0.10600000000000001</v>
      </c>
      <c r="K267" s="869">
        <f t="shared" si="15"/>
        <v>1.3780000000000001E-2</v>
      </c>
      <c r="L267" s="868">
        <v>0</v>
      </c>
      <c r="M267" s="867" t="s">
        <v>47</v>
      </c>
      <c r="N267" s="866">
        <v>2050</v>
      </c>
      <c r="O267" s="867" t="s">
        <v>2587</v>
      </c>
      <c r="P267" s="870" t="s">
        <v>47</v>
      </c>
      <c r="Q267" s="867" t="s">
        <v>92</v>
      </c>
      <c r="R267" s="871">
        <v>0</v>
      </c>
      <c r="S267" s="871">
        <v>0</v>
      </c>
      <c r="T267" s="871">
        <v>0</v>
      </c>
      <c r="U267" s="871">
        <v>0</v>
      </c>
      <c r="V267" s="871">
        <v>0</v>
      </c>
      <c r="W267" s="871">
        <v>0</v>
      </c>
      <c r="X267" s="871">
        <v>0</v>
      </c>
      <c r="Y267" s="871">
        <v>0</v>
      </c>
      <c r="Z267" s="871">
        <v>0</v>
      </c>
      <c r="AA267" s="871">
        <v>0</v>
      </c>
      <c r="AB267" s="871">
        <v>0</v>
      </c>
      <c r="AC267" s="871">
        <v>0</v>
      </c>
      <c r="AD267" s="871">
        <v>2.5</v>
      </c>
      <c r="AE267" s="871">
        <v>0</v>
      </c>
      <c r="AF267" s="871">
        <v>0</v>
      </c>
      <c r="AG267" s="871">
        <v>0</v>
      </c>
      <c r="AH267" s="871">
        <f t="shared" si="13"/>
        <v>2.0661157024793391</v>
      </c>
      <c r="AI267" s="871">
        <v>0</v>
      </c>
      <c r="AJ267" s="871"/>
      <c r="AK267" s="871"/>
      <c r="AL267" s="871"/>
      <c r="AM267" s="871"/>
      <c r="AN267" s="871"/>
      <c r="AO267" s="871"/>
      <c r="AP267" s="871"/>
    </row>
    <row r="268" spans="1:42" s="868" customFormat="1" ht="14">
      <c r="A268" s="866">
        <v>267</v>
      </c>
      <c r="B268" s="867" t="s">
        <v>2857</v>
      </c>
      <c r="C268" s="867" t="s">
        <v>40</v>
      </c>
      <c r="D268" s="867" t="s">
        <v>2450</v>
      </c>
      <c r="E268" s="867" t="s">
        <v>936</v>
      </c>
      <c r="F268" s="867" t="s">
        <v>515</v>
      </c>
      <c r="G268" s="868">
        <v>1</v>
      </c>
      <c r="H268" s="869">
        <v>0.2</v>
      </c>
      <c r="I268" s="869">
        <v>0.53</v>
      </c>
      <c r="J268" s="869">
        <f t="shared" si="14"/>
        <v>0.10600000000000001</v>
      </c>
      <c r="K268" s="869">
        <f t="shared" si="15"/>
        <v>1.3780000000000001E-2</v>
      </c>
      <c r="L268" s="868">
        <v>0</v>
      </c>
      <c r="M268" s="867" t="s">
        <v>47</v>
      </c>
      <c r="N268" s="866">
        <v>2050</v>
      </c>
      <c r="O268" s="867" t="s">
        <v>2587</v>
      </c>
      <c r="P268" s="870" t="s">
        <v>47</v>
      </c>
      <c r="Q268" s="867" t="s">
        <v>92</v>
      </c>
      <c r="R268" s="871">
        <v>0</v>
      </c>
      <c r="S268" s="871">
        <v>0</v>
      </c>
      <c r="T268" s="871">
        <v>0</v>
      </c>
      <c r="U268" s="871">
        <v>0</v>
      </c>
      <c r="V268" s="871">
        <v>0</v>
      </c>
      <c r="W268" s="871">
        <v>0</v>
      </c>
      <c r="X268" s="871">
        <v>0</v>
      </c>
      <c r="Y268" s="871">
        <v>0</v>
      </c>
      <c r="Z268" s="871">
        <v>0</v>
      </c>
      <c r="AA268" s="871">
        <v>0</v>
      </c>
      <c r="AB268" s="871">
        <v>0</v>
      </c>
      <c r="AC268" s="871">
        <v>0</v>
      </c>
      <c r="AD268" s="871">
        <v>2.5</v>
      </c>
      <c r="AE268" s="871">
        <v>0</v>
      </c>
      <c r="AF268" s="871">
        <v>0</v>
      </c>
      <c r="AG268" s="871">
        <v>0</v>
      </c>
      <c r="AH268" s="871">
        <f t="shared" si="13"/>
        <v>2.0661157024793391</v>
      </c>
      <c r="AI268" s="871">
        <v>0</v>
      </c>
      <c r="AJ268" s="871"/>
      <c r="AK268" s="871"/>
      <c r="AL268" s="871"/>
      <c r="AM268" s="871"/>
      <c r="AN268" s="871"/>
      <c r="AO268" s="871"/>
      <c r="AP268" s="871"/>
    </row>
    <row r="269" spans="1:42" s="868" customFormat="1" ht="14">
      <c r="A269" s="866">
        <v>268</v>
      </c>
      <c r="B269" s="867" t="s">
        <v>2858</v>
      </c>
      <c r="C269" s="867" t="s">
        <v>40</v>
      </c>
      <c r="D269" s="867" t="s">
        <v>2450</v>
      </c>
      <c r="E269" s="867" t="s">
        <v>936</v>
      </c>
      <c r="F269" s="867" t="s">
        <v>892</v>
      </c>
      <c r="G269" s="868">
        <v>1</v>
      </c>
      <c r="H269" s="869">
        <v>0.2</v>
      </c>
      <c r="I269" s="869">
        <v>0.53</v>
      </c>
      <c r="J269" s="869">
        <f t="shared" si="14"/>
        <v>0.10600000000000001</v>
      </c>
      <c r="K269" s="869">
        <f t="shared" si="15"/>
        <v>1.3780000000000001E-2</v>
      </c>
      <c r="L269" s="868">
        <v>0</v>
      </c>
      <c r="M269" s="867" t="s">
        <v>47</v>
      </c>
      <c r="N269" s="866">
        <v>2050</v>
      </c>
      <c r="O269" s="867" t="s">
        <v>2587</v>
      </c>
      <c r="P269" s="870" t="s">
        <v>47</v>
      </c>
      <c r="Q269" s="867" t="s">
        <v>92</v>
      </c>
      <c r="R269" s="871">
        <v>0</v>
      </c>
      <c r="S269" s="871">
        <v>0</v>
      </c>
      <c r="T269" s="871">
        <v>0</v>
      </c>
      <c r="U269" s="871">
        <v>0</v>
      </c>
      <c r="V269" s="871">
        <v>0</v>
      </c>
      <c r="W269" s="871">
        <v>0</v>
      </c>
      <c r="X269" s="871">
        <v>0</v>
      </c>
      <c r="Y269" s="871">
        <v>0</v>
      </c>
      <c r="Z269" s="871">
        <v>0</v>
      </c>
      <c r="AA269" s="871">
        <v>0</v>
      </c>
      <c r="AB269" s="871">
        <v>0</v>
      </c>
      <c r="AC269" s="871">
        <v>0</v>
      </c>
      <c r="AD269" s="871">
        <v>2.5</v>
      </c>
      <c r="AE269" s="871">
        <v>0</v>
      </c>
      <c r="AF269" s="871">
        <v>0</v>
      </c>
      <c r="AG269" s="871">
        <v>0</v>
      </c>
      <c r="AH269" s="871">
        <f t="shared" si="13"/>
        <v>2.0661157024793391</v>
      </c>
      <c r="AI269" s="871">
        <v>0</v>
      </c>
      <c r="AJ269" s="871"/>
      <c r="AK269" s="871"/>
      <c r="AL269" s="871"/>
      <c r="AM269" s="871"/>
      <c r="AN269" s="871"/>
      <c r="AO269" s="871"/>
      <c r="AP269" s="871"/>
    </row>
    <row r="270" spans="1:42" s="868" customFormat="1" ht="14">
      <c r="A270" s="866">
        <v>269</v>
      </c>
      <c r="B270" s="867" t="s">
        <v>2859</v>
      </c>
      <c r="C270" s="867" t="s">
        <v>40</v>
      </c>
      <c r="D270" s="867" t="s">
        <v>2450</v>
      </c>
      <c r="E270" s="867" t="s">
        <v>936</v>
      </c>
      <c r="F270" s="867" t="s">
        <v>813</v>
      </c>
      <c r="G270" s="868">
        <v>1</v>
      </c>
      <c r="H270" s="869">
        <v>0.2</v>
      </c>
      <c r="I270" s="869">
        <v>0.53</v>
      </c>
      <c r="J270" s="869">
        <f t="shared" si="14"/>
        <v>0.10600000000000001</v>
      </c>
      <c r="K270" s="869">
        <f t="shared" si="15"/>
        <v>1.3780000000000001E-2</v>
      </c>
      <c r="L270" s="868">
        <v>0</v>
      </c>
      <c r="M270" s="867" t="s">
        <v>47</v>
      </c>
      <c r="N270" s="866">
        <v>2050</v>
      </c>
      <c r="O270" s="867" t="s">
        <v>2587</v>
      </c>
      <c r="P270" s="870" t="s">
        <v>47</v>
      </c>
      <c r="Q270" s="867" t="s">
        <v>92</v>
      </c>
      <c r="R270" s="871">
        <v>0</v>
      </c>
      <c r="S270" s="871">
        <v>0</v>
      </c>
      <c r="T270" s="871">
        <v>0</v>
      </c>
      <c r="U270" s="871">
        <v>0</v>
      </c>
      <c r="V270" s="871">
        <v>0</v>
      </c>
      <c r="W270" s="871">
        <v>0</v>
      </c>
      <c r="X270" s="871">
        <v>0</v>
      </c>
      <c r="Y270" s="871">
        <v>0</v>
      </c>
      <c r="Z270" s="871">
        <v>0</v>
      </c>
      <c r="AA270" s="871">
        <v>0</v>
      </c>
      <c r="AB270" s="871">
        <v>0</v>
      </c>
      <c r="AC270" s="871">
        <v>0</v>
      </c>
      <c r="AD270" s="871">
        <v>2.5</v>
      </c>
      <c r="AE270" s="871">
        <v>0</v>
      </c>
      <c r="AF270" s="871">
        <v>0</v>
      </c>
      <c r="AG270" s="871">
        <v>0</v>
      </c>
      <c r="AH270" s="871">
        <f t="shared" si="13"/>
        <v>2.0661157024793391</v>
      </c>
      <c r="AI270" s="871">
        <v>0</v>
      </c>
      <c r="AJ270" s="871"/>
      <c r="AK270" s="871"/>
      <c r="AL270" s="871"/>
      <c r="AM270" s="871"/>
      <c r="AN270" s="871"/>
      <c r="AO270" s="871"/>
      <c r="AP270" s="871"/>
    </row>
    <row r="271" spans="1:42" s="868" customFormat="1" ht="14">
      <c r="A271" s="866">
        <v>270</v>
      </c>
      <c r="B271" s="867" t="s">
        <v>2860</v>
      </c>
      <c r="C271" s="867" t="s">
        <v>40</v>
      </c>
      <c r="D271" s="867" t="s">
        <v>2450</v>
      </c>
      <c r="E271" s="867" t="s">
        <v>941</v>
      </c>
      <c r="F271" s="867" t="s">
        <v>793</v>
      </c>
      <c r="G271" s="868">
        <v>1</v>
      </c>
      <c r="H271" s="869">
        <v>0.2</v>
      </c>
      <c r="I271" s="869">
        <v>0.53</v>
      </c>
      <c r="J271" s="869">
        <f t="shared" si="14"/>
        <v>0.10600000000000001</v>
      </c>
      <c r="K271" s="869">
        <f t="shared" si="15"/>
        <v>1.3780000000000001E-2</v>
      </c>
      <c r="L271" s="868">
        <v>0</v>
      </c>
      <c r="M271" s="867" t="s">
        <v>47</v>
      </c>
      <c r="N271" s="866">
        <v>2050</v>
      </c>
      <c r="O271" s="867" t="s">
        <v>2587</v>
      </c>
      <c r="P271" s="870" t="s">
        <v>47</v>
      </c>
      <c r="Q271" s="867" t="s">
        <v>92</v>
      </c>
      <c r="R271" s="871">
        <v>0</v>
      </c>
      <c r="S271" s="871">
        <v>0</v>
      </c>
      <c r="T271" s="871">
        <v>0</v>
      </c>
      <c r="U271" s="871">
        <v>0</v>
      </c>
      <c r="V271" s="871">
        <v>0</v>
      </c>
      <c r="W271" s="871">
        <v>0</v>
      </c>
      <c r="X271" s="871">
        <v>0</v>
      </c>
      <c r="Y271" s="871">
        <v>0</v>
      </c>
      <c r="Z271" s="871">
        <v>0</v>
      </c>
      <c r="AA271" s="871">
        <v>0</v>
      </c>
      <c r="AB271" s="871">
        <v>0</v>
      </c>
      <c r="AC271" s="871">
        <v>0</v>
      </c>
      <c r="AD271" s="871">
        <v>2.5</v>
      </c>
      <c r="AE271" s="871">
        <v>0</v>
      </c>
      <c r="AF271" s="871">
        <v>0</v>
      </c>
      <c r="AG271" s="871">
        <v>0</v>
      </c>
      <c r="AH271" s="871">
        <f t="shared" si="13"/>
        <v>2.0661157024793391</v>
      </c>
      <c r="AI271" s="871">
        <v>0</v>
      </c>
      <c r="AJ271" s="871"/>
      <c r="AK271" s="871"/>
      <c r="AL271" s="871"/>
      <c r="AM271" s="871"/>
      <c r="AN271" s="871"/>
      <c r="AO271" s="871"/>
      <c r="AP271" s="871"/>
    </row>
    <row r="272" spans="1:42" s="868" customFormat="1" ht="14">
      <c r="A272" s="866">
        <v>271</v>
      </c>
      <c r="B272" s="867" t="s">
        <v>2861</v>
      </c>
      <c r="C272" s="867" t="s">
        <v>40</v>
      </c>
      <c r="D272" s="867" t="s">
        <v>2450</v>
      </c>
      <c r="E272" s="867" t="s">
        <v>941</v>
      </c>
      <c r="F272" s="867" t="s">
        <v>835</v>
      </c>
      <c r="G272" s="868">
        <v>1</v>
      </c>
      <c r="H272" s="869">
        <v>0.2</v>
      </c>
      <c r="I272" s="869">
        <v>0.53</v>
      </c>
      <c r="J272" s="869">
        <f t="shared" si="14"/>
        <v>0.10600000000000001</v>
      </c>
      <c r="K272" s="869">
        <f t="shared" si="15"/>
        <v>1.3780000000000001E-2</v>
      </c>
      <c r="L272" s="868">
        <v>0</v>
      </c>
      <c r="M272" s="867" t="s">
        <v>47</v>
      </c>
      <c r="N272" s="866">
        <v>2050</v>
      </c>
      <c r="O272" s="867" t="s">
        <v>2587</v>
      </c>
      <c r="P272" s="870" t="s">
        <v>47</v>
      </c>
      <c r="Q272" s="867" t="s">
        <v>92</v>
      </c>
      <c r="R272" s="871">
        <v>0</v>
      </c>
      <c r="S272" s="871">
        <v>0</v>
      </c>
      <c r="T272" s="871">
        <v>0</v>
      </c>
      <c r="U272" s="871">
        <v>0</v>
      </c>
      <c r="V272" s="871">
        <v>0</v>
      </c>
      <c r="W272" s="871">
        <v>0</v>
      </c>
      <c r="X272" s="871">
        <v>0</v>
      </c>
      <c r="Y272" s="871">
        <v>0</v>
      </c>
      <c r="Z272" s="871">
        <v>0</v>
      </c>
      <c r="AA272" s="871">
        <v>0</v>
      </c>
      <c r="AB272" s="871">
        <v>0</v>
      </c>
      <c r="AC272" s="871">
        <v>0</v>
      </c>
      <c r="AD272" s="871">
        <v>2.5</v>
      </c>
      <c r="AE272" s="871">
        <v>0</v>
      </c>
      <c r="AF272" s="871">
        <v>0</v>
      </c>
      <c r="AG272" s="871">
        <v>0</v>
      </c>
      <c r="AH272" s="871">
        <f t="shared" si="13"/>
        <v>2.0661157024793391</v>
      </c>
      <c r="AI272" s="871">
        <v>0</v>
      </c>
      <c r="AJ272" s="871"/>
      <c r="AK272" s="871"/>
      <c r="AL272" s="871"/>
      <c r="AM272" s="871"/>
      <c r="AN272" s="871"/>
      <c r="AO272" s="871"/>
      <c r="AP272" s="871"/>
    </row>
    <row r="273" spans="1:42" s="868" customFormat="1" ht="14">
      <c r="A273" s="866">
        <v>272</v>
      </c>
      <c r="B273" s="867" t="s">
        <v>2862</v>
      </c>
      <c r="C273" s="867" t="s">
        <v>40</v>
      </c>
      <c r="D273" s="867" t="s">
        <v>2450</v>
      </c>
      <c r="E273" s="867" t="s">
        <v>941</v>
      </c>
      <c r="F273" s="867" t="s">
        <v>944</v>
      </c>
      <c r="G273" s="868">
        <v>1</v>
      </c>
      <c r="H273" s="869">
        <v>0.2</v>
      </c>
      <c r="I273" s="869">
        <v>0.53</v>
      </c>
      <c r="J273" s="869">
        <f t="shared" si="14"/>
        <v>0.10600000000000001</v>
      </c>
      <c r="K273" s="869">
        <f t="shared" si="15"/>
        <v>1.3780000000000001E-2</v>
      </c>
      <c r="L273" s="868">
        <v>0</v>
      </c>
      <c r="M273" s="867" t="s">
        <v>47</v>
      </c>
      <c r="N273" s="866">
        <v>2050</v>
      </c>
      <c r="O273" s="867" t="s">
        <v>2587</v>
      </c>
      <c r="P273" s="870" t="s">
        <v>47</v>
      </c>
      <c r="Q273" s="867" t="s">
        <v>92</v>
      </c>
      <c r="R273" s="871">
        <v>0</v>
      </c>
      <c r="S273" s="871">
        <v>0</v>
      </c>
      <c r="T273" s="871">
        <v>0</v>
      </c>
      <c r="U273" s="871">
        <v>0</v>
      </c>
      <c r="V273" s="871">
        <v>0</v>
      </c>
      <c r="W273" s="871">
        <v>0</v>
      </c>
      <c r="X273" s="871">
        <v>0</v>
      </c>
      <c r="Y273" s="871">
        <v>0</v>
      </c>
      <c r="Z273" s="871">
        <v>0</v>
      </c>
      <c r="AA273" s="871">
        <v>0</v>
      </c>
      <c r="AB273" s="871">
        <v>0</v>
      </c>
      <c r="AC273" s="871">
        <v>0</v>
      </c>
      <c r="AD273" s="871">
        <v>2.5</v>
      </c>
      <c r="AE273" s="871">
        <v>0</v>
      </c>
      <c r="AF273" s="871">
        <v>0</v>
      </c>
      <c r="AG273" s="871">
        <v>0</v>
      </c>
      <c r="AH273" s="871">
        <f t="shared" si="13"/>
        <v>2.0661157024793391</v>
      </c>
      <c r="AI273" s="871">
        <v>0</v>
      </c>
      <c r="AJ273" s="871"/>
      <c r="AK273" s="871"/>
      <c r="AL273" s="871"/>
      <c r="AM273" s="871"/>
      <c r="AN273" s="871"/>
      <c r="AO273" s="871"/>
      <c r="AP273" s="871"/>
    </row>
    <row r="274" spans="1:42" s="868" customFormat="1" ht="14">
      <c r="A274" s="866">
        <v>273</v>
      </c>
      <c r="B274" s="867" t="s">
        <v>2863</v>
      </c>
      <c r="C274" s="867" t="s">
        <v>40</v>
      </c>
      <c r="D274" s="867" t="s">
        <v>2450</v>
      </c>
      <c r="E274" s="867" t="s">
        <v>941</v>
      </c>
      <c r="F274" s="867" t="s">
        <v>791</v>
      </c>
      <c r="G274" s="868">
        <v>1</v>
      </c>
      <c r="H274" s="869">
        <v>0.2</v>
      </c>
      <c r="I274" s="869">
        <v>0.53</v>
      </c>
      <c r="J274" s="869">
        <f t="shared" si="14"/>
        <v>0.10600000000000001</v>
      </c>
      <c r="K274" s="869">
        <f t="shared" si="15"/>
        <v>1.3780000000000001E-2</v>
      </c>
      <c r="L274" s="868">
        <v>0</v>
      </c>
      <c r="M274" s="867" t="s">
        <v>47</v>
      </c>
      <c r="N274" s="866">
        <v>2050</v>
      </c>
      <c r="O274" s="867" t="s">
        <v>2587</v>
      </c>
      <c r="P274" s="870" t="s">
        <v>47</v>
      </c>
      <c r="Q274" s="867" t="s">
        <v>92</v>
      </c>
      <c r="R274" s="871">
        <v>0</v>
      </c>
      <c r="S274" s="871">
        <v>0</v>
      </c>
      <c r="T274" s="871">
        <v>0</v>
      </c>
      <c r="U274" s="871">
        <v>0</v>
      </c>
      <c r="V274" s="871">
        <v>0</v>
      </c>
      <c r="W274" s="871">
        <v>0</v>
      </c>
      <c r="X274" s="871">
        <v>0</v>
      </c>
      <c r="Y274" s="871">
        <v>0</v>
      </c>
      <c r="Z274" s="871">
        <v>0</v>
      </c>
      <c r="AA274" s="871">
        <v>0</v>
      </c>
      <c r="AB274" s="871">
        <v>0</v>
      </c>
      <c r="AC274" s="871">
        <v>0</v>
      </c>
      <c r="AD274" s="871">
        <v>2.5</v>
      </c>
      <c r="AE274" s="871">
        <v>0</v>
      </c>
      <c r="AF274" s="871">
        <v>0</v>
      </c>
      <c r="AG274" s="871">
        <v>0</v>
      </c>
      <c r="AH274" s="871">
        <f t="shared" si="13"/>
        <v>2.0661157024793391</v>
      </c>
      <c r="AI274" s="871">
        <v>0</v>
      </c>
      <c r="AJ274" s="871"/>
      <c r="AK274" s="871"/>
      <c r="AL274" s="871"/>
      <c r="AM274" s="871"/>
      <c r="AN274" s="871"/>
      <c r="AO274" s="871"/>
      <c r="AP274" s="871"/>
    </row>
    <row r="275" spans="1:42" s="868" customFormat="1" ht="14">
      <c r="A275" s="866">
        <v>274</v>
      </c>
      <c r="B275" s="867" t="s">
        <v>2864</v>
      </c>
      <c r="C275" s="867" t="s">
        <v>40</v>
      </c>
      <c r="D275" s="867" t="s">
        <v>2450</v>
      </c>
      <c r="E275" s="867" t="s">
        <v>947</v>
      </c>
      <c r="F275" s="867" t="s">
        <v>515</v>
      </c>
      <c r="G275" s="868">
        <v>1</v>
      </c>
      <c r="H275" s="869">
        <v>0.2</v>
      </c>
      <c r="I275" s="869">
        <v>0.53</v>
      </c>
      <c r="J275" s="869">
        <f t="shared" si="14"/>
        <v>0.10600000000000001</v>
      </c>
      <c r="K275" s="869">
        <f t="shared" si="15"/>
        <v>1.3780000000000001E-2</v>
      </c>
      <c r="L275" s="868">
        <v>0</v>
      </c>
      <c r="M275" s="867" t="s">
        <v>47</v>
      </c>
      <c r="N275" s="866">
        <v>2050</v>
      </c>
      <c r="O275" s="867" t="s">
        <v>2383</v>
      </c>
      <c r="P275" s="870" t="s">
        <v>47</v>
      </c>
      <c r="Q275" s="867" t="s">
        <v>92</v>
      </c>
      <c r="R275" s="871">
        <v>0</v>
      </c>
      <c r="S275" s="871">
        <v>0</v>
      </c>
      <c r="T275" s="871">
        <v>0</v>
      </c>
      <c r="U275" s="871">
        <v>0</v>
      </c>
      <c r="V275" s="871">
        <v>0</v>
      </c>
      <c r="W275" s="871">
        <v>0</v>
      </c>
      <c r="X275" s="871">
        <v>0</v>
      </c>
      <c r="Y275" s="871">
        <v>0</v>
      </c>
      <c r="Z275" s="871">
        <v>0</v>
      </c>
      <c r="AA275" s="871">
        <v>0</v>
      </c>
      <c r="AB275" s="871">
        <v>0</v>
      </c>
      <c r="AC275" s="871">
        <v>0</v>
      </c>
      <c r="AD275" s="871">
        <v>2.5</v>
      </c>
      <c r="AE275" s="871">
        <v>0</v>
      </c>
      <c r="AF275" s="871">
        <v>0</v>
      </c>
      <c r="AG275" s="871">
        <v>0</v>
      </c>
      <c r="AH275" s="871">
        <f t="shared" si="13"/>
        <v>2.0661157024793391</v>
      </c>
      <c r="AI275" s="871">
        <v>0</v>
      </c>
      <c r="AJ275" s="871"/>
      <c r="AK275" s="871"/>
      <c r="AL275" s="871"/>
      <c r="AM275" s="871"/>
      <c r="AN275" s="871"/>
      <c r="AO275" s="871"/>
      <c r="AP275" s="871"/>
    </row>
    <row r="276" spans="1:42" s="868" customFormat="1" ht="14">
      <c r="A276" s="866">
        <v>275</v>
      </c>
      <c r="B276" s="867" t="s">
        <v>2865</v>
      </c>
      <c r="C276" s="867" t="s">
        <v>40</v>
      </c>
      <c r="D276" s="867" t="s">
        <v>2450</v>
      </c>
      <c r="E276" s="867" t="s">
        <v>947</v>
      </c>
      <c r="F276" s="867" t="s">
        <v>813</v>
      </c>
      <c r="G276" s="868">
        <v>1</v>
      </c>
      <c r="H276" s="869">
        <v>0.2</v>
      </c>
      <c r="I276" s="869">
        <v>0.53</v>
      </c>
      <c r="J276" s="869">
        <f t="shared" si="14"/>
        <v>0.10600000000000001</v>
      </c>
      <c r="K276" s="869">
        <f t="shared" si="15"/>
        <v>1.3780000000000001E-2</v>
      </c>
      <c r="L276" s="868">
        <v>0</v>
      </c>
      <c r="M276" s="867" t="s">
        <v>47</v>
      </c>
      <c r="N276" s="866">
        <v>2050</v>
      </c>
      <c r="O276" s="867" t="s">
        <v>2383</v>
      </c>
      <c r="P276" s="870" t="s">
        <v>47</v>
      </c>
      <c r="Q276" s="867" t="s">
        <v>92</v>
      </c>
      <c r="R276" s="871">
        <v>0</v>
      </c>
      <c r="S276" s="871">
        <v>0</v>
      </c>
      <c r="T276" s="871">
        <v>0</v>
      </c>
      <c r="U276" s="871">
        <v>0</v>
      </c>
      <c r="V276" s="871">
        <v>0</v>
      </c>
      <c r="W276" s="871">
        <v>0</v>
      </c>
      <c r="X276" s="871">
        <v>0</v>
      </c>
      <c r="Y276" s="871">
        <v>0</v>
      </c>
      <c r="Z276" s="871">
        <v>0</v>
      </c>
      <c r="AA276" s="871">
        <v>0</v>
      </c>
      <c r="AB276" s="871">
        <v>0</v>
      </c>
      <c r="AC276" s="871">
        <v>0</v>
      </c>
      <c r="AD276" s="871">
        <v>2.5</v>
      </c>
      <c r="AE276" s="871">
        <v>0</v>
      </c>
      <c r="AF276" s="871">
        <v>0</v>
      </c>
      <c r="AG276" s="871">
        <v>0</v>
      </c>
      <c r="AH276" s="871">
        <f t="shared" si="13"/>
        <v>2.0661157024793391</v>
      </c>
      <c r="AI276" s="871">
        <v>0</v>
      </c>
      <c r="AJ276" s="871"/>
      <c r="AK276" s="871"/>
      <c r="AL276" s="871"/>
      <c r="AM276" s="871"/>
      <c r="AN276" s="871"/>
      <c r="AO276" s="871"/>
      <c r="AP276" s="871"/>
    </row>
    <row r="277" spans="1:42" s="868" customFormat="1" ht="14">
      <c r="A277" s="866">
        <v>276</v>
      </c>
      <c r="B277" s="867" t="s">
        <v>2866</v>
      </c>
      <c r="C277" s="867" t="s">
        <v>40</v>
      </c>
      <c r="D277" s="867" t="s">
        <v>2450</v>
      </c>
      <c r="E277" s="867" t="s">
        <v>947</v>
      </c>
      <c r="F277" s="867" t="s">
        <v>913</v>
      </c>
      <c r="G277" s="868">
        <v>1</v>
      </c>
      <c r="H277" s="869">
        <v>0.2</v>
      </c>
      <c r="I277" s="869">
        <v>0.53</v>
      </c>
      <c r="J277" s="869">
        <f t="shared" si="14"/>
        <v>0.10600000000000001</v>
      </c>
      <c r="K277" s="869">
        <f t="shared" si="15"/>
        <v>1.3780000000000001E-2</v>
      </c>
      <c r="L277" s="868">
        <v>0</v>
      </c>
      <c r="M277" s="867" t="s">
        <v>47</v>
      </c>
      <c r="N277" s="866">
        <v>2050</v>
      </c>
      <c r="O277" s="867" t="s">
        <v>2383</v>
      </c>
      <c r="P277" s="870" t="s">
        <v>47</v>
      </c>
      <c r="Q277" s="867" t="s">
        <v>92</v>
      </c>
      <c r="R277" s="871">
        <v>0</v>
      </c>
      <c r="S277" s="871">
        <v>0</v>
      </c>
      <c r="T277" s="871">
        <v>0</v>
      </c>
      <c r="U277" s="871">
        <v>0</v>
      </c>
      <c r="V277" s="871">
        <v>0</v>
      </c>
      <c r="W277" s="871">
        <v>0</v>
      </c>
      <c r="X277" s="871">
        <v>0</v>
      </c>
      <c r="Y277" s="871">
        <v>0</v>
      </c>
      <c r="Z277" s="871">
        <v>0</v>
      </c>
      <c r="AA277" s="871">
        <v>0</v>
      </c>
      <c r="AB277" s="871">
        <v>0</v>
      </c>
      <c r="AC277" s="871">
        <v>0</v>
      </c>
      <c r="AD277" s="871">
        <v>2.5</v>
      </c>
      <c r="AE277" s="871">
        <v>0</v>
      </c>
      <c r="AF277" s="871">
        <v>0</v>
      </c>
      <c r="AG277" s="871">
        <v>0</v>
      </c>
      <c r="AH277" s="871">
        <f t="shared" si="13"/>
        <v>2.0661157024793391</v>
      </c>
      <c r="AI277" s="871">
        <v>0</v>
      </c>
      <c r="AJ277" s="871"/>
      <c r="AK277" s="871"/>
      <c r="AL277" s="871"/>
      <c r="AM277" s="871"/>
      <c r="AN277" s="871"/>
      <c r="AO277" s="871"/>
      <c r="AP277" s="871"/>
    </row>
    <row r="278" spans="1:42" s="868" customFormat="1" ht="14">
      <c r="A278" s="866">
        <v>277</v>
      </c>
      <c r="B278" s="867" t="s">
        <v>2867</v>
      </c>
      <c r="C278" s="867" t="s">
        <v>40</v>
      </c>
      <c r="D278" s="867" t="s">
        <v>2450</v>
      </c>
      <c r="E278" s="867" t="s">
        <v>951</v>
      </c>
      <c r="F278" s="867" t="s">
        <v>835</v>
      </c>
      <c r="G278" s="868">
        <v>1</v>
      </c>
      <c r="H278" s="869">
        <v>0.2</v>
      </c>
      <c r="I278" s="869">
        <v>0.53</v>
      </c>
      <c r="J278" s="869">
        <f t="shared" si="14"/>
        <v>0.10600000000000001</v>
      </c>
      <c r="K278" s="869">
        <f t="shared" si="15"/>
        <v>1.3780000000000001E-2</v>
      </c>
      <c r="L278" s="868">
        <v>0</v>
      </c>
      <c r="M278" s="867" t="s">
        <v>47</v>
      </c>
      <c r="N278" s="866">
        <v>2050</v>
      </c>
      <c r="O278" s="867" t="s">
        <v>2383</v>
      </c>
      <c r="P278" s="870" t="s">
        <v>47</v>
      </c>
      <c r="Q278" s="867" t="s">
        <v>92</v>
      </c>
      <c r="R278" s="871">
        <v>0</v>
      </c>
      <c r="S278" s="871">
        <v>0</v>
      </c>
      <c r="T278" s="871">
        <v>0</v>
      </c>
      <c r="U278" s="871">
        <v>0</v>
      </c>
      <c r="V278" s="871">
        <v>0</v>
      </c>
      <c r="W278" s="871">
        <v>0</v>
      </c>
      <c r="X278" s="871">
        <v>0</v>
      </c>
      <c r="Y278" s="871">
        <v>0</v>
      </c>
      <c r="Z278" s="871">
        <v>0</v>
      </c>
      <c r="AA278" s="871">
        <v>0</v>
      </c>
      <c r="AB278" s="871">
        <v>0</v>
      </c>
      <c r="AC278" s="871">
        <v>0</v>
      </c>
      <c r="AD278" s="871">
        <v>2.5</v>
      </c>
      <c r="AE278" s="871">
        <v>0</v>
      </c>
      <c r="AF278" s="871">
        <v>0</v>
      </c>
      <c r="AG278" s="871">
        <v>0</v>
      </c>
      <c r="AH278" s="871">
        <f t="shared" ref="AH278:AH296" si="16">2.5/1.21</f>
        <v>2.0661157024793391</v>
      </c>
      <c r="AI278" s="871">
        <v>0</v>
      </c>
      <c r="AJ278" s="871"/>
      <c r="AK278" s="871"/>
      <c r="AL278" s="871"/>
      <c r="AM278" s="871"/>
      <c r="AN278" s="871"/>
      <c r="AO278" s="871"/>
      <c r="AP278" s="871"/>
    </row>
    <row r="279" spans="1:42" s="868" customFormat="1" ht="14">
      <c r="A279" s="866">
        <v>278</v>
      </c>
      <c r="B279" s="867" t="s">
        <v>2868</v>
      </c>
      <c r="C279" s="867" t="s">
        <v>40</v>
      </c>
      <c r="D279" s="867" t="s">
        <v>2450</v>
      </c>
      <c r="E279" s="867" t="s">
        <v>953</v>
      </c>
      <c r="F279" s="867" t="s">
        <v>835</v>
      </c>
      <c r="G279" s="868">
        <v>1</v>
      </c>
      <c r="H279" s="869">
        <v>0.2</v>
      </c>
      <c r="I279" s="869">
        <v>0.53</v>
      </c>
      <c r="J279" s="869">
        <f t="shared" ref="J279:J298" si="17">H279*I279*G279</f>
        <v>0.10600000000000001</v>
      </c>
      <c r="K279" s="869">
        <f t="shared" ref="K279:K298" si="18">J279*130/1000</f>
        <v>1.3780000000000001E-2</v>
      </c>
      <c r="L279" s="868">
        <v>0</v>
      </c>
      <c r="M279" s="867" t="s">
        <v>47</v>
      </c>
      <c r="N279" s="866">
        <v>2050</v>
      </c>
      <c r="O279" s="867" t="s">
        <v>2587</v>
      </c>
      <c r="P279" s="870" t="s">
        <v>47</v>
      </c>
      <c r="Q279" s="867" t="s">
        <v>92</v>
      </c>
      <c r="R279" s="871">
        <v>0</v>
      </c>
      <c r="S279" s="871">
        <v>0</v>
      </c>
      <c r="T279" s="871">
        <v>0</v>
      </c>
      <c r="U279" s="871">
        <v>0</v>
      </c>
      <c r="V279" s="871">
        <v>0</v>
      </c>
      <c r="W279" s="871">
        <v>0</v>
      </c>
      <c r="X279" s="871">
        <v>0</v>
      </c>
      <c r="Y279" s="871">
        <v>0</v>
      </c>
      <c r="Z279" s="871">
        <v>0</v>
      </c>
      <c r="AA279" s="871">
        <v>0</v>
      </c>
      <c r="AB279" s="871">
        <v>0</v>
      </c>
      <c r="AC279" s="871">
        <v>0</v>
      </c>
      <c r="AD279" s="871">
        <v>2.5</v>
      </c>
      <c r="AE279" s="871">
        <v>0</v>
      </c>
      <c r="AF279" s="871">
        <v>0</v>
      </c>
      <c r="AG279" s="871">
        <v>0</v>
      </c>
      <c r="AH279" s="871">
        <f t="shared" si="16"/>
        <v>2.0661157024793391</v>
      </c>
      <c r="AI279" s="871">
        <v>0</v>
      </c>
      <c r="AJ279" s="871"/>
      <c r="AK279" s="871"/>
      <c r="AL279" s="871"/>
      <c r="AM279" s="871"/>
      <c r="AN279" s="871"/>
      <c r="AO279" s="871"/>
      <c r="AP279" s="871"/>
    </row>
    <row r="280" spans="1:42" s="868" customFormat="1" ht="14">
      <c r="A280" s="866">
        <v>279</v>
      </c>
      <c r="B280" s="867" t="s">
        <v>2869</v>
      </c>
      <c r="C280" s="867" t="s">
        <v>40</v>
      </c>
      <c r="D280" s="867" t="s">
        <v>2450</v>
      </c>
      <c r="E280" s="867" t="s">
        <v>953</v>
      </c>
      <c r="F280" s="867" t="s">
        <v>793</v>
      </c>
      <c r="G280" s="868">
        <v>1</v>
      </c>
      <c r="H280" s="869">
        <v>0.2</v>
      </c>
      <c r="I280" s="869">
        <v>0.53</v>
      </c>
      <c r="J280" s="869">
        <f t="shared" si="17"/>
        <v>0.10600000000000001</v>
      </c>
      <c r="K280" s="869">
        <f t="shared" si="18"/>
        <v>1.3780000000000001E-2</v>
      </c>
      <c r="L280" s="868">
        <v>0</v>
      </c>
      <c r="M280" s="867" t="s">
        <v>47</v>
      </c>
      <c r="N280" s="866">
        <v>2050</v>
      </c>
      <c r="O280" s="867" t="s">
        <v>2587</v>
      </c>
      <c r="P280" s="870" t="s">
        <v>47</v>
      </c>
      <c r="Q280" s="867" t="s">
        <v>92</v>
      </c>
      <c r="R280" s="871">
        <v>0</v>
      </c>
      <c r="S280" s="871">
        <v>0</v>
      </c>
      <c r="T280" s="871">
        <v>0</v>
      </c>
      <c r="U280" s="871">
        <v>0</v>
      </c>
      <c r="V280" s="871">
        <v>0</v>
      </c>
      <c r="W280" s="871">
        <v>0</v>
      </c>
      <c r="X280" s="871">
        <v>0</v>
      </c>
      <c r="Y280" s="871">
        <v>0</v>
      </c>
      <c r="Z280" s="871">
        <v>0</v>
      </c>
      <c r="AA280" s="871">
        <v>0</v>
      </c>
      <c r="AB280" s="871">
        <v>0</v>
      </c>
      <c r="AC280" s="871">
        <v>0</v>
      </c>
      <c r="AD280" s="871">
        <v>2.5</v>
      </c>
      <c r="AE280" s="871">
        <v>0</v>
      </c>
      <c r="AF280" s="871">
        <v>0</v>
      </c>
      <c r="AG280" s="871">
        <v>0</v>
      </c>
      <c r="AH280" s="871">
        <f t="shared" si="16"/>
        <v>2.0661157024793391</v>
      </c>
      <c r="AI280" s="871">
        <v>0</v>
      </c>
      <c r="AJ280" s="871"/>
      <c r="AK280" s="871"/>
      <c r="AL280" s="871"/>
      <c r="AM280" s="871"/>
      <c r="AN280" s="871"/>
      <c r="AO280" s="871"/>
      <c r="AP280" s="871"/>
    </row>
    <row r="281" spans="1:42" s="868" customFormat="1" ht="14">
      <c r="A281" s="866">
        <v>280</v>
      </c>
      <c r="B281" s="867" t="s">
        <v>2870</v>
      </c>
      <c r="C281" s="867" t="s">
        <v>40</v>
      </c>
      <c r="D281" s="867" t="s">
        <v>2450</v>
      </c>
      <c r="E281" s="867" t="s">
        <v>953</v>
      </c>
      <c r="F281" s="867" t="s">
        <v>956</v>
      </c>
      <c r="G281" s="868">
        <v>1</v>
      </c>
      <c r="H281" s="869">
        <v>0.2</v>
      </c>
      <c r="I281" s="869">
        <v>0.53</v>
      </c>
      <c r="J281" s="869">
        <f t="shared" si="17"/>
        <v>0.10600000000000001</v>
      </c>
      <c r="K281" s="869">
        <f t="shared" si="18"/>
        <v>1.3780000000000001E-2</v>
      </c>
      <c r="L281" s="868">
        <v>0</v>
      </c>
      <c r="M281" s="867" t="s">
        <v>47</v>
      </c>
      <c r="N281" s="866">
        <v>2050</v>
      </c>
      <c r="O281" s="867" t="s">
        <v>2587</v>
      </c>
      <c r="P281" s="870" t="s">
        <v>47</v>
      </c>
      <c r="Q281" s="867" t="s">
        <v>92</v>
      </c>
      <c r="R281" s="871">
        <v>0</v>
      </c>
      <c r="S281" s="871">
        <v>0</v>
      </c>
      <c r="T281" s="871">
        <v>0</v>
      </c>
      <c r="U281" s="871">
        <v>0</v>
      </c>
      <c r="V281" s="871">
        <v>0</v>
      </c>
      <c r="W281" s="871">
        <v>0</v>
      </c>
      <c r="X281" s="871">
        <v>0</v>
      </c>
      <c r="Y281" s="871">
        <v>0</v>
      </c>
      <c r="Z281" s="871">
        <v>0</v>
      </c>
      <c r="AA281" s="871">
        <v>0</v>
      </c>
      <c r="AB281" s="871">
        <v>0</v>
      </c>
      <c r="AC281" s="871">
        <v>0</v>
      </c>
      <c r="AD281" s="871">
        <v>2.5</v>
      </c>
      <c r="AE281" s="871">
        <v>0</v>
      </c>
      <c r="AF281" s="871">
        <v>0</v>
      </c>
      <c r="AG281" s="871">
        <v>0</v>
      </c>
      <c r="AH281" s="871">
        <f t="shared" si="16"/>
        <v>2.0661157024793391</v>
      </c>
      <c r="AI281" s="871">
        <v>0</v>
      </c>
      <c r="AJ281" s="871"/>
      <c r="AK281" s="871"/>
      <c r="AL281" s="871"/>
      <c r="AM281" s="871"/>
      <c r="AN281" s="871"/>
      <c r="AO281" s="871"/>
      <c r="AP281" s="871"/>
    </row>
    <row r="282" spans="1:42" s="868" customFormat="1" ht="14">
      <c r="A282" s="866">
        <v>281</v>
      </c>
      <c r="B282" s="867" t="s">
        <v>2871</v>
      </c>
      <c r="C282" s="867" t="s">
        <v>40</v>
      </c>
      <c r="D282" s="867" t="s">
        <v>2450</v>
      </c>
      <c r="E282" s="867" t="s">
        <v>953</v>
      </c>
      <c r="F282" s="867" t="s">
        <v>813</v>
      </c>
      <c r="G282" s="868">
        <v>1</v>
      </c>
      <c r="H282" s="869">
        <v>0.2</v>
      </c>
      <c r="I282" s="869">
        <v>0.53</v>
      </c>
      <c r="J282" s="869">
        <f t="shared" si="17"/>
        <v>0.10600000000000001</v>
      </c>
      <c r="K282" s="869">
        <f t="shared" si="18"/>
        <v>1.3780000000000001E-2</v>
      </c>
      <c r="L282" s="868">
        <v>0</v>
      </c>
      <c r="M282" s="867" t="s">
        <v>47</v>
      </c>
      <c r="N282" s="866">
        <v>2050</v>
      </c>
      <c r="O282" s="867" t="s">
        <v>2587</v>
      </c>
      <c r="P282" s="870" t="s">
        <v>47</v>
      </c>
      <c r="Q282" s="867" t="s">
        <v>92</v>
      </c>
      <c r="R282" s="871">
        <v>0</v>
      </c>
      <c r="S282" s="871">
        <v>0</v>
      </c>
      <c r="T282" s="871">
        <v>0</v>
      </c>
      <c r="U282" s="871">
        <v>0</v>
      </c>
      <c r="V282" s="871">
        <v>0</v>
      </c>
      <c r="W282" s="871">
        <v>0</v>
      </c>
      <c r="X282" s="871">
        <v>0</v>
      </c>
      <c r="Y282" s="871">
        <v>0</v>
      </c>
      <c r="Z282" s="871">
        <v>0</v>
      </c>
      <c r="AA282" s="871">
        <v>0</v>
      </c>
      <c r="AB282" s="871">
        <v>0</v>
      </c>
      <c r="AC282" s="871">
        <v>0</v>
      </c>
      <c r="AD282" s="871">
        <v>2.5</v>
      </c>
      <c r="AE282" s="871">
        <v>0</v>
      </c>
      <c r="AF282" s="871">
        <v>0</v>
      </c>
      <c r="AG282" s="871">
        <v>0</v>
      </c>
      <c r="AH282" s="871">
        <f t="shared" si="16"/>
        <v>2.0661157024793391</v>
      </c>
      <c r="AI282" s="871">
        <v>0</v>
      </c>
      <c r="AJ282" s="871"/>
      <c r="AK282" s="871"/>
      <c r="AL282" s="871"/>
      <c r="AM282" s="871"/>
      <c r="AN282" s="871"/>
      <c r="AO282" s="871"/>
      <c r="AP282" s="871"/>
    </row>
    <row r="283" spans="1:42" s="868" customFormat="1" ht="14">
      <c r="A283" s="866">
        <v>282</v>
      </c>
      <c r="B283" s="867" t="s">
        <v>2872</v>
      </c>
      <c r="C283" s="867" t="s">
        <v>40</v>
      </c>
      <c r="D283" s="867" t="s">
        <v>2450</v>
      </c>
      <c r="E283" s="867" t="s">
        <v>959</v>
      </c>
      <c r="F283" s="867" t="s">
        <v>813</v>
      </c>
      <c r="G283" s="868">
        <v>1</v>
      </c>
      <c r="H283" s="869">
        <v>0.2</v>
      </c>
      <c r="I283" s="869">
        <v>0.53</v>
      </c>
      <c r="J283" s="869">
        <f t="shared" si="17"/>
        <v>0.10600000000000001</v>
      </c>
      <c r="K283" s="869">
        <f t="shared" si="18"/>
        <v>1.3780000000000001E-2</v>
      </c>
      <c r="L283" s="868">
        <v>0</v>
      </c>
      <c r="M283" s="867" t="s">
        <v>47</v>
      </c>
      <c r="N283" s="866">
        <v>2050</v>
      </c>
      <c r="O283" s="867" t="s">
        <v>2383</v>
      </c>
      <c r="P283" s="870" t="s">
        <v>47</v>
      </c>
      <c r="Q283" s="867" t="s">
        <v>92</v>
      </c>
      <c r="R283" s="871">
        <v>0</v>
      </c>
      <c r="S283" s="871">
        <v>0</v>
      </c>
      <c r="T283" s="871">
        <v>0</v>
      </c>
      <c r="U283" s="871">
        <v>0</v>
      </c>
      <c r="V283" s="871">
        <v>0</v>
      </c>
      <c r="W283" s="871">
        <v>0</v>
      </c>
      <c r="X283" s="871">
        <v>0</v>
      </c>
      <c r="Y283" s="871">
        <v>0</v>
      </c>
      <c r="Z283" s="871">
        <v>0</v>
      </c>
      <c r="AA283" s="871">
        <v>0</v>
      </c>
      <c r="AB283" s="871">
        <v>0</v>
      </c>
      <c r="AC283" s="871">
        <v>0</v>
      </c>
      <c r="AD283" s="871">
        <v>2.5</v>
      </c>
      <c r="AE283" s="871">
        <v>0</v>
      </c>
      <c r="AF283" s="871">
        <v>0</v>
      </c>
      <c r="AG283" s="871">
        <v>0</v>
      </c>
      <c r="AH283" s="871">
        <f t="shared" si="16"/>
        <v>2.0661157024793391</v>
      </c>
      <c r="AI283" s="871">
        <v>0</v>
      </c>
      <c r="AJ283" s="871"/>
      <c r="AK283" s="871"/>
      <c r="AL283" s="871"/>
      <c r="AM283" s="871"/>
      <c r="AN283" s="871"/>
      <c r="AO283" s="871"/>
      <c r="AP283" s="871"/>
    </row>
    <row r="284" spans="1:42" s="868" customFormat="1" ht="14">
      <c r="A284" s="866">
        <v>283</v>
      </c>
      <c r="B284" s="867" t="s">
        <v>2873</v>
      </c>
      <c r="C284" s="867" t="s">
        <v>40</v>
      </c>
      <c r="D284" s="867" t="s">
        <v>2450</v>
      </c>
      <c r="E284" s="867" t="s">
        <v>959</v>
      </c>
      <c r="F284" s="867" t="s">
        <v>913</v>
      </c>
      <c r="G284" s="868">
        <v>1</v>
      </c>
      <c r="H284" s="869">
        <v>0.2</v>
      </c>
      <c r="I284" s="869">
        <v>0.53</v>
      </c>
      <c r="J284" s="869">
        <f t="shared" si="17"/>
        <v>0.10600000000000001</v>
      </c>
      <c r="K284" s="869">
        <f t="shared" si="18"/>
        <v>1.3780000000000001E-2</v>
      </c>
      <c r="L284" s="868">
        <v>0</v>
      </c>
      <c r="M284" s="867" t="s">
        <v>47</v>
      </c>
      <c r="N284" s="866">
        <v>2050</v>
      </c>
      <c r="O284" s="867" t="s">
        <v>2383</v>
      </c>
      <c r="P284" s="870" t="s">
        <v>47</v>
      </c>
      <c r="Q284" s="867" t="s">
        <v>92</v>
      </c>
      <c r="R284" s="871">
        <v>0</v>
      </c>
      <c r="S284" s="871">
        <v>0</v>
      </c>
      <c r="T284" s="871">
        <v>0</v>
      </c>
      <c r="U284" s="871">
        <v>0</v>
      </c>
      <c r="V284" s="871">
        <v>0</v>
      </c>
      <c r="W284" s="871">
        <v>0</v>
      </c>
      <c r="X284" s="871">
        <v>0</v>
      </c>
      <c r="Y284" s="871">
        <v>0</v>
      </c>
      <c r="Z284" s="871">
        <v>0</v>
      </c>
      <c r="AA284" s="871">
        <v>0</v>
      </c>
      <c r="AB284" s="871">
        <v>0</v>
      </c>
      <c r="AC284" s="871">
        <v>0</v>
      </c>
      <c r="AD284" s="871">
        <v>2.5</v>
      </c>
      <c r="AE284" s="871">
        <v>0</v>
      </c>
      <c r="AF284" s="871">
        <v>0</v>
      </c>
      <c r="AG284" s="871">
        <v>0</v>
      </c>
      <c r="AH284" s="871">
        <f t="shared" si="16"/>
        <v>2.0661157024793391</v>
      </c>
      <c r="AI284" s="871">
        <v>0</v>
      </c>
      <c r="AJ284" s="871"/>
      <c r="AK284" s="871"/>
      <c r="AL284" s="871"/>
      <c r="AM284" s="871"/>
      <c r="AN284" s="871"/>
      <c r="AO284" s="871"/>
      <c r="AP284" s="871"/>
    </row>
    <row r="285" spans="1:42" s="868" customFormat="1" ht="14">
      <c r="A285" s="866">
        <v>284</v>
      </c>
      <c r="B285" s="867" t="s">
        <v>2874</v>
      </c>
      <c r="C285" s="867" t="s">
        <v>40</v>
      </c>
      <c r="D285" s="867" t="s">
        <v>2450</v>
      </c>
      <c r="E285" s="867" t="s">
        <v>959</v>
      </c>
      <c r="F285" s="867" t="s">
        <v>515</v>
      </c>
      <c r="G285" s="868">
        <v>1</v>
      </c>
      <c r="H285" s="869">
        <v>0.2</v>
      </c>
      <c r="I285" s="869">
        <v>0.53</v>
      </c>
      <c r="J285" s="869">
        <f t="shared" si="17"/>
        <v>0.10600000000000001</v>
      </c>
      <c r="K285" s="869">
        <f t="shared" si="18"/>
        <v>1.3780000000000001E-2</v>
      </c>
      <c r="L285" s="868">
        <v>0</v>
      </c>
      <c r="M285" s="867" t="s">
        <v>47</v>
      </c>
      <c r="N285" s="866">
        <v>2050</v>
      </c>
      <c r="O285" s="867" t="s">
        <v>2383</v>
      </c>
      <c r="P285" s="870" t="s">
        <v>47</v>
      </c>
      <c r="Q285" s="867" t="s">
        <v>92</v>
      </c>
      <c r="R285" s="871">
        <v>0</v>
      </c>
      <c r="S285" s="871">
        <v>0</v>
      </c>
      <c r="T285" s="871">
        <v>0</v>
      </c>
      <c r="U285" s="871">
        <v>0</v>
      </c>
      <c r="V285" s="871">
        <v>0</v>
      </c>
      <c r="W285" s="871">
        <v>0</v>
      </c>
      <c r="X285" s="871">
        <v>0</v>
      </c>
      <c r="Y285" s="871">
        <v>0</v>
      </c>
      <c r="Z285" s="871">
        <v>0</v>
      </c>
      <c r="AA285" s="871">
        <v>0</v>
      </c>
      <c r="AB285" s="871">
        <v>0</v>
      </c>
      <c r="AC285" s="871">
        <v>0</v>
      </c>
      <c r="AD285" s="871">
        <v>2.5</v>
      </c>
      <c r="AE285" s="871">
        <v>0</v>
      </c>
      <c r="AF285" s="871">
        <v>0</v>
      </c>
      <c r="AG285" s="871">
        <v>0</v>
      </c>
      <c r="AH285" s="871">
        <f t="shared" si="16"/>
        <v>2.0661157024793391</v>
      </c>
      <c r="AI285" s="871">
        <v>0</v>
      </c>
      <c r="AJ285" s="871"/>
      <c r="AK285" s="871"/>
      <c r="AL285" s="871"/>
      <c r="AM285" s="871"/>
      <c r="AN285" s="871"/>
      <c r="AO285" s="871"/>
      <c r="AP285" s="871"/>
    </row>
    <row r="286" spans="1:42" s="868" customFormat="1" ht="14">
      <c r="A286" s="866">
        <v>285</v>
      </c>
      <c r="B286" s="867" t="s">
        <v>2875</v>
      </c>
      <c r="C286" s="867" t="s">
        <v>40</v>
      </c>
      <c r="D286" s="867" t="s">
        <v>2450</v>
      </c>
      <c r="E286" s="867" t="s">
        <v>959</v>
      </c>
      <c r="F286" s="867" t="s">
        <v>892</v>
      </c>
      <c r="G286" s="868">
        <v>1</v>
      </c>
      <c r="H286" s="869">
        <v>0.2</v>
      </c>
      <c r="I286" s="869">
        <v>0.53</v>
      </c>
      <c r="J286" s="869">
        <f t="shared" si="17"/>
        <v>0.10600000000000001</v>
      </c>
      <c r="K286" s="869">
        <f t="shared" si="18"/>
        <v>1.3780000000000001E-2</v>
      </c>
      <c r="L286" s="868">
        <v>0</v>
      </c>
      <c r="M286" s="867" t="s">
        <v>47</v>
      </c>
      <c r="N286" s="866">
        <v>2050</v>
      </c>
      <c r="O286" s="867" t="s">
        <v>2383</v>
      </c>
      <c r="P286" s="870" t="s">
        <v>47</v>
      </c>
      <c r="Q286" s="867" t="s">
        <v>92</v>
      </c>
      <c r="R286" s="871">
        <v>0</v>
      </c>
      <c r="S286" s="871">
        <v>0</v>
      </c>
      <c r="T286" s="871">
        <v>0</v>
      </c>
      <c r="U286" s="871">
        <v>0</v>
      </c>
      <c r="V286" s="871">
        <v>0</v>
      </c>
      <c r="W286" s="871">
        <v>0</v>
      </c>
      <c r="X286" s="871">
        <v>0</v>
      </c>
      <c r="Y286" s="871">
        <v>0</v>
      </c>
      <c r="Z286" s="871">
        <v>0</v>
      </c>
      <c r="AA286" s="871">
        <v>0</v>
      </c>
      <c r="AB286" s="871">
        <v>0</v>
      </c>
      <c r="AC286" s="871">
        <v>0</v>
      </c>
      <c r="AD286" s="871">
        <v>2.5</v>
      </c>
      <c r="AE286" s="871">
        <v>0</v>
      </c>
      <c r="AF286" s="871">
        <v>0</v>
      </c>
      <c r="AG286" s="871">
        <v>0</v>
      </c>
      <c r="AH286" s="871">
        <f t="shared" si="16"/>
        <v>2.0661157024793391</v>
      </c>
      <c r="AI286" s="871">
        <v>0</v>
      </c>
      <c r="AJ286" s="871"/>
      <c r="AK286" s="871"/>
      <c r="AL286" s="871"/>
      <c r="AM286" s="871"/>
      <c r="AN286" s="871"/>
      <c r="AO286" s="871"/>
      <c r="AP286" s="871"/>
    </row>
    <row r="287" spans="1:42" s="868" customFormat="1" ht="14">
      <c r="A287" s="866">
        <v>286</v>
      </c>
      <c r="B287" s="867" t="s">
        <v>2876</v>
      </c>
      <c r="C287" s="867" t="s">
        <v>40</v>
      </c>
      <c r="D287" s="867" t="s">
        <v>2450</v>
      </c>
      <c r="E287" s="867" t="s">
        <v>964</v>
      </c>
      <c r="F287" s="867" t="s">
        <v>863</v>
      </c>
      <c r="G287" s="868">
        <v>1</v>
      </c>
      <c r="H287" s="869">
        <v>0.2</v>
      </c>
      <c r="I287" s="869">
        <v>0.53</v>
      </c>
      <c r="J287" s="869">
        <f t="shared" si="17"/>
        <v>0.10600000000000001</v>
      </c>
      <c r="K287" s="869">
        <f t="shared" si="18"/>
        <v>1.3780000000000001E-2</v>
      </c>
      <c r="L287" s="868">
        <v>0</v>
      </c>
      <c r="M287" s="867" t="s">
        <v>47</v>
      </c>
      <c r="N287" s="866">
        <v>2050</v>
      </c>
      <c r="O287" s="867" t="s">
        <v>2587</v>
      </c>
      <c r="P287" s="870" t="s">
        <v>47</v>
      </c>
      <c r="Q287" s="867" t="s">
        <v>92</v>
      </c>
      <c r="R287" s="871">
        <v>0</v>
      </c>
      <c r="S287" s="871">
        <v>0</v>
      </c>
      <c r="T287" s="871">
        <v>0</v>
      </c>
      <c r="U287" s="871">
        <v>0</v>
      </c>
      <c r="V287" s="871">
        <v>0</v>
      </c>
      <c r="W287" s="871">
        <v>0</v>
      </c>
      <c r="X287" s="871">
        <v>0</v>
      </c>
      <c r="Y287" s="871">
        <v>0</v>
      </c>
      <c r="Z287" s="871">
        <v>0</v>
      </c>
      <c r="AA287" s="871">
        <v>0</v>
      </c>
      <c r="AB287" s="871">
        <v>0</v>
      </c>
      <c r="AC287" s="871">
        <v>0</v>
      </c>
      <c r="AD287" s="871">
        <v>2.5</v>
      </c>
      <c r="AE287" s="871">
        <v>0</v>
      </c>
      <c r="AF287" s="871">
        <v>0</v>
      </c>
      <c r="AG287" s="871">
        <v>0</v>
      </c>
      <c r="AH287" s="871">
        <f t="shared" si="16"/>
        <v>2.0661157024793391</v>
      </c>
      <c r="AI287" s="871">
        <v>0</v>
      </c>
      <c r="AJ287" s="871"/>
      <c r="AK287" s="871"/>
      <c r="AL287" s="871"/>
      <c r="AM287" s="871"/>
      <c r="AN287" s="871"/>
      <c r="AO287" s="871"/>
      <c r="AP287" s="871"/>
    </row>
    <row r="288" spans="1:42" s="868" customFormat="1" ht="14">
      <c r="A288" s="866">
        <v>287</v>
      </c>
      <c r="B288" s="867" t="s">
        <v>2877</v>
      </c>
      <c r="C288" s="867" t="s">
        <v>40</v>
      </c>
      <c r="D288" s="867" t="s">
        <v>2450</v>
      </c>
      <c r="E288" s="867" t="s">
        <v>964</v>
      </c>
      <c r="F288" s="867" t="s">
        <v>913</v>
      </c>
      <c r="G288" s="868">
        <v>1</v>
      </c>
      <c r="H288" s="869">
        <v>0.2</v>
      </c>
      <c r="I288" s="869">
        <v>0.53</v>
      </c>
      <c r="J288" s="869">
        <f t="shared" si="17"/>
        <v>0.10600000000000001</v>
      </c>
      <c r="K288" s="869">
        <f t="shared" si="18"/>
        <v>1.3780000000000001E-2</v>
      </c>
      <c r="L288" s="868">
        <v>0</v>
      </c>
      <c r="M288" s="867" t="s">
        <v>47</v>
      </c>
      <c r="N288" s="866">
        <v>2050</v>
      </c>
      <c r="O288" s="867" t="s">
        <v>2383</v>
      </c>
      <c r="P288" s="870" t="s">
        <v>47</v>
      </c>
      <c r="Q288" s="867" t="s">
        <v>92</v>
      </c>
      <c r="R288" s="871">
        <v>0</v>
      </c>
      <c r="S288" s="871">
        <v>0</v>
      </c>
      <c r="T288" s="871">
        <v>0</v>
      </c>
      <c r="U288" s="871">
        <v>0</v>
      </c>
      <c r="V288" s="871">
        <v>0</v>
      </c>
      <c r="W288" s="871">
        <v>0</v>
      </c>
      <c r="X288" s="871">
        <v>0</v>
      </c>
      <c r="Y288" s="871">
        <v>0</v>
      </c>
      <c r="Z288" s="871">
        <v>0</v>
      </c>
      <c r="AA288" s="871">
        <v>0</v>
      </c>
      <c r="AB288" s="871">
        <v>0</v>
      </c>
      <c r="AC288" s="871">
        <v>0</v>
      </c>
      <c r="AD288" s="871">
        <v>2.5</v>
      </c>
      <c r="AE288" s="871">
        <v>0</v>
      </c>
      <c r="AF288" s="871">
        <v>0</v>
      </c>
      <c r="AG288" s="871">
        <v>0</v>
      </c>
      <c r="AH288" s="871">
        <f t="shared" si="16"/>
        <v>2.0661157024793391</v>
      </c>
      <c r="AI288" s="871">
        <v>0</v>
      </c>
      <c r="AJ288" s="871"/>
      <c r="AK288" s="871"/>
      <c r="AL288" s="871"/>
      <c r="AM288" s="871"/>
      <c r="AN288" s="871"/>
      <c r="AO288" s="871"/>
      <c r="AP288" s="871"/>
    </row>
    <row r="289" spans="1:42" s="868" customFormat="1" ht="14">
      <c r="A289" s="866">
        <v>288</v>
      </c>
      <c r="B289" s="867" t="s">
        <v>2878</v>
      </c>
      <c r="C289" s="867" t="s">
        <v>40</v>
      </c>
      <c r="D289" s="867" t="s">
        <v>2450</v>
      </c>
      <c r="E289" s="867" t="s">
        <v>964</v>
      </c>
      <c r="F289" s="867" t="s">
        <v>892</v>
      </c>
      <c r="G289" s="868">
        <v>1</v>
      </c>
      <c r="H289" s="869">
        <v>0.2</v>
      </c>
      <c r="I289" s="869">
        <v>0.53</v>
      </c>
      <c r="J289" s="869">
        <f t="shared" si="17"/>
        <v>0.10600000000000001</v>
      </c>
      <c r="K289" s="869">
        <f t="shared" si="18"/>
        <v>1.3780000000000001E-2</v>
      </c>
      <c r="L289" s="868">
        <v>0</v>
      </c>
      <c r="M289" s="867" t="s">
        <v>47</v>
      </c>
      <c r="N289" s="866">
        <v>2050</v>
      </c>
      <c r="O289" s="867" t="s">
        <v>2383</v>
      </c>
      <c r="P289" s="870" t="s">
        <v>47</v>
      </c>
      <c r="Q289" s="867" t="s">
        <v>92</v>
      </c>
      <c r="R289" s="871">
        <v>0</v>
      </c>
      <c r="S289" s="871">
        <v>0</v>
      </c>
      <c r="T289" s="871">
        <v>0</v>
      </c>
      <c r="U289" s="871">
        <v>0</v>
      </c>
      <c r="V289" s="871">
        <v>0</v>
      </c>
      <c r="W289" s="871">
        <v>0</v>
      </c>
      <c r="X289" s="871">
        <v>0</v>
      </c>
      <c r="Y289" s="871">
        <v>0</v>
      </c>
      <c r="Z289" s="871">
        <v>0</v>
      </c>
      <c r="AA289" s="871">
        <v>0</v>
      </c>
      <c r="AB289" s="871">
        <v>0</v>
      </c>
      <c r="AC289" s="871">
        <v>0</v>
      </c>
      <c r="AD289" s="871">
        <v>2.5</v>
      </c>
      <c r="AE289" s="871">
        <v>0</v>
      </c>
      <c r="AF289" s="871">
        <v>0</v>
      </c>
      <c r="AG289" s="871">
        <v>0</v>
      </c>
      <c r="AH289" s="871">
        <f t="shared" si="16"/>
        <v>2.0661157024793391</v>
      </c>
      <c r="AI289" s="871">
        <v>0</v>
      </c>
      <c r="AJ289" s="871"/>
      <c r="AK289" s="871"/>
      <c r="AL289" s="871"/>
      <c r="AM289" s="871"/>
      <c r="AN289" s="871"/>
      <c r="AO289" s="871"/>
      <c r="AP289" s="871"/>
    </row>
    <row r="290" spans="1:42" s="868" customFormat="1" ht="14">
      <c r="A290" s="866">
        <v>289</v>
      </c>
      <c r="B290" s="867" t="s">
        <v>2879</v>
      </c>
      <c r="C290" s="867" t="s">
        <v>40</v>
      </c>
      <c r="D290" s="867" t="s">
        <v>2450</v>
      </c>
      <c r="E290" s="867" t="s">
        <v>964</v>
      </c>
      <c r="F290" s="867" t="s">
        <v>813</v>
      </c>
      <c r="G290" s="868">
        <v>1</v>
      </c>
      <c r="H290" s="869">
        <v>0.2</v>
      </c>
      <c r="I290" s="869">
        <v>0.53</v>
      </c>
      <c r="J290" s="869">
        <f t="shared" si="17"/>
        <v>0.10600000000000001</v>
      </c>
      <c r="K290" s="869">
        <f t="shared" si="18"/>
        <v>1.3780000000000001E-2</v>
      </c>
      <c r="L290" s="868">
        <v>0</v>
      </c>
      <c r="M290" s="867" t="s">
        <v>47</v>
      </c>
      <c r="N290" s="866">
        <v>2050</v>
      </c>
      <c r="O290" s="867" t="s">
        <v>2383</v>
      </c>
      <c r="P290" s="870" t="s">
        <v>47</v>
      </c>
      <c r="Q290" s="867" t="s">
        <v>92</v>
      </c>
      <c r="R290" s="871">
        <v>0</v>
      </c>
      <c r="S290" s="871">
        <v>0</v>
      </c>
      <c r="T290" s="871">
        <v>0</v>
      </c>
      <c r="U290" s="871">
        <v>0</v>
      </c>
      <c r="V290" s="871">
        <v>0</v>
      </c>
      <c r="W290" s="871">
        <v>0</v>
      </c>
      <c r="X290" s="871">
        <v>0</v>
      </c>
      <c r="Y290" s="871">
        <v>0</v>
      </c>
      <c r="Z290" s="871">
        <v>0</v>
      </c>
      <c r="AA290" s="871">
        <v>0</v>
      </c>
      <c r="AB290" s="871">
        <v>0</v>
      </c>
      <c r="AC290" s="871">
        <v>0</v>
      </c>
      <c r="AD290" s="871">
        <v>2.5</v>
      </c>
      <c r="AE290" s="871">
        <v>0</v>
      </c>
      <c r="AF290" s="871">
        <v>0</v>
      </c>
      <c r="AG290" s="871">
        <v>0</v>
      </c>
      <c r="AH290" s="871">
        <f t="shared" si="16"/>
        <v>2.0661157024793391</v>
      </c>
      <c r="AI290" s="871">
        <v>0</v>
      </c>
      <c r="AJ290" s="871"/>
      <c r="AK290" s="871"/>
      <c r="AL290" s="871"/>
      <c r="AM290" s="871"/>
      <c r="AN290" s="871"/>
      <c r="AO290" s="871"/>
      <c r="AP290" s="871"/>
    </row>
    <row r="291" spans="1:42" s="868" customFormat="1" ht="14">
      <c r="A291" s="866">
        <v>290</v>
      </c>
      <c r="B291" s="867" t="s">
        <v>2880</v>
      </c>
      <c r="C291" s="867" t="s">
        <v>40</v>
      </c>
      <c r="D291" s="867" t="s">
        <v>2450</v>
      </c>
      <c r="E291" s="867" t="s">
        <v>969</v>
      </c>
      <c r="F291" s="867" t="s">
        <v>522</v>
      </c>
      <c r="G291" s="868">
        <v>1</v>
      </c>
      <c r="H291" s="869">
        <v>0.2</v>
      </c>
      <c r="I291" s="869">
        <v>0.53</v>
      </c>
      <c r="J291" s="869">
        <f t="shared" si="17"/>
        <v>0.10600000000000001</v>
      </c>
      <c r="K291" s="869">
        <f t="shared" si="18"/>
        <v>1.3780000000000001E-2</v>
      </c>
      <c r="L291" s="868">
        <v>0</v>
      </c>
      <c r="M291" s="867" t="s">
        <v>47</v>
      </c>
      <c r="N291" s="866">
        <v>2050</v>
      </c>
      <c r="O291" s="867" t="s">
        <v>2383</v>
      </c>
      <c r="P291" s="870" t="s">
        <v>47</v>
      </c>
      <c r="Q291" s="867" t="s">
        <v>92</v>
      </c>
      <c r="R291" s="871">
        <v>0</v>
      </c>
      <c r="S291" s="871">
        <v>0</v>
      </c>
      <c r="T291" s="871">
        <v>0</v>
      </c>
      <c r="U291" s="871">
        <v>0</v>
      </c>
      <c r="V291" s="871">
        <v>0</v>
      </c>
      <c r="W291" s="871">
        <v>0</v>
      </c>
      <c r="X291" s="871">
        <v>0</v>
      </c>
      <c r="Y291" s="871">
        <v>0</v>
      </c>
      <c r="Z291" s="871">
        <v>0</v>
      </c>
      <c r="AA291" s="871">
        <v>0</v>
      </c>
      <c r="AB291" s="871">
        <v>0</v>
      </c>
      <c r="AC291" s="871">
        <v>0</v>
      </c>
      <c r="AD291" s="871">
        <v>2.5</v>
      </c>
      <c r="AE291" s="871">
        <v>0</v>
      </c>
      <c r="AF291" s="871">
        <v>0</v>
      </c>
      <c r="AG291" s="871">
        <v>0</v>
      </c>
      <c r="AH291" s="871">
        <f t="shared" si="16"/>
        <v>2.0661157024793391</v>
      </c>
      <c r="AI291" s="871">
        <v>0</v>
      </c>
      <c r="AJ291" s="871"/>
      <c r="AK291" s="871"/>
      <c r="AL291" s="871"/>
      <c r="AM291" s="871"/>
      <c r="AN291" s="871"/>
      <c r="AO291" s="871"/>
      <c r="AP291" s="871"/>
    </row>
    <row r="292" spans="1:42" s="868" customFormat="1" ht="14">
      <c r="A292" s="866">
        <v>291</v>
      </c>
      <c r="B292" s="867" t="s">
        <v>2881</v>
      </c>
      <c r="C292" s="867" t="s">
        <v>40</v>
      </c>
      <c r="D292" s="867" t="s">
        <v>2450</v>
      </c>
      <c r="E292" s="867" t="s">
        <v>969</v>
      </c>
      <c r="F292" s="867" t="s">
        <v>835</v>
      </c>
      <c r="G292" s="868">
        <v>1</v>
      </c>
      <c r="H292" s="869">
        <v>0.2</v>
      </c>
      <c r="I292" s="869">
        <v>0.53</v>
      </c>
      <c r="J292" s="869">
        <f t="shared" si="17"/>
        <v>0.10600000000000001</v>
      </c>
      <c r="K292" s="869">
        <f t="shared" si="18"/>
        <v>1.3780000000000001E-2</v>
      </c>
      <c r="L292" s="868">
        <v>0</v>
      </c>
      <c r="M292" s="867" t="s">
        <v>47</v>
      </c>
      <c r="N292" s="866">
        <v>2050</v>
      </c>
      <c r="O292" s="867" t="s">
        <v>2383</v>
      </c>
      <c r="P292" s="870" t="s">
        <v>47</v>
      </c>
      <c r="Q292" s="867" t="s">
        <v>92</v>
      </c>
      <c r="R292" s="871">
        <v>0</v>
      </c>
      <c r="S292" s="871">
        <v>0</v>
      </c>
      <c r="T292" s="871">
        <v>0</v>
      </c>
      <c r="U292" s="871">
        <v>0</v>
      </c>
      <c r="V292" s="871">
        <v>0</v>
      </c>
      <c r="W292" s="871">
        <v>0</v>
      </c>
      <c r="X292" s="871">
        <v>0</v>
      </c>
      <c r="Y292" s="871">
        <v>0</v>
      </c>
      <c r="Z292" s="871">
        <v>0</v>
      </c>
      <c r="AA292" s="871">
        <v>0</v>
      </c>
      <c r="AB292" s="871">
        <v>0</v>
      </c>
      <c r="AC292" s="871">
        <v>0</v>
      </c>
      <c r="AD292" s="871">
        <v>2.5</v>
      </c>
      <c r="AE292" s="871">
        <v>0</v>
      </c>
      <c r="AF292" s="871">
        <v>0</v>
      </c>
      <c r="AG292" s="871">
        <v>0</v>
      </c>
      <c r="AH292" s="871">
        <f t="shared" si="16"/>
        <v>2.0661157024793391</v>
      </c>
      <c r="AI292" s="871">
        <v>0</v>
      </c>
      <c r="AJ292" s="871"/>
      <c r="AK292" s="871"/>
      <c r="AL292" s="871"/>
      <c r="AM292" s="871"/>
      <c r="AN292" s="871"/>
      <c r="AO292" s="871"/>
      <c r="AP292" s="871"/>
    </row>
    <row r="293" spans="1:42" s="868" customFormat="1" ht="14">
      <c r="A293" s="866">
        <v>292</v>
      </c>
      <c r="B293" s="867" t="s">
        <v>2882</v>
      </c>
      <c r="C293" s="867" t="s">
        <v>40</v>
      </c>
      <c r="D293" s="867" t="s">
        <v>2450</v>
      </c>
      <c r="E293" s="867" t="s">
        <v>969</v>
      </c>
      <c r="F293" s="867" t="s">
        <v>813</v>
      </c>
      <c r="G293" s="868">
        <v>1</v>
      </c>
      <c r="H293" s="869">
        <v>0.2</v>
      </c>
      <c r="I293" s="869">
        <v>0.53</v>
      </c>
      <c r="J293" s="869">
        <f t="shared" si="17"/>
        <v>0.10600000000000001</v>
      </c>
      <c r="K293" s="869">
        <f t="shared" si="18"/>
        <v>1.3780000000000001E-2</v>
      </c>
      <c r="L293" s="868">
        <v>0</v>
      </c>
      <c r="M293" s="867" t="s">
        <v>47</v>
      </c>
      <c r="N293" s="866">
        <v>2050</v>
      </c>
      <c r="O293" s="867" t="s">
        <v>2383</v>
      </c>
      <c r="P293" s="870" t="s">
        <v>47</v>
      </c>
      <c r="Q293" s="867" t="s">
        <v>92</v>
      </c>
      <c r="R293" s="871">
        <v>0</v>
      </c>
      <c r="S293" s="871">
        <v>0</v>
      </c>
      <c r="T293" s="871">
        <v>0</v>
      </c>
      <c r="U293" s="871">
        <v>0</v>
      </c>
      <c r="V293" s="871">
        <v>0</v>
      </c>
      <c r="W293" s="871">
        <v>0</v>
      </c>
      <c r="X293" s="871">
        <v>0</v>
      </c>
      <c r="Y293" s="871">
        <v>0</v>
      </c>
      <c r="Z293" s="871">
        <v>0</v>
      </c>
      <c r="AA293" s="871">
        <v>0</v>
      </c>
      <c r="AB293" s="871">
        <v>0</v>
      </c>
      <c r="AC293" s="871">
        <v>0</v>
      </c>
      <c r="AD293" s="871">
        <v>2.5</v>
      </c>
      <c r="AE293" s="871">
        <v>0</v>
      </c>
      <c r="AF293" s="871">
        <v>0</v>
      </c>
      <c r="AG293" s="871">
        <v>0</v>
      </c>
      <c r="AH293" s="871">
        <f t="shared" si="16"/>
        <v>2.0661157024793391</v>
      </c>
      <c r="AI293" s="871">
        <v>0</v>
      </c>
      <c r="AJ293" s="871"/>
      <c r="AK293" s="871"/>
      <c r="AL293" s="871"/>
      <c r="AM293" s="871"/>
      <c r="AN293" s="871"/>
      <c r="AO293" s="871"/>
      <c r="AP293" s="871"/>
    </row>
    <row r="294" spans="1:42" s="868" customFormat="1" ht="14">
      <c r="A294" s="866">
        <v>293</v>
      </c>
      <c r="B294" s="867" t="s">
        <v>2883</v>
      </c>
      <c r="C294" s="867" t="s">
        <v>40</v>
      </c>
      <c r="D294" s="867" t="s">
        <v>2450</v>
      </c>
      <c r="E294" s="867" t="s">
        <v>969</v>
      </c>
      <c r="F294" s="867" t="s">
        <v>863</v>
      </c>
      <c r="G294" s="868">
        <v>1</v>
      </c>
      <c r="H294" s="869">
        <v>0.2</v>
      </c>
      <c r="I294" s="869">
        <v>0.53</v>
      </c>
      <c r="J294" s="869">
        <f t="shared" si="17"/>
        <v>0.10600000000000001</v>
      </c>
      <c r="K294" s="869">
        <f t="shared" si="18"/>
        <v>1.3780000000000001E-2</v>
      </c>
      <c r="L294" s="868">
        <v>0</v>
      </c>
      <c r="M294" s="867" t="s">
        <v>47</v>
      </c>
      <c r="N294" s="866">
        <v>2050</v>
      </c>
      <c r="O294" s="867" t="s">
        <v>2383</v>
      </c>
      <c r="P294" s="870" t="s">
        <v>47</v>
      </c>
      <c r="Q294" s="867" t="s">
        <v>92</v>
      </c>
      <c r="R294" s="871">
        <v>0</v>
      </c>
      <c r="S294" s="871">
        <v>0</v>
      </c>
      <c r="T294" s="871">
        <v>0</v>
      </c>
      <c r="U294" s="871">
        <v>0</v>
      </c>
      <c r="V294" s="871">
        <v>0</v>
      </c>
      <c r="W294" s="871">
        <v>0</v>
      </c>
      <c r="X294" s="871">
        <v>0</v>
      </c>
      <c r="Y294" s="871">
        <v>0</v>
      </c>
      <c r="Z294" s="871">
        <v>0</v>
      </c>
      <c r="AA294" s="871">
        <v>0</v>
      </c>
      <c r="AB294" s="871">
        <v>0</v>
      </c>
      <c r="AC294" s="871">
        <v>0</v>
      </c>
      <c r="AD294" s="871">
        <v>2.5</v>
      </c>
      <c r="AE294" s="871">
        <v>0</v>
      </c>
      <c r="AF294" s="871">
        <v>0</v>
      </c>
      <c r="AG294" s="871">
        <v>0</v>
      </c>
      <c r="AH294" s="871">
        <f t="shared" si="16"/>
        <v>2.0661157024793391</v>
      </c>
      <c r="AI294" s="871">
        <v>0</v>
      </c>
      <c r="AJ294" s="871"/>
      <c r="AK294" s="871"/>
      <c r="AL294" s="871"/>
      <c r="AM294" s="871"/>
      <c r="AN294" s="871"/>
      <c r="AO294" s="871"/>
      <c r="AP294" s="871"/>
    </row>
    <row r="295" spans="1:42" s="868" customFormat="1" ht="14">
      <c r="A295" s="866">
        <v>294</v>
      </c>
      <c r="B295" s="867" t="s">
        <v>2884</v>
      </c>
      <c r="C295" s="867" t="s">
        <v>40</v>
      </c>
      <c r="D295" s="867" t="s">
        <v>2450</v>
      </c>
      <c r="E295" s="867" t="s">
        <v>974</v>
      </c>
      <c r="F295" s="867" t="s">
        <v>905</v>
      </c>
      <c r="G295" s="868">
        <v>1</v>
      </c>
      <c r="H295" s="869">
        <v>0.2</v>
      </c>
      <c r="I295" s="869">
        <v>0.53</v>
      </c>
      <c r="J295" s="869">
        <f t="shared" si="17"/>
        <v>0.10600000000000001</v>
      </c>
      <c r="K295" s="869">
        <f t="shared" si="18"/>
        <v>1.3780000000000001E-2</v>
      </c>
      <c r="L295" s="868">
        <v>0</v>
      </c>
      <c r="M295" s="867" t="s">
        <v>47</v>
      </c>
      <c r="N295" s="866">
        <v>2050</v>
      </c>
      <c r="O295" s="867" t="s">
        <v>2383</v>
      </c>
      <c r="P295" s="870" t="s">
        <v>47</v>
      </c>
      <c r="Q295" s="867" t="s">
        <v>92</v>
      </c>
      <c r="R295" s="871">
        <v>0</v>
      </c>
      <c r="S295" s="871">
        <v>0</v>
      </c>
      <c r="T295" s="871">
        <v>0</v>
      </c>
      <c r="U295" s="871">
        <v>0</v>
      </c>
      <c r="V295" s="871">
        <v>0</v>
      </c>
      <c r="W295" s="871">
        <v>0</v>
      </c>
      <c r="X295" s="871">
        <v>0</v>
      </c>
      <c r="Y295" s="871">
        <v>0</v>
      </c>
      <c r="Z295" s="871">
        <v>0</v>
      </c>
      <c r="AA295" s="871">
        <v>0</v>
      </c>
      <c r="AB295" s="871">
        <v>0</v>
      </c>
      <c r="AC295" s="871">
        <v>0</v>
      </c>
      <c r="AD295" s="871">
        <v>2.5</v>
      </c>
      <c r="AE295" s="871">
        <v>0</v>
      </c>
      <c r="AF295" s="871">
        <v>0</v>
      </c>
      <c r="AG295" s="871">
        <v>0</v>
      </c>
      <c r="AH295" s="871">
        <f t="shared" si="16"/>
        <v>2.0661157024793391</v>
      </c>
      <c r="AI295" s="871">
        <v>0</v>
      </c>
      <c r="AJ295" s="871"/>
      <c r="AK295" s="871"/>
      <c r="AL295" s="871"/>
      <c r="AM295" s="871"/>
      <c r="AN295" s="871"/>
      <c r="AO295" s="871"/>
      <c r="AP295" s="871"/>
    </row>
    <row r="296" spans="1:42" s="868" customFormat="1" ht="14">
      <c r="A296" s="866">
        <v>295</v>
      </c>
      <c r="B296" s="867" t="s">
        <v>2885</v>
      </c>
      <c r="C296" s="867" t="s">
        <v>40</v>
      </c>
      <c r="D296" s="867" t="s">
        <v>2450</v>
      </c>
      <c r="E296" s="867" t="s">
        <v>974</v>
      </c>
      <c r="F296" s="867" t="s">
        <v>515</v>
      </c>
      <c r="G296" s="868">
        <v>1</v>
      </c>
      <c r="H296" s="869">
        <v>0.2</v>
      </c>
      <c r="I296" s="869">
        <v>0.53</v>
      </c>
      <c r="J296" s="869">
        <f t="shared" si="17"/>
        <v>0.10600000000000001</v>
      </c>
      <c r="K296" s="869">
        <f t="shared" si="18"/>
        <v>1.3780000000000001E-2</v>
      </c>
      <c r="L296" s="868">
        <v>0</v>
      </c>
      <c r="M296" s="867" t="s">
        <v>47</v>
      </c>
      <c r="N296" s="866">
        <v>2050</v>
      </c>
      <c r="O296" s="867" t="s">
        <v>2383</v>
      </c>
      <c r="P296" s="870" t="s">
        <v>47</v>
      </c>
      <c r="Q296" s="867" t="s">
        <v>92</v>
      </c>
      <c r="R296" s="871">
        <v>0</v>
      </c>
      <c r="S296" s="871">
        <v>0</v>
      </c>
      <c r="T296" s="871">
        <v>0</v>
      </c>
      <c r="U296" s="871">
        <v>0</v>
      </c>
      <c r="V296" s="871">
        <v>0</v>
      </c>
      <c r="W296" s="871">
        <v>0</v>
      </c>
      <c r="X296" s="871">
        <v>0</v>
      </c>
      <c r="Y296" s="871">
        <v>0</v>
      </c>
      <c r="Z296" s="871">
        <v>0</v>
      </c>
      <c r="AA296" s="871">
        <v>0</v>
      </c>
      <c r="AB296" s="871">
        <v>0</v>
      </c>
      <c r="AC296" s="871">
        <v>0</v>
      </c>
      <c r="AD296" s="871">
        <v>2.5</v>
      </c>
      <c r="AE296" s="871">
        <v>0</v>
      </c>
      <c r="AF296" s="871">
        <v>0</v>
      </c>
      <c r="AG296" s="871">
        <v>0</v>
      </c>
      <c r="AH296" s="871">
        <f t="shared" si="16"/>
        <v>2.0661157024793391</v>
      </c>
      <c r="AI296" s="871">
        <v>0</v>
      </c>
      <c r="AJ296" s="871"/>
      <c r="AK296" s="871"/>
      <c r="AL296" s="871"/>
      <c r="AM296" s="871"/>
      <c r="AN296" s="871"/>
      <c r="AO296" s="871"/>
      <c r="AP296" s="871"/>
    </row>
    <row r="297" spans="1:42" ht="14">
      <c r="A297" s="856">
        <v>296</v>
      </c>
      <c r="B297" s="425" t="s">
        <v>2594</v>
      </c>
      <c r="C297" s="425" t="s">
        <v>41</v>
      </c>
      <c r="D297" s="425" t="s">
        <v>2595</v>
      </c>
      <c r="E297" s="425" t="s">
        <v>2596</v>
      </c>
      <c r="F297" s="425" t="s">
        <v>2597</v>
      </c>
      <c r="G297">
        <v>1</v>
      </c>
      <c r="H297" s="852">
        <v>0.53</v>
      </c>
      <c r="I297" s="852">
        <v>10.050000000000001</v>
      </c>
      <c r="J297" s="852">
        <f t="shared" si="17"/>
        <v>5.3265000000000002</v>
      </c>
      <c r="K297" s="852">
        <f t="shared" si="18"/>
        <v>0.69244500000000009</v>
      </c>
      <c r="L297">
        <v>26.5</v>
      </c>
      <c r="M297" s="425" t="s">
        <v>2598</v>
      </c>
      <c r="N297" s="370">
        <v>2020</v>
      </c>
      <c r="O297" s="425" t="s">
        <v>2599</v>
      </c>
      <c r="P297" s="858">
        <v>5415058030919</v>
      </c>
      <c r="Q297" s="425" t="s">
        <v>2385</v>
      </c>
      <c r="R297" s="851">
        <v>16</v>
      </c>
      <c r="S297" s="851">
        <v>0</v>
      </c>
      <c r="T297" s="851">
        <v>20</v>
      </c>
      <c r="U297" s="851">
        <v>0</v>
      </c>
      <c r="V297" s="851">
        <v>17.600000000000001</v>
      </c>
      <c r="W297" s="851">
        <v>0</v>
      </c>
      <c r="X297" s="851">
        <v>22</v>
      </c>
      <c r="Y297" s="851">
        <v>0</v>
      </c>
      <c r="Z297" s="851">
        <v>40</v>
      </c>
      <c r="AA297" s="851">
        <v>0</v>
      </c>
      <c r="AB297" s="851">
        <v>56</v>
      </c>
      <c r="AC297" s="851">
        <v>0</v>
      </c>
      <c r="AD297" s="851">
        <v>96.8</v>
      </c>
      <c r="AE297" s="851">
        <v>0</v>
      </c>
      <c r="AF297" s="851">
        <v>44</v>
      </c>
      <c r="AG297" s="851">
        <v>0</v>
      </c>
      <c r="AH297" s="851">
        <v>81.3</v>
      </c>
      <c r="AI297" s="851">
        <v>0</v>
      </c>
      <c r="AJ297" s="851">
        <v>14.8</v>
      </c>
      <c r="AK297" s="851"/>
      <c r="AL297" s="851">
        <v>14.8</v>
      </c>
      <c r="AM297" s="851"/>
      <c r="AN297" s="851"/>
      <c r="AO297" s="851"/>
      <c r="AP297" s="851"/>
    </row>
    <row r="298" spans="1:42" ht="14">
      <c r="A298" s="856">
        <v>297</v>
      </c>
      <c r="B298" s="425" t="s">
        <v>2601</v>
      </c>
      <c r="C298" s="425" t="s">
        <v>41</v>
      </c>
      <c r="D298" s="425" t="s">
        <v>2595</v>
      </c>
      <c r="E298" s="425" t="s">
        <v>2596</v>
      </c>
      <c r="F298" s="425" t="s">
        <v>598</v>
      </c>
      <c r="G298">
        <v>1</v>
      </c>
      <c r="H298" s="852">
        <v>0.53</v>
      </c>
      <c r="I298" s="852">
        <v>10.050000000000001</v>
      </c>
      <c r="J298" s="852">
        <f t="shared" si="17"/>
        <v>5.3265000000000002</v>
      </c>
      <c r="K298" s="852">
        <f t="shared" si="18"/>
        <v>0.69244500000000009</v>
      </c>
      <c r="L298">
        <v>26.5</v>
      </c>
      <c r="M298" s="425" t="s">
        <v>2598</v>
      </c>
      <c r="N298" s="370">
        <v>2020</v>
      </c>
      <c r="O298" s="425" t="s">
        <v>2599</v>
      </c>
      <c r="P298" s="858">
        <v>5415058030926</v>
      </c>
      <c r="Q298" s="425" t="s">
        <v>2385</v>
      </c>
      <c r="R298" s="851">
        <v>16</v>
      </c>
      <c r="S298" s="851">
        <v>0</v>
      </c>
      <c r="T298" s="851">
        <v>20</v>
      </c>
      <c r="U298" s="851">
        <v>0</v>
      </c>
      <c r="V298" s="851">
        <v>17.600000000000001</v>
      </c>
      <c r="W298" s="851">
        <v>0</v>
      </c>
      <c r="X298" s="851">
        <v>22</v>
      </c>
      <c r="Y298" s="851">
        <v>0</v>
      </c>
      <c r="Z298" s="851">
        <v>40</v>
      </c>
      <c r="AA298" s="851">
        <v>0</v>
      </c>
      <c r="AB298" s="851">
        <v>56</v>
      </c>
      <c r="AC298" s="851">
        <v>0</v>
      </c>
      <c r="AD298" s="851">
        <v>96.8</v>
      </c>
      <c r="AE298" s="851">
        <v>0</v>
      </c>
      <c r="AF298" s="851">
        <v>44</v>
      </c>
      <c r="AG298" s="851">
        <v>0</v>
      </c>
      <c r="AH298" s="851">
        <v>81.3</v>
      </c>
      <c r="AI298" s="851">
        <v>0</v>
      </c>
      <c r="AJ298" s="851">
        <v>14.8</v>
      </c>
      <c r="AK298" s="851"/>
      <c r="AL298" s="851">
        <v>14.8</v>
      </c>
      <c r="AM298" s="851"/>
      <c r="AN298" s="851"/>
      <c r="AO298" s="851"/>
      <c r="AP298" s="851"/>
    </row>
    <row r="299" spans="1:42" ht="14">
      <c r="A299" s="856">
        <v>298</v>
      </c>
      <c r="B299" s="425" t="s">
        <v>2602</v>
      </c>
      <c r="C299" s="425" t="s">
        <v>41</v>
      </c>
      <c r="D299" s="425" t="s">
        <v>2595</v>
      </c>
      <c r="E299" s="425" t="s">
        <v>2596</v>
      </c>
      <c r="F299" s="425" t="s">
        <v>2600</v>
      </c>
      <c r="G299">
        <v>1</v>
      </c>
      <c r="H299" s="852">
        <v>0.53</v>
      </c>
      <c r="I299" s="852">
        <v>10.050000000000001</v>
      </c>
      <c r="J299" s="852">
        <f t="shared" ref="J299:J343" si="19">H299*I299*G299</f>
        <v>5.3265000000000002</v>
      </c>
      <c r="K299" s="852">
        <f t="shared" ref="K299:K343" si="20">J299*130/1000</f>
        <v>0.69244500000000009</v>
      </c>
      <c r="L299">
        <v>26.5</v>
      </c>
      <c r="M299" s="425" t="s">
        <v>2598</v>
      </c>
      <c r="N299" s="370">
        <v>2020</v>
      </c>
      <c r="O299" s="425" t="s">
        <v>2599</v>
      </c>
      <c r="P299" s="858">
        <v>5415058030933</v>
      </c>
      <c r="Q299" s="425" t="s">
        <v>2385</v>
      </c>
      <c r="R299" s="851">
        <v>16</v>
      </c>
      <c r="S299" s="851">
        <v>0</v>
      </c>
      <c r="T299" s="851">
        <v>20</v>
      </c>
      <c r="U299" s="851">
        <v>0</v>
      </c>
      <c r="V299" s="851">
        <v>17.600000000000001</v>
      </c>
      <c r="W299" s="851">
        <v>0</v>
      </c>
      <c r="X299" s="851">
        <v>22</v>
      </c>
      <c r="Y299" s="851">
        <v>0</v>
      </c>
      <c r="Z299" s="851">
        <v>40</v>
      </c>
      <c r="AA299" s="851">
        <v>0</v>
      </c>
      <c r="AB299" s="851">
        <v>56</v>
      </c>
      <c r="AC299" s="851">
        <v>0</v>
      </c>
      <c r="AD299" s="851">
        <v>96.8</v>
      </c>
      <c r="AE299" s="851">
        <v>0</v>
      </c>
      <c r="AF299" s="851">
        <v>44</v>
      </c>
      <c r="AG299" s="851">
        <v>0</v>
      </c>
      <c r="AH299" s="851">
        <v>81.3</v>
      </c>
      <c r="AI299" s="851">
        <v>0</v>
      </c>
      <c r="AJ299" s="851">
        <v>14.8</v>
      </c>
      <c r="AK299" s="851"/>
      <c r="AL299" s="851">
        <v>14.8</v>
      </c>
      <c r="AM299" s="851"/>
      <c r="AN299" s="851"/>
      <c r="AO299" s="851"/>
      <c r="AP299" s="851"/>
    </row>
    <row r="300" spans="1:42" ht="14">
      <c r="A300" s="856">
        <v>299</v>
      </c>
      <c r="B300" s="425" t="s">
        <v>2603</v>
      </c>
      <c r="C300" s="425" t="s">
        <v>41</v>
      </c>
      <c r="D300" s="425" t="s">
        <v>2595</v>
      </c>
      <c r="E300" s="425" t="s">
        <v>2596</v>
      </c>
      <c r="F300" s="425" t="s">
        <v>604</v>
      </c>
      <c r="G300">
        <v>1</v>
      </c>
      <c r="H300" s="852">
        <v>0.53</v>
      </c>
      <c r="I300" s="852">
        <v>10.050000000000001</v>
      </c>
      <c r="J300" s="852">
        <f t="shared" si="19"/>
        <v>5.3265000000000002</v>
      </c>
      <c r="K300" s="852">
        <f t="shared" si="20"/>
        <v>0.69244500000000009</v>
      </c>
      <c r="L300">
        <v>26.5</v>
      </c>
      <c r="M300" s="425" t="s">
        <v>2598</v>
      </c>
      <c r="N300" s="370">
        <v>2020</v>
      </c>
      <c r="O300" s="425" t="s">
        <v>2599</v>
      </c>
      <c r="P300" s="858">
        <v>5415058030940</v>
      </c>
      <c r="Q300" s="425" t="s">
        <v>2385</v>
      </c>
      <c r="R300" s="851">
        <v>16</v>
      </c>
      <c r="S300" s="851">
        <v>0</v>
      </c>
      <c r="T300" s="851">
        <v>20</v>
      </c>
      <c r="U300" s="851">
        <v>0</v>
      </c>
      <c r="V300" s="851">
        <v>17.600000000000001</v>
      </c>
      <c r="W300" s="851">
        <v>0</v>
      </c>
      <c r="X300" s="851">
        <v>22</v>
      </c>
      <c r="Y300" s="851">
        <v>0</v>
      </c>
      <c r="Z300" s="851">
        <v>40</v>
      </c>
      <c r="AA300" s="851">
        <v>0</v>
      </c>
      <c r="AB300" s="851">
        <v>56</v>
      </c>
      <c r="AC300" s="851">
        <v>0</v>
      </c>
      <c r="AD300" s="851">
        <v>96.8</v>
      </c>
      <c r="AE300" s="851">
        <v>0</v>
      </c>
      <c r="AF300" s="851">
        <v>44</v>
      </c>
      <c r="AG300" s="851">
        <v>0</v>
      </c>
      <c r="AH300" s="851">
        <v>81.3</v>
      </c>
      <c r="AI300" s="851">
        <v>0</v>
      </c>
      <c r="AJ300" s="851">
        <v>14.8</v>
      </c>
      <c r="AK300" s="851"/>
      <c r="AL300" s="851">
        <v>14.8</v>
      </c>
      <c r="AM300" s="851"/>
      <c r="AN300" s="851"/>
      <c r="AO300" s="851"/>
      <c r="AP300" s="851"/>
    </row>
    <row r="301" spans="1:42" ht="14">
      <c r="A301" s="856">
        <v>300</v>
      </c>
      <c r="B301" s="425" t="s">
        <v>2604</v>
      </c>
      <c r="C301" s="425" t="s">
        <v>41</v>
      </c>
      <c r="D301" s="425" t="s">
        <v>2595</v>
      </c>
      <c r="E301" s="425" t="s">
        <v>701</v>
      </c>
      <c r="F301" s="425" t="s">
        <v>519</v>
      </c>
      <c r="G301">
        <v>1</v>
      </c>
      <c r="H301" s="852">
        <v>0.53</v>
      </c>
      <c r="I301" s="852">
        <v>10.050000000000001</v>
      </c>
      <c r="J301" s="852">
        <f t="shared" si="19"/>
        <v>5.3265000000000002</v>
      </c>
      <c r="K301" s="852">
        <f t="shared" si="20"/>
        <v>0.69244500000000009</v>
      </c>
      <c r="L301">
        <v>53</v>
      </c>
      <c r="M301" s="425" t="s">
        <v>2380</v>
      </c>
      <c r="N301" s="370">
        <v>2020</v>
      </c>
      <c r="O301" s="425" t="s">
        <v>2599</v>
      </c>
      <c r="P301" s="858">
        <v>5415058030957</v>
      </c>
      <c r="Q301" s="425" t="s">
        <v>2385</v>
      </c>
      <c r="R301" s="851">
        <v>16</v>
      </c>
      <c r="S301" s="851">
        <v>0</v>
      </c>
      <c r="T301" s="851">
        <v>20</v>
      </c>
      <c r="U301" s="851">
        <v>0</v>
      </c>
      <c r="V301" s="851">
        <v>17.600000000000001</v>
      </c>
      <c r="W301" s="851">
        <v>0</v>
      </c>
      <c r="X301" s="851">
        <v>22</v>
      </c>
      <c r="Y301" s="851">
        <v>0</v>
      </c>
      <c r="Z301" s="851">
        <v>40</v>
      </c>
      <c r="AA301" s="851">
        <v>0</v>
      </c>
      <c r="AB301" s="851">
        <v>56</v>
      </c>
      <c r="AC301" s="851">
        <v>0</v>
      </c>
      <c r="AD301" s="851">
        <v>96.8</v>
      </c>
      <c r="AE301" s="851">
        <v>0</v>
      </c>
      <c r="AF301" s="851">
        <v>44</v>
      </c>
      <c r="AG301" s="851">
        <v>0</v>
      </c>
      <c r="AH301" s="851">
        <v>81.3</v>
      </c>
      <c r="AI301" s="851">
        <v>0</v>
      </c>
      <c r="AJ301" s="851">
        <v>14.8</v>
      </c>
      <c r="AK301" s="851"/>
      <c r="AL301" s="851">
        <v>14.8</v>
      </c>
      <c r="AM301" s="851"/>
      <c r="AN301" s="851"/>
      <c r="AO301" s="851"/>
      <c r="AP301" s="851"/>
    </row>
    <row r="302" spans="1:42" ht="14">
      <c r="A302" s="856">
        <v>301</v>
      </c>
      <c r="B302" s="425" t="s">
        <v>2605</v>
      </c>
      <c r="C302" s="425" t="s">
        <v>41</v>
      </c>
      <c r="D302" s="425" t="s">
        <v>2595</v>
      </c>
      <c r="E302" s="425" t="s">
        <v>701</v>
      </c>
      <c r="F302" s="425" t="s">
        <v>703</v>
      </c>
      <c r="G302">
        <v>1</v>
      </c>
      <c r="H302" s="852">
        <v>0.53</v>
      </c>
      <c r="I302" s="852">
        <v>10.050000000000001</v>
      </c>
      <c r="J302" s="852">
        <f t="shared" si="19"/>
        <v>5.3265000000000002</v>
      </c>
      <c r="K302" s="852">
        <f t="shared" si="20"/>
        <v>0.69244500000000009</v>
      </c>
      <c r="L302">
        <v>53</v>
      </c>
      <c r="M302" s="425" t="s">
        <v>2380</v>
      </c>
      <c r="N302" s="370">
        <v>2020</v>
      </c>
      <c r="O302" s="425" t="s">
        <v>2599</v>
      </c>
      <c r="P302" s="858">
        <v>5415058030964</v>
      </c>
      <c r="Q302" s="425" t="s">
        <v>2385</v>
      </c>
      <c r="R302" s="851">
        <v>16</v>
      </c>
      <c r="S302" s="851">
        <v>0</v>
      </c>
      <c r="T302" s="851">
        <v>20</v>
      </c>
      <c r="U302" s="851">
        <v>0</v>
      </c>
      <c r="V302" s="851">
        <v>17.600000000000001</v>
      </c>
      <c r="W302" s="851">
        <v>0</v>
      </c>
      <c r="X302" s="851">
        <v>22</v>
      </c>
      <c r="Y302" s="851">
        <v>0</v>
      </c>
      <c r="Z302" s="851">
        <v>40</v>
      </c>
      <c r="AA302" s="851">
        <v>0</v>
      </c>
      <c r="AB302" s="851">
        <v>56</v>
      </c>
      <c r="AC302" s="851">
        <v>0</v>
      </c>
      <c r="AD302" s="851">
        <v>96.8</v>
      </c>
      <c r="AE302" s="851">
        <v>0</v>
      </c>
      <c r="AF302" s="851">
        <v>44</v>
      </c>
      <c r="AG302" s="851">
        <v>0</v>
      </c>
      <c r="AH302" s="851">
        <v>81.3</v>
      </c>
      <c r="AI302" s="851">
        <v>0</v>
      </c>
      <c r="AJ302" s="851">
        <v>14.8</v>
      </c>
      <c r="AK302" s="851"/>
      <c r="AL302" s="851">
        <v>14.8</v>
      </c>
      <c r="AM302" s="851"/>
      <c r="AN302" s="851"/>
      <c r="AO302" s="851"/>
      <c r="AP302" s="851"/>
    </row>
    <row r="303" spans="1:42" ht="14">
      <c r="A303" s="856">
        <v>302</v>
      </c>
      <c r="B303" s="425" t="s">
        <v>2606</v>
      </c>
      <c r="C303" s="425" t="s">
        <v>41</v>
      </c>
      <c r="D303" s="425" t="s">
        <v>2595</v>
      </c>
      <c r="E303" s="425" t="s">
        <v>701</v>
      </c>
      <c r="F303" s="425" t="s">
        <v>705</v>
      </c>
      <c r="G303">
        <v>1</v>
      </c>
      <c r="H303" s="852">
        <v>0.53</v>
      </c>
      <c r="I303" s="852">
        <v>10.050000000000001</v>
      </c>
      <c r="J303" s="852">
        <f t="shared" si="19"/>
        <v>5.3265000000000002</v>
      </c>
      <c r="K303" s="852">
        <f t="shared" si="20"/>
        <v>0.69244500000000009</v>
      </c>
      <c r="L303">
        <v>53</v>
      </c>
      <c r="M303" s="425" t="s">
        <v>2380</v>
      </c>
      <c r="N303" s="370">
        <v>2020</v>
      </c>
      <c r="O303" s="425" t="s">
        <v>2599</v>
      </c>
      <c r="P303" s="858">
        <v>5415058030971</v>
      </c>
      <c r="Q303" s="425" t="s">
        <v>2385</v>
      </c>
      <c r="R303" s="851">
        <v>16</v>
      </c>
      <c r="S303" s="851">
        <v>0</v>
      </c>
      <c r="T303" s="851">
        <v>20</v>
      </c>
      <c r="U303" s="851">
        <v>0</v>
      </c>
      <c r="V303" s="851">
        <v>17.600000000000001</v>
      </c>
      <c r="W303" s="851">
        <v>0</v>
      </c>
      <c r="X303" s="851">
        <v>22</v>
      </c>
      <c r="Y303" s="851">
        <v>0</v>
      </c>
      <c r="Z303" s="851">
        <v>40</v>
      </c>
      <c r="AA303" s="851">
        <v>0</v>
      </c>
      <c r="AB303" s="851">
        <v>56</v>
      </c>
      <c r="AC303" s="851">
        <v>0</v>
      </c>
      <c r="AD303" s="851">
        <v>96.8</v>
      </c>
      <c r="AE303" s="851">
        <v>0</v>
      </c>
      <c r="AF303" s="851">
        <v>44</v>
      </c>
      <c r="AG303" s="851">
        <v>0</v>
      </c>
      <c r="AH303" s="851">
        <v>81.3</v>
      </c>
      <c r="AI303" s="851">
        <v>0</v>
      </c>
      <c r="AJ303" s="851">
        <v>14.8</v>
      </c>
      <c r="AK303" s="851"/>
      <c r="AL303" s="851">
        <v>14.8</v>
      </c>
      <c r="AM303" s="851"/>
      <c r="AN303" s="851"/>
      <c r="AO303" s="851"/>
      <c r="AP303" s="851"/>
    </row>
    <row r="304" spans="1:42" ht="14">
      <c r="A304" s="856">
        <v>303</v>
      </c>
      <c r="B304" s="425" t="s">
        <v>2607</v>
      </c>
      <c r="C304" s="425" t="s">
        <v>41</v>
      </c>
      <c r="D304" s="425" t="s">
        <v>2595</v>
      </c>
      <c r="E304" s="425" t="s">
        <v>701</v>
      </c>
      <c r="F304" s="425" t="s">
        <v>521</v>
      </c>
      <c r="G304">
        <v>1</v>
      </c>
      <c r="H304" s="852">
        <v>0.53</v>
      </c>
      <c r="I304" s="852">
        <v>10.050000000000001</v>
      </c>
      <c r="J304" s="852">
        <f t="shared" si="19"/>
        <v>5.3265000000000002</v>
      </c>
      <c r="K304" s="852">
        <f t="shared" si="20"/>
        <v>0.69244500000000009</v>
      </c>
      <c r="L304">
        <v>53</v>
      </c>
      <c r="M304" s="425" t="s">
        <v>2380</v>
      </c>
      <c r="N304" s="370">
        <v>2020</v>
      </c>
      <c r="O304" s="425" t="s">
        <v>2599</v>
      </c>
      <c r="P304" s="858">
        <v>5415058030988</v>
      </c>
      <c r="Q304" s="425" t="s">
        <v>2385</v>
      </c>
      <c r="R304" s="851">
        <v>16</v>
      </c>
      <c r="S304" s="851">
        <v>0</v>
      </c>
      <c r="T304" s="851">
        <v>20</v>
      </c>
      <c r="U304" s="851">
        <v>0</v>
      </c>
      <c r="V304" s="851">
        <v>17.600000000000001</v>
      </c>
      <c r="W304" s="851">
        <v>0</v>
      </c>
      <c r="X304" s="851">
        <v>22</v>
      </c>
      <c r="Y304" s="851">
        <v>0</v>
      </c>
      <c r="Z304" s="851">
        <v>40</v>
      </c>
      <c r="AA304" s="851">
        <v>0</v>
      </c>
      <c r="AB304" s="851">
        <v>56</v>
      </c>
      <c r="AC304" s="851">
        <v>0</v>
      </c>
      <c r="AD304" s="851">
        <v>96.8</v>
      </c>
      <c r="AE304" s="851">
        <v>0</v>
      </c>
      <c r="AF304" s="851">
        <v>44</v>
      </c>
      <c r="AG304" s="851">
        <v>0</v>
      </c>
      <c r="AH304" s="851">
        <v>81.3</v>
      </c>
      <c r="AI304" s="851">
        <v>0</v>
      </c>
      <c r="AJ304" s="851">
        <v>14.8</v>
      </c>
      <c r="AK304" s="851"/>
      <c r="AL304" s="851">
        <v>14.8</v>
      </c>
      <c r="AM304" s="851"/>
      <c r="AN304" s="851"/>
      <c r="AO304" s="851"/>
      <c r="AP304" s="851"/>
    </row>
    <row r="305" spans="1:42" ht="14">
      <c r="A305" s="856">
        <v>304</v>
      </c>
      <c r="B305" s="425" t="s">
        <v>2608</v>
      </c>
      <c r="C305" s="425" t="s">
        <v>41</v>
      </c>
      <c r="D305" s="425" t="s">
        <v>2595</v>
      </c>
      <c r="E305" s="425" t="s">
        <v>708</v>
      </c>
      <c r="F305" s="425" t="s">
        <v>705</v>
      </c>
      <c r="G305">
        <v>1</v>
      </c>
      <c r="H305" s="852">
        <v>0.53</v>
      </c>
      <c r="I305" s="852">
        <v>10.050000000000001</v>
      </c>
      <c r="J305" s="852">
        <f t="shared" si="19"/>
        <v>5.3265000000000002</v>
      </c>
      <c r="K305" s="852">
        <f t="shared" si="20"/>
        <v>0.69244500000000009</v>
      </c>
      <c r="L305">
        <v>53</v>
      </c>
      <c r="M305" s="425" t="s">
        <v>2380</v>
      </c>
      <c r="N305" s="370">
        <v>2020</v>
      </c>
      <c r="O305" s="425" t="s">
        <v>2599</v>
      </c>
      <c r="P305" s="858">
        <v>5415058030995</v>
      </c>
      <c r="Q305" s="425" t="s">
        <v>2385</v>
      </c>
      <c r="R305" s="851">
        <v>16</v>
      </c>
      <c r="S305" s="851">
        <v>0</v>
      </c>
      <c r="T305" s="851">
        <v>20</v>
      </c>
      <c r="U305" s="851">
        <v>0</v>
      </c>
      <c r="V305" s="851">
        <v>17.600000000000001</v>
      </c>
      <c r="W305" s="851">
        <v>0</v>
      </c>
      <c r="X305" s="851">
        <v>22</v>
      </c>
      <c r="Y305" s="851">
        <v>0</v>
      </c>
      <c r="Z305" s="851">
        <v>40</v>
      </c>
      <c r="AA305" s="851">
        <v>0</v>
      </c>
      <c r="AB305" s="851">
        <v>56</v>
      </c>
      <c r="AC305" s="851">
        <v>0</v>
      </c>
      <c r="AD305" s="851">
        <v>96.8</v>
      </c>
      <c r="AE305" s="851">
        <v>0</v>
      </c>
      <c r="AF305" s="851">
        <v>44</v>
      </c>
      <c r="AG305" s="851">
        <v>0</v>
      </c>
      <c r="AH305" s="851">
        <v>81.3</v>
      </c>
      <c r="AI305" s="851">
        <v>0</v>
      </c>
      <c r="AJ305" s="851">
        <v>14.8</v>
      </c>
      <c r="AK305" s="851"/>
      <c r="AL305" s="851">
        <v>14.8</v>
      </c>
      <c r="AM305" s="851"/>
      <c r="AN305" s="851"/>
      <c r="AO305" s="851"/>
      <c r="AP305" s="851"/>
    </row>
    <row r="306" spans="1:42" ht="14">
      <c r="A306" s="856">
        <v>305</v>
      </c>
      <c r="B306" s="425" t="s">
        <v>2609</v>
      </c>
      <c r="C306" s="425" t="s">
        <v>41</v>
      </c>
      <c r="D306" s="425" t="s">
        <v>2595</v>
      </c>
      <c r="E306" s="425" t="s">
        <v>708</v>
      </c>
      <c r="F306" s="425" t="s">
        <v>518</v>
      </c>
      <c r="G306">
        <v>1</v>
      </c>
      <c r="H306" s="852">
        <v>0.53</v>
      </c>
      <c r="I306" s="852">
        <v>10.050000000000001</v>
      </c>
      <c r="J306" s="852">
        <f t="shared" si="19"/>
        <v>5.3265000000000002</v>
      </c>
      <c r="K306" s="852">
        <f t="shared" si="20"/>
        <v>0.69244500000000009</v>
      </c>
      <c r="L306">
        <v>53</v>
      </c>
      <c r="M306" s="425" t="s">
        <v>2380</v>
      </c>
      <c r="N306" s="370">
        <v>2020</v>
      </c>
      <c r="O306" s="425" t="s">
        <v>2599</v>
      </c>
      <c r="P306" s="858">
        <v>5415058031008</v>
      </c>
      <c r="Q306" s="425" t="s">
        <v>2385</v>
      </c>
      <c r="R306" s="851">
        <v>16</v>
      </c>
      <c r="S306" s="851">
        <v>0</v>
      </c>
      <c r="T306" s="851">
        <v>20</v>
      </c>
      <c r="U306" s="851">
        <v>0</v>
      </c>
      <c r="V306" s="851">
        <v>17.600000000000001</v>
      </c>
      <c r="W306" s="851">
        <v>0</v>
      </c>
      <c r="X306" s="851">
        <v>22</v>
      </c>
      <c r="Y306" s="851">
        <v>0</v>
      </c>
      <c r="Z306" s="851">
        <v>40</v>
      </c>
      <c r="AA306" s="851">
        <v>0</v>
      </c>
      <c r="AB306" s="851">
        <v>56</v>
      </c>
      <c r="AC306" s="851">
        <v>0</v>
      </c>
      <c r="AD306" s="851">
        <v>96.8</v>
      </c>
      <c r="AE306" s="851">
        <v>0</v>
      </c>
      <c r="AF306" s="851">
        <v>44</v>
      </c>
      <c r="AG306" s="851">
        <v>0</v>
      </c>
      <c r="AH306" s="851">
        <v>81.3</v>
      </c>
      <c r="AI306" s="851">
        <v>0</v>
      </c>
      <c r="AJ306" s="851">
        <v>14.8</v>
      </c>
      <c r="AK306" s="851"/>
      <c r="AL306" s="851">
        <v>14.8</v>
      </c>
      <c r="AM306" s="851"/>
      <c r="AN306" s="851"/>
      <c r="AO306" s="851"/>
      <c r="AP306" s="851"/>
    </row>
    <row r="307" spans="1:42" ht="14">
      <c r="A307" s="856">
        <v>306</v>
      </c>
      <c r="B307" s="425" t="s">
        <v>2610</v>
      </c>
      <c r="C307" s="425" t="s">
        <v>41</v>
      </c>
      <c r="D307" s="425" t="s">
        <v>2595</v>
      </c>
      <c r="E307" s="425" t="s">
        <v>708</v>
      </c>
      <c r="F307" s="425" t="s">
        <v>711</v>
      </c>
      <c r="G307">
        <v>1</v>
      </c>
      <c r="H307" s="852">
        <v>0.53</v>
      </c>
      <c r="I307" s="852">
        <v>10.050000000000001</v>
      </c>
      <c r="J307" s="852">
        <f t="shared" si="19"/>
        <v>5.3265000000000002</v>
      </c>
      <c r="K307" s="852">
        <f t="shared" si="20"/>
        <v>0.69244500000000009</v>
      </c>
      <c r="L307">
        <v>53</v>
      </c>
      <c r="M307" s="425" t="s">
        <v>2380</v>
      </c>
      <c r="N307" s="370">
        <v>2020</v>
      </c>
      <c r="O307" s="425" t="s">
        <v>2599</v>
      </c>
      <c r="P307" s="858">
        <v>5415058031015</v>
      </c>
      <c r="Q307" s="425" t="s">
        <v>2385</v>
      </c>
      <c r="R307" s="851">
        <v>16</v>
      </c>
      <c r="S307" s="851">
        <v>0</v>
      </c>
      <c r="T307" s="851">
        <v>20</v>
      </c>
      <c r="U307" s="851">
        <v>0</v>
      </c>
      <c r="V307" s="851">
        <v>17.600000000000001</v>
      </c>
      <c r="W307" s="851">
        <v>0</v>
      </c>
      <c r="X307" s="851">
        <v>22</v>
      </c>
      <c r="Y307" s="851">
        <v>0</v>
      </c>
      <c r="Z307" s="851">
        <v>40</v>
      </c>
      <c r="AA307" s="851">
        <v>0</v>
      </c>
      <c r="AB307" s="851">
        <v>56</v>
      </c>
      <c r="AC307" s="851">
        <v>0</v>
      </c>
      <c r="AD307" s="851">
        <v>96.8</v>
      </c>
      <c r="AE307" s="851">
        <v>0</v>
      </c>
      <c r="AF307" s="851">
        <v>44</v>
      </c>
      <c r="AG307" s="851">
        <v>0</v>
      </c>
      <c r="AH307" s="851">
        <v>81.3</v>
      </c>
      <c r="AI307" s="851">
        <v>0</v>
      </c>
      <c r="AJ307" s="851">
        <v>14.8</v>
      </c>
      <c r="AK307" s="851"/>
      <c r="AL307" s="851">
        <v>14.8</v>
      </c>
      <c r="AM307" s="851"/>
      <c r="AN307" s="851"/>
      <c r="AO307" s="851"/>
      <c r="AP307" s="851"/>
    </row>
    <row r="308" spans="1:42" ht="14">
      <c r="A308" s="856">
        <v>307</v>
      </c>
      <c r="B308" s="425" t="s">
        <v>2611</v>
      </c>
      <c r="C308" s="425" t="s">
        <v>41</v>
      </c>
      <c r="D308" s="425" t="s">
        <v>2595</v>
      </c>
      <c r="E308" s="425" t="s">
        <v>708</v>
      </c>
      <c r="F308" s="425" t="s">
        <v>590</v>
      </c>
      <c r="G308">
        <v>1</v>
      </c>
      <c r="H308" s="852">
        <v>0.53</v>
      </c>
      <c r="I308" s="852">
        <v>10.050000000000001</v>
      </c>
      <c r="J308" s="852">
        <f t="shared" si="19"/>
        <v>5.3265000000000002</v>
      </c>
      <c r="K308" s="852">
        <f t="shared" si="20"/>
        <v>0.69244500000000009</v>
      </c>
      <c r="L308">
        <v>53</v>
      </c>
      <c r="M308" s="425" t="s">
        <v>2380</v>
      </c>
      <c r="N308" s="370">
        <v>2020</v>
      </c>
      <c r="O308" s="425" t="s">
        <v>2599</v>
      </c>
      <c r="P308" s="858">
        <v>5415058031022</v>
      </c>
      <c r="Q308" s="425" t="s">
        <v>2385</v>
      </c>
      <c r="R308" s="851">
        <v>16</v>
      </c>
      <c r="S308" s="851">
        <v>0</v>
      </c>
      <c r="T308" s="851">
        <v>20</v>
      </c>
      <c r="U308" s="851">
        <v>0</v>
      </c>
      <c r="V308" s="851">
        <v>17.600000000000001</v>
      </c>
      <c r="W308" s="851">
        <v>0</v>
      </c>
      <c r="X308" s="851">
        <v>22</v>
      </c>
      <c r="Y308" s="851">
        <v>0</v>
      </c>
      <c r="Z308" s="851">
        <v>40</v>
      </c>
      <c r="AA308" s="851">
        <v>0</v>
      </c>
      <c r="AB308" s="851">
        <v>56</v>
      </c>
      <c r="AC308" s="851">
        <v>0</v>
      </c>
      <c r="AD308" s="851">
        <v>96.8</v>
      </c>
      <c r="AE308" s="851">
        <v>0</v>
      </c>
      <c r="AF308" s="851">
        <v>44</v>
      </c>
      <c r="AG308" s="851">
        <v>0</v>
      </c>
      <c r="AH308" s="851">
        <v>81.3</v>
      </c>
      <c r="AI308" s="851">
        <v>0</v>
      </c>
      <c r="AJ308" s="851">
        <v>14.8</v>
      </c>
      <c r="AK308" s="851"/>
      <c r="AL308" s="851">
        <v>14.8</v>
      </c>
      <c r="AM308" s="851"/>
      <c r="AN308" s="851"/>
      <c r="AO308" s="851"/>
      <c r="AP308" s="851"/>
    </row>
    <row r="309" spans="1:42" ht="14">
      <c r="A309" s="856">
        <v>308</v>
      </c>
      <c r="B309" s="425" t="s">
        <v>2612</v>
      </c>
      <c r="C309" s="425" t="s">
        <v>41</v>
      </c>
      <c r="D309" s="425" t="s">
        <v>2595</v>
      </c>
      <c r="E309" s="425" t="s">
        <v>714</v>
      </c>
      <c r="F309" s="425" t="s">
        <v>703</v>
      </c>
      <c r="G309">
        <v>1</v>
      </c>
      <c r="H309" s="852">
        <v>0.53</v>
      </c>
      <c r="I309" s="852">
        <v>10.050000000000001</v>
      </c>
      <c r="J309" s="852">
        <f t="shared" si="19"/>
        <v>5.3265000000000002</v>
      </c>
      <c r="K309" s="852">
        <f t="shared" si="20"/>
        <v>0.69244500000000009</v>
      </c>
      <c r="L309">
        <v>26.5</v>
      </c>
      <c r="M309" s="425" t="s">
        <v>2598</v>
      </c>
      <c r="N309" s="370">
        <v>2020</v>
      </c>
      <c r="O309" s="425" t="s">
        <v>2599</v>
      </c>
      <c r="P309" s="858">
        <v>5415058031039</v>
      </c>
      <c r="Q309" s="425" t="s">
        <v>2385</v>
      </c>
      <c r="R309" s="851">
        <v>16</v>
      </c>
      <c r="S309" s="851">
        <v>0</v>
      </c>
      <c r="T309" s="851">
        <v>20</v>
      </c>
      <c r="U309" s="851">
        <v>0</v>
      </c>
      <c r="V309" s="851">
        <v>17.600000000000001</v>
      </c>
      <c r="W309" s="851">
        <v>0</v>
      </c>
      <c r="X309" s="851">
        <v>22</v>
      </c>
      <c r="Y309" s="851">
        <v>0</v>
      </c>
      <c r="Z309" s="851">
        <v>40</v>
      </c>
      <c r="AA309" s="851">
        <v>0</v>
      </c>
      <c r="AB309" s="851">
        <v>56</v>
      </c>
      <c r="AC309" s="851">
        <v>0</v>
      </c>
      <c r="AD309" s="851">
        <v>96.8</v>
      </c>
      <c r="AE309" s="851">
        <v>0</v>
      </c>
      <c r="AF309" s="851">
        <v>44</v>
      </c>
      <c r="AG309" s="851">
        <v>0</v>
      </c>
      <c r="AH309" s="851">
        <v>81.3</v>
      </c>
      <c r="AI309" s="851">
        <v>0</v>
      </c>
      <c r="AJ309" s="851">
        <v>14.8</v>
      </c>
      <c r="AK309" s="851"/>
      <c r="AL309" s="851">
        <v>14.8</v>
      </c>
      <c r="AM309" s="851"/>
      <c r="AN309" s="851"/>
      <c r="AO309" s="851"/>
      <c r="AP309" s="851"/>
    </row>
    <row r="310" spans="1:42" ht="14">
      <c r="A310" s="856">
        <v>309</v>
      </c>
      <c r="B310" s="425" t="s">
        <v>2613</v>
      </c>
      <c r="C310" s="425" t="s">
        <v>41</v>
      </c>
      <c r="D310" s="425" t="s">
        <v>2595</v>
      </c>
      <c r="E310" s="425" t="s">
        <v>714</v>
      </c>
      <c r="F310" s="425" t="s">
        <v>518</v>
      </c>
      <c r="G310">
        <v>1</v>
      </c>
      <c r="H310" s="852">
        <v>0.53</v>
      </c>
      <c r="I310" s="852">
        <v>10.050000000000001</v>
      </c>
      <c r="J310" s="852">
        <f t="shared" si="19"/>
        <v>5.3265000000000002</v>
      </c>
      <c r="K310" s="852">
        <f t="shared" si="20"/>
        <v>0.69244500000000009</v>
      </c>
      <c r="L310">
        <v>26.5</v>
      </c>
      <c r="M310" s="425" t="s">
        <v>2598</v>
      </c>
      <c r="N310" s="370">
        <v>2020</v>
      </c>
      <c r="O310" s="425" t="s">
        <v>2599</v>
      </c>
      <c r="P310" s="858">
        <v>5415058031046</v>
      </c>
      <c r="Q310" s="425" t="s">
        <v>2385</v>
      </c>
      <c r="R310" s="851">
        <v>16</v>
      </c>
      <c r="S310" s="851">
        <v>0</v>
      </c>
      <c r="T310" s="851">
        <v>20</v>
      </c>
      <c r="U310" s="851">
        <v>0</v>
      </c>
      <c r="V310" s="851">
        <v>17.600000000000001</v>
      </c>
      <c r="W310" s="851">
        <v>0</v>
      </c>
      <c r="X310" s="851">
        <v>22</v>
      </c>
      <c r="Y310" s="851">
        <v>0</v>
      </c>
      <c r="Z310" s="851">
        <v>40</v>
      </c>
      <c r="AA310" s="851">
        <v>0</v>
      </c>
      <c r="AB310" s="851">
        <v>56</v>
      </c>
      <c r="AC310" s="851">
        <v>0</v>
      </c>
      <c r="AD310" s="851">
        <v>96.8</v>
      </c>
      <c r="AE310" s="851">
        <v>0</v>
      </c>
      <c r="AF310" s="851">
        <v>44</v>
      </c>
      <c r="AG310" s="851">
        <v>0</v>
      </c>
      <c r="AH310" s="851">
        <v>81.3</v>
      </c>
      <c r="AI310" s="851">
        <v>0</v>
      </c>
      <c r="AJ310" s="851">
        <v>14.8</v>
      </c>
      <c r="AK310" s="851"/>
      <c r="AL310" s="851">
        <v>14.8</v>
      </c>
      <c r="AM310" s="851"/>
      <c r="AN310" s="851"/>
      <c r="AO310" s="851"/>
      <c r="AP310" s="851"/>
    </row>
    <row r="311" spans="1:42" ht="14">
      <c r="A311" s="856">
        <v>310</v>
      </c>
      <c r="B311" s="425" t="s">
        <v>2614</v>
      </c>
      <c r="C311" s="425" t="s">
        <v>41</v>
      </c>
      <c r="D311" s="425" t="s">
        <v>2595</v>
      </c>
      <c r="E311" s="425" t="s">
        <v>714</v>
      </c>
      <c r="F311" s="425" t="s">
        <v>711</v>
      </c>
      <c r="G311">
        <v>1</v>
      </c>
      <c r="H311" s="852">
        <v>0.53</v>
      </c>
      <c r="I311" s="852">
        <v>10.050000000000001</v>
      </c>
      <c r="J311" s="852">
        <f t="shared" si="19"/>
        <v>5.3265000000000002</v>
      </c>
      <c r="K311" s="852">
        <f t="shared" si="20"/>
        <v>0.69244500000000009</v>
      </c>
      <c r="L311">
        <v>26.5</v>
      </c>
      <c r="M311" s="425" t="s">
        <v>2598</v>
      </c>
      <c r="N311" s="370">
        <v>2020</v>
      </c>
      <c r="O311" s="425" t="s">
        <v>2599</v>
      </c>
      <c r="P311" s="858">
        <v>5415058031053</v>
      </c>
      <c r="Q311" s="425" t="s">
        <v>2385</v>
      </c>
      <c r="R311" s="851">
        <v>16</v>
      </c>
      <c r="S311" s="851">
        <v>0</v>
      </c>
      <c r="T311" s="851">
        <v>20</v>
      </c>
      <c r="U311" s="851">
        <v>0</v>
      </c>
      <c r="V311" s="851">
        <v>17.600000000000001</v>
      </c>
      <c r="W311" s="851">
        <v>0</v>
      </c>
      <c r="X311" s="851">
        <v>22</v>
      </c>
      <c r="Y311" s="851">
        <v>0</v>
      </c>
      <c r="Z311" s="851">
        <v>40</v>
      </c>
      <c r="AA311" s="851">
        <v>0</v>
      </c>
      <c r="AB311" s="851">
        <v>56</v>
      </c>
      <c r="AC311" s="851">
        <v>0</v>
      </c>
      <c r="AD311" s="851">
        <v>96.8</v>
      </c>
      <c r="AE311" s="851">
        <v>0</v>
      </c>
      <c r="AF311" s="851">
        <v>44</v>
      </c>
      <c r="AG311" s="851">
        <v>0</v>
      </c>
      <c r="AH311" s="851">
        <v>81.3</v>
      </c>
      <c r="AI311" s="851">
        <v>0</v>
      </c>
      <c r="AJ311" s="851">
        <v>14.8</v>
      </c>
      <c r="AK311" s="851"/>
      <c r="AL311" s="851">
        <v>14.8</v>
      </c>
      <c r="AM311" s="851"/>
      <c r="AN311" s="851"/>
      <c r="AO311" s="851"/>
      <c r="AP311" s="851"/>
    </row>
    <row r="312" spans="1:42" ht="14">
      <c r="A312" s="856">
        <v>311</v>
      </c>
      <c r="B312" s="425" t="s">
        <v>2615</v>
      </c>
      <c r="C312" s="425" t="s">
        <v>41</v>
      </c>
      <c r="D312" s="425" t="s">
        <v>2595</v>
      </c>
      <c r="E312" s="425" t="s">
        <v>718</v>
      </c>
      <c r="F312" s="425" t="s">
        <v>519</v>
      </c>
      <c r="G312">
        <v>1</v>
      </c>
      <c r="H312" s="852">
        <v>0.53</v>
      </c>
      <c r="I312" s="852">
        <v>10.050000000000001</v>
      </c>
      <c r="J312" s="852">
        <f t="shared" si="19"/>
        <v>5.3265000000000002</v>
      </c>
      <c r="K312" s="852">
        <f t="shared" si="20"/>
        <v>0.69244500000000009</v>
      </c>
      <c r="L312">
        <v>53</v>
      </c>
      <c r="M312" s="425" t="s">
        <v>2380</v>
      </c>
      <c r="N312" s="370">
        <v>2020</v>
      </c>
      <c r="O312" s="425" t="s">
        <v>2599</v>
      </c>
      <c r="P312" s="858">
        <v>5415058031060</v>
      </c>
      <c r="Q312" s="425" t="s">
        <v>2385</v>
      </c>
      <c r="R312" s="851">
        <v>16</v>
      </c>
      <c r="S312" s="851">
        <v>0</v>
      </c>
      <c r="T312" s="851">
        <v>20</v>
      </c>
      <c r="U312" s="851">
        <v>0</v>
      </c>
      <c r="V312" s="851">
        <v>17.600000000000001</v>
      </c>
      <c r="W312" s="851">
        <v>0</v>
      </c>
      <c r="X312" s="851">
        <v>22</v>
      </c>
      <c r="Y312" s="851">
        <v>0</v>
      </c>
      <c r="Z312" s="851">
        <v>40</v>
      </c>
      <c r="AA312" s="851">
        <v>0</v>
      </c>
      <c r="AB312" s="851">
        <v>56</v>
      </c>
      <c r="AC312" s="851">
        <v>0</v>
      </c>
      <c r="AD312" s="851">
        <v>96.8</v>
      </c>
      <c r="AE312" s="851">
        <v>0</v>
      </c>
      <c r="AF312" s="851">
        <v>44</v>
      </c>
      <c r="AG312" s="851">
        <v>0</v>
      </c>
      <c r="AH312" s="851">
        <v>81.3</v>
      </c>
      <c r="AI312" s="851">
        <v>0</v>
      </c>
      <c r="AJ312" s="851">
        <v>14.8</v>
      </c>
      <c r="AK312" s="851"/>
      <c r="AL312" s="851">
        <v>14.8</v>
      </c>
      <c r="AM312" s="851"/>
      <c r="AN312" s="851"/>
      <c r="AO312" s="851"/>
      <c r="AP312" s="851"/>
    </row>
    <row r="313" spans="1:42" ht="14">
      <c r="A313" s="856">
        <v>312</v>
      </c>
      <c r="B313" s="425" t="s">
        <v>2616</v>
      </c>
      <c r="C313" s="425" t="s">
        <v>41</v>
      </c>
      <c r="D313" s="425" t="s">
        <v>2595</v>
      </c>
      <c r="E313" s="425" t="s">
        <v>718</v>
      </c>
      <c r="F313" s="425" t="s">
        <v>705</v>
      </c>
      <c r="G313">
        <v>1</v>
      </c>
      <c r="H313" s="852">
        <v>0.53</v>
      </c>
      <c r="I313" s="852">
        <v>10.050000000000001</v>
      </c>
      <c r="J313" s="852">
        <f t="shared" si="19"/>
        <v>5.3265000000000002</v>
      </c>
      <c r="K313" s="852">
        <f t="shared" si="20"/>
        <v>0.69244500000000009</v>
      </c>
      <c r="L313">
        <v>53</v>
      </c>
      <c r="M313" s="425" t="s">
        <v>2380</v>
      </c>
      <c r="N313" s="370">
        <v>2020</v>
      </c>
      <c r="O313" s="425" t="s">
        <v>2599</v>
      </c>
      <c r="P313" s="858">
        <v>5415058031077</v>
      </c>
      <c r="Q313" s="425" t="s">
        <v>2385</v>
      </c>
      <c r="R313" s="851">
        <v>16</v>
      </c>
      <c r="S313" s="851">
        <v>0</v>
      </c>
      <c r="T313" s="851">
        <v>20</v>
      </c>
      <c r="U313" s="851">
        <v>0</v>
      </c>
      <c r="V313" s="851">
        <v>17.600000000000001</v>
      </c>
      <c r="W313" s="851">
        <v>0</v>
      </c>
      <c r="X313" s="851">
        <v>22</v>
      </c>
      <c r="Y313" s="851">
        <v>0</v>
      </c>
      <c r="Z313" s="851">
        <v>40</v>
      </c>
      <c r="AA313" s="851">
        <v>0</v>
      </c>
      <c r="AB313" s="851">
        <v>56</v>
      </c>
      <c r="AC313" s="851">
        <v>0</v>
      </c>
      <c r="AD313" s="851">
        <v>96.8</v>
      </c>
      <c r="AE313" s="851">
        <v>0</v>
      </c>
      <c r="AF313" s="851">
        <v>44</v>
      </c>
      <c r="AG313" s="851">
        <v>0</v>
      </c>
      <c r="AH313" s="851">
        <v>81.3</v>
      </c>
      <c r="AI313" s="851">
        <v>0</v>
      </c>
      <c r="AJ313" s="851">
        <v>14.8</v>
      </c>
      <c r="AK313" s="851"/>
      <c r="AL313" s="851">
        <v>14.8</v>
      </c>
      <c r="AM313" s="851"/>
      <c r="AN313" s="851"/>
      <c r="AO313" s="851"/>
      <c r="AP313" s="851"/>
    </row>
    <row r="314" spans="1:42" ht="14">
      <c r="A314" s="856">
        <v>313</v>
      </c>
      <c r="B314" s="425" t="s">
        <v>2617</v>
      </c>
      <c r="C314" s="425" t="s">
        <v>41</v>
      </c>
      <c r="D314" s="425" t="s">
        <v>2595</v>
      </c>
      <c r="E314" s="425" t="s">
        <v>718</v>
      </c>
      <c r="F314" s="425" t="s">
        <v>721</v>
      </c>
      <c r="G314">
        <v>1</v>
      </c>
      <c r="H314" s="852">
        <v>0.53</v>
      </c>
      <c r="I314" s="852">
        <v>10.050000000000001</v>
      </c>
      <c r="J314" s="852">
        <f t="shared" si="19"/>
        <v>5.3265000000000002</v>
      </c>
      <c r="K314" s="852">
        <f t="shared" si="20"/>
        <v>0.69244500000000009</v>
      </c>
      <c r="L314">
        <v>53</v>
      </c>
      <c r="M314" s="425" t="s">
        <v>2380</v>
      </c>
      <c r="N314" s="370">
        <v>2020</v>
      </c>
      <c r="O314" s="425" t="s">
        <v>2599</v>
      </c>
      <c r="P314" s="858">
        <v>5415058031084</v>
      </c>
      <c r="Q314" s="425" t="s">
        <v>2385</v>
      </c>
      <c r="R314" s="851">
        <v>16</v>
      </c>
      <c r="S314" s="851">
        <v>0</v>
      </c>
      <c r="T314" s="851">
        <v>20</v>
      </c>
      <c r="U314" s="851">
        <v>0</v>
      </c>
      <c r="V314" s="851">
        <v>17.600000000000001</v>
      </c>
      <c r="W314" s="851">
        <v>0</v>
      </c>
      <c r="X314" s="851">
        <v>22</v>
      </c>
      <c r="Y314" s="851">
        <v>0</v>
      </c>
      <c r="Z314" s="851">
        <v>40</v>
      </c>
      <c r="AA314" s="851">
        <v>0</v>
      </c>
      <c r="AB314" s="851">
        <v>56</v>
      </c>
      <c r="AC314" s="851">
        <v>0</v>
      </c>
      <c r="AD314" s="851">
        <v>96.8</v>
      </c>
      <c r="AE314" s="851">
        <v>0</v>
      </c>
      <c r="AF314" s="851">
        <v>44</v>
      </c>
      <c r="AG314" s="851">
        <v>0</v>
      </c>
      <c r="AH314" s="851">
        <v>81.3</v>
      </c>
      <c r="AI314" s="851">
        <v>0</v>
      </c>
      <c r="AJ314" s="851">
        <v>14.8</v>
      </c>
      <c r="AK314" s="851"/>
      <c r="AL314" s="851">
        <v>14.8</v>
      </c>
      <c r="AM314" s="851"/>
      <c r="AN314" s="851"/>
      <c r="AO314" s="851"/>
      <c r="AP314" s="851"/>
    </row>
    <row r="315" spans="1:42" ht="14">
      <c r="A315" s="856">
        <v>314</v>
      </c>
      <c r="B315" s="425" t="s">
        <v>2618</v>
      </c>
      <c r="C315" s="425" t="s">
        <v>41</v>
      </c>
      <c r="D315" s="425" t="s">
        <v>2595</v>
      </c>
      <c r="E315" s="425" t="s">
        <v>718</v>
      </c>
      <c r="F315" s="425" t="s">
        <v>723</v>
      </c>
      <c r="G315">
        <v>1</v>
      </c>
      <c r="H315" s="852">
        <v>0.53</v>
      </c>
      <c r="I315" s="852">
        <v>10.050000000000001</v>
      </c>
      <c r="J315" s="852">
        <f t="shared" si="19"/>
        <v>5.3265000000000002</v>
      </c>
      <c r="K315" s="852">
        <f t="shared" si="20"/>
        <v>0.69244500000000009</v>
      </c>
      <c r="L315">
        <v>53</v>
      </c>
      <c r="M315" s="425" t="s">
        <v>2380</v>
      </c>
      <c r="N315" s="370">
        <v>2020</v>
      </c>
      <c r="O315" s="425" t="s">
        <v>2599</v>
      </c>
      <c r="P315" s="858">
        <v>5415058031091</v>
      </c>
      <c r="Q315" s="425" t="s">
        <v>2385</v>
      </c>
      <c r="R315" s="851">
        <v>16</v>
      </c>
      <c r="S315" s="851">
        <v>0</v>
      </c>
      <c r="T315" s="851">
        <v>20</v>
      </c>
      <c r="U315" s="851">
        <v>0</v>
      </c>
      <c r="V315" s="851">
        <v>17.600000000000001</v>
      </c>
      <c r="W315" s="851">
        <v>0</v>
      </c>
      <c r="X315" s="851">
        <v>22</v>
      </c>
      <c r="Y315" s="851">
        <v>0</v>
      </c>
      <c r="Z315" s="851">
        <v>40</v>
      </c>
      <c r="AA315" s="851">
        <v>0</v>
      </c>
      <c r="AB315" s="851">
        <v>56</v>
      </c>
      <c r="AC315" s="851">
        <v>0</v>
      </c>
      <c r="AD315" s="851">
        <v>96.8</v>
      </c>
      <c r="AE315" s="851">
        <v>0</v>
      </c>
      <c r="AF315" s="851">
        <v>44</v>
      </c>
      <c r="AG315" s="851">
        <v>0</v>
      </c>
      <c r="AH315" s="851">
        <v>81.3</v>
      </c>
      <c r="AI315" s="851">
        <v>0</v>
      </c>
      <c r="AJ315" s="851">
        <v>14.8</v>
      </c>
      <c r="AK315" s="851"/>
      <c r="AL315" s="851">
        <v>14.8</v>
      </c>
      <c r="AM315" s="851"/>
      <c r="AN315" s="851"/>
      <c r="AO315" s="851"/>
      <c r="AP315" s="851"/>
    </row>
    <row r="316" spans="1:42" ht="14">
      <c r="A316" s="856">
        <v>315</v>
      </c>
      <c r="B316" s="425" t="s">
        <v>2619</v>
      </c>
      <c r="C316" s="425" t="s">
        <v>41</v>
      </c>
      <c r="D316" s="425" t="s">
        <v>2595</v>
      </c>
      <c r="E316" s="425" t="s">
        <v>718</v>
      </c>
      <c r="F316" s="425" t="s">
        <v>725</v>
      </c>
      <c r="G316">
        <v>1</v>
      </c>
      <c r="H316" s="852">
        <v>0.53</v>
      </c>
      <c r="I316" s="852">
        <v>10.050000000000001</v>
      </c>
      <c r="J316" s="852">
        <f t="shared" si="19"/>
        <v>5.3265000000000002</v>
      </c>
      <c r="K316" s="852">
        <f t="shared" si="20"/>
        <v>0.69244500000000009</v>
      </c>
      <c r="L316">
        <v>53</v>
      </c>
      <c r="M316" s="425" t="s">
        <v>2380</v>
      </c>
      <c r="N316" s="370">
        <v>2020</v>
      </c>
      <c r="O316" s="425" t="s">
        <v>2599</v>
      </c>
      <c r="P316" s="858">
        <v>5415058031107</v>
      </c>
      <c r="Q316" s="425" t="s">
        <v>2385</v>
      </c>
      <c r="R316" s="851">
        <v>16</v>
      </c>
      <c r="S316" s="851">
        <v>0</v>
      </c>
      <c r="T316" s="851">
        <v>20</v>
      </c>
      <c r="U316" s="851">
        <v>0</v>
      </c>
      <c r="V316" s="851">
        <v>17.600000000000001</v>
      </c>
      <c r="W316" s="851">
        <v>0</v>
      </c>
      <c r="X316" s="851">
        <v>22</v>
      </c>
      <c r="Y316" s="851">
        <v>0</v>
      </c>
      <c r="Z316" s="851">
        <v>40</v>
      </c>
      <c r="AA316" s="851">
        <v>0</v>
      </c>
      <c r="AB316" s="851">
        <v>56</v>
      </c>
      <c r="AC316" s="851">
        <v>0</v>
      </c>
      <c r="AD316" s="851">
        <v>96.8</v>
      </c>
      <c r="AE316" s="851">
        <v>0</v>
      </c>
      <c r="AF316" s="851">
        <v>44</v>
      </c>
      <c r="AG316" s="851">
        <v>0</v>
      </c>
      <c r="AH316" s="851">
        <v>81.3</v>
      </c>
      <c r="AI316" s="851">
        <v>0</v>
      </c>
      <c r="AJ316" s="851">
        <v>14.8</v>
      </c>
      <c r="AK316" s="851"/>
      <c r="AL316" s="851">
        <v>14.8</v>
      </c>
      <c r="AM316" s="851"/>
      <c r="AN316" s="851"/>
      <c r="AO316" s="851"/>
      <c r="AP316" s="851"/>
    </row>
    <row r="317" spans="1:42" ht="14">
      <c r="A317" s="856">
        <v>316</v>
      </c>
      <c r="B317" s="425" t="s">
        <v>2620</v>
      </c>
      <c r="C317" s="425" t="s">
        <v>41</v>
      </c>
      <c r="D317" s="425" t="s">
        <v>2595</v>
      </c>
      <c r="E317" s="425" t="s">
        <v>718</v>
      </c>
      <c r="F317" s="425" t="s">
        <v>590</v>
      </c>
      <c r="G317">
        <v>1</v>
      </c>
      <c r="H317" s="852">
        <v>0.53</v>
      </c>
      <c r="I317" s="852">
        <v>10.050000000000001</v>
      </c>
      <c r="J317" s="852">
        <f t="shared" si="19"/>
        <v>5.3265000000000002</v>
      </c>
      <c r="K317" s="852">
        <f t="shared" si="20"/>
        <v>0.69244500000000009</v>
      </c>
      <c r="L317">
        <v>53</v>
      </c>
      <c r="M317" s="425" t="s">
        <v>2380</v>
      </c>
      <c r="N317" s="370">
        <v>2020</v>
      </c>
      <c r="O317" s="425" t="s">
        <v>2599</v>
      </c>
      <c r="P317" s="858">
        <v>5415058031114</v>
      </c>
      <c r="Q317" s="425" t="s">
        <v>2385</v>
      </c>
      <c r="R317" s="851">
        <v>16</v>
      </c>
      <c r="S317" s="851">
        <v>0</v>
      </c>
      <c r="T317" s="851">
        <v>20</v>
      </c>
      <c r="U317" s="851">
        <v>0</v>
      </c>
      <c r="V317" s="851">
        <v>17.600000000000001</v>
      </c>
      <c r="W317" s="851">
        <v>0</v>
      </c>
      <c r="X317" s="851">
        <v>22</v>
      </c>
      <c r="Y317" s="851">
        <v>0</v>
      </c>
      <c r="Z317" s="851">
        <v>40</v>
      </c>
      <c r="AA317" s="851">
        <v>0</v>
      </c>
      <c r="AB317" s="851">
        <v>56</v>
      </c>
      <c r="AC317" s="851">
        <v>0</v>
      </c>
      <c r="AD317" s="851">
        <v>96.8</v>
      </c>
      <c r="AE317" s="851">
        <v>0</v>
      </c>
      <c r="AF317" s="851">
        <v>44</v>
      </c>
      <c r="AG317" s="851">
        <v>0</v>
      </c>
      <c r="AH317" s="851">
        <v>81.3</v>
      </c>
      <c r="AI317" s="851">
        <v>0</v>
      </c>
      <c r="AJ317" s="851">
        <v>14.8</v>
      </c>
      <c r="AK317" s="851"/>
      <c r="AL317" s="851">
        <v>14.8</v>
      </c>
      <c r="AM317" s="851"/>
      <c r="AN317" s="851"/>
      <c r="AO317" s="851"/>
      <c r="AP317" s="851"/>
    </row>
    <row r="318" spans="1:42" ht="14">
      <c r="A318" s="856">
        <v>317</v>
      </c>
      <c r="B318" s="425" t="s">
        <v>2621</v>
      </c>
      <c r="C318" s="425" t="s">
        <v>41</v>
      </c>
      <c r="D318" s="425" t="s">
        <v>2595</v>
      </c>
      <c r="E318" s="425" t="s">
        <v>728</v>
      </c>
      <c r="F318" s="425" t="s">
        <v>695</v>
      </c>
      <c r="G318">
        <v>1</v>
      </c>
      <c r="H318" s="852">
        <v>0.53</v>
      </c>
      <c r="I318" s="852">
        <v>10.050000000000001</v>
      </c>
      <c r="J318" s="852">
        <f t="shared" si="19"/>
        <v>5.3265000000000002</v>
      </c>
      <c r="K318" s="852">
        <f t="shared" si="20"/>
        <v>0.69244500000000009</v>
      </c>
      <c r="L318">
        <v>53</v>
      </c>
      <c r="M318" s="425" t="s">
        <v>2380</v>
      </c>
      <c r="N318" s="370">
        <v>2020</v>
      </c>
      <c r="O318" s="425" t="s">
        <v>2599</v>
      </c>
      <c r="P318" s="858">
        <v>5415058031138</v>
      </c>
      <c r="Q318" s="425" t="s">
        <v>2385</v>
      </c>
      <c r="R318" s="851">
        <v>16</v>
      </c>
      <c r="S318" s="851">
        <v>0</v>
      </c>
      <c r="T318" s="851">
        <v>20</v>
      </c>
      <c r="U318" s="851">
        <v>0</v>
      </c>
      <c r="V318" s="851">
        <v>17.600000000000001</v>
      </c>
      <c r="W318" s="851">
        <v>0</v>
      </c>
      <c r="X318" s="851">
        <v>22</v>
      </c>
      <c r="Y318" s="851">
        <v>0</v>
      </c>
      <c r="Z318" s="851">
        <v>40</v>
      </c>
      <c r="AA318" s="851">
        <v>0</v>
      </c>
      <c r="AB318" s="851">
        <v>56</v>
      </c>
      <c r="AC318" s="851">
        <v>0</v>
      </c>
      <c r="AD318" s="851">
        <v>96.8</v>
      </c>
      <c r="AE318" s="851">
        <v>0</v>
      </c>
      <c r="AF318" s="851">
        <v>44</v>
      </c>
      <c r="AG318" s="851">
        <v>0</v>
      </c>
      <c r="AH318" s="851">
        <v>81.3</v>
      </c>
      <c r="AI318" s="851">
        <v>0</v>
      </c>
      <c r="AJ318" s="851">
        <v>14.8</v>
      </c>
      <c r="AK318" s="851"/>
      <c r="AL318" s="851">
        <v>14.8</v>
      </c>
      <c r="AM318" s="851"/>
      <c r="AN318" s="851"/>
      <c r="AO318" s="851"/>
      <c r="AP318" s="851"/>
    </row>
    <row r="319" spans="1:42" ht="14">
      <c r="A319" s="856">
        <v>318</v>
      </c>
      <c r="B319" s="425" t="s">
        <v>2622</v>
      </c>
      <c r="C319" s="425" t="s">
        <v>41</v>
      </c>
      <c r="D319" s="425" t="s">
        <v>2595</v>
      </c>
      <c r="E319" s="425" t="s">
        <v>728</v>
      </c>
      <c r="F319" s="425" t="s">
        <v>721</v>
      </c>
      <c r="G319">
        <v>1</v>
      </c>
      <c r="H319" s="852">
        <v>0.53</v>
      </c>
      <c r="I319" s="852">
        <v>10.050000000000001</v>
      </c>
      <c r="J319" s="852">
        <f t="shared" si="19"/>
        <v>5.3265000000000002</v>
      </c>
      <c r="K319" s="852">
        <f t="shared" si="20"/>
        <v>0.69244500000000009</v>
      </c>
      <c r="L319">
        <v>53</v>
      </c>
      <c r="M319" s="425" t="s">
        <v>2380</v>
      </c>
      <c r="N319" s="370">
        <v>2020</v>
      </c>
      <c r="O319" s="425" t="s">
        <v>2599</v>
      </c>
      <c r="P319" s="858">
        <v>5415058031145</v>
      </c>
      <c r="Q319" s="425" t="s">
        <v>2385</v>
      </c>
      <c r="R319" s="851">
        <v>16</v>
      </c>
      <c r="S319" s="851">
        <v>0</v>
      </c>
      <c r="T319" s="851">
        <v>20</v>
      </c>
      <c r="U319" s="851">
        <v>0</v>
      </c>
      <c r="V319" s="851">
        <v>17.600000000000001</v>
      </c>
      <c r="W319" s="851">
        <v>0</v>
      </c>
      <c r="X319" s="851">
        <v>22</v>
      </c>
      <c r="Y319" s="851">
        <v>0</v>
      </c>
      <c r="Z319" s="851">
        <v>40</v>
      </c>
      <c r="AA319" s="851">
        <v>0</v>
      </c>
      <c r="AB319" s="851">
        <v>56</v>
      </c>
      <c r="AC319" s="851">
        <v>0</v>
      </c>
      <c r="AD319" s="851">
        <v>96.8</v>
      </c>
      <c r="AE319" s="851">
        <v>0</v>
      </c>
      <c r="AF319" s="851">
        <v>44</v>
      </c>
      <c r="AG319" s="851">
        <v>0</v>
      </c>
      <c r="AH319" s="851">
        <v>81.3</v>
      </c>
      <c r="AI319" s="851">
        <v>0</v>
      </c>
      <c r="AJ319" s="851">
        <v>14.8</v>
      </c>
      <c r="AK319" s="851"/>
      <c r="AL319" s="851">
        <v>14.8</v>
      </c>
      <c r="AM319" s="851"/>
      <c r="AN319" s="851"/>
      <c r="AO319" s="851"/>
      <c r="AP319" s="851"/>
    </row>
    <row r="320" spans="1:42" ht="14">
      <c r="A320" s="856">
        <v>319</v>
      </c>
      <c r="B320" s="425" t="s">
        <v>2623</v>
      </c>
      <c r="C320" s="425" t="s">
        <v>41</v>
      </c>
      <c r="D320" s="425" t="s">
        <v>2595</v>
      </c>
      <c r="E320" s="425" t="s">
        <v>728</v>
      </c>
      <c r="F320" s="425" t="s">
        <v>723</v>
      </c>
      <c r="G320">
        <v>1</v>
      </c>
      <c r="H320" s="852">
        <v>0.53</v>
      </c>
      <c r="I320" s="852">
        <v>10.050000000000001</v>
      </c>
      <c r="J320" s="852">
        <f t="shared" si="19"/>
        <v>5.3265000000000002</v>
      </c>
      <c r="K320" s="852">
        <f t="shared" si="20"/>
        <v>0.69244500000000009</v>
      </c>
      <c r="L320">
        <v>53</v>
      </c>
      <c r="M320" s="425" t="s">
        <v>2380</v>
      </c>
      <c r="N320" s="370">
        <v>2020</v>
      </c>
      <c r="O320" s="425" t="s">
        <v>2599</v>
      </c>
      <c r="P320" s="858">
        <v>5415058031152</v>
      </c>
      <c r="Q320" s="425" t="s">
        <v>2385</v>
      </c>
      <c r="R320" s="851">
        <v>16</v>
      </c>
      <c r="S320" s="851">
        <v>0</v>
      </c>
      <c r="T320" s="851">
        <v>20</v>
      </c>
      <c r="U320" s="851">
        <v>0</v>
      </c>
      <c r="V320" s="851">
        <v>17.600000000000001</v>
      </c>
      <c r="W320" s="851">
        <v>0</v>
      </c>
      <c r="X320" s="851">
        <v>22</v>
      </c>
      <c r="Y320" s="851">
        <v>0</v>
      </c>
      <c r="Z320" s="851">
        <v>40</v>
      </c>
      <c r="AA320" s="851">
        <v>0</v>
      </c>
      <c r="AB320" s="851">
        <v>56</v>
      </c>
      <c r="AC320" s="851">
        <v>0</v>
      </c>
      <c r="AD320" s="851">
        <v>96.8</v>
      </c>
      <c r="AE320" s="851">
        <v>0</v>
      </c>
      <c r="AF320" s="851">
        <v>44</v>
      </c>
      <c r="AG320" s="851">
        <v>0</v>
      </c>
      <c r="AH320" s="851">
        <v>81.3</v>
      </c>
      <c r="AI320" s="851">
        <v>0</v>
      </c>
      <c r="AJ320" s="851">
        <v>14.8</v>
      </c>
      <c r="AK320" s="851"/>
      <c r="AL320" s="851">
        <v>14.8</v>
      </c>
      <c r="AM320" s="851"/>
      <c r="AN320" s="851"/>
      <c r="AO320" s="851"/>
      <c r="AP320" s="851"/>
    </row>
    <row r="321" spans="1:42" ht="14">
      <c r="A321" s="856">
        <v>320</v>
      </c>
      <c r="B321" s="425" t="s">
        <v>2624</v>
      </c>
      <c r="C321" s="425" t="s">
        <v>41</v>
      </c>
      <c r="D321" s="425" t="s">
        <v>2595</v>
      </c>
      <c r="E321" s="425" t="s">
        <v>728</v>
      </c>
      <c r="F321" s="425" t="s">
        <v>518</v>
      </c>
      <c r="G321">
        <v>1</v>
      </c>
      <c r="H321" s="852">
        <v>0.53</v>
      </c>
      <c r="I321" s="852">
        <v>10.050000000000001</v>
      </c>
      <c r="J321" s="852">
        <f t="shared" si="19"/>
        <v>5.3265000000000002</v>
      </c>
      <c r="K321" s="852">
        <f t="shared" si="20"/>
        <v>0.69244500000000009</v>
      </c>
      <c r="L321">
        <v>53</v>
      </c>
      <c r="M321" s="425" t="s">
        <v>2380</v>
      </c>
      <c r="N321" s="370">
        <v>2020</v>
      </c>
      <c r="O321" s="425" t="s">
        <v>2599</v>
      </c>
      <c r="P321" s="858">
        <v>5415058031169</v>
      </c>
      <c r="Q321" s="425" t="s">
        <v>2385</v>
      </c>
      <c r="R321" s="851">
        <v>16</v>
      </c>
      <c r="S321" s="851">
        <v>0</v>
      </c>
      <c r="T321" s="851">
        <v>20</v>
      </c>
      <c r="U321" s="851">
        <v>0</v>
      </c>
      <c r="V321" s="851">
        <v>17.600000000000001</v>
      </c>
      <c r="W321" s="851">
        <v>0</v>
      </c>
      <c r="X321" s="851">
        <v>22</v>
      </c>
      <c r="Y321" s="851">
        <v>0</v>
      </c>
      <c r="Z321" s="851">
        <v>40</v>
      </c>
      <c r="AA321" s="851">
        <v>0</v>
      </c>
      <c r="AB321" s="851">
        <v>56</v>
      </c>
      <c r="AC321" s="851">
        <v>0</v>
      </c>
      <c r="AD321" s="851">
        <v>96.8</v>
      </c>
      <c r="AE321" s="851">
        <v>0</v>
      </c>
      <c r="AF321" s="851">
        <v>44</v>
      </c>
      <c r="AG321" s="851">
        <v>0</v>
      </c>
      <c r="AH321" s="851">
        <v>81.3</v>
      </c>
      <c r="AI321" s="851">
        <v>0</v>
      </c>
      <c r="AJ321" s="851">
        <v>14.8</v>
      </c>
      <c r="AK321" s="851"/>
      <c r="AL321" s="851">
        <v>14.8</v>
      </c>
      <c r="AM321" s="851"/>
      <c r="AN321" s="851"/>
      <c r="AO321" s="851"/>
      <c r="AP321" s="851"/>
    </row>
    <row r="322" spans="1:42" ht="14">
      <c r="A322" s="856">
        <v>321</v>
      </c>
      <c r="B322" s="425" t="s">
        <v>2625</v>
      </c>
      <c r="C322" s="425" t="s">
        <v>41</v>
      </c>
      <c r="D322" s="425" t="s">
        <v>2595</v>
      </c>
      <c r="E322" s="425" t="s">
        <v>728</v>
      </c>
      <c r="F322" s="425" t="s">
        <v>725</v>
      </c>
      <c r="G322">
        <v>1</v>
      </c>
      <c r="H322" s="852">
        <v>0.53</v>
      </c>
      <c r="I322" s="852">
        <v>10.050000000000001</v>
      </c>
      <c r="J322" s="852">
        <f t="shared" si="19"/>
        <v>5.3265000000000002</v>
      </c>
      <c r="K322" s="852">
        <f t="shared" si="20"/>
        <v>0.69244500000000009</v>
      </c>
      <c r="L322">
        <v>53</v>
      </c>
      <c r="M322" s="425" t="s">
        <v>2380</v>
      </c>
      <c r="N322" s="370">
        <v>2020</v>
      </c>
      <c r="O322" s="425" t="s">
        <v>2599</v>
      </c>
      <c r="P322" s="858">
        <v>5415058031176</v>
      </c>
      <c r="Q322" s="425" t="s">
        <v>2385</v>
      </c>
      <c r="R322" s="851">
        <v>16</v>
      </c>
      <c r="S322" s="851">
        <v>0</v>
      </c>
      <c r="T322" s="851">
        <v>20</v>
      </c>
      <c r="U322" s="851">
        <v>0</v>
      </c>
      <c r="V322" s="851">
        <v>17.600000000000001</v>
      </c>
      <c r="W322" s="851">
        <v>0</v>
      </c>
      <c r="X322" s="851">
        <v>22</v>
      </c>
      <c r="Y322" s="851">
        <v>0</v>
      </c>
      <c r="Z322" s="851">
        <v>40</v>
      </c>
      <c r="AA322" s="851">
        <v>0</v>
      </c>
      <c r="AB322" s="851">
        <v>56</v>
      </c>
      <c r="AC322" s="851">
        <v>0</v>
      </c>
      <c r="AD322" s="851">
        <v>96.8</v>
      </c>
      <c r="AE322" s="851">
        <v>0</v>
      </c>
      <c r="AF322" s="851">
        <v>44</v>
      </c>
      <c r="AG322" s="851">
        <v>0</v>
      </c>
      <c r="AH322" s="851">
        <v>81.3</v>
      </c>
      <c r="AI322" s="851">
        <v>0</v>
      </c>
      <c r="AJ322" s="851">
        <v>14.8</v>
      </c>
      <c r="AK322" s="851"/>
      <c r="AL322" s="851">
        <v>14.8</v>
      </c>
      <c r="AM322" s="851"/>
      <c r="AN322" s="851"/>
      <c r="AO322" s="851"/>
      <c r="AP322" s="851"/>
    </row>
    <row r="323" spans="1:42" ht="14">
      <c r="A323" s="856">
        <v>322</v>
      </c>
      <c r="B323" s="425" t="s">
        <v>2626</v>
      </c>
      <c r="C323" s="425" t="s">
        <v>41</v>
      </c>
      <c r="D323" s="425" t="s">
        <v>2595</v>
      </c>
      <c r="E323" s="425" t="s">
        <v>734</v>
      </c>
      <c r="F323" s="425" t="s">
        <v>723</v>
      </c>
      <c r="G323">
        <v>1</v>
      </c>
      <c r="H323" s="852">
        <v>0.53</v>
      </c>
      <c r="I323" s="852">
        <v>10.050000000000001</v>
      </c>
      <c r="J323" s="852">
        <f t="shared" si="19"/>
        <v>5.3265000000000002</v>
      </c>
      <c r="K323" s="852">
        <f t="shared" si="20"/>
        <v>0.69244500000000009</v>
      </c>
      <c r="L323">
        <v>53</v>
      </c>
      <c r="M323" s="425" t="s">
        <v>2380</v>
      </c>
      <c r="N323" s="370">
        <v>2020</v>
      </c>
      <c r="O323" s="425" t="s">
        <v>2599</v>
      </c>
      <c r="P323" s="858">
        <v>5415058031183</v>
      </c>
      <c r="Q323" s="425" t="s">
        <v>2385</v>
      </c>
      <c r="R323" s="851">
        <v>16</v>
      </c>
      <c r="S323" s="851">
        <v>0</v>
      </c>
      <c r="T323" s="851">
        <v>20</v>
      </c>
      <c r="U323" s="851">
        <v>0</v>
      </c>
      <c r="V323" s="851">
        <v>17.600000000000001</v>
      </c>
      <c r="W323" s="851">
        <v>0</v>
      </c>
      <c r="X323" s="851">
        <v>22</v>
      </c>
      <c r="Y323" s="851">
        <v>0</v>
      </c>
      <c r="Z323" s="851">
        <v>40</v>
      </c>
      <c r="AA323" s="851">
        <v>0</v>
      </c>
      <c r="AB323" s="851">
        <v>56</v>
      </c>
      <c r="AC323" s="851">
        <v>0</v>
      </c>
      <c r="AD323" s="851">
        <v>96.8</v>
      </c>
      <c r="AE323" s="851">
        <v>0</v>
      </c>
      <c r="AF323" s="851">
        <v>44</v>
      </c>
      <c r="AG323" s="851">
        <v>0</v>
      </c>
      <c r="AH323" s="851">
        <v>81.3</v>
      </c>
      <c r="AI323" s="851">
        <v>0</v>
      </c>
      <c r="AJ323" s="851">
        <v>14.8</v>
      </c>
      <c r="AK323" s="851"/>
      <c r="AL323" s="851">
        <v>14.8</v>
      </c>
      <c r="AM323" s="851"/>
      <c r="AN323" s="851"/>
      <c r="AO323" s="851"/>
      <c r="AP323" s="851"/>
    </row>
    <row r="324" spans="1:42" ht="14">
      <c r="A324" s="856">
        <v>323</v>
      </c>
      <c r="B324" s="425" t="s">
        <v>2627</v>
      </c>
      <c r="C324" s="425" t="s">
        <v>41</v>
      </c>
      <c r="D324" s="425" t="s">
        <v>2595</v>
      </c>
      <c r="E324" s="425" t="s">
        <v>734</v>
      </c>
      <c r="F324" s="425" t="s">
        <v>521</v>
      </c>
      <c r="G324">
        <v>1</v>
      </c>
      <c r="H324" s="852">
        <v>0.53</v>
      </c>
      <c r="I324" s="852">
        <v>10.050000000000001</v>
      </c>
      <c r="J324" s="852">
        <f t="shared" si="19"/>
        <v>5.3265000000000002</v>
      </c>
      <c r="K324" s="852">
        <f t="shared" si="20"/>
        <v>0.69244500000000009</v>
      </c>
      <c r="L324">
        <v>53</v>
      </c>
      <c r="M324" s="425" t="s">
        <v>2380</v>
      </c>
      <c r="N324" s="370">
        <v>2020</v>
      </c>
      <c r="O324" s="425" t="s">
        <v>2599</v>
      </c>
      <c r="P324" s="858">
        <v>5415058031190</v>
      </c>
      <c r="Q324" s="425" t="s">
        <v>2385</v>
      </c>
      <c r="R324" s="851">
        <v>16</v>
      </c>
      <c r="S324" s="851">
        <v>0</v>
      </c>
      <c r="T324" s="851">
        <v>20</v>
      </c>
      <c r="U324" s="851">
        <v>0</v>
      </c>
      <c r="V324" s="851">
        <v>17.600000000000001</v>
      </c>
      <c r="W324" s="851">
        <v>0</v>
      </c>
      <c r="X324" s="851">
        <v>22</v>
      </c>
      <c r="Y324" s="851">
        <v>0</v>
      </c>
      <c r="Z324" s="851">
        <v>40</v>
      </c>
      <c r="AA324" s="851">
        <v>0</v>
      </c>
      <c r="AB324" s="851">
        <v>56</v>
      </c>
      <c r="AC324" s="851">
        <v>0</v>
      </c>
      <c r="AD324" s="851">
        <v>96.8</v>
      </c>
      <c r="AE324" s="851">
        <v>0</v>
      </c>
      <c r="AF324" s="851">
        <v>44</v>
      </c>
      <c r="AG324" s="851">
        <v>0</v>
      </c>
      <c r="AH324" s="851">
        <v>81.3</v>
      </c>
      <c r="AI324" s="851">
        <v>0</v>
      </c>
      <c r="AJ324" s="851">
        <v>14.8</v>
      </c>
      <c r="AK324" s="851"/>
      <c r="AL324" s="851">
        <v>14.8</v>
      </c>
      <c r="AM324" s="851"/>
      <c r="AN324" s="851"/>
      <c r="AO324" s="851"/>
      <c r="AP324" s="851"/>
    </row>
    <row r="325" spans="1:42" ht="14">
      <c r="A325" s="856">
        <v>324</v>
      </c>
      <c r="B325" s="425" t="s">
        <v>2628</v>
      </c>
      <c r="C325" s="425" t="s">
        <v>41</v>
      </c>
      <c r="D325" s="425" t="s">
        <v>2595</v>
      </c>
      <c r="E325" s="425" t="s">
        <v>734</v>
      </c>
      <c r="F325" s="425" t="s">
        <v>519</v>
      </c>
      <c r="G325">
        <v>1</v>
      </c>
      <c r="H325" s="852">
        <v>0.53</v>
      </c>
      <c r="I325" s="852">
        <v>10.050000000000001</v>
      </c>
      <c r="J325" s="852">
        <f t="shared" si="19"/>
        <v>5.3265000000000002</v>
      </c>
      <c r="K325" s="852">
        <f t="shared" si="20"/>
        <v>0.69244500000000009</v>
      </c>
      <c r="L325">
        <v>53</v>
      </c>
      <c r="M325" s="425" t="s">
        <v>2380</v>
      </c>
      <c r="N325" s="370">
        <v>2020</v>
      </c>
      <c r="O325" s="425" t="s">
        <v>2599</v>
      </c>
      <c r="P325" s="858">
        <v>5415058031206</v>
      </c>
      <c r="Q325" s="425" t="s">
        <v>2385</v>
      </c>
      <c r="R325" s="851">
        <v>16</v>
      </c>
      <c r="S325" s="851">
        <v>0</v>
      </c>
      <c r="T325" s="851">
        <v>20</v>
      </c>
      <c r="U325" s="851">
        <v>0</v>
      </c>
      <c r="V325" s="851">
        <v>17.600000000000001</v>
      </c>
      <c r="W325" s="851">
        <v>0</v>
      </c>
      <c r="X325" s="851">
        <v>22</v>
      </c>
      <c r="Y325" s="851">
        <v>0</v>
      </c>
      <c r="Z325" s="851">
        <v>40</v>
      </c>
      <c r="AA325" s="851">
        <v>0</v>
      </c>
      <c r="AB325" s="851">
        <v>56</v>
      </c>
      <c r="AC325" s="851">
        <v>0</v>
      </c>
      <c r="AD325" s="851">
        <v>96.8</v>
      </c>
      <c r="AE325" s="851">
        <v>0</v>
      </c>
      <c r="AF325" s="851">
        <v>44</v>
      </c>
      <c r="AG325" s="851">
        <v>0</v>
      </c>
      <c r="AH325" s="851">
        <v>81.3</v>
      </c>
      <c r="AI325" s="851">
        <v>0</v>
      </c>
      <c r="AJ325" s="851">
        <v>14.8</v>
      </c>
      <c r="AK325" s="851"/>
      <c r="AL325" s="851">
        <v>14.8</v>
      </c>
      <c r="AM325" s="851"/>
      <c r="AN325" s="851"/>
      <c r="AO325" s="851"/>
      <c r="AP325" s="851"/>
    </row>
    <row r="326" spans="1:42" ht="14">
      <c r="A326" s="856">
        <v>325</v>
      </c>
      <c r="B326" s="425" t="s">
        <v>2629</v>
      </c>
      <c r="C326" s="425" t="s">
        <v>41</v>
      </c>
      <c r="D326" s="425" t="s">
        <v>2595</v>
      </c>
      <c r="E326" s="425" t="s">
        <v>734</v>
      </c>
      <c r="F326" s="425" t="s">
        <v>711</v>
      </c>
      <c r="G326">
        <v>1</v>
      </c>
      <c r="H326" s="852">
        <v>0.53</v>
      </c>
      <c r="I326" s="852">
        <v>10.050000000000001</v>
      </c>
      <c r="J326" s="852">
        <f t="shared" si="19"/>
        <v>5.3265000000000002</v>
      </c>
      <c r="K326" s="852">
        <f t="shared" si="20"/>
        <v>0.69244500000000009</v>
      </c>
      <c r="L326">
        <v>53</v>
      </c>
      <c r="M326" s="425" t="s">
        <v>2380</v>
      </c>
      <c r="N326" s="370">
        <v>2020</v>
      </c>
      <c r="O326" s="425" t="s">
        <v>2599</v>
      </c>
      <c r="P326" s="858">
        <v>5415058031213</v>
      </c>
      <c r="Q326" s="425" t="s">
        <v>2385</v>
      </c>
      <c r="R326" s="851">
        <v>16</v>
      </c>
      <c r="S326" s="851">
        <v>0</v>
      </c>
      <c r="T326" s="851">
        <v>20</v>
      </c>
      <c r="U326" s="851">
        <v>0</v>
      </c>
      <c r="V326" s="851">
        <v>17.600000000000001</v>
      </c>
      <c r="W326" s="851">
        <v>0</v>
      </c>
      <c r="X326" s="851">
        <v>22</v>
      </c>
      <c r="Y326" s="851">
        <v>0</v>
      </c>
      <c r="Z326" s="851">
        <v>40</v>
      </c>
      <c r="AA326" s="851">
        <v>0</v>
      </c>
      <c r="AB326" s="851">
        <v>56</v>
      </c>
      <c r="AC326" s="851">
        <v>0</v>
      </c>
      <c r="AD326" s="851">
        <v>96.8</v>
      </c>
      <c r="AE326" s="851">
        <v>0</v>
      </c>
      <c r="AF326" s="851">
        <v>44</v>
      </c>
      <c r="AG326" s="851">
        <v>0</v>
      </c>
      <c r="AH326" s="851">
        <v>81.3</v>
      </c>
      <c r="AI326" s="851">
        <v>0</v>
      </c>
      <c r="AJ326" s="851">
        <v>14.8</v>
      </c>
      <c r="AK326" s="851"/>
      <c r="AL326" s="851">
        <v>14.8</v>
      </c>
      <c r="AM326" s="851"/>
      <c r="AN326" s="851"/>
      <c r="AO326" s="851"/>
      <c r="AP326" s="851"/>
    </row>
    <row r="327" spans="1:42" ht="14">
      <c r="A327" s="856">
        <v>326</v>
      </c>
      <c r="B327" s="425" t="s">
        <v>2630</v>
      </c>
      <c r="C327" s="425" t="s">
        <v>41</v>
      </c>
      <c r="D327" s="425" t="s">
        <v>2595</v>
      </c>
      <c r="E327" s="425" t="s">
        <v>739</v>
      </c>
      <c r="F327" s="425" t="s">
        <v>695</v>
      </c>
      <c r="G327">
        <v>1</v>
      </c>
      <c r="H327" s="852">
        <v>0.53</v>
      </c>
      <c r="I327" s="852">
        <v>10.050000000000001</v>
      </c>
      <c r="J327" s="852">
        <f t="shared" si="19"/>
        <v>5.3265000000000002</v>
      </c>
      <c r="K327" s="852">
        <f t="shared" si="20"/>
        <v>0.69244500000000009</v>
      </c>
      <c r="L327">
        <v>53</v>
      </c>
      <c r="M327" s="425" t="s">
        <v>2380</v>
      </c>
      <c r="N327" s="370">
        <v>2020</v>
      </c>
      <c r="O327" s="425" t="s">
        <v>2599</v>
      </c>
      <c r="P327" s="858">
        <v>5415058031220</v>
      </c>
      <c r="Q327" s="425" t="s">
        <v>2385</v>
      </c>
      <c r="R327" s="851">
        <v>16</v>
      </c>
      <c r="S327" s="851">
        <v>0</v>
      </c>
      <c r="T327" s="851">
        <v>20</v>
      </c>
      <c r="U327" s="851">
        <v>0</v>
      </c>
      <c r="V327" s="851">
        <v>17.600000000000001</v>
      </c>
      <c r="W327" s="851">
        <v>0</v>
      </c>
      <c r="X327" s="851">
        <v>22</v>
      </c>
      <c r="Y327" s="851">
        <v>0</v>
      </c>
      <c r="Z327" s="851">
        <v>40</v>
      </c>
      <c r="AA327" s="851">
        <v>0</v>
      </c>
      <c r="AB327" s="851">
        <v>56</v>
      </c>
      <c r="AC327" s="851">
        <v>0</v>
      </c>
      <c r="AD327" s="851">
        <v>96.8</v>
      </c>
      <c r="AE327" s="851">
        <v>0</v>
      </c>
      <c r="AF327" s="851">
        <v>44</v>
      </c>
      <c r="AG327" s="851">
        <v>0</v>
      </c>
      <c r="AH327" s="851">
        <v>81.3</v>
      </c>
      <c r="AI327" s="851">
        <v>0</v>
      </c>
      <c r="AJ327" s="851">
        <v>14.8</v>
      </c>
      <c r="AK327" s="851"/>
      <c r="AL327" s="851">
        <v>14.8</v>
      </c>
      <c r="AM327" s="851"/>
      <c r="AN327" s="851"/>
      <c r="AO327" s="851"/>
      <c r="AP327" s="851"/>
    </row>
    <row r="328" spans="1:42" ht="14">
      <c r="A328" s="856">
        <v>327</v>
      </c>
      <c r="B328" s="425" t="s">
        <v>2631</v>
      </c>
      <c r="C328" s="425" t="s">
        <v>41</v>
      </c>
      <c r="D328" s="425" t="s">
        <v>2595</v>
      </c>
      <c r="E328" s="425" t="s">
        <v>739</v>
      </c>
      <c r="F328" s="425" t="s">
        <v>519</v>
      </c>
      <c r="G328">
        <v>1</v>
      </c>
      <c r="H328" s="852">
        <v>0.53</v>
      </c>
      <c r="I328" s="852">
        <v>10.050000000000001</v>
      </c>
      <c r="J328" s="852">
        <f t="shared" si="19"/>
        <v>5.3265000000000002</v>
      </c>
      <c r="K328" s="852">
        <f t="shared" si="20"/>
        <v>0.69244500000000009</v>
      </c>
      <c r="L328">
        <v>53</v>
      </c>
      <c r="M328" s="425" t="s">
        <v>2380</v>
      </c>
      <c r="N328" s="370">
        <v>2020</v>
      </c>
      <c r="O328" s="425" t="s">
        <v>2599</v>
      </c>
      <c r="P328" s="858">
        <v>5415058031237</v>
      </c>
      <c r="Q328" s="425" t="s">
        <v>2385</v>
      </c>
      <c r="R328" s="851">
        <v>16</v>
      </c>
      <c r="S328" s="851">
        <v>0</v>
      </c>
      <c r="T328" s="851">
        <v>20</v>
      </c>
      <c r="U328" s="851">
        <v>0</v>
      </c>
      <c r="V328" s="851">
        <v>17.600000000000001</v>
      </c>
      <c r="W328" s="851">
        <v>0</v>
      </c>
      <c r="X328" s="851">
        <v>22</v>
      </c>
      <c r="Y328" s="851">
        <v>0</v>
      </c>
      <c r="Z328" s="851">
        <v>40</v>
      </c>
      <c r="AA328" s="851">
        <v>0</v>
      </c>
      <c r="AB328" s="851">
        <v>56</v>
      </c>
      <c r="AC328" s="851">
        <v>0</v>
      </c>
      <c r="AD328" s="851">
        <v>96.8</v>
      </c>
      <c r="AE328" s="851">
        <v>0</v>
      </c>
      <c r="AF328" s="851">
        <v>44</v>
      </c>
      <c r="AG328" s="851">
        <v>0</v>
      </c>
      <c r="AH328" s="851">
        <v>81.3</v>
      </c>
      <c r="AI328" s="851">
        <v>0</v>
      </c>
      <c r="AJ328" s="851">
        <v>14.8</v>
      </c>
      <c r="AK328" s="851"/>
      <c r="AL328" s="851">
        <v>14.8</v>
      </c>
      <c r="AM328" s="851"/>
      <c r="AN328" s="851"/>
      <c r="AO328" s="851"/>
      <c r="AP328" s="851"/>
    </row>
    <row r="329" spans="1:42" ht="14">
      <c r="A329" s="856">
        <v>328</v>
      </c>
      <c r="B329" s="425" t="s">
        <v>2632</v>
      </c>
      <c r="C329" s="425" t="s">
        <v>41</v>
      </c>
      <c r="D329" s="425" t="s">
        <v>2595</v>
      </c>
      <c r="E329" s="425" t="s">
        <v>739</v>
      </c>
      <c r="F329" s="425" t="s">
        <v>725</v>
      </c>
      <c r="G329">
        <v>1</v>
      </c>
      <c r="H329" s="852">
        <v>0.53</v>
      </c>
      <c r="I329" s="852">
        <v>10.050000000000001</v>
      </c>
      <c r="J329" s="852">
        <f t="shared" si="19"/>
        <v>5.3265000000000002</v>
      </c>
      <c r="K329" s="852">
        <f t="shared" si="20"/>
        <v>0.69244500000000009</v>
      </c>
      <c r="L329">
        <v>53</v>
      </c>
      <c r="M329" s="425" t="s">
        <v>2380</v>
      </c>
      <c r="N329" s="370">
        <v>2020</v>
      </c>
      <c r="O329" s="425" t="s">
        <v>2599</v>
      </c>
      <c r="P329" s="858">
        <v>5415058031251</v>
      </c>
      <c r="Q329" s="425" t="s">
        <v>2385</v>
      </c>
      <c r="R329" s="851">
        <v>16</v>
      </c>
      <c r="S329" s="851">
        <v>0</v>
      </c>
      <c r="T329" s="851">
        <v>20</v>
      </c>
      <c r="U329" s="851">
        <v>0</v>
      </c>
      <c r="V329" s="851">
        <v>17.600000000000001</v>
      </c>
      <c r="W329" s="851">
        <v>0</v>
      </c>
      <c r="X329" s="851">
        <v>22</v>
      </c>
      <c r="Y329" s="851">
        <v>0</v>
      </c>
      <c r="Z329" s="851">
        <v>40</v>
      </c>
      <c r="AA329" s="851">
        <v>0</v>
      </c>
      <c r="AB329" s="851">
        <v>56</v>
      </c>
      <c r="AC329" s="851">
        <v>0</v>
      </c>
      <c r="AD329" s="851">
        <v>96.8</v>
      </c>
      <c r="AE329" s="851">
        <v>0</v>
      </c>
      <c r="AF329" s="851">
        <v>44</v>
      </c>
      <c r="AG329" s="851">
        <v>0</v>
      </c>
      <c r="AH329" s="851">
        <v>81.3</v>
      </c>
      <c r="AI329" s="851">
        <v>0</v>
      </c>
      <c r="AJ329" s="851">
        <v>14.8</v>
      </c>
      <c r="AK329" s="851"/>
      <c r="AL329" s="851">
        <v>14.8</v>
      </c>
      <c r="AM329" s="851"/>
      <c r="AN329" s="851"/>
      <c r="AO329" s="851"/>
      <c r="AP329" s="851"/>
    </row>
    <row r="330" spans="1:42" ht="14">
      <c r="A330" s="856">
        <v>329</v>
      </c>
      <c r="B330" s="425" t="s">
        <v>2633</v>
      </c>
      <c r="C330" s="425" t="s">
        <v>41</v>
      </c>
      <c r="D330" s="425" t="s">
        <v>2595</v>
      </c>
      <c r="E330" s="425" t="s">
        <v>743</v>
      </c>
      <c r="F330" s="425" t="s">
        <v>703</v>
      </c>
      <c r="G330">
        <v>1</v>
      </c>
      <c r="H330" s="852">
        <v>0.53</v>
      </c>
      <c r="I330" s="852">
        <v>10.050000000000001</v>
      </c>
      <c r="J330" s="852">
        <f t="shared" si="19"/>
        <v>5.3265000000000002</v>
      </c>
      <c r="K330" s="852">
        <f t="shared" si="20"/>
        <v>0.69244500000000009</v>
      </c>
      <c r="L330">
        <v>53</v>
      </c>
      <c r="M330" s="425" t="s">
        <v>2380</v>
      </c>
      <c r="N330" s="370">
        <v>2020</v>
      </c>
      <c r="O330" s="425" t="s">
        <v>2599</v>
      </c>
      <c r="P330" s="858">
        <v>5415058031268</v>
      </c>
      <c r="Q330" s="425" t="s">
        <v>2385</v>
      </c>
      <c r="R330" s="851">
        <v>16</v>
      </c>
      <c r="S330" s="851">
        <v>0</v>
      </c>
      <c r="T330" s="851">
        <v>20</v>
      </c>
      <c r="U330" s="851">
        <v>0</v>
      </c>
      <c r="V330" s="851">
        <v>17.600000000000001</v>
      </c>
      <c r="W330" s="851">
        <v>0</v>
      </c>
      <c r="X330" s="851">
        <v>22</v>
      </c>
      <c r="Y330" s="851">
        <v>0</v>
      </c>
      <c r="Z330" s="851">
        <v>40</v>
      </c>
      <c r="AA330" s="851">
        <v>0</v>
      </c>
      <c r="AB330" s="851">
        <v>56</v>
      </c>
      <c r="AC330" s="851">
        <v>0</v>
      </c>
      <c r="AD330" s="851">
        <v>96.8</v>
      </c>
      <c r="AE330" s="851">
        <v>0</v>
      </c>
      <c r="AF330" s="851">
        <v>44</v>
      </c>
      <c r="AG330" s="851">
        <v>0</v>
      </c>
      <c r="AH330" s="851">
        <v>81.3</v>
      </c>
      <c r="AI330" s="851">
        <v>0</v>
      </c>
      <c r="AJ330" s="851">
        <v>14.8</v>
      </c>
      <c r="AK330" s="851"/>
      <c r="AL330" s="851">
        <v>14.8</v>
      </c>
      <c r="AM330" s="851"/>
      <c r="AN330" s="851"/>
      <c r="AO330" s="851"/>
      <c r="AP330" s="851"/>
    </row>
    <row r="331" spans="1:42" ht="14">
      <c r="A331" s="856">
        <v>330</v>
      </c>
      <c r="B331" s="425" t="s">
        <v>2634</v>
      </c>
      <c r="C331" s="425" t="s">
        <v>41</v>
      </c>
      <c r="D331" s="425" t="s">
        <v>2595</v>
      </c>
      <c r="E331" s="425" t="s">
        <v>743</v>
      </c>
      <c r="F331" s="425" t="s">
        <v>745</v>
      </c>
      <c r="G331">
        <v>1</v>
      </c>
      <c r="H331" s="852">
        <v>0.53</v>
      </c>
      <c r="I331" s="852">
        <v>10.050000000000001</v>
      </c>
      <c r="J331" s="852">
        <f t="shared" si="19"/>
        <v>5.3265000000000002</v>
      </c>
      <c r="K331" s="852">
        <f t="shared" si="20"/>
        <v>0.69244500000000009</v>
      </c>
      <c r="L331">
        <v>53</v>
      </c>
      <c r="M331" s="425" t="s">
        <v>2380</v>
      </c>
      <c r="N331" s="370">
        <v>2020</v>
      </c>
      <c r="O331" s="425" t="s">
        <v>2599</v>
      </c>
      <c r="P331" s="858">
        <v>5415058031282</v>
      </c>
      <c r="Q331" s="425" t="s">
        <v>2385</v>
      </c>
      <c r="R331" s="851">
        <v>16</v>
      </c>
      <c r="S331" s="851">
        <v>0</v>
      </c>
      <c r="T331" s="851">
        <v>20</v>
      </c>
      <c r="U331" s="851">
        <v>0</v>
      </c>
      <c r="V331" s="851">
        <v>17.600000000000001</v>
      </c>
      <c r="W331" s="851">
        <v>0</v>
      </c>
      <c r="X331" s="851">
        <v>22</v>
      </c>
      <c r="Y331" s="851">
        <v>0</v>
      </c>
      <c r="Z331" s="851">
        <v>40</v>
      </c>
      <c r="AA331" s="851">
        <v>0</v>
      </c>
      <c r="AB331" s="851">
        <v>56</v>
      </c>
      <c r="AC331" s="851">
        <v>0</v>
      </c>
      <c r="AD331" s="851">
        <v>96.8</v>
      </c>
      <c r="AE331" s="851">
        <v>0</v>
      </c>
      <c r="AF331" s="851">
        <v>44</v>
      </c>
      <c r="AG331" s="851">
        <v>0</v>
      </c>
      <c r="AH331" s="851">
        <v>81.3</v>
      </c>
      <c r="AI331" s="851">
        <v>0</v>
      </c>
      <c r="AJ331" s="851">
        <v>14.8</v>
      </c>
      <c r="AK331" s="851"/>
      <c r="AL331" s="851">
        <v>14.8</v>
      </c>
      <c r="AM331" s="851"/>
      <c r="AN331" s="851"/>
      <c r="AO331" s="851"/>
      <c r="AP331" s="851"/>
    </row>
    <row r="332" spans="1:42" ht="14">
      <c r="A332" s="856">
        <v>331</v>
      </c>
      <c r="B332" s="425" t="s">
        <v>2635</v>
      </c>
      <c r="C332" s="425" t="s">
        <v>41</v>
      </c>
      <c r="D332" s="425" t="s">
        <v>2595</v>
      </c>
      <c r="E332" s="425" t="s">
        <v>747</v>
      </c>
      <c r="F332" s="425" t="s">
        <v>520</v>
      </c>
      <c r="G332">
        <v>1</v>
      </c>
      <c r="H332" s="852">
        <v>0.53</v>
      </c>
      <c r="I332" s="852">
        <v>10.050000000000001</v>
      </c>
      <c r="J332" s="852">
        <f t="shared" si="19"/>
        <v>5.3265000000000002</v>
      </c>
      <c r="K332" s="852">
        <f t="shared" si="20"/>
        <v>0.69244500000000009</v>
      </c>
      <c r="L332">
        <v>53</v>
      </c>
      <c r="M332" s="425" t="s">
        <v>2380</v>
      </c>
      <c r="N332" s="370">
        <v>2020</v>
      </c>
      <c r="O332" s="425" t="s">
        <v>2599</v>
      </c>
      <c r="P332" s="858">
        <v>5415058031299</v>
      </c>
      <c r="Q332" s="425" t="s">
        <v>2385</v>
      </c>
      <c r="R332" s="851">
        <v>16</v>
      </c>
      <c r="S332" s="851">
        <v>0</v>
      </c>
      <c r="T332" s="851">
        <v>20</v>
      </c>
      <c r="U332" s="851">
        <v>0</v>
      </c>
      <c r="V332" s="851">
        <v>17.600000000000001</v>
      </c>
      <c r="W332" s="851">
        <v>0</v>
      </c>
      <c r="X332" s="851">
        <v>22</v>
      </c>
      <c r="Y332" s="851">
        <v>0</v>
      </c>
      <c r="Z332" s="851">
        <v>40</v>
      </c>
      <c r="AA332" s="851">
        <v>0</v>
      </c>
      <c r="AB332" s="851">
        <v>56</v>
      </c>
      <c r="AC332" s="851">
        <v>0</v>
      </c>
      <c r="AD332" s="851">
        <v>96.8</v>
      </c>
      <c r="AE332" s="851">
        <v>0</v>
      </c>
      <c r="AF332" s="851">
        <v>44</v>
      </c>
      <c r="AG332" s="851">
        <v>0</v>
      </c>
      <c r="AH332" s="851">
        <v>81.3</v>
      </c>
      <c r="AI332" s="851">
        <v>0</v>
      </c>
      <c r="AJ332" s="851">
        <v>14.8</v>
      </c>
      <c r="AK332" s="851"/>
      <c r="AL332" s="851">
        <v>14.8</v>
      </c>
      <c r="AM332" s="851"/>
      <c r="AN332" s="851"/>
      <c r="AO332" s="851"/>
      <c r="AP332" s="851"/>
    </row>
    <row r="333" spans="1:42" ht="14">
      <c r="A333" s="856">
        <v>332</v>
      </c>
      <c r="B333" s="425" t="s">
        <v>2636</v>
      </c>
      <c r="C333" s="425" t="s">
        <v>41</v>
      </c>
      <c r="D333" s="425" t="s">
        <v>2595</v>
      </c>
      <c r="E333" s="425" t="s">
        <v>747</v>
      </c>
      <c r="F333" s="425" t="s">
        <v>723</v>
      </c>
      <c r="G333">
        <v>1</v>
      </c>
      <c r="H333" s="852">
        <v>0.53</v>
      </c>
      <c r="I333" s="852">
        <v>10.050000000000001</v>
      </c>
      <c r="J333" s="852">
        <f t="shared" si="19"/>
        <v>5.3265000000000002</v>
      </c>
      <c r="K333" s="852">
        <f t="shared" si="20"/>
        <v>0.69244500000000009</v>
      </c>
      <c r="L333">
        <v>53</v>
      </c>
      <c r="M333" s="425" t="s">
        <v>2380</v>
      </c>
      <c r="N333" s="370">
        <v>2020</v>
      </c>
      <c r="O333" s="425" t="s">
        <v>2599</v>
      </c>
      <c r="P333" s="858">
        <v>5415058031305</v>
      </c>
      <c r="Q333" s="425" t="s">
        <v>2385</v>
      </c>
      <c r="R333" s="851">
        <v>16</v>
      </c>
      <c r="S333" s="851">
        <v>0</v>
      </c>
      <c r="T333" s="851">
        <v>20</v>
      </c>
      <c r="U333" s="851">
        <v>0</v>
      </c>
      <c r="V333" s="851">
        <v>17.600000000000001</v>
      </c>
      <c r="W333" s="851">
        <v>0</v>
      </c>
      <c r="X333" s="851">
        <v>22</v>
      </c>
      <c r="Y333" s="851">
        <v>0</v>
      </c>
      <c r="Z333" s="851">
        <v>40</v>
      </c>
      <c r="AA333" s="851">
        <v>0</v>
      </c>
      <c r="AB333" s="851">
        <v>56</v>
      </c>
      <c r="AC333" s="851">
        <v>0</v>
      </c>
      <c r="AD333" s="851">
        <v>96.8</v>
      </c>
      <c r="AE333" s="851">
        <v>0</v>
      </c>
      <c r="AF333" s="851">
        <v>44</v>
      </c>
      <c r="AG333" s="851">
        <v>0</v>
      </c>
      <c r="AH333" s="851">
        <v>81.3</v>
      </c>
      <c r="AI333" s="851">
        <v>0</v>
      </c>
      <c r="AJ333" s="851">
        <v>14.8</v>
      </c>
      <c r="AK333" s="851"/>
      <c r="AL333" s="851">
        <v>14.8</v>
      </c>
      <c r="AM333" s="851"/>
      <c r="AN333" s="851"/>
      <c r="AO333" s="851"/>
      <c r="AP333" s="851"/>
    </row>
    <row r="334" spans="1:42" ht="14">
      <c r="A334" s="856">
        <v>333</v>
      </c>
      <c r="B334" s="425" t="s">
        <v>2637</v>
      </c>
      <c r="C334" s="425" t="s">
        <v>41</v>
      </c>
      <c r="D334" s="425" t="s">
        <v>2595</v>
      </c>
      <c r="E334" s="425" t="s">
        <v>747</v>
      </c>
      <c r="F334" s="425" t="s">
        <v>512</v>
      </c>
      <c r="G334">
        <v>1</v>
      </c>
      <c r="H334" s="852">
        <v>0.53</v>
      </c>
      <c r="I334" s="852">
        <v>10.050000000000001</v>
      </c>
      <c r="J334" s="852">
        <f t="shared" si="19"/>
        <v>5.3265000000000002</v>
      </c>
      <c r="K334" s="852">
        <f t="shared" si="20"/>
        <v>0.69244500000000009</v>
      </c>
      <c r="L334">
        <v>53</v>
      </c>
      <c r="M334" s="425" t="s">
        <v>2380</v>
      </c>
      <c r="N334" s="370">
        <v>2020</v>
      </c>
      <c r="O334" s="425" t="s">
        <v>2599</v>
      </c>
      <c r="P334" s="858">
        <v>5415058031312</v>
      </c>
      <c r="Q334" s="425" t="s">
        <v>2385</v>
      </c>
      <c r="R334" s="851">
        <v>16</v>
      </c>
      <c r="S334" s="851">
        <v>0</v>
      </c>
      <c r="T334" s="851">
        <v>20</v>
      </c>
      <c r="U334" s="851">
        <v>0</v>
      </c>
      <c r="V334" s="851">
        <v>17.600000000000001</v>
      </c>
      <c r="W334" s="851">
        <v>0</v>
      </c>
      <c r="X334" s="851">
        <v>22</v>
      </c>
      <c r="Y334" s="851">
        <v>0</v>
      </c>
      <c r="Z334" s="851">
        <v>40</v>
      </c>
      <c r="AA334" s="851">
        <v>0</v>
      </c>
      <c r="AB334" s="851">
        <v>56</v>
      </c>
      <c r="AC334" s="851">
        <v>0</v>
      </c>
      <c r="AD334" s="851">
        <v>96.8</v>
      </c>
      <c r="AE334" s="851">
        <v>0</v>
      </c>
      <c r="AF334" s="851">
        <v>44</v>
      </c>
      <c r="AG334" s="851">
        <v>0</v>
      </c>
      <c r="AH334" s="851">
        <v>81.3</v>
      </c>
      <c r="AI334" s="851">
        <v>0</v>
      </c>
      <c r="AJ334" s="851">
        <v>14.8</v>
      </c>
      <c r="AK334" s="851"/>
      <c r="AL334" s="851">
        <v>14.8</v>
      </c>
      <c r="AM334" s="851"/>
      <c r="AN334" s="851"/>
      <c r="AO334" s="851"/>
      <c r="AP334" s="851"/>
    </row>
    <row r="335" spans="1:42" ht="14">
      <c r="A335" s="856">
        <v>334</v>
      </c>
      <c r="B335" s="425" t="s">
        <v>2638</v>
      </c>
      <c r="C335" s="425" t="s">
        <v>41</v>
      </c>
      <c r="D335" s="425" t="s">
        <v>2595</v>
      </c>
      <c r="E335" s="425" t="s">
        <v>747</v>
      </c>
      <c r="F335" s="425" t="s">
        <v>703</v>
      </c>
      <c r="G335">
        <v>1</v>
      </c>
      <c r="H335" s="852">
        <v>0.53</v>
      </c>
      <c r="I335" s="852">
        <v>10.050000000000001</v>
      </c>
      <c r="J335" s="852">
        <f t="shared" si="19"/>
        <v>5.3265000000000002</v>
      </c>
      <c r="K335" s="852">
        <f t="shared" si="20"/>
        <v>0.69244500000000009</v>
      </c>
      <c r="L335">
        <v>53</v>
      </c>
      <c r="M335" s="425" t="s">
        <v>2380</v>
      </c>
      <c r="N335" s="370">
        <v>2020</v>
      </c>
      <c r="O335" s="425" t="s">
        <v>2599</v>
      </c>
      <c r="P335" s="858">
        <v>5415058031329</v>
      </c>
      <c r="Q335" s="425" t="s">
        <v>2385</v>
      </c>
      <c r="R335" s="851">
        <v>16</v>
      </c>
      <c r="S335" s="851">
        <v>0</v>
      </c>
      <c r="T335" s="851">
        <v>20</v>
      </c>
      <c r="U335" s="851">
        <v>0</v>
      </c>
      <c r="V335" s="851">
        <v>17.600000000000001</v>
      </c>
      <c r="W335" s="851">
        <v>0</v>
      </c>
      <c r="X335" s="851">
        <v>22</v>
      </c>
      <c r="Y335" s="851">
        <v>0</v>
      </c>
      <c r="Z335" s="851">
        <v>40</v>
      </c>
      <c r="AA335" s="851">
        <v>0</v>
      </c>
      <c r="AB335" s="851">
        <v>56</v>
      </c>
      <c r="AC335" s="851">
        <v>0</v>
      </c>
      <c r="AD335" s="851">
        <v>96.8</v>
      </c>
      <c r="AE335" s="851">
        <v>0</v>
      </c>
      <c r="AF335" s="851">
        <v>44</v>
      </c>
      <c r="AG335" s="851">
        <v>0</v>
      </c>
      <c r="AH335" s="851">
        <v>81.3</v>
      </c>
      <c r="AI335" s="851">
        <v>0</v>
      </c>
      <c r="AJ335" s="851">
        <v>14.8</v>
      </c>
      <c r="AK335" s="851"/>
      <c r="AL335" s="851">
        <v>14.8</v>
      </c>
      <c r="AM335" s="851"/>
      <c r="AN335" s="851"/>
      <c r="AO335" s="851"/>
      <c r="AP335" s="851"/>
    </row>
    <row r="336" spans="1:42" ht="14">
      <c r="A336" s="856">
        <v>335</v>
      </c>
      <c r="B336" s="425" t="s">
        <v>2639</v>
      </c>
      <c r="C336" s="425" t="s">
        <v>41</v>
      </c>
      <c r="D336" s="425" t="s">
        <v>2595</v>
      </c>
      <c r="E336" s="425" t="s">
        <v>747</v>
      </c>
      <c r="F336" s="425" t="s">
        <v>698</v>
      </c>
      <c r="G336">
        <v>1</v>
      </c>
      <c r="H336" s="852">
        <v>0.53</v>
      </c>
      <c r="I336" s="852">
        <v>10.050000000000001</v>
      </c>
      <c r="J336" s="852">
        <f t="shared" si="19"/>
        <v>5.3265000000000002</v>
      </c>
      <c r="K336" s="852">
        <f t="shared" si="20"/>
        <v>0.69244500000000009</v>
      </c>
      <c r="L336">
        <v>53</v>
      </c>
      <c r="M336" s="425" t="s">
        <v>2380</v>
      </c>
      <c r="N336" s="370">
        <v>2020</v>
      </c>
      <c r="O336" s="425" t="s">
        <v>2599</v>
      </c>
      <c r="P336" s="858">
        <v>5415058031336</v>
      </c>
      <c r="Q336" s="425" t="s">
        <v>2385</v>
      </c>
      <c r="R336" s="851">
        <v>16</v>
      </c>
      <c r="S336" s="851">
        <v>0</v>
      </c>
      <c r="T336" s="851">
        <v>20</v>
      </c>
      <c r="U336" s="851">
        <v>0</v>
      </c>
      <c r="V336" s="851">
        <v>17.600000000000001</v>
      </c>
      <c r="W336" s="851">
        <v>0</v>
      </c>
      <c r="X336" s="851">
        <v>22</v>
      </c>
      <c r="Y336" s="851">
        <v>0</v>
      </c>
      <c r="Z336" s="851">
        <v>40</v>
      </c>
      <c r="AA336" s="851">
        <v>0</v>
      </c>
      <c r="AB336" s="851">
        <v>56</v>
      </c>
      <c r="AC336" s="851">
        <v>0</v>
      </c>
      <c r="AD336" s="851">
        <v>96.8</v>
      </c>
      <c r="AE336" s="851">
        <v>0</v>
      </c>
      <c r="AF336" s="851">
        <v>44</v>
      </c>
      <c r="AG336" s="851">
        <v>0</v>
      </c>
      <c r="AH336" s="851">
        <v>81.3</v>
      </c>
      <c r="AI336" s="851">
        <v>0</v>
      </c>
      <c r="AJ336" s="851">
        <v>14.8</v>
      </c>
      <c r="AK336" s="851"/>
      <c r="AL336" s="851">
        <v>14.8</v>
      </c>
      <c r="AM336" s="851"/>
      <c r="AN336" s="851"/>
      <c r="AO336" s="851"/>
      <c r="AP336" s="851"/>
    </row>
    <row r="337" spans="1:42" ht="14">
      <c r="A337" s="856">
        <v>336</v>
      </c>
      <c r="B337" s="425" t="s">
        <v>2640</v>
      </c>
      <c r="C337" s="425" t="s">
        <v>41</v>
      </c>
      <c r="D337" s="425" t="s">
        <v>2595</v>
      </c>
      <c r="E337" s="425" t="s">
        <v>747</v>
      </c>
      <c r="F337" s="425" t="s">
        <v>590</v>
      </c>
      <c r="G337">
        <v>1</v>
      </c>
      <c r="H337" s="852">
        <v>0.53</v>
      </c>
      <c r="I337" s="852">
        <v>10.050000000000001</v>
      </c>
      <c r="J337" s="852">
        <f t="shared" si="19"/>
        <v>5.3265000000000002</v>
      </c>
      <c r="K337" s="852">
        <f t="shared" si="20"/>
        <v>0.69244500000000009</v>
      </c>
      <c r="L337">
        <v>53</v>
      </c>
      <c r="M337" s="425" t="s">
        <v>2380</v>
      </c>
      <c r="N337" s="370">
        <v>2020</v>
      </c>
      <c r="O337" s="425" t="s">
        <v>2599</v>
      </c>
      <c r="P337" s="858">
        <v>5415058031343</v>
      </c>
      <c r="Q337" s="425" t="s">
        <v>2385</v>
      </c>
      <c r="R337" s="851">
        <v>16</v>
      </c>
      <c r="S337" s="851">
        <v>0</v>
      </c>
      <c r="T337" s="851">
        <v>20</v>
      </c>
      <c r="U337" s="851">
        <v>0</v>
      </c>
      <c r="V337" s="851">
        <v>17.600000000000001</v>
      </c>
      <c r="W337" s="851">
        <v>0</v>
      </c>
      <c r="X337" s="851">
        <v>22</v>
      </c>
      <c r="Y337" s="851">
        <v>0</v>
      </c>
      <c r="Z337" s="851">
        <v>40</v>
      </c>
      <c r="AA337" s="851">
        <v>0</v>
      </c>
      <c r="AB337" s="851">
        <v>56</v>
      </c>
      <c r="AC337" s="851">
        <v>0</v>
      </c>
      <c r="AD337" s="851">
        <v>96.8</v>
      </c>
      <c r="AE337" s="851">
        <v>0</v>
      </c>
      <c r="AF337" s="851">
        <v>44</v>
      </c>
      <c r="AG337" s="851">
        <v>0</v>
      </c>
      <c r="AH337" s="851">
        <v>81.3</v>
      </c>
      <c r="AI337" s="851">
        <v>0</v>
      </c>
      <c r="AJ337" s="851">
        <v>14.8</v>
      </c>
      <c r="AK337" s="851"/>
      <c r="AL337" s="851">
        <v>14.8</v>
      </c>
      <c r="AM337" s="851"/>
      <c r="AN337" s="851"/>
      <c r="AO337" s="851"/>
      <c r="AP337" s="851"/>
    </row>
    <row r="338" spans="1:42" ht="14">
      <c r="A338" s="856">
        <v>337</v>
      </c>
      <c r="B338" s="425" t="s">
        <v>2641</v>
      </c>
      <c r="C338" s="425" t="s">
        <v>41</v>
      </c>
      <c r="D338" s="425" t="s">
        <v>2595</v>
      </c>
      <c r="E338" s="425" t="s">
        <v>754</v>
      </c>
      <c r="F338" s="425" t="s">
        <v>518</v>
      </c>
      <c r="G338">
        <v>1</v>
      </c>
      <c r="H338" s="852">
        <v>0.53</v>
      </c>
      <c r="I338" s="852">
        <v>10.050000000000001</v>
      </c>
      <c r="J338" s="852">
        <f t="shared" si="19"/>
        <v>5.3265000000000002</v>
      </c>
      <c r="K338" s="852">
        <f t="shared" si="20"/>
        <v>0.69244500000000009</v>
      </c>
      <c r="L338">
        <v>53</v>
      </c>
      <c r="M338" s="425" t="s">
        <v>2380</v>
      </c>
      <c r="N338" s="370">
        <v>2020</v>
      </c>
      <c r="O338" s="425" t="s">
        <v>2599</v>
      </c>
      <c r="P338" s="858">
        <v>5415058031350</v>
      </c>
      <c r="Q338" s="425" t="s">
        <v>2385</v>
      </c>
      <c r="R338" s="851">
        <v>16</v>
      </c>
      <c r="S338" s="851">
        <v>0</v>
      </c>
      <c r="T338" s="851">
        <v>20</v>
      </c>
      <c r="U338" s="851">
        <v>0</v>
      </c>
      <c r="V338" s="851">
        <v>17.600000000000001</v>
      </c>
      <c r="W338" s="851">
        <v>0</v>
      </c>
      <c r="X338" s="851">
        <v>22</v>
      </c>
      <c r="Y338" s="851">
        <v>0</v>
      </c>
      <c r="Z338" s="851">
        <v>40</v>
      </c>
      <c r="AA338" s="851">
        <v>0</v>
      </c>
      <c r="AB338" s="851">
        <v>56</v>
      </c>
      <c r="AC338" s="851">
        <v>0</v>
      </c>
      <c r="AD338" s="851">
        <v>96.8</v>
      </c>
      <c r="AE338" s="851">
        <v>0</v>
      </c>
      <c r="AF338" s="851">
        <v>44</v>
      </c>
      <c r="AG338" s="851">
        <v>0</v>
      </c>
      <c r="AH338" s="851">
        <v>81.3</v>
      </c>
      <c r="AI338" s="851">
        <v>0</v>
      </c>
      <c r="AJ338" s="851">
        <v>14.8</v>
      </c>
      <c r="AK338" s="851"/>
      <c r="AL338" s="851">
        <v>14.8</v>
      </c>
      <c r="AM338" s="851"/>
      <c r="AN338" s="851"/>
      <c r="AO338" s="851"/>
      <c r="AP338" s="851"/>
    </row>
    <row r="339" spans="1:42" ht="14">
      <c r="A339" s="856">
        <v>338</v>
      </c>
      <c r="B339" s="425" t="s">
        <v>2642</v>
      </c>
      <c r="C339" s="425" t="s">
        <v>41</v>
      </c>
      <c r="D339" s="425" t="s">
        <v>2595</v>
      </c>
      <c r="E339" s="425" t="s">
        <v>754</v>
      </c>
      <c r="F339" s="425" t="s">
        <v>725</v>
      </c>
      <c r="G339">
        <v>1</v>
      </c>
      <c r="H339" s="852">
        <v>0.53</v>
      </c>
      <c r="I339" s="852">
        <v>10.050000000000001</v>
      </c>
      <c r="J339" s="852">
        <f t="shared" si="19"/>
        <v>5.3265000000000002</v>
      </c>
      <c r="K339" s="852">
        <f t="shared" si="20"/>
        <v>0.69244500000000009</v>
      </c>
      <c r="L339">
        <v>53</v>
      </c>
      <c r="M339" s="425" t="s">
        <v>2380</v>
      </c>
      <c r="N339" s="370">
        <v>2020</v>
      </c>
      <c r="O339" s="425" t="s">
        <v>2599</v>
      </c>
      <c r="P339" s="858">
        <v>5415058031374</v>
      </c>
      <c r="Q339" s="425" t="s">
        <v>2385</v>
      </c>
      <c r="R339" s="851">
        <v>16</v>
      </c>
      <c r="S339" s="851">
        <v>0</v>
      </c>
      <c r="T339" s="851">
        <v>20</v>
      </c>
      <c r="U339" s="851">
        <v>0</v>
      </c>
      <c r="V339" s="851">
        <v>17.600000000000001</v>
      </c>
      <c r="W339" s="851">
        <v>0</v>
      </c>
      <c r="X339" s="851">
        <v>22</v>
      </c>
      <c r="Y339" s="851">
        <v>0</v>
      </c>
      <c r="Z339" s="851">
        <v>40</v>
      </c>
      <c r="AA339" s="851">
        <v>0</v>
      </c>
      <c r="AB339" s="851">
        <v>56</v>
      </c>
      <c r="AC339" s="851">
        <v>0</v>
      </c>
      <c r="AD339" s="851">
        <v>96.8</v>
      </c>
      <c r="AE339" s="851">
        <v>0</v>
      </c>
      <c r="AF339" s="851">
        <v>44</v>
      </c>
      <c r="AG339" s="851">
        <v>0</v>
      </c>
      <c r="AH339" s="851">
        <v>81.3</v>
      </c>
      <c r="AI339" s="851">
        <v>0</v>
      </c>
      <c r="AJ339" s="851">
        <v>14.8</v>
      </c>
      <c r="AK339" s="851"/>
      <c r="AL339" s="851">
        <v>14.8</v>
      </c>
      <c r="AM339" s="851"/>
      <c r="AN339" s="851"/>
      <c r="AO339" s="851"/>
      <c r="AP339" s="851"/>
    </row>
    <row r="340" spans="1:42" ht="14">
      <c r="A340" s="856">
        <v>339</v>
      </c>
      <c r="B340" s="425" t="s">
        <v>2643</v>
      </c>
      <c r="C340" s="425" t="s">
        <v>41</v>
      </c>
      <c r="D340" s="425" t="s">
        <v>2595</v>
      </c>
      <c r="E340" s="425" t="s">
        <v>754</v>
      </c>
      <c r="F340" s="425" t="s">
        <v>519</v>
      </c>
      <c r="G340">
        <v>1</v>
      </c>
      <c r="H340" s="852">
        <v>0.53</v>
      </c>
      <c r="I340" s="852">
        <v>10.050000000000001</v>
      </c>
      <c r="J340" s="852">
        <f t="shared" si="19"/>
        <v>5.3265000000000002</v>
      </c>
      <c r="K340" s="852">
        <f t="shared" si="20"/>
        <v>0.69244500000000009</v>
      </c>
      <c r="L340">
        <v>53</v>
      </c>
      <c r="M340" s="425" t="s">
        <v>2380</v>
      </c>
      <c r="N340" s="370">
        <v>2020</v>
      </c>
      <c r="O340" s="425" t="s">
        <v>2599</v>
      </c>
      <c r="P340" s="858">
        <v>5415058031381</v>
      </c>
      <c r="Q340" s="425" t="s">
        <v>2385</v>
      </c>
      <c r="R340" s="851">
        <v>16</v>
      </c>
      <c r="S340" s="851">
        <v>0</v>
      </c>
      <c r="T340" s="851">
        <v>20</v>
      </c>
      <c r="U340" s="851">
        <v>0</v>
      </c>
      <c r="V340" s="851">
        <v>17.600000000000001</v>
      </c>
      <c r="W340" s="851">
        <v>0</v>
      </c>
      <c r="X340" s="851">
        <v>22</v>
      </c>
      <c r="Y340" s="851">
        <v>0</v>
      </c>
      <c r="Z340" s="851">
        <v>40</v>
      </c>
      <c r="AA340" s="851">
        <v>0</v>
      </c>
      <c r="AB340" s="851">
        <v>56</v>
      </c>
      <c r="AC340" s="851">
        <v>0</v>
      </c>
      <c r="AD340" s="851">
        <v>96.8</v>
      </c>
      <c r="AE340" s="851">
        <v>0</v>
      </c>
      <c r="AF340" s="851">
        <v>44</v>
      </c>
      <c r="AG340" s="851">
        <v>0</v>
      </c>
      <c r="AH340" s="851">
        <v>81.3</v>
      </c>
      <c r="AI340" s="851">
        <v>0</v>
      </c>
      <c r="AJ340" s="851">
        <v>14.8</v>
      </c>
      <c r="AK340" s="851"/>
      <c r="AL340" s="851">
        <v>14.8</v>
      </c>
      <c r="AM340" s="851"/>
      <c r="AN340" s="851"/>
      <c r="AO340" s="851"/>
      <c r="AP340" s="851"/>
    </row>
    <row r="341" spans="1:42" ht="14">
      <c r="A341" s="856">
        <v>340</v>
      </c>
      <c r="B341" s="425" t="s">
        <v>2644</v>
      </c>
      <c r="C341" s="425" t="s">
        <v>41</v>
      </c>
      <c r="D341" s="425" t="s">
        <v>2595</v>
      </c>
      <c r="E341" s="425" t="s">
        <v>758</v>
      </c>
      <c r="F341" s="425" t="s">
        <v>705</v>
      </c>
      <c r="G341">
        <v>1</v>
      </c>
      <c r="H341" s="852">
        <v>0.53</v>
      </c>
      <c r="I341" s="852">
        <v>10.050000000000001</v>
      </c>
      <c r="J341" s="852">
        <f t="shared" si="19"/>
        <v>5.3265000000000002</v>
      </c>
      <c r="K341" s="852">
        <f t="shared" si="20"/>
        <v>0.69244500000000009</v>
      </c>
      <c r="L341">
        <v>53</v>
      </c>
      <c r="M341" s="425" t="s">
        <v>2380</v>
      </c>
      <c r="N341" s="370">
        <v>2020</v>
      </c>
      <c r="O341" s="425" t="s">
        <v>2599</v>
      </c>
      <c r="P341" s="858">
        <v>5415058031398</v>
      </c>
      <c r="Q341" s="425" t="s">
        <v>2385</v>
      </c>
      <c r="R341" s="851">
        <v>16</v>
      </c>
      <c r="S341" s="851">
        <v>0</v>
      </c>
      <c r="T341" s="851">
        <v>20</v>
      </c>
      <c r="U341" s="851">
        <v>0</v>
      </c>
      <c r="V341" s="851">
        <v>17.600000000000001</v>
      </c>
      <c r="W341" s="851">
        <v>0</v>
      </c>
      <c r="X341" s="851">
        <v>22</v>
      </c>
      <c r="Y341" s="851">
        <v>0</v>
      </c>
      <c r="Z341" s="851">
        <v>40</v>
      </c>
      <c r="AA341" s="851">
        <v>0</v>
      </c>
      <c r="AB341" s="851">
        <v>56</v>
      </c>
      <c r="AC341" s="851">
        <v>0</v>
      </c>
      <c r="AD341" s="851">
        <v>96.8</v>
      </c>
      <c r="AE341" s="851">
        <v>0</v>
      </c>
      <c r="AF341" s="851">
        <v>44</v>
      </c>
      <c r="AG341" s="851">
        <v>0</v>
      </c>
      <c r="AH341" s="851">
        <v>81.3</v>
      </c>
      <c r="AI341" s="851">
        <v>0</v>
      </c>
      <c r="AJ341" s="851">
        <v>14.8</v>
      </c>
      <c r="AK341" s="851"/>
      <c r="AL341" s="851">
        <v>14.8</v>
      </c>
      <c r="AM341" s="851"/>
      <c r="AN341" s="851"/>
      <c r="AO341" s="851"/>
      <c r="AP341" s="851"/>
    </row>
    <row r="342" spans="1:42" ht="14">
      <c r="A342" s="856">
        <v>341</v>
      </c>
      <c r="B342" s="425" t="s">
        <v>2645</v>
      </c>
      <c r="C342" s="425" t="s">
        <v>41</v>
      </c>
      <c r="D342" s="425" t="s">
        <v>2595</v>
      </c>
      <c r="E342" s="425" t="s">
        <v>758</v>
      </c>
      <c r="F342" s="425" t="s">
        <v>590</v>
      </c>
      <c r="G342">
        <v>1</v>
      </c>
      <c r="H342" s="852">
        <v>0.53</v>
      </c>
      <c r="I342" s="852">
        <v>10.050000000000001</v>
      </c>
      <c r="J342" s="852">
        <f t="shared" si="19"/>
        <v>5.3265000000000002</v>
      </c>
      <c r="K342" s="852">
        <f t="shared" si="20"/>
        <v>0.69244500000000009</v>
      </c>
      <c r="L342">
        <v>53</v>
      </c>
      <c r="M342" s="425" t="s">
        <v>2380</v>
      </c>
      <c r="N342" s="370">
        <v>2020</v>
      </c>
      <c r="O342" s="425" t="s">
        <v>2599</v>
      </c>
      <c r="P342" s="858">
        <v>5415058031404</v>
      </c>
      <c r="Q342" s="425" t="s">
        <v>2385</v>
      </c>
      <c r="R342" s="851">
        <v>16</v>
      </c>
      <c r="S342" s="851">
        <v>0</v>
      </c>
      <c r="T342" s="851">
        <v>20</v>
      </c>
      <c r="U342" s="851">
        <v>0</v>
      </c>
      <c r="V342" s="851">
        <v>17.600000000000001</v>
      </c>
      <c r="W342" s="851">
        <v>0</v>
      </c>
      <c r="X342" s="851">
        <v>22</v>
      </c>
      <c r="Y342" s="851">
        <v>0</v>
      </c>
      <c r="Z342" s="851">
        <v>40</v>
      </c>
      <c r="AA342" s="851">
        <v>0</v>
      </c>
      <c r="AB342" s="851">
        <v>56</v>
      </c>
      <c r="AC342" s="851">
        <v>0</v>
      </c>
      <c r="AD342" s="851">
        <v>96.8</v>
      </c>
      <c r="AE342" s="851">
        <v>0</v>
      </c>
      <c r="AF342" s="851">
        <v>44</v>
      </c>
      <c r="AG342" s="851">
        <v>0</v>
      </c>
      <c r="AH342" s="851">
        <v>81.3</v>
      </c>
      <c r="AI342" s="851">
        <v>0</v>
      </c>
      <c r="AJ342" s="851">
        <v>14.8</v>
      </c>
      <c r="AK342" s="851"/>
      <c r="AL342" s="851">
        <v>14.8</v>
      </c>
      <c r="AM342" s="851"/>
      <c r="AN342" s="851"/>
      <c r="AO342" s="851"/>
      <c r="AP342" s="851"/>
    </row>
    <row r="343" spans="1:42" ht="14">
      <c r="A343" s="856">
        <v>342</v>
      </c>
      <c r="B343" s="425" t="s">
        <v>2646</v>
      </c>
      <c r="C343" s="425" t="s">
        <v>41</v>
      </c>
      <c r="D343" s="425" t="s">
        <v>653</v>
      </c>
      <c r="E343" s="425" t="s">
        <v>761</v>
      </c>
      <c r="F343" s="425" t="s">
        <v>590</v>
      </c>
      <c r="G343">
        <v>4</v>
      </c>
      <c r="H343" s="852">
        <v>0.9</v>
      </c>
      <c r="I343" s="852">
        <v>3</v>
      </c>
      <c r="J343" s="852">
        <f t="shared" si="19"/>
        <v>10.8</v>
      </c>
      <c r="K343" s="852">
        <f t="shared" si="20"/>
        <v>1.4039999999999999</v>
      </c>
      <c r="L343">
        <v>0</v>
      </c>
      <c r="M343" s="425" t="s">
        <v>47</v>
      </c>
      <c r="N343" s="370">
        <v>2050</v>
      </c>
      <c r="O343" s="425" t="s">
        <v>2599</v>
      </c>
      <c r="P343" s="858">
        <v>5415058031411</v>
      </c>
      <c r="Q343" s="425" t="s">
        <v>2474</v>
      </c>
      <c r="R343" s="851">
        <v>13</v>
      </c>
      <c r="S343" s="851">
        <v>14.95</v>
      </c>
      <c r="T343" s="851">
        <v>13</v>
      </c>
      <c r="U343" s="851">
        <v>14.95</v>
      </c>
      <c r="V343" s="851">
        <v>14.3</v>
      </c>
      <c r="W343" s="851">
        <v>16.45</v>
      </c>
      <c r="X343" s="851">
        <v>14.3</v>
      </c>
      <c r="Y343" s="851">
        <v>16.45</v>
      </c>
      <c r="Z343" s="851">
        <v>26</v>
      </c>
      <c r="AA343" s="851">
        <v>30</v>
      </c>
      <c r="AB343" s="851">
        <v>35</v>
      </c>
      <c r="AC343" s="851">
        <v>40.25</v>
      </c>
      <c r="AD343" s="851">
        <v>55</v>
      </c>
      <c r="AE343" s="851">
        <v>60.5</v>
      </c>
      <c r="AF343" s="851">
        <v>25</v>
      </c>
      <c r="AG343" s="851">
        <v>28.75</v>
      </c>
      <c r="AH343" s="851">
        <v>45.45</v>
      </c>
      <c r="AI343" s="851">
        <v>50</v>
      </c>
      <c r="AJ343" s="851"/>
      <c r="AK343" s="851"/>
      <c r="AL343" s="851"/>
      <c r="AM343" s="851"/>
      <c r="AN343" s="851"/>
      <c r="AO343" s="851"/>
      <c r="AP343" s="851"/>
    </row>
    <row r="344" spans="1:42" ht="14">
      <c r="A344" s="856">
        <v>343</v>
      </c>
      <c r="B344" s="425" t="s">
        <v>2647</v>
      </c>
      <c r="C344" s="425" t="s">
        <v>41</v>
      </c>
      <c r="D344" s="425" t="s">
        <v>653</v>
      </c>
      <c r="E344" s="425" t="s">
        <v>761</v>
      </c>
      <c r="F344" s="425" t="s">
        <v>723</v>
      </c>
      <c r="G344">
        <v>4</v>
      </c>
      <c r="H344" s="852">
        <v>0.9</v>
      </c>
      <c r="I344" s="852">
        <v>3</v>
      </c>
      <c r="J344" s="852">
        <f t="shared" ref="J344:J348" si="21">H344*I344*G344</f>
        <v>10.8</v>
      </c>
      <c r="K344" s="852">
        <f t="shared" ref="K344:K348" si="22">J344*130/1000</f>
        <v>1.4039999999999999</v>
      </c>
      <c r="L344">
        <v>1</v>
      </c>
      <c r="M344" s="425" t="s">
        <v>47</v>
      </c>
      <c r="N344" s="370">
        <v>2051</v>
      </c>
      <c r="O344" s="425" t="s">
        <v>2599</v>
      </c>
      <c r="P344" s="858">
        <v>5415058031428</v>
      </c>
      <c r="Q344" s="425" t="s">
        <v>2474</v>
      </c>
      <c r="R344" s="851">
        <v>13</v>
      </c>
      <c r="S344" s="851">
        <v>14.95</v>
      </c>
      <c r="T344" s="851">
        <v>13</v>
      </c>
      <c r="U344" s="851">
        <v>14.95</v>
      </c>
      <c r="V344" s="851">
        <v>14.3</v>
      </c>
      <c r="W344" s="851">
        <v>16.45</v>
      </c>
      <c r="X344" s="851">
        <v>14.3</v>
      </c>
      <c r="Y344" s="851">
        <v>16.45</v>
      </c>
      <c r="Z344" s="851">
        <v>26</v>
      </c>
      <c r="AA344" s="851">
        <v>30</v>
      </c>
      <c r="AB344" s="851">
        <v>35</v>
      </c>
      <c r="AC344" s="851">
        <v>40.25</v>
      </c>
      <c r="AD344" s="851">
        <v>55</v>
      </c>
      <c r="AE344" s="851">
        <v>60.5</v>
      </c>
      <c r="AF344" s="851">
        <v>25</v>
      </c>
      <c r="AG344" s="851">
        <v>28.75</v>
      </c>
      <c r="AH344" s="851">
        <v>45.45</v>
      </c>
      <c r="AI344" s="851">
        <v>50</v>
      </c>
      <c r="AJ344" s="851"/>
      <c r="AK344" s="851"/>
      <c r="AL344" s="851"/>
      <c r="AM344" s="851"/>
      <c r="AN344" s="851"/>
      <c r="AO344" s="851"/>
      <c r="AP344" s="851"/>
    </row>
    <row r="345" spans="1:42" ht="14">
      <c r="A345" s="856">
        <v>344</v>
      </c>
      <c r="B345" s="425" t="s">
        <v>2648</v>
      </c>
      <c r="C345" s="425" t="s">
        <v>41</v>
      </c>
      <c r="D345" s="425" t="s">
        <v>653</v>
      </c>
      <c r="E345" s="425" t="s">
        <v>761</v>
      </c>
      <c r="F345" s="425" t="s">
        <v>521</v>
      </c>
      <c r="G345">
        <v>4</v>
      </c>
      <c r="H345" s="852">
        <v>0.9</v>
      </c>
      <c r="I345" s="852">
        <v>3</v>
      </c>
      <c r="J345" s="852">
        <f t="shared" si="21"/>
        <v>10.8</v>
      </c>
      <c r="K345" s="852">
        <f t="shared" si="22"/>
        <v>1.4039999999999999</v>
      </c>
      <c r="L345">
        <v>2</v>
      </c>
      <c r="M345" s="425" t="s">
        <v>47</v>
      </c>
      <c r="N345" s="370">
        <v>2052</v>
      </c>
      <c r="O345" s="425" t="s">
        <v>2599</v>
      </c>
      <c r="P345" s="858">
        <v>5415058031435</v>
      </c>
      <c r="Q345" s="425" t="s">
        <v>2474</v>
      </c>
      <c r="R345" s="851">
        <v>13</v>
      </c>
      <c r="S345" s="851">
        <v>14.95</v>
      </c>
      <c r="T345" s="851">
        <v>13</v>
      </c>
      <c r="U345" s="851">
        <v>14.95</v>
      </c>
      <c r="V345" s="851">
        <v>14.3</v>
      </c>
      <c r="W345" s="851">
        <v>16.45</v>
      </c>
      <c r="X345" s="851">
        <v>14.3</v>
      </c>
      <c r="Y345" s="851">
        <v>16.45</v>
      </c>
      <c r="Z345" s="851">
        <v>26</v>
      </c>
      <c r="AA345" s="851">
        <v>30</v>
      </c>
      <c r="AB345" s="851">
        <v>35</v>
      </c>
      <c r="AC345" s="851">
        <v>40.25</v>
      </c>
      <c r="AD345" s="851">
        <v>55</v>
      </c>
      <c r="AE345" s="851">
        <v>60.5</v>
      </c>
      <c r="AF345" s="851">
        <v>25</v>
      </c>
      <c r="AG345" s="851">
        <v>28.75</v>
      </c>
      <c r="AH345" s="851">
        <v>45.45</v>
      </c>
      <c r="AI345" s="851">
        <v>50</v>
      </c>
      <c r="AJ345" s="851"/>
      <c r="AK345" s="851"/>
      <c r="AL345" s="851"/>
      <c r="AM345" s="851"/>
      <c r="AN345" s="851"/>
      <c r="AO345" s="851"/>
      <c r="AP345" s="851"/>
    </row>
    <row r="346" spans="1:42" ht="14">
      <c r="A346" s="856">
        <v>345</v>
      </c>
      <c r="B346" s="425" t="s">
        <v>2649</v>
      </c>
      <c r="C346" s="425" t="s">
        <v>41</v>
      </c>
      <c r="D346" s="425" t="s">
        <v>653</v>
      </c>
      <c r="E346" s="425" t="s">
        <v>761</v>
      </c>
      <c r="F346" s="425" t="s">
        <v>698</v>
      </c>
      <c r="G346">
        <v>4</v>
      </c>
      <c r="H346" s="852">
        <v>0.9</v>
      </c>
      <c r="I346" s="852">
        <v>3</v>
      </c>
      <c r="J346" s="852">
        <f t="shared" si="21"/>
        <v>10.8</v>
      </c>
      <c r="K346" s="852">
        <f t="shared" si="22"/>
        <v>1.4039999999999999</v>
      </c>
      <c r="L346">
        <v>3</v>
      </c>
      <c r="M346" s="425" t="s">
        <v>47</v>
      </c>
      <c r="N346" s="370">
        <v>2053</v>
      </c>
      <c r="O346" s="425" t="s">
        <v>2599</v>
      </c>
      <c r="P346" s="858">
        <v>5415058031442</v>
      </c>
      <c r="Q346" s="425" t="s">
        <v>2474</v>
      </c>
      <c r="R346" s="851">
        <v>13</v>
      </c>
      <c r="S346" s="851">
        <v>14.95</v>
      </c>
      <c r="T346" s="851">
        <v>13</v>
      </c>
      <c r="U346" s="851">
        <v>14.95</v>
      </c>
      <c r="V346" s="851">
        <v>14.3</v>
      </c>
      <c r="W346" s="851">
        <v>16.45</v>
      </c>
      <c r="X346" s="851">
        <v>14.3</v>
      </c>
      <c r="Y346" s="851">
        <v>16.45</v>
      </c>
      <c r="Z346" s="851">
        <v>26</v>
      </c>
      <c r="AA346" s="851">
        <v>30</v>
      </c>
      <c r="AB346" s="851">
        <v>35</v>
      </c>
      <c r="AC346" s="851">
        <v>40.25</v>
      </c>
      <c r="AD346" s="851">
        <v>55</v>
      </c>
      <c r="AE346" s="851">
        <v>60.5</v>
      </c>
      <c r="AF346" s="851">
        <v>25</v>
      </c>
      <c r="AG346" s="851">
        <v>28.75</v>
      </c>
      <c r="AH346" s="851">
        <v>45.45</v>
      </c>
      <c r="AI346" s="851">
        <v>50</v>
      </c>
      <c r="AJ346" s="851"/>
      <c r="AK346" s="851"/>
      <c r="AL346" s="851"/>
      <c r="AM346" s="851"/>
      <c r="AN346" s="851"/>
      <c r="AO346" s="851"/>
      <c r="AP346" s="851"/>
    </row>
    <row r="347" spans="1:42" ht="14">
      <c r="A347" s="856">
        <v>346</v>
      </c>
      <c r="B347" s="425" t="s">
        <v>2650</v>
      </c>
      <c r="C347" s="425" t="s">
        <v>41</v>
      </c>
      <c r="D347" s="425" t="s">
        <v>653</v>
      </c>
      <c r="E347" s="425" t="s">
        <v>761</v>
      </c>
      <c r="F347" s="425" t="s">
        <v>518</v>
      </c>
      <c r="G347">
        <v>4</v>
      </c>
      <c r="H347" s="852">
        <v>0.9</v>
      </c>
      <c r="I347" s="852">
        <v>3</v>
      </c>
      <c r="J347" s="852">
        <f t="shared" si="21"/>
        <v>10.8</v>
      </c>
      <c r="K347" s="852">
        <f t="shared" si="22"/>
        <v>1.4039999999999999</v>
      </c>
      <c r="L347">
        <v>4</v>
      </c>
      <c r="M347" s="425" t="s">
        <v>47</v>
      </c>
      <c r="N347" s="370">
        <v>2054</v>
      </c>
      <c r="O347" s="425" t="s">
        <v>2599</v>
      </c>
      <c r="P347" s="858">
        <v>5415058031459</v>
      </c>
      <c r="Q347" s="425" t="s">
        <v>2474</v>
      </c>
      <c r="R347" s="851">
        <v>13</v>
      </c>
      <c r="S347" s="851">
        <v>14.95</v>
      </c>
      <c r="T347" s="851">
        <v>13</v>
      </c>
      <c r="U347" s="851">
        <v>14.95</v>
      </c>
      <c r="V347" s="851">
        <v>14.3</v>
      </c>
      <c r="W347" s="851">
        <v>16.45</v>
      </c>
      <c r="X347" s="851">
        <v>14.3</v>
      </c>
      <c r="Y347" s="851">
        <v>16.45</v>
      </c>
      <c r="Z347" s="851">
        <v>26</v>
      </c>
      <c r="AA347" s="851">
        <v>30</v>
      </c>
      <c r="AB347" s="851">
        <v>35</v>
      </c>
      <c r="AC347" s="851">
        <v>40.25</v>
      </c>
      <c r="AD347" s="851">
        <v>55</v>
      </c>
      <c r="AE347" s="851">
        <v>60.5</v>
      </c>
      <c r="AF347" s="851">
        <v>25</v>
      </c>
      <c r="AG347" s="851">
        <v>28.75</v>
      </c>
      <c r="AH347" s="851">
        <v>45.45</v>
      </c>
      <c r="AI347" s="851">
        <v>50</v>
      </c>
      <c r="AJ347" s="851"/>
      <c r="AK347" s="851"/>
      <c r="AL347" s="851"/>
      <c r="AM347" s="851"/>
      <c r="AN347" s="851"/>
      <c r="AO347" s="851"/>
      <c r="AP347" s="851"/>
    </row>
    <row r="348" spans="1:42" ht="14">
      <c r="A348" s="856">
        <v>347</v>
      </c>
      <c r="B348" s="425" t="s">
        <v>2651</v>
      </c>
      <c r="C348" s="425" t="s">
        <v>41</v>
      </c>
      <c r="D348" s="425" t="s">
        <v>653</v>
      </c>
      <c r="E348" s="425" t="s">
        <v>761</v>
      </c>
      <c r="F348" s="425" t="s">
        <v>512</v>
      </c>
      <c r="G348">
        <v>4</v>
      </c>
      <c r="H348" s="852">
        <v>0.9</v>
      </c>
      <c r="I348" s="852">
        <v>3</v>
      </c>
      <c r="J348" s="852">
        <f t="shared" si="21"/>
        <v>10.8</v>
      </c>
      <c r="K348" s="852">
        <f t="shared" si="22"/>
        <v>1.4039999999999999</v>
      </c>
      <c r="L348">
        <v>5</v>
      </c>
      <c r="M348" s="425" t="s">
        <v>47</v>
      </c>
      <c r="N348" s="370">
        <v>2055</v>
      </c>
      <c r="O348" s="425" t="s">
        <v>2599</v>
      </c>
      <c r="P348" s="858">
        <v>5415058031466</v>
      </c>
      <c r="Q348" s="425" t="s">
        <v>2474</v>
      </c>
      <c r="R348" s="851">
        <v>13</v>
      </c>
      <c r="S348" s="851">
        <v>14.95</v>
      </c>
      <c r="T348" s="851">
        <v>13</v>
      </c>
      <c r="U348" s="851">
        <v>14.95</v>
      </c>
      <c r="V348" s="851">
        <v>14.3</v>
      </c>
      <c r="W348" s="851">
        <v>16.45</v>
      </c>
      <c r="X348" s="851">
        <v>14.3</v>
      </c>
      <c r="Y348" s="851">
        <v>16.45</v>
      </c>
      <c r="Z348" s="851">
        <v>26</v>
      </c>
      <c r="AA348" s="851">
        <v>30</v>
      </c>
      <c r="AB348" s="851">
        <v>35</v>
      </c>
      <c r="AC348" s="851">
        <v>40.25</v>
      </c>
      <c r="AD348" s="851">
        <v>55</v>
      </c>
      <c r="AE348" s="851">
        <v>60.5</v>
      </c>
      <c r="AF348" s="851">
        <v>25</v>
      </c>
      <c r="AG348" s="851">
        <v>28.75</v>
      </c>
      <c r="AH348" s="851">
        <v>45.45</v>
      </c>
      <c r="AI348" s="851">
        <v>50</v>
      </c>
      <c r="AJ348" s="851"/>
      <c r="AK348" s="851"/>
      <c r="AL348" s="851"/>
      <c r="AM348" s="851"/>
      <c r="AN348" s="851"/>
      <c r="AO348" s="851"/>
      <c r="AP348" s="851"/>
    </row>
    <row r="349" spans="1:42" ht="14">
      <c r="A349" s="856">
        <v>348</v>
      </c>
      <c r="B349" s="425" t="s">
        <v>2652</v>
      </c>
      <c r="C349" s="425" t="s">
        <v>41</v>
      </c>
      <c r="D349" s="425" t="s">
        <v>653</v>
      </c>
      <c r="E349" s="425" t="s">
        <v>768</v>
      </c>
      <c r="F349" s="425" t="s">
        <v>518</v>
      </c>
      <c r="G349">
        <v>4</v>
      </c>
      <c r="H349" s="852">
        <v>0.9</v>
      </c>
      <c r="I349" s="852">
        <v>3</v>
      </c>
      <c r="J349" s="852">
        <f t="shared" ref="J349:J412" si="23">H349*I349*G349</f>
        <v>10.8</v>
      </c>
      <c r="K349" s="852">
        <f t="shared" ref="K349:K412" si="24">J349*130/1000</f>
        <v>1.4039999999999999</v>
      </c>
      <c r="L349">
        <v>6</v>
      </c>
      <c r="M349" s="425" t="s">
        <v>47</v>
      </c>
      <c r="N349" s="370">
        <v>2056</v>
      </c>
      <c r="O349" s="425" t="s">
        <v>2599</v>
      </c>
      <c r="P349" s="858">
        <v>5415058031473</v>
      </c>
      <c r="Q349" s="425" t="s">
        <v>2474</v>
      </c>
      <c r="R349" s="851">
        <v>13</v>
      </c>
      <c r="S349" s="851">
        <v>14.95</v>
      </c>
      <c r="T349" s="851">
        <v>13</v>
      </c>
      <c r="U349" s="851">
        <v>14.95</v>
      </c>
      <c r="V349" s="851">
        <v>14.3</v>
      </c>
      <c r="W349" s="851">
        <v>16.45</v>
      </c>
      <c r="X349" s="851">
        <v>14.3</v>
      </c>
      <c r="Y349" s="851">
        <v>16.45</v>
      </c>
      <c r="Z349" s="851">
        <v>26</v>
      </c>
      <c r="AA349" s="851">
        <v>30</v>
      </c>
      <c r="AB349" s="851">
        <v>35</v>
      </c>
      <c r="AC349" s="851">
        <v>40.25</v>
      </c>
      <c r="AD349" s="851">
        <v>55</v>
      </c>
      <c r="AE349" s="851">
        <v>60.5</v>
      </c>
      <c r="AF349" s="851">
        <v>25</v>
      </c>
      <c r="AG349" s="851">
        <v>28.75</v>
      </c>
      <c r="AH349" s="851">
        <v>45.45</v>
      </c>
      <c r="AI349" s="851">
        <v>50</v>
      </c>
      <c r="AJ349" s="851"/>
      <c r="AK349" s="851"/>
      <c r="AL349" s="851"/>
      <c r="AM349" s="851"/>
      <c r="AN349" s="851"/>
      <c r="AO349" s="851"/>
      <c r="AP349" s="851"/>
    </row>
    <row r="350" spans="1:42" ht="14">
      <c r="A350" s="856">
        <v>349</v>
      </c>
      <c r="B350" s="425" t="s">
        <v>2653</v>
      </c>
      <c r="C350" s="425" t="s">
        <v>41</v>
      </c>
      <c r="D350" s="425" t="s">
        <v>653</v>
      </c>
      <c r="E350" s="425" t="s">
        <v>768</v>
      </c>
      <c r="F350" s="425" t="s">
        <v>723</v>
      </c>
      <c r="G350">
        <v>4</v>
      </c>
      <c r="H350" s="852">
        <v>0.9</v>
      </c>
      <c r="I350" s="852">
        <v>3</v>
      </c>
      <c r="J350" s="852">
        <f t="shared" si="23"/>
        <v>10.8</v>
      </c>
      <c r="K350" s="852">
        <f t="shared" si="24"/>
        <v>1.4039999999999999</v>
      </c>
      <c r="L350">
        <v>7</v>
      </c>
      <c r="M350" s="425" t="s">
        <v>47</v>
      </c>
      <c r="N350" s="370">
        <v>2057</v>
      </c>
      <c r="O350" s="425" t="s">
        <v>2599</v>
      </c>
      <c r="P350" s="858">
        <v>5415058031480</v>
      </c>
      <c r="Q350" s="425" t="s">
        <v>2474</v>
      </c>
      <c r="R350" s="851">
        <v>13</v>
      </c>
      <c r="S350" s="851">
        <v>14.95</v>
      </c>
      <c r="T350" s="851">
        <v>13</v>
      </c>
      <c r="U350" s="851">
        <v>14.95</v>
      </c>
      <c r="V350" s="851">
        <v>14.3</v>
      </c>
      <c r="W350" s="851">
        <v>16.45</v>
      </c>
      <c r="X350" s="851">
        <v>14.3</v>
      </c>
      <c r="Y350" s="851">
        <v>16.45</v>
      </c>
      <c r="Z350" s="851">
        <v>26</v>
      </c>
      <c r="AA350" s="851">
        <v>30</v>
      </c>
      <c r="AB350" s="851">
        <v>35</v>
      </c>
      <c r="AC350" s="851">
        <v>40.25</v>
      </c>
      <c r="AD350" s="851">
        <v>55</v>
      </c>
      <c r="AE350" s="851">
        <v>60.5</v>
      </c>
      <c r="AF350" s="851">
        <v>25</v>
      </c>
      <c r="AG350" s="851">
        <v>28.75</v>
      </c>
      <c r="AH350" s="851">
        <v>45.45</v>
      </c>
      <c r="AI350" s="851">
        <v>50</v>
      </c>
      <c r="AJ350" s="851"/>
      <c r="AK350" s="851"/>
      <c r="AL350" s="851"/>
      <c r="AM350" s="851"/>
      <c r="AN350" s="851"/>
      <c r="AO350" s="851"/>
      <c r="AP350" s="851"/>
    </row>
    <row r="351" spans="1:42" ht="14">
      <c r="A351" s="856">
        <v>350</v>
      </c>
      <c r="B351" s="425" t="s">
        <v>2654</v>
      </c>
      <c r="C351" s="425" t="s">
        <v>41</v>
      </c>
      <c r="D351" s="425" t="s">
        <v>653</v>
      </c>
      <c r="E351" s="425" t="s">
        <v>768</v>
      </c>
      <c r="F351" s="425" t="s">
        <v>590</v>
      </c>
      <c r="G351">
        <v>4</v>
      </c>
      <c r="H351" s="852">
        <v>0.9</v>
      </c>
      <c r="I351" s="852">
        <v>3</v>
      </c>
      <c r="J351" s="852">
        <f t="shared" si="23"/>
        <v>10.8</v>
      </c>
      <c r="K351" s="852">
        <f t="shared" si="24"/>
        <v>1.4039999999999999</v>
      </c>
      <c r="L351">
        <v>8</v>
      </c>
      <c r="M351" s="425" t="s">
        <v>47</v>
      </c>
      <c r="N351" s="370">
        <v>2058</v>
      </c>
      <c r="O351" s="425" t="s">
        <v>2599</v>
      </c>
      <c r="P351" s="858">
        <v>5415058031497</v>
      </c>
      <c r="Q351" s="425" t="s">
        <v>2474</v>
      </c>
      <c r="R351" s="851">
        <v>13</v>
      </c>
      <c r="S351" s="851">
        <v>14.95</v>
      </c>
      <c r="T351" s="851">
        <v>13</v>
      </c>
      <c r="U351" s="851">
        <v>14.95</v>
      </c>
      <c r="V351" s="851">
        <v>14.3</v>
      </c>
      <c r="W351" s="851">
        <v>16.45</v>
      </c>
      <c r="X351" s="851">
        <v>14.3</v>
      </c>
      <c r="Y351" s="851">
        <v>16.45</v>
      </c>
      <c r="Z351" s="851">
        <v>26</v>
      </c>
      <c r="AA351" s="851">
        <v>30</v>
      </c>
      <c r="AB351" s="851">
        <v>35</v>
      </c>
      <c r="AC351" s="851">
        <v>40.25</v>
      </c>
      <c r="AD351" s="851">
        <v>55</v>
      </c>
      <c r="AE351" s="851">
        <v>60.5</v>
      </c>
      <c r="AF351" s="851">
        <v>25</v>
      </c>
      <c r="AG351" s="851">
        <v>28.75</v>
      </c>
      <c r="AH351" s="851">
        <v>45.45</v>
      </c>
      <c r="AI351" s="851">
        <v>50</v>
      </c>
      <c r="AJ351" s="851"/>
      <c r="AK351" s="851"/>
      <c r="AL351" s="851"/>
      <c r="AM351" s="851"/>
      <c r="AN351" s="851"/>
      <c r="AO351" s="851"/>
      <c r="AP351" s="851"/>
    </row>
    <row r="352" spans="1:42" ht="14">
      <c r="A352" s="856">
        <v>351</v>
      </c>
      <c r="B352" s="425" t="s">
        <v>2655</v>
      </c>
      <c r="C352" s="425" t="s">
        <v>41</v>
      </c>
      <c r="D352" s="425" t="s">
        <v>653</v>
      </c>
      <c r="E352" s="425" t="s">
        <v>768</v>
      </c>
      <c r="F352" s="425" t="s">
        <v>512</v>
      </c>
      <c r="G352">
        <v>4</v>
      </c>
      <c r="H352" s="852">
        <v>0.9</v>
      </c>
      <c r="I352" s="852">
        <v>3</v>
      </c>
      <c r="J352" s="852">
        <f t="shared" si="23"/>
        <v>10.8</v>
      </c>
      <c r="K352" s="852">
        <f t="shared" si="24"/>
        <v>1.4039999999999999</v>
      </c>
      <c r="L352">
        <v>9</v>
      </c>
      <c r="M352" s="425" t="s">
        <v>47</v>
      </c>
      <c r="N352" s="370">
        <v>2059</v>
      </c>
      <c r="O352" s="425" t="s">
        <v>2599</v>
      </c>
      <c r="P352" s="858">
        <v>5415058031503</v>
      </c>
      <c r="Q352" s="425" t="s">
        <v>2474</v>
      </c>
      <c r="R352" s="851">
        <v>13</v>
      </c>
      <c r="S352" s="851">
        <v>14.95</v>
      </c>
      <c r="T352" s="851">
        <v>13</v>
      </c>
      <c r="U352" s="851">
        <v>14.95</v>
      </c>
      <c r="V352" s="851">
        <v>14.3</v>
      </c>
      <c r="W352" s="851">
        <v>16.45</v>
      </c>
      <c r="X352" s="851">
        <v>14.3</v>
      </c>
      <c r="Y352" s="851">
        <v>16.45</v>
      </c>
      <c r="Z352" s="851">
        <v>26</v>
      </c>
      <c r="AA352" s="851">
        <v>30</v>
      </c>
      <c r="AB352" s="851">
        <v>35</v>
      </c>
      <c r="AC352" s="851">
        <v>40.25</v>
      </c>
      <c r="AD352" s="851">
        <v>55</v>
      </c>
      <c r="AE352" s="851">
        <v>60.5</v>
      </c>
      <c r="AF352" s="851">
        <v>25</v>
      </c>
      <c r="AG352" s="851">
        <v>28.75</v>
      </c>
      <c r="AH352" s="851">
        <v>45.45</v>
      </c>
      <c r="AI352" s="851">
        <v>50</v>
      </c>
      <c r="AJ352" s="851"/>
      <c r="AK352" s="851"/>
      <c r="AL352" s="851"/>
      <c r="AM352" s="851"/>
      <c r="AN352" s="851"/>
      <c r="AO352" s="851"/>
      <c r="AP352" s="851"/>
    </row>
    <row r="353" spans="1:42" ht="14">
      <c r="A353" s="856">
        <v>352</v>
      </c>
      <c r="B353" s="425" t="s">
        <v>2656</v>
      </c>
      <c r="C353" s="425" t="s">
        <v>41</v>
      </c>
      <c r="D353" s="425" t="s">
        <v>653</v>
      </c>
      <c r="E353" s="425" t="s">
        <v>768</v>
      </c>
      <c r="F353" s="425" t="s">
        <v>521</v>
      </c>
      <c r="G353">
        <v>4</v>
      </c>
      <c r="H353" s="852">
        <v>0.9</v>
      </c>
      <c r="I353" s="852">
        <v>3</v>
      </c>
      <c r="J353" s="852">
        <f t="shared" si="23"/>
        <v>10.8</v>
      </c>
      <c r="K353" s="852">
        <f t="shared" si="24"/>
        <v>1.4039999999999999</v>
      </c>
      <c r="L353">
        <v>10</v>
      </c>
      <c r="M353" s="425" t="s">
        <v>47</v>
      </c>
      <c r="N353" s="370">
        <v>2060</v>
      </c>
      <c r="O353" s="425" t="s">
        <v>2599</v>
      </c>
      <c r="P353" s="858">
        <v>5415058031510</v>
      </c>
      <c r="Q353" s="425" t="s">
        <v>2474</v>
      </c>
      <c r="R353" s="851">
        <v>13</v>
      </c>
      <c r="S353" s="851">
        <v>14.95</v>
      </c>
      <c r="T353" s="851">
        <v>13</v>
      </c>
      <c r="U353" s="851">
        <v>14.95</v>
      </c>
      <c r="V353" s="851">
        <v>14.3</v>
      </c>
      <c r="W353" s="851">
        <v>16.45</v>
      </c>
      <c r="X353" s="851">
        <v>14.3</v>
      </c>
      <c r="Y353" s="851">
        <v>16.45</v>
      </c>
      <c r="Z353" s="851">
        <v>26</v>
      </c>
      <c r="AA353" s="851">
        <v>30</v>
      </c>
      <c r="AB353" s="851">
        <v>35</v>
      </c>
      <c r="AC353" s="851">
        <v>40.25</v>
      </c>
      <c r="AD353" s="851">
        <v>55</v>
      </c>
      <c r="AE353" s="851">
        <v>60.5</v>
      </c>
      <c r="AF353" s="851">
        <v>25</v>
      </c>
      <c r="AG353" s="851">
        <v>28.75</v>
      </c>
      <c r="AH353" s="851">
        <v>45.45</v>
      </c>
      <c r="AI353" s="851">
        <v>50</v>
      </c>
      <c r="AJ353" s="851"/>
      <c r="AK353" s="851"/>
      <c r="AL353" s="851"/>
      <c r="AM353" s="851"/>
      <c r="AN353" s="851"/>
      <c r="AO353" s="851"/>
      <c r="AP353" s="851"/>
    </row>
    <row r="354" spans="1:42" ht="14">
      <c r="A354" s="856">
        <v>353</v>
      </c>
      <c r="B354" s="425" t="s">
        <v>2657</v>
      </c>
      <c r="C354" s="425" t="s">
        <v>41</v>
      </c>
      <c r="D354" s="425" t="s">
        <v>653</v>
      </c>
      <c r="E354" s="425" t="s">
        <v>768</v>
      </c>
      <c r="F354" s="425" t="s">
        <v>698</v>
      </c>
      <c r="G354">
        <v>4</v>
      </c>
      <c r="H354" s="852">
        <v>0.9</v>
      </c>
      <c r="I354" s="852">
        <v>3</v>
      </c>
      <c r="J354" s="852">
        <f t="shared" si="23"/>
        <v>10.8</v>
      </c>
      <c r="K354" s="852">
        <f t="shared" si="24"/>
        <v>1.4039999999999999</v>
      </c>
      <c r="L354">
        <v>11</v>
      </c>
      <c r="M354" s="425" t="s">
        <v>47</v>
      </c>
      <c r="N354" s="370">
        <v>2061</v>
      </c>
      <c r="O354" s="425" t="s">
        <v>2599</v>
      </c>
      <c r="P354" s="858">
        <v>5415058031527</v>
      </c>
      <c r="Q354" s="425" t="s">
        <v>2474</v>
      </c>
      <c r="R354" s="851">
        <v>13</v>
      </c>
      <c r="S354" s="851">
        <v>14.95</v>
      </c>
      <c r="T354" s="851">
        <v>13</v>
      </c>
      <c r="U354" s="851">
        <v>14.95</v>
      </c>
      <c r="V354" s="851">
        <v>14.3</v>
      </c>
      <c r="W354" s="851">
        <v>16.45</v>
      </c>
      <c r="X354" s="851">
        <v>14.3</v>
      </c>
      <c r="Y354" s="851">
        <v>16.45</v>
      </c>
      <c r="Z354" s="851">
        <v>26</v>
      </c>
      <c r="AA354" s="851">
        <v>30</v>
      </c>
      <c r="AB354" s="851">
        <v>35</v>
      </c>
      <c r="AC354" s="851">
        <v>40.25</v>
      </c>
      <c r="AD354" s="851">
        <v>55</v>
      </c>
      <c r="AE354" s="851">
        <v>60.5</v>
      </c>
      <c r="AF354" s="851">
        <v>25</v>
      </c>
      <c r="AG354" s="851">
        <v>28.75</v>
      </c>
      <c r="AH354" s="851">
        <v>45.45</v>
      </c>
      <c r="AI354" s="851">
        <v>50</v>
      </c>
      <c r="AJ354" s="851"/>
      <c r="AK354" s="851"/>
      <c r="AL354" s="851"/>
      <c r="AM354" s="851"/>
      <c r="AN354" s="851"/>
      <c r="AO354" s="851"/>
      <c r="AP354" s="851"/>
    </row>
    <row r="355" spans="1:42" ht="14">
      <c r="A355" s="856">
        <v>354</v>
      </c>
      <c r="B355" s="425" t="s">
        <v>2658</v>
      </c>
      <c r="C355" s="425" t="s">
        <v>41</v>
      </c>
      <c r="D355" s="425" t="s">
        <v>653</v>
      </c>
      <c r="E355" s="425" t="s">
        <v>775</v>
      </c>
      <c r="F355" s="425" t="s">
        <v>723</v>
      </c>
      <c r="G355">
        <v>3</v>
      </c>
      <c r="H355" s="852">
        <v>0.9</v>
      </c>
      <c r="I355" s="852">
        <v>3</v>
      </c>
      <c r="J355" s="852">
        <f t="shared" si="23"/>
        <v>8.1000000000000014</v>
      </c>
      <c r="K355" s="852">
        <f t="shared" si="24"/>
        <v>1.0530000000000002</v>
      </c>
      <c r="L355">
        <v>12</v>
      </c>
      <c r="M355" s="425" t="s">
        <v>47</v>
      </c>
      <c r="N355" s="370">
        <v>2062</v>
      </c>
      <c r="O355" s="425" t="s">
        <v>2599</v>
      </c>
      <c r="P355" s="858">
        <v>5415058031534</v>
      </c>
      <c r="Q355" s="425" t="s">
        <v>2474</v>
      </c>
      <c r="R355" s="851">
        <v>13</v>
      </c>
      <c r="S355" s="851">
        <v>14.95</v>
      </c>
      <c r="T355" s="851">
        <v>13</v>
      </c>
      <c r="U355" s="851">
        <v>14.95</v>
      </c>
      <c r="V355" s="851">
        <v>14.3</v>
      </c>
      <c r="W355" s="851">
        <v>16.45</v>
      </c>
      <c r="X355" s="851">
        <v>14.3</v>
      </c>
      <c r="Y355" s="851">
        <v>16.45</v>
      </c>
      <c r="Z355" s="851">
        <v>26</v>
      </c>
      <c r="AA355" s="851">
        <v>30</v>
      </c>
      <c r="AB355" s="851">
        <v>35</v>
      </c>
      <c r="AC355" s="851">
        <v>40.25</v>
      </c>
      <c r="AD355" s="851">
        <v>55</v>
      </c>
      <c r="AE355" s="851">
        <v>60.5</v>
      </c>
      <c r="AF355" s="851">
        <v>25</v>
      </c>
      <c r="AG355" s="851">
        <v>28.75</v>
      </c>
      <c r="AH355" s="851">
        <v>45.45</v>
      </c>
      <c r="AI355" s="851">
        <v>50</v>
      </c>
      <c r="AJ355" s="851"/>
      <c r="AK355" s="851"/>
      <c r="AL355" s="851"/>
      <c r="AM355" s="851"/>
      <c r="AN355" s="851"/>
      <c r="AO355" s="851"/>
      <c r="AP355" s="851"/>
    </row>
    <row r="356" spans="1:42" ht="14">
      <c r="A356" s="856">
        <v>355</v>
      </c>
      <c r="B356" s="425" t="s">
        <v>2659</v>
      </c>
      <c r="C356" s="425" t="s">
        <v>41</v>
      </c>
      <c r="D356" s="425" t="s">
        <v>653</v>
      </c>
      <c r="E356" s="425" t="s">
        <v>775</v>
      </c>
      <c r="F356" s="425" t="s">
        <v>521</v>
      </c>
      <c r="G356">
        <v>3</v>
      </c>
      <c r="H356" s="852">
        <v>0.9</v>
      </c>
      <c r="I356" s="852">
        <v>3</v>
      </c>
      <c r="J356" s="852">
        <f t="shared" si="23"/>
        <v>8.1000000000000014</v>
      </c>
      <c r="K356" s="852">
        <f t="shared" si="24"/>
        <v>1.0530000000000002</v>
      </c>
      <c r="L356">
        <v>13</v>
      </c>
      <c r="M356" s="425" t="s">
        <v>47</v>
      </c>
      <c r="N356" s="370">
        <v>2063</v>
      </c>
      <c r="O356" s="425" t="s">
        <v>2599</v>
      </c>
      <c r="P356" s="858">
        <v>5415058031541</v>
      </c>
      <c r="Q356" s="425" t="s">
        <v>2474</v>
      </c>
      <c r="R356" s="851">
        <v>13</v>
      </c>
      <c r="S356" s="851">
        <v>14.95</v>
      </c>
      <c r="T356" s="851">
        <v>13</v>
      </c>
      <c r="U356" s="851">
        <v>14.95</v>
      </c>
      <c r="V356" s="851">
        <v>14.3</v>
      </c>
      <c r="W356" s="851">
        <v>16.45</v>
      </c>
      <c r="X356" s="851">
        <v>14.3</v>
      </c>
      <c r="Y356" s="851">
        <v>16.45</v>
      </c>
      <c r="Z356" s="851">
        <v>26</v>
      </c>
      <c r="AA356" s="851">
        <v>30</v>
      </c>
      <c r="AB356" s="851">
        <v>35</v>
      </c>
      <c r="AC356" s="851">
        <v>40.25</v>
      </c>
      <c r="AD356" s="851">
        <v>55</v>
      </c>
      <c r="AE356" s="851">
        <v>60.5</v>
      </c>
      <c r="AF356" s="851">
        <v>25</v>
      </c>
      <c r="AG356" s="851">
        <v>28.75</v>
      </c>
      <c r="AH356" s="851">
        <v>45.45</v>
      </c>
      <c r="AI356" s="851">
        <v>50</v>
      </c>
      <c r="AJ356" s="851"/>
      <c r="AK356" s="851"/>
      <c r="AL356" s="851"/>
      <c r="AM356" s="851"/>
      <c r="AN356" s="851"/>
      <c r="AO356" s="851"/>
      <c r="AP356" s="851"/>
    </row>
    <row r="357" spans="1:42" ht="14">
      <c r="A357" s="856">
        <v>356</v>
      </c>
      <c r="B357" s="425" t="s">
        <v>2660</v>
      </c>
      <c r="C357" s="425" t="s">
        <v>41</v>
      </c>
      <c r="D357" s="425" t="s">
        <v>653</v>
      </c>
      <c r="E357" s="425" t="s">
        <v>775</v>
      </c>
      <c r="F357" s="425" t="s">
        <v>698</v>
      </c>
      <c r="G357">
        <v>3</v>
      </c>
      <c r="H357" s="852">
        <v>0.9</v>
      </c>
      <c r="I357" s="852">
        <v>3</v>
      </c>
      <c r="J357" s="852">
        <f t="shared" si="23"/>
        <v>8.1000000000000014</v>
      </c>
      <c r="K357" s="852">
        <f t="shared" si="24"/>
        <v>1.0530000000000002</v>
      </c>
      <c r="L357">
        <v>14</v>
      </c>
      <c r="M357" s="425" t="s">
        <v>47</v>
      </c>
      <c r="N357" s="370">
        <v>2064</v>
      </c>
      <c r="O357" s="425" t="s">
        <v>2599</v>
      </c>
      <c r="P357" s="858">
        <v>5415058031558</v>
      </c>
      <c r="Q357" s="425" t="s">
        <v>2474</v>
      </c>
      <c r="R357" s="851">
        <v>13</v>
      </c>
      <c r="S357" s="851">
        <v>14.95</v>
      </c>
      <c r="T357" s="851">
        <v>13</v>
      </c>
      <c r="U357" s="851">
        <v>14.95</v>
      </c>
      <c r="V357" s="851">
        <v>14.3</v>
      </c>
      <c r="W357" s="851">
        <v>16.45</v>
      </c>
      <c r="X357" s="851">
        <v>14.3</v>
      </c>
      <c r="Y357" s="851">
        <v>16.45</v>
      </c>
      <c r="Z357" s="851">
        <v>26</v>
      </c>
      <c r="AA357" s="851">
        <v>30</v>
      </c>
      <c r="AB357" s="851">
        <v>35</v>
      </c>
      <c r="AC357" s="851">
        <v>40.25</v>
      </c>
      <c r="AD357" s="851">
        <v>55</v>
      </c>
      <c r="AE357" s="851">
        <v>60.5</v>
      </c>
      <c r="AF357" s="851">
        <v>25</v>
      </c>
      <c r="AG357" s="851">
        <v>28.75</v>
      </c>
      <c r="AH357" s="851">
        <v>45.45</v>
      </c>
      <c r="AI357" s="851">
        <v>50</v>
      </c>
      <c r="AJ357" s="851"/>
      <c r="AK357" s="851"/>
      <c r="AL357" s="851"/>
      <c r="AM357" s="851"/>
      <c r="AN357" s="851"/>
      <c r="AO357" s="851"/>
      <c r="AP357" s="851"/>
    </row>
    <row r="358" spans="1:42" ht="14">
      <c r="A358" s="856">
        <v>357</v>
      </c>
      <c r="B358" s="425" t="s">
        <v>2661</v>
      </c>
      <c r="C358" s="425" t="s">
        <v>41</v>
      </c>
      <c r="D358" s="425" t="s">
        <v>653</v>
      </c>
      <c r="E358" s="425" t="s">
        <v>775</v>
      </c>
      <c r="F358" s="425" t="s">
        <v>590</v>
      </c>
      <c r="G358">
        <v>3</v>
      </c>
      <c r="H358" s="852">
        <v>0.9</v>
      </c>
      <c r="I358" s="852">
        <v>3</v>
      </c>
      <c r="J358" s="852">
        <f t="shared" si="23"/>
        <v>8.1000000000000014</v>
      </c>
      <c r="K358" s="852">
        <f t="shared" si="24"/>
        <v>1.0530000000000002</v>
      </c>
      <c r="L358">
        <v>15</v>
      </c>
      <c r="M358" s="425" t="s">
        <v>47</v>
      </c>
      <c r="N358" s="370">
        <v>2065</v>
      </c>
      <c r="O358" s="425" t="s">
        <v>2599</v>
      </c>
      <c r="P358" s="858">
        <v>5415058031565</v>
      </c>
      <c r="Q358" s="425" t="s">
        <v>2474</v>
      </c>
      <c r="R358" s="851">
        <v>13</v>
      </c>
      <c r="S358" s="851">
        <v>14.95</v>
      </c>
      <c r="T358" s="851">
        <v>13</v>
      </c>
      <c r="U358" s="851">
        <v>14.95</v>
      </c>
      <c r="V358" s="851">
        <v>14.3</v>
      </c>
      <c r="W358" s="851">
        <v>16.45</v>
      </c>
      <c r="X358" s="851">
        <v>14.3</v>
      </c>
      <c r="Y358" s="851">
        <v>16.45</v>
      </c>
      <c r="Z358" s="851">
        <v>26</v>
      </c>
      <c r="AA358" s="851">
        <v>30</v>
      </c>
      <c r="AB358" s="851">
        <v>35</v>
      </c>
      <c r="AC358" s="851">
        <v>40.25</v>
      </c>
      <c r="AD358" s="851">
        <v>55</v>
      </c>
      <c r="AE358" s="851">
        <v>60.5</v>
      </c>
      <c r="AF358" s="851">
        <v>25</v>
      </c>
      <c r="AG358" s="851">
        <v>28.75</v>
      </c>
      <c r="AH358" s="851">
        <v>45.45</v>
      </c>
      <c r="AI358" s="851">
        <v>50</v>
      </c>
      <c r="AJ358" s="851"/>
      <c r="AK358" s="851"/>
      <c r="AL358" s="851"/>
      <c r="AM358" s="851"/>
      <c r="AN358" s="851"/>
      <c r="AO358" s="851"/>
      <c r="AP358" s="851"/>
    </row>
    <row r="359" spans="1:42" ht="14">
      <c r="A359" s="856">
        <v>358</v>
      </c>
      <c r="B359" s="425" t="s">
        <v>2662</v>
      </c>
      <c r="C359" s="425" t="s">
        <v>41</v>
      </c>
      <c r="D359" s="425" t="s">
        <v>653</v>
      </c>
      <c r="E359" s="425" t="s">
        <v>775</v>
      </c>
      <c r="F359" s="425" t="s">
        <v>512</v>
      </c>
      <c r="G359">
        <v>3</v>
      </c>
      <c r="H359" s="852">
        <v>0.9</v>
      </c>
      <c r="I359" s="852">
        <v>3</v>
      </c>
      <c r="J359" s="852">
        <f t="shared" si="23"/>
        <v>8.1000000000000014</v>
      </c>
      <c r="K359" s="852">
        <f t="shared" si="24"/>
        <v>1.0530000000000002</v>
      </c>
      <c r="L359">
        <v>16</v>
      </c>
      <c r="M359" s="425" t="s">
        <v>47</v>
      </c>
      <c r="N359" s="370">
        <v>2066</v>
      </c>
      <c r="O359" s="425" t="s">
        <v>2599</v>
      </c>
      <c r="P359" s="858">
        <v>5415058031572</v>
      </c>
      <c r="Q359" s="425" t="s">
        <v>2474</v>
      </c>
      <c r="R359" s="851">
        <v>13</v>
      </c>
      <c r="S359" s="851">
        <v>14.95</v>
      </c>
      <c r="T359" s="851">
        <v>13</v>
      </c>
      <c r="U359" s="851">
        <v>14.95</v>
      </c>
      <c r="V359" s="851">
        <v>14.3</v>
      </c>
      <c r="W359" s="851">
        <v>16.45</v>
      </c>
      <c r="X359" s="851">
        <v>14.3</v>
      </c>
      <c r="Y359" s="851">
        <v>16.45</v>
      </c>
      <c r="Z359" s="851">
        <v>26</v>
      </c>
      <c r="AA359" s="851">
        <v>30</v>
      </c>
      <c r="AB359" s="851">
        <v>35</v>
      </c>
      <c r="AC359" s="851">
        <v>40.25</v>
      </c>
      <c r="AD359" s="851">
        <v>55</v>
      </c>
      <c r="AE359" s="851">
        <v>60.5</v>
      </c>
      <c r="AF359" s="851">
        <v>25</v>
      </c>
      <c r="AG359" s="851">
        <v>28.75</v>
      </c>
      <c r="AH359" s="851">
        <v>45.45</v>
      </c>
      <c r="AI359" s="851">
        <v>50</v>
      </c>
      <c r="AJ359" s="851"/>
      <c r="AK359" s="851"/>
      <c r="AL359" s="851"/>
      <c r="AM359" s="851"/>
      <c r="AN359" s="851"/>
      <c r="AO359" s="851"/>
      <c r="AP359" s="851"/>
    </row>
    <row r="360" spans="1:42" ht="14">
      <c r="A360" s="856">
        <v>359</v>
      </c>
      <c r="B360" s="425" t="s">
        <v>2663</v>
      </c>
      <c r="C360" s="425" t="s">
        <v>41</v>
      </c>
      <c r="D360" s="425" t="s">
        <v>653</v>
      </c>
      <c r="E360" s="425" t="s">
        <v>775</v>
      </c>
      <c r="F360" s="425" t="s">
        <v>518</v>
      </c>
      <c r="G360">
        <v>3</v>
      </c>
      <c r="H360" s="852">
        <v>0.9</v>
      </c>
      <c r="I360" s="852">
        <v>3</v>
      </c>
      <c r="J360" s="852">
        <f t="shared" si="23"/>
        <v>8.1000000000000014</v>
      </c>
      <c r="K360" s="852">
        <f t="shared" si="24"/>
        <v>1.0530000000000002</v>
      </c>
      <c r="L360">
        <v>17</v>
      </c>
      <c r="M360" s="425" t="s">
        <v>47</v>
      </c>
      <c r="N360" s="370">
        <v>2067</v>
      </c>
      <c r="O360" s="425" t="s">
        <v>2599</v>
      </c>
      <c r="P360" s="858">
        <v>5415058031589</v>
      </c>
      <c r="Q360" s="425" t="s">
        <v>2474</v>
      </c>
      <c r="R360" s="851">
        <v>13</v>
      </c>
      <c r="S360" s="851">
        <v>14.95</v>
      </c>
      <c r="T360" s="851">
        <v>13</v>
      </c>
      <c r="U360" s="851">
        <v>14.95</v>
      </c>
      <c r="V360" s="851">
        <v>14.3</v>
      </c>
      <c r="W360" s="851">
        <v>16.45</v>
      </c>
      <c r="X360" s="851">
        <v>14.3</v>
      </c>
      <c r="Y360" s="851">
        <v>16.45</v>
      </c>
      <c r="Z360" s="851">
        <v>26</v>
      </c>
      <c r="AA360" s="851">
        <v>30</v>
      </c>
      <c r="AB360" s="851">
        <v>35</v>
      </c>
      <c r="AC360" s="851">
        <v>40.25</v>
      </c>
      <c r="AD360" s="851">
        <v>55</v>
      </c>
      <c r="AE360" s="851">
        <v>60.5</v>
      </c>
      <c r="AF360" s="851">
        <v>25</v>
      </c>
      <c r="AG360" s="851">
        <v>28.75</v>
      </c>
      <c r="AH360" s="851">
        <v>45.45</v>
      </c>
      <c r="AI360" s="851">
        <v>50</v>
      </c>
      <c r="AJ360" s="851"/>
      <c r="AK360" s="851"/>
      <c r="AL360" s="851"/>
      <c r="AM360" s="851"/>
      <c r="AN360" s="851"/>
      <c r="AO360" s="851"/>
      <c r="AP360" s="851"/>
    </row>
    <row r="361" spans="1:42" ht="14">
      <c r="A361" s="856">
        <v>360</v>
      </c>
      <c r="B361" s="425" t="s">
        <v>2886</v>
      </c>
      <c r="C361" s="425" t="s">
        <v>41</v>
      </c>
      <c r="D361" s="425" t="s">
        <v>2595</v>
      </c>
      <c r="E361" s="425" t="s">
        <v>2596</v>
      </c>
      <c r="F361" s="425" t="s">
        <v>2597</v>
      </c>
      <c r="G361">
        <v>1</v>
      </c>
      <c r="H361" s="852">
        <v>0.21</v>
      </c>
      <c r="I361" s="852">
        <v>0.3</v>
      </c>
      <c r="J361" s="852">
        <f t="shared" si="23"/>
        <v>6.3E-2</v>
      </c>
      <c r="K361" s="852">
        <f t="shared" si="24"/>
        <v>8.1899999999999994E-3</v>
      </c>
      <c r="L361">
        <v>26.5</v>
      </c>
      <c r="M361" s="425" t="s">
        <v>2598</v>
      </c>
      <c r="N361" s="370">
        <v>2020</v>
      </c>
      <c r="O361" s="425" t="s">
        <v>2599</v>
      </c>
      <c r="P361" s="854" t="s">
        <v>47</v>
      </c>
      <c r="Q361" s="425" t="s">
        <v>2036</v>
      </c>
      <c r="R361" s="851">
        <v>0</v>
      </c>
      <c r="S361" s="851">
        <v>0</v>
      </c>
      <c r="T361" s="851">
        <v>0</v>
      </c>
      <c r="U361" s="851">
        <v>0</v>
      </c>
      <c r="V361" s="851">
        <v>0</v>
      </c>
      <c r="W361" s="851">
        <v>0</v>
      </c>
      <c r="X361" s="851">
        <v>0</v>
      </c>
      <c r="Y361" s="851">
        <v>0</v>
      </c>
      <c r="Z361" s="851">
        <v>0</v>
      </c>
      <c r="AA361" s="851">
        <v>0</v>
      </c>
      <c r="AB361" s="851">
        <v>0</v>
      </c>
      <c r="AC361" s="851">
        <v>0</v>
      </c>
      <c r="AD361" s="851">
        <v>2.5</v>
      </c>
      <c r="AE361" s="851">
        <v>0</v>
      </c>
      <c r="AF361" s="851">
        <v>0</v>
      </c>
      <c r="AG361" s="851">
        <v>0</v>
      </c>
      <c r="AH361" s="851">
        <f t="shared" ref="AH361:AH424" si="25">2.5/1.21</f>
        <v>2.0661157024793391</v>
      </c>
      <c r="AI361" s="851">
        <v>0</v>
      </c>
      <c r="AJ361" s="851"/>
      <c r="AK361" s="851"/>
      <c r="AL361" s="851"/>
      <c r="AM361" s="851"/>
      <c r="AN361" s="851"/>
      <c r="AO361" s="851"/>
      <c r="AP361" s="851"/>
    </row>
    <row r="362" spans="1:42" ht="14">
      <c r="A362" s="856">
        <v>361</v>
      </c>
      <c r="B362" s="425" t="s">
        <v>2887</v>
      </c>
      <c r="C362" s="425" t="s">
        <v>41</v>
      </c>
      <c r="D362" s="425" t="s">
        <v>2595</v>
      </c>
      <c r="E362" s="425" t="s">
        <v>2596</v>
      </c>
      <c r="F362" s="425" t="s">
        <v>598</v>
      </c>
      <c r="G362">
        <v>1</v>
      </c>
      <c r="H362" s="852">
        <v>0.21</v>
      </c>
      <c r="I362" s="852">
        <v>0.3</v>
      </c>
      <c r="J362" s="852">
        <f t="shared" si="23"/>
        <v>6.3E-2</v>
      </c>
      <c r="K362" s="852">
        <f t="shared" si="24"/>
        <v>8.1899999999999994E-3</v>
      </c>
      <c r="L362">
        <v>26.5</v>
      </c>
      <c r="M362" s="425" t="s">
        <v>2598</v>
      </c>
      <c r="N362" s="370">
        <v>2020</v>
      </c>
      <c r="O362" s="425" t="s">
        <v>2599</v>
      </c>
      <c r="P362" s="854" t="s">
        <v>47</v>
      </c>
      <c r="Q362" s="425" t="s">
        <v>2036</v>
      </c>
      <c r="R362" s="851">
        <v>0</v>
      </c>
      <c r="S362" s="851">
        <v>0</v>
      </c>
      <c r="T362" s="851">
        <v>0</v>
      </c>
      <c r="U362" s="851">
        <v>0</v>
      </c>
      <c r="V362" s="851">
        <v>0</v>
      </c>
      <c r="W362" s="851">
        <v>0</v>
      </c>
      <c r="X362" s="851">
        <v>0</v>
      </c>
      <c r="Y362" s="851">
        <v>0</v>
      </c>
      <c r="Z362" s="851">
        <v>0</v>
      </c>
      <c r="AA362" s="851">
        <v>0</v>
      </c>
      <c r="AB362" s="851">
        <v>0</v>
      </c>
      <c r="AC362" s="851">
        <v>0</v>
      </c>
      <c r="AD362" s="851">
        <v>2.5</v>
      </c>
      <c r="AE362" s="851">
        <v>0</v>
      </c>
      <c r="AF362" s="851">
        <v>0</v>
      </c>
      <c r="AG362" s="851">
        <v>0</v>
      </c>
      <c r="AH362" s="851">
        <f t="shared" si="25"/>
        <v>2.0661157024793391</v>
      </c>
      <c r="AI362" s="851">
        <v>0</v>
      </c>
      <c r="AJ362" s="851"/>
      <c r="AK362" s="851"/>
      <c r="AL362" s="851"/>
      <c r="AM362" s="851"/>
      <c r="AN362" s="851"/>
      <c r="AO362" s="851"/>
      <c r="AP362" s="851"/>
    </row>
    <row r="363" spans="1:42" ht="14">
      <c r="A363" s="856">
        <v>362</v>
      </c>
      <c r="B363" s="425" t="s">
        <v>2888</v>
      </c>
      <c r="C363" s="425" t="s">
        <v>41</v>
      </c>
      <c r="D363" s="425" t="s">
        <v>2595</v>
      </c>
      <c r="E363" s="425" t="s">
        <v>2596</v>
      </c>
      <c r="F363" s="425" t="s">
        <v>2600</v>
      </c>
      <c r="G363">
        <v>1</v>
      </c>
      <c r="H363" s="852">
        <v>0.21</v>
      </c>
      <c r="I363" s="852">
        <v>0.3</v>
      </c>
      <c r="J363" s="852">
        <f t="shared" si="23"/>
        <v>6.3E-2</v>
      </c>
      <c r="K363" s="852">
        <f t="shared" si="24"/>
        <v>8.1899999999999994E-3</v>
      </c>
      <c r="L363">
        <v>26.5</v>
      </c>
      <c r="M363" s="425" t="s">
        <v>2598</v>
      </c>
      <c r="N363" s="370">
        <v>2020</v>
      </c>
      <c r="O363" s="425" t="s">
        <v>2599</v>
      </c>
      <c r="P363" s="854" t="s">
        <v>47</v>
      </c>
      <c r="Q363" s="425" t="s">
        <v>2036</v>
      </c>
      <c r="R363" s="851">
        <v>0</v>
      </c>
      <c r="S363" s="851">
        <v>0</v>
      </c>
      <c r="T363" s="851">
        <v>0</v>
      </c>
      <c r="U363" s="851">
        <v>0</v>
      </c>
      <c r="V363" s="851">
        <v>0</v>
      </c>
      <c r="W363" s="851">
        <v>0</v>
      </c>
      <c r="X363" s="851">
        <v>0</v>
      </c>
      <c r="Y363" s="851">
        <v>0</v>
      </c>
      <c r="Z363" s="851">
        <v>0</v>
      </c>
      <c r="AA363" s="851">
        <v>0</v>
      </c>
      <c r="AB363" s="851">
        <v>0</v>
      </c>
      <c r="AC363" s="851">
        <v>0</v>
      </c>
      <c r="AD363" s="851">
        <v>2.5</v>
      </c>
      <c r="AE363" s="851">
        <v>0</v>
      </c>
      <c r="AF363" s="851">
        <v>0</v>
      </c>
      <c r="AG363" s="851">
        <v>0</v>
      </c>
      <c r="AH363" s="851">
        <f t="shared" si="25"/>
        <v>2.0661157024793391</v>
      </c>
      <c r="AI363" s="851">
        <v>0</v>
      </c>
      <c r="AJ363" s="851"/>
      <c r="AK363" s="851"/>
      <c r="AL363" s="851"/>
      <c r="AM363" s="851"/>
      <c r="AN363" s="851"/>
      <c r="AO363" s="851"/>
      <c r="AP363" s="851"/>
    </row>
    <row r="364" spans="1:42" ht="14">
      <c r="A364" s="856">
        <v>363</v>
      </c>
      <c r="B364" s="425" t="s">
        <v>2889</v>
      </c>
      <c r="C364" s="425" t="s">
        <v>41</v>
      </c>
      <c r="D364" s="425" t="s">
        <v>2595</v>
      </c>
      <c r="E364" s="425" t="s">
        <v>2596</v>
      </c>
      <c r="F364" s="425" t="s">
        <v>604</v>
      </c>
      <c r="G364">
        <v>1</v>
      </c>
      <c r="H364" s="852">
        <v>0.21</v>
      </c>
      <c r="I364" s="852">
        <v>0.3</v>
      </c>
      <c r="J364" s="852">
        <f t="shared" si="23"/>
        <v>6.3E-2</v>
      </c>
      <c r="K364" s="852">
        <f t="shared" si="24"/>
        <v>8.1899999999999994E-3</v>
      </c>
      <c r="L364">
        <v>26.5</v>
      </c>
      <c r="M364" s="425" t="s">
        <v>2598</v>
      </c>
      <c r="N364" s="370">
        <v>2020</v>
      </c>
      <c r="O364" s="425" t="s">
        <v>2599</v>
      </c>
      <c r="P364" s="854" t="s">
        <v>47</v>
      </c>
      <c r="Q364" s="425" t="s">
        <v>2036</v>
      </c>
      <c r="R364" s="851">
        <v>0</v>
      </c>
      <c r="S364" s="851">
        <v>0</v>
      </c>
      <c r="T364" s="851">
        <v>0</v>
      </c>
      <c r="U364" s="851">
        <v>0</v>
      </c>
      <c r="V364" s="851">
        <v>0</v>
      </c>
      <c r="W364" s="851">
        <v>0</v>
      </c>
      <c r="X364" s="851">
        <v>0</v>
      </c>
      <c r="Y364" s="851">
        <v>0</v>
      </c>
      <c r="Z364" s="851">
        <v>0</v>
      </c>
      <c r="AA364" s="851">
        <v>0</v>
      </c>
      <c r="AB364" s="851">
        <v>0</v>
      </c>
      <c r="AC364" s="851">
        <v>0</v>
      </c>
      <c r="AD364" s="851">
        <v>2.5</v>
      </c>
      <c r="AE364" s="851">
        <v>0</v>
      </c>
      <c r="AF364" s="851">
        <v>0</v>
      </c>
      <c r="AG364" s="851">
        <v>0</v>
      </c>
      <c r="AH364" s="851">
        <f t="shared" si="25"/>
        <v>2.0661157024793391</v>
      </c>
      <c r="AI364" s="851">
        <v>0</v>
      </c>
      <c r="AJ364" s="851"/>
      <c r="AK364" s="851"/>
      <c r="AL364" s="851"/>
      <c r="AM364" s="851"/>
      <c r="AN364" s="851"/>
      <c r="AO364" s="851"/>
      <c r="AP364" s="851"/>
    </row>
    <row r="365" spans="1:42" ht="14">
      <c r="A365" s="856">
        <v>364</v>
      </c>
      <c r="B365" s="425" t="s">
        <v>2890</v>
      </c>
      <c r="C365" s="425" t="s">
        <v>41</v>
      </c>
      <c r="D365" s="425" t="s">
        <v>2595</v>
      </c>
      <c r="E365" s="425" t="s">
        <v>701</v>
      </c>
      <c r="F365" s="425" t="s">
        <v>519</v>
      </c>
      <c r="G365">
        <v>1</v>
      </c>
      <c r="H365" s="852">
        <v>0.21</v>
      </c>
      <c r="I365" s="852">
        <v>0.3</v>
      </c>
      <c r="J365" s="852">
        <f t="shared" si="23"/>
        <v>6.3E-2</v>
      </c>
      <c r="K365" s="852">
        <f t="shared" si="24"/>
        <v>8.1899999999999994E-3</v>
      </c>
      <c r="L365">
        <v>53</v>
      </c>
      <c r="M365" s="425" t="s">
        <v>2380</v>
      </c>
      <c r="N365" s="370">
        <v>2020</v>
      </c>
      <c r="O365" s="425" t="s">
        <v>2599</v>
      </c>
      <c r="P365" s="854" t="s">
        <v>47</v>
      </c>
      <c r="Q365" s="425" t="s">
        <v>2036</v>
      </c>
      <c r="R365" s="851">
        <v>0</v>
      </c>
      <c r="S365" s="851">
        <v>0</v>
      </c>
      <c r="T365" s="851">
        <v>0</v>
      </c>
      <c r="U365" s="851">
        <v>0</v>
      </c>
      <c r="V365" s="851">
        <v>0</v>
      </c>
      <c r="W365" s="851">
        <v>0</v>
      </c>
      <c r="X365" s="851">
        <v>0</v>
      </c>
      <c r="Y365" s="851">
        <v>0</v>
      </c>
      <c r="Z365" s="851">
        <v>0</v>
      </c>
      <c r="AA365" s="851">
        <v>0</v>
      </c>
      <c r="AB365" s="851">
        <v>0</v>
      </c>
      <c r="AC365" s="851">
        <v>0</v>
      </c>
      <c r="AD365" s="851">
        <v>2.5</v>
      </c>
      <c r="AE365" s="851">
        <v>0</v>
      </c>
      <c r="AF365" s="851">
        <v>0</v>
      </c>
      <c r="AG365" s="851">
        <v>0</v>
      </c>
      <c r="AH365" s="851">
        <f t="shared" si="25"/>
        <v>2.0661157024793391</v>
      </c>
      <c r="AI365" s="851">
        <v>0</v>
      </c>
      <c r="AJ365" s="851"/>
      <c r="AK365" s="851"/>
      <c r="AL365" s="851"/>
      <c r="AM365" s="851"/>
      <c r="AN365" s="851"/>
      <c r="AO365" s="851"/>
      <c r="AP365" s="851"/>
    </row>
    <row r="366" spans="1:42" ht="14">
      <c r="A366" s="856">
        <v>365</v>
      </c>
      <c r="B366" s="425" t="s">
        <v>2891</v>
      </c>
      <c r="C366" s="425" t="s">
        <v>41</v>
      </c>
      <c r="D366" s="425" t="s">
        <v>2595</v>
      </c>
      <c r="E366" s="425" t="s">
        <v>701</v>
      </c>
      <c r="F366" s="425" t="s">
        <v>703</v>
      </c>
      <c r="G366">
        <v>1</v>
      </c>
      <c r="H366" s="852">
        <v>0.21</v>
      </c>
      <c r="I366" s="852">
        <v>0.3</v>
      </c>
      <c r="J366" s="852">
        <f t="shared" si="23"/>
        <v>6.3E-2</v>
      </c>
      <c r="K366" s="852">
        <f t="shared" si="24"/>
        <v>8.1899999999999994E-3</v>
      </c>
      <c r="L366">
        <v>53</v>
      </c>
      <c r="M366" s="425" t="s">
        <v>2380</v>
      </c>
      <c r="N366" s="370">
        <v>2020</v>
      </c>
      <c r="O366" s="425" t="s">
        <v>2599</v>
      </c>
      <c r="P366" s="854" t="s">
        <v>47</v>
      </c>
      <c r="Q366" s="425" t="s">
        <v>2036</v>
      </c>
      <c r="R366" s="851">
        <v>0</v>
      </c>
      <c r="S366" s="851">
        <v>0</v>
      </c>
      <c r="T366" s="851">
        <v>0</v>
      </c>
      <c r="U366" s="851">
        <v>0</v>
      </c>
      <c r="V366" s="851">
        <v>0</v>
      </c>
      <c r="W366" s="851">
        <v>0</v>
      </c>
      <c r="X366" s="851">
        <v>0</v>
      </c>
      <c r="Y366" s="851">
        <v>0</v>
      </c>
      <c r="Z366" s="851">
        <v>0</v>
      </c>
      <c r="AA366" s="851">
        <v>0</v>
      </c>
      <c r="AB366" s="851">
        <v>0</v>
      </c>
      <c r="AC366" s="851">
        <v>0</v>
      </c>
      <c r="AD366" s="851">
        <v>2.5</v>
      </c>
      <c r="AE366" s="851">
        <v>0</v>
      </c>
      <c r="AF366" s="851">
        <v>0</v>
      </c>
      <c r="AG366" s="851">
        <v>0</v>
      </c>
      <c r="AH366" s="851">
        <f t="shared" si="25"/>
        <v>2.0661157024793391</v>
      </c>
      <c r="AI366" s="851">
        <v>0</v>
      </c>
      <c r="AJ366" s="851"/>
      <c r="AK366" s="851"/>
      <c r="AL366" s="851"/>
      <c r="AM366" s="851"/>
      <c r="AN366" s="851"/>
      <c r="AO366" s="851"/>
      <c r="AP366" s="851"/>
    </row>
    <row r="367" spans="1:42" ht="14">
      <c r="A367" s="856">
        <v>366</v>
      </c>
      <c r="B367" s="425" t="s">
        <v>2892</v>
      </c>
      <c r="C367" s="425" t="s">
        <v>41</v>
      </c>
      <c r="D367" s="425" t="s">
        <v>2595</v>
      </c>
      <c r="E367" s="425" t="s">
        <v>701</v>
      </c>
      <c r="F367" s="425" t="s">
        <v>705</v>
      </c>
      <c r="G367">
        <v>1</v>
      </c>
      <c r="H367" s="852">
        <v>0.21</v>
      </c>
      <c r="I367" s="852">
        <v>0.3</v>
      </c>
      <c r="J367" s="852">
        <f t="shared" si="23"/>
        <v>6.3E-2</v>
      </c>
      <c r="K367" s="852">
        <f t="shared" si="24"/>
        <v>8.1899999999999994E-3</v>
      </c>
      <c r="L367">
        <v>53</v>
      </c>
      <c r="M367" s="425" t="s">
        <v>2380</v>
      </c>
      <c r="N367" s="370">
        <v>2020</v>
      </c>
      <c r="O367" s="425" t="s">
        <v>2599</v>
      </c>
      <c r="P367" s="854" t="s">
        <v>47</v>
      </c>
      <c r="Q367" s="425" t="s">
        <v>2036</v>
      </c>
      <c r="R367" s="851">
        <v>0</v>
      </c>
      <c r="S367" s="851">
        <v>0</v>
      </c>
      <c r="T367" s="851">
        <v>0</v>
      </c>
      <c r="U367" s="851">
        <v>0</v>
      </c>
      <c r="V367" s="851">
        <v>0</v>
      </c>
      <c r="W367" s="851">
        <v>0</v>
      </c>
      <c r="X367" s="851">
        <v>0</v>
      </c>
      <c r="Y367" s="851">
        <v>0</v>
      </c>
      <c r="Z367" s="851">
        <v>0</v>
      </c>
      <c r="AA367" s="851">
        <v>0</v>
      </c>
      <c r="AB367" s="851">
        <v>0</v>
      </c>
      <c r="AC367" s="851">
        <v>0</v>
      </c>
      <c r="AD367" s="851">
        <v>2.5</v>
      </c>
      <c r="AE367" s="851">
        <v>0</v>
      </c>
      <c r="AF367" s="851">
        <v>0</v>
      </c>
      <c r="AG367" s="851">
        <v>0</v>
      </c>
      <c r="AH367" s="851">
        <f t="shared" si="25"/>
        <v>2.0661157024793391</v>
      </c>
      <c r="AI367" s="851">
        <v>0</v>
      </c>
      <c r="AJ367" s="851"/>
      <c r="AK367" s="851"/>
      <c r="AL367" s="851"/>
      <c r="AM367" s="851"/>
      <c r="AN367" s="851"/>
      <c r="AO367" s="851"/>
      <c r="AP367" s="851"/>
    </row>
    <row r="368" spans="1:42" ht="14">
      <c r="A368" s="856">
        <v>367</v>
      </c>
      <c r="B368" s="425" t="s">
        <v>2893</v>
      </c>
      <c r="C368" s="425" t="s">
        <v>41</v>
      </c>
      <c r="D368" s="425" t="s">
        <v>2595</v>
      </c>
      <c r="E368" s="425" t="s">
        <v>701</v>
      </c>
      <c r="F368" s="425" t="s">
        <v>521</v>
      </c>
      <c r="G368">
        <v>1</v>
      </c>
      <c r="H368" s="852">
        <v>0.21</v>
      </c>
      <c r="I368" s="852">
        <v>0.3</v>
      </c>
      <c r="J368" s="852">
        <f t="shared" si="23"/>
        <v>6.3E-2</v>
      </c>
      <c r="K368" s="852">
        <f t="shared" si="24"/>
        <v>8.1899999999999994E-3</v>
      </c>
      <c r="L368">
        <v>53</v>
      </c>
      <c r="M368" s="425" t="s">
        <v>2380</v>
      </c>
      <c r="N368" s="370">
        <v>2020</v>
      </c>
      <c r="O368" s="425" t="s">
        <v>2599</v>
      </c>
      <c r="P368" s="854" t="s">
        <v>47</v>
      </c>
      <c r="Q368" s="425" t="s">
        <v>2036</v>
      </c>
      <c r="R368" s="851">
        <v>0</v>
      </c>
      <c r="S368" s="851">
        <v>0</v>
      </c>
      <c r="T368" s="851">
        <v>0</v>
      </c>
      <c r="U368" s="851">
        <v>0</v>
      </c>
      <c r="V368" s="851">
        <v>0</v>
      </c>
      <c r="W368" s="851">
        <v>0</v>
      </c>
      <c r="X368" s="851">
        <v>0</v>
      </c>
      <c r="Y368" s="851">
        <v>0</v>
      </c>
      <c r="Z368" s="851">
        <v>0</v>
      </c>
      <c r="AA368" s="851">
        <v>0</v>
      </c>
      <c r="AB368" s="851">
        <v>0</v>
      </c>
      <c r="AC368" s="851">
        <v>0</v>
      </c>
      <c r="AD368" s="851">
        <v>2.5</v>
      </c>
      <c r="AE368" s="851">
        <v>0</v>
      </c>
      <c r="AF368" s="851">
        <v>0</v>
      </c>
      <c r="AG368" s="851">
        <v>0</v>
      </c>
      <c r="AH368" s="851">
        <f t="shared" si="25"/>
        <v>2.0661157024793391</v>
      </c>
      <c r="AI368" s="851">
        <v>0</v>
      </c>
      <c r="AJ368" s="851"/>
      <c r="AK368" s="851"/>
      <c r="AL368" s="851"/>
      <c r="AM368" s="851"/>
      <c r="AN368" s="851"/>
      <c r="AO368" s="851"/>
      <c r="AP368" s="851"/>
    </row>
    <row r="369" spans="1:42" ht="14">
      <c r="A369" s="856">
        <v>368</v>
      </c>
      <c r="B369" s="425" t="s">
        <v>2894</v>
      </c>
      <c r="C369" s="425" t="s">
        <v>41</v>
      </c>
      <c r="D369" s="425" t="s">
        <v>2595</v>
      </c>
      <c r="E369" s="425" t="s">
        <v>708</v>
      </c>
      <c r="F369" s="425" t="s">
        <v>705</v>
      </c>
      <c r="G369">
        <v>1</v>
      </c>
      <c r="H369" s="852">
        <v>0.21</v>
      </c>
      <c r="I369" s="852">
        <v>0.3</v>
      </c>
      <c r="J369" s="852">
        <f t="shared" si="23"/>
        <v>6.3E-2</v>
      </c>
      <c r="K369" s="852">
        <f t="shared" si="24"/>
        <v>8.1899999999999994E-3</v>
      </c>
      <c r="L369">
        <v>53</v>
      </c>
      <c r="M369" s="425" t="s">
        <v>2380</v>
      </c>
      <c r="N369" s="370">
        <v>2020</v>
      </c>
      <c r="O369" s="425" t="s">
        <v>2599</v>
      </c>
      <c r="P369" s="854" t="s">
        <v>47</v>
      </c>
      <c r="Q369" s="425" t="s">
        <v>2036</v>
      </c>
      <c r="R369" s="851">
        <v>0</v>
      </c>
      <c r="S369" s="851">
        <v>0</v>
      </c>
      <c r="T369" s="851">
        <v>0</v>
      </c>
      <c r="U369" s="851">
        <v>0</v>
      </c>
      <c r="V369" s="851">
        <v>0</v>
      </c>
      <c r="W369" s="851">
        <v>0</v>
      </c>
      <c r="X369" s="851">
        <v>0</v>
      </c>
      <c r="Y369" s="851">
        <v>0</v>
      </c>
      <c r="Z369" s="851">
        <v>0</v>
      </c>
      <c r="AA369" s="851">
        <v>0</v>
      </c>
      <c r="AB369" s="851">
        <v>0</v>
      </c>
      <c r="AC369" s="851">
        <v>0</v>
      </c>
      <c r="AD369" s="851">
        <v>2.5</v>
      </c>
      <c r="AE369" s="851">
        <v>0</v>
      </c>
      <c r="AF369" s="851">
        <v>0</v>
      </c>
      <c r="AG369" s="851">
        <v>0</v>
      </c>
      <c r="AH369" s="851">
        <f t="shared" si="25"/>
        <v>2.0661157024793391</v>
      </c>
      <c r="AI369" s="851">
        <v>0</v>
      </c>
      <c r="AJ369" s="851"/>
      <c r="AK369" s="851"/>
      <c r="AL369" s="851"/>
      <c r="AM369" s="851"/>
      <c r="AN369" s="851"/>
      <c r="AO369" s="851"/>
      <c r="AP369" s="851"/>
    </row>
    <row r="370" spans="1:42" ht="14">
      <c r="A370" s="856">
        <v>369</v>
      </c>
      <c r="B370" s="425" t="s">
        <v>2895</v>
      </c>
      <c r="C370" s="425" t="s">
        <v>41</v>
      </c>
      <c r="D370" s="425" t="s">
        <v>2595</v>
      </c>
      <c r="E370" s="425" t="s">
        <v>708</v>
      </c>
      <c r="F370" s="425" t="s">
        <v>518</v>
      </c>
      <c r="G370">
        <v>1</v>
      </c>
      <c r="H370" s="852">
        <v>0.21</v>
      </c>
      <c r="I370" s="852">
        <v>0.3</v>
      </c>
      <c r="J370" s="852">
        <f t="shared" si="23"/>
        <v>6.3E-2</v>
      </c>
      <c r="K370" s="852">
        <f t="shared" si="24"/>
        <v>8.1899999999999994E-3</v>
      </c>
      <c r="L370">
        <v>53</v>
      </c>
      <c r="M370" s="425" t="s">
        <v>2380</v>
      </c>
      <c r="N370" s="370">
        <v>2020</v>
      </c>
      <c r="O370" s="425" t="s">
        <v>2599</v>
      </c>
      <c r="P370" s="854" t="s">
        <v>47</v>
      </c>
      <c r="Q370" s="425" t="s">
        <v>2036</v>
      </c>
      <c r="R370" s="851">
        <v>0</v>
      </c>
      <c r="S370" s="851">
        <v>0</v>
      </c>
      <c r="T370" s="851">
        <v>0</v>
      </c>
      <c r="U370" s="851">
        <v>0</v>
      </c>
      <c r="V370" s="851">
        <v>0</v>
      </c>
      <c r="W370" s="851">
        <v>0</v>
      </c>
      <c r="X370" s="851">
        <v>0</v>
      </c>
      <c r="Y370" s="851">
        <v>0</v>
      </c>
      <c r="Z370" s="851">
        <v>0</v>
      </c>
      <c r="AA370" s="851">
        <v>0</v>
      </c>
      <c r="AB370" s="851">
        <v>0</v>
      </c>
      <c r="AC370" s="851">
        <v>0</v>
      </c>
      <c r="AD370" s="851">
        <v>2.5</v>
      </c>
      <c r="AE370" s="851">
        <v>0</v>
      </c>
      <c r="AF370" s="851">
        <v>0</v>
      </c>
      <c r="AG370" s="851">
        <v>0</v>
      </c>
      <c r="AH370" s="851">
        <f t="shared" si="25"/>
        <v>2.0661157024793391</v>
      </c>
      <c r="AI370" s="851">
        <v>0</v>
      </c>
      <c r="AJ370" s="851"/>
      <c r="AK370" s="851"/>
      <c r="AL370" s="851"/>
      <c r="AM370" s="851"/>
      <c r="AN370" s="851"/>
      <c r="AO370" s="851"/>
      <c r="AP370" s="851"/>
    </row>
    <row r="371" spans="1:42" ht="14">
      <c r="A371" s="856">
        <v>370</v>
      </c>
      <c r="B371" s="425" t="s">
        <v>2896</v>
      </c>
      <c r="C371" s="425" t="s">
        <v>41</v>
      </c>
      <c r="D371" s="425" t="s">
        <v>2595</v>
      </c>
      <c r="E371" s="425" t="s">
        <v>708</v>
      </c>
      <c r="F371" s="425" t="s">
        <v>711</v>
      </c>
      <c r="G371">
        <v>1</v>
      </c>
      <c r="H371" s="852">
        <v>0.21</v>
      </c>
      <c r="I371" s="852">
        <v>0.3</v>
      </c>
      <c r="J371" s="852">
        <f t="shared" si="23"/>
        <v>6.3E-2</v>
      </c>
      <c r="K371" s="852">
        <f t="shared" si="24"/>
        <v>8.1899999999999994E-3</v>
      </c>
      <c r="L371">
        <v>53</v>
      </c>
      <c r="M371" s="425" t="s">
        <v>2380</v>
      </c>
      <c r="N371" s="370">
        <v>2020</v>
      </c>
      <c r="O371" s="425" t="s">
        <v>2599</v>
      </c>
      <c r="P371" s="854" t="s">
        <v>47</v>
      </c>
      <c r="Q371" s="425" t="s">
        <v>2036</v>
      </c>
      <c r="R371" s="851">
        <v>0</v>
      </c>
      <c r="S371" s="851">
        <v>0</v>
      </c>
      <c r="T371" s="851">
        <v>0</v>
      </c>
      <c r="U371" s="851">
        <v>0</v>
      </c>
      <c r="V371" s="851">
        <v>0</v>
      </c>
      <c r="W371" s="851">
        <v>0</v>
      </c>
      <c r="X371" s="851">
        <v>0</v>
      </c>
      <c r="Y371" s="851">
        <v>0</v>
      </c>
      <c r="Z371" s="851">
        <v>0</v>
      </c>
      <c r="AA371" s="851">
        <v>0</v>
      </c>
      <c r="AB371" s="851">
        <v>0</v>
      </c>
      <c r="AC371" s="851">
        <v>0</v>
      </c>
      <c r="AD371" s="851">
        <v>2.5</v>
      </c>
      <c r="AE371" s="851">
        <v>0</v>
      </c>
      <c r="AF371" s="851">
        <v>0</v>
      </c>
      <c r="AG371" s="851">
        <v>0</v>
      </c>
      <c r="AH371" s="851">
        <f t="shared" si="25"/>
        <v>2.0661157024793391</v>
      </c>
      <c r="AI371" s="851">
        <v>0</v>
      </c>
      <c r="AJ371" s="851"/>
      <c r="AK371" s="851"/>
      <c r="AL371" s="851"/>
      <c r="AM371" s="851"/>
      <c r="AN371" s="851"/>
      <c r="AO371" s="851"/>
      <c r="AP371" s="851"/>
    </row>
    <row r="372" spans="1:42" ht="14">
      <c r="A372" s="856">
        <v>371</v>
      </c>
      <c r="B372" s="425" t="s">
        <v>2897</v>
      </c>
      <c r="C372" s="425" t="s">
        <v>41</v>
      </c>
      <c r="D372" s="425" t="s">
        <v>2595</v>
      </c>
      <c r="E372" s="425" t="s">
        <v>708</v>
      </c>
      <c r="F372" s="425" t="s">
        <v>590</v>
      </c>
      <c r="G372">
        <v>1</v>
      </c>
      <c r="H372" s="852">
        <v>0.21</v>
      </c>
      <c r="I372" s="852">
        <v>0.3</v>
      </c>
      <c r="J372" s="852">
        <f t="shared" si="23"/>
        <v>6.3E-2</v>
      </c>
      <c r="K372" s="852">
        <f t="shared" si="24"/>
        <v>8.1899999999999994E-3</v>
      </c>
      <c r="L372">
        <v>53</v>
      </c>
      <c r="M372" s="425" t="s">
        <v>2380</v>
      </c>
      <c r="N372" s="370">
        <v>2020</v>
      </c>
      <c r="O372" s="425" t="s">
        <v>2599</v>
      </c>
      <c r="P372" s="854" t="s">
        <v>47</v>
      </c>
      <c r="Q372" s="425" t="s">
        <v>2036</v>
      </c>
      <c r="R372" s="851">
        <v>0</v>
      </c>
      <c r="S372" s="851">
        <v>0</v>
      </c>
      <c r="T372" s="851">
        <v>0</v>
      </c>
      <c r="U372" s="851">
        <v>0</v>
      </c>
      <c r="V372" s="851">
        <v>0</v>
      </c>
      <c r="W372" s="851">
        <v>0</v>
      </c>
      <c r="X372" s="851">
        <v>0</v>
      </c>
      <c r="Y372" s="851">
        <v>0</v>
      </c>
      <c r="Z372" s="851">
        <v>0</v>
      </c>
      <c r="AA372" s="851">
        <v>0</v>
      </c>
      <c r="AB372" s="851">
        <v>0</v>
      </c>
      <c r="AC372" s="851">
        <v>0</v>
      </c>
      <c r="AD372" s="851">
        <v>2.5</v>
      </c>
      <c r="AE372" s="851">
        <v>0</v>
      </c>
      <c r="AF372" s="851">
        <v>0</v>
      </c>
      <c r="AG372" s="851">
        <v>0</v>
      </c>
      <c r="AH372" s="851">
        <f t="shared" si="25"/>
        <v>2.0661157024793391</v>
      </c>
      <c r="AI372" s="851">
        <v>0</v>
      </c>
      <c r="AJ372" s="851"/>
      <c r="AK372" s="851"/>
      <c r="AL372" s="851"/>
      <c r="AM372" s="851"/>
      <c r="AN372" s="851"/>
      <c r="AO372" s="851"/>
      <c r="AP372" s="851"/>
    </row>
    <row r="373" spans="1:42" ht="14">
      <c r="A373" s="856">
        <v>372</v>
      </c>
      <c r="B373" s="425" t="s">
        <v>2898</v>
      </c>
      <c r="C373" s="425" t="s">
        <v>41</v>
      </c>
      <c r="D373" s="425" t="s">
        <v>2595</v>
      </c>
      <c r="E373" s="425" t="s">
        <v>714</v>
      </c>
      <c r="F373" s="425" t="s">
        <v>703</v>
      </c>
      <c r="G373">
        <v>1</v>
      </c>
      <c r="H373" s="852">
        <v>0.21</v>
      </c>
      <c r="I373" s="852">
        <v>0.3</v>
      </c>
      <c r="J373" s="852">
        <f t="shared" si="23"/>
        <v>6.3E-2</v>
      </c>
      <c r="K373" s="852">
        <f t="shared" si="24"/>
        <v>8.1899999999999994E-3</v>
      </c>
      <c r="L373">
        <v>26.5</v>
      </c>
      <c r="M373" s="425" t="s">
        <v>2598</v>
      </c>
      <c r="N373" s="370">
        <v>2020</v>
      </c>
      <c r="O373" s="425" t="s">
        <v>2599</v>
      </c>
      <c r="P373" s="854" t="s">
        <v>47</v>
      </c>
      <c r="Q373" s="425" t="s">
        <v>2036</v>
      </c>
      <c r="R373" s="851">
        <v>0</v>
      </c>
      <c r="S373" s="851">
        <v>0</v>
      </c>
      <c r="T373" s="851">
        <v>0</v>
      </c>
      <c r="U373" s="851">
        <v>0</v>
      </c>
      <c r="V373" s="851">
        <v>0</v>
      </c>
      <c r="W373" s="851">
        <v>0</v>
      </c>
      <c r="X373" s="851">
        <v>0</v>
      </c>
      <c r="Y373" s="851">
        <v>0</v>
      </c>
      <c r="Z373" s="851">
        <v>0</v>
      </c>
      <c r="AA373" s="851">
        <v>0</v>
      </c>
      <c r="AB373" s="851">
        <v>0</v>
      </c>
      <c r="AC373" s="851">
        <v>0</v>
      </c>
      <c r="AD373" s="851">
        <v>2.5</v>
      </c>
      <c r="AE373" s="851">
        <v>0</v>
      </c>
      <c r="AF373" s="851">
        <v>0</v>
      </c>
      <c r="AG373" s="851">
        <v>0</v>
      </c>
      <c r="AH373" s="851">
        <f t="shared" si="25"/>
        <v>2.0661157024793391</v>
      </c>
      <c r="AI373" s="851">
        <v>0</v>
      </c>
      <c r="AJ373" s="851"/>
      <c r="AK373" s="851"/>
      <c r="AL373" s="851"/>
      <c r="AM373" s="851"/>
      <c r="AN373" s="851"/>
      <c r="AO373" s="851"/>
      <c r="AP373" s="851"/>
    </row>
    <row r="374" spans="1:42" ht="14">
      <c r="A374" s="856">
        <v>373</v>
      </c>
      <c r="B374" s="425" t="s">
        <v>2899</v>
      </c>
      <c r="C374" s="425" t="s">
        <v>41</v>
      </c>
      <c r="D374" s="425" t="s">
        <v>2595</v>
      </c>
      <c r="E374" s="425" t="s">
        <v>714</v>
      </c>
      <c r="F374" s="425" t="s">
        <v>518</v>
      </c>
      <c r="G374">
        <v>1</v>
      </c>
      <c r="H374" s="852">
        <v>0.21</v>
      </c>
      <c r="I374" s="852">
        <v>0.3</v>
      </c>
      <c r="J374" s="852">
        <f t="shared" si="23"/>
        <v>6.3E-2</v>
      </c>
      <c r="K374" s="852">
        <f t="shared" si="24"/>
        <v>8.1899999999999994E-3</v>
      </c>
      <c r="L374">
        <v>26.5</v>
      </c>
      <c r="M374" s="425" t="s">
        <v>2598</v>
      </c>
      <c r="N374" s="370">
        <v>2020</v>
      </c>
      <c r="O374" s="425" t="s">
        <v>2599</v>
      </c>
      <c r="P374" s="854" t="s">
        <v>47</v>
      </c>
      <c r="Q374" s="425" t="s">
        <v>2036</v>
      </c>
      <c r="R374" s="851">
        <v>0</v>
      </c>
      <c r="S374" s="851">
        <v>0</v>
      </c>
      <c r="T374" s="851">
        <v>0</v>
      </c>
      <c r="U374" s="851">
        <v>0</v>
      </c>
      <c r="V374" s="851">
        <v>0</v>
      </c>
      <c r="W374" s="851">
        <v>0</v>
      </c>
      <c r="X374" s="851">
        <v>0</v>
      </c>
      <c r="Y374" s="851">
        <v>0</v>
      </c>
      <c r="Z374" s="851">
        <v>0</v>
      </c>
      <c r="AA374" s="851">
        <v>0</v>
      </c>
      <c r="AB374" s="851">
        <v>0</v>
      </c>
      <c r="AC374" s="851">
        <v>0</v>
      </c>
      <c r="AD374" s="851">
        <v>2.5</v>
      </c>
      <c r="AE374" s="851">
        <v>0</v>
      </c>
      <c r="AF374" s="851">
        <v>0</v>
      </c>
      <c r="AG374" s="851">
        <v>0</v>
      </c>
      <c r="AH374" s="851">
        <f t="shared" si="25"/>
        <v>2.0661157024793391</v>
      </c>
      <c r="AI374" s="851">
        <v>0</v>
      </c>
      <c r="AJ374" s="851"/>
      <c r="AK374" s="851"/>
      <c r="AL374" s="851"/>
      <c r="AM374" s="851"/>
      <c r="AN374" s="851"/>
      <c r="AO374" s="851"/>
      <c r="AP374" s="851"/>
    </row>
    <row r="375" spans="1:42" ht="14">
      <c r="A375" s="856">
        <v>374</v>
      </c>
      <c r="B375" s="425" t="s">
        <v>2900</v>
      </c>
      <c r="C375" s="425" t="s">
        <v>41</v>
      </c>
      <c r="D375" s="425" t="s">
        <v>2595</v>
      </c>
      <c r="E375" s="425" t="s">
        <v>714</v>
      </c>
      <c r="F375" s="425" t="s">
        <v>711</v>
      </c>
      <c r="G375">
        <v>1</v>
      </c>
      <c r="H375" s="852">
        <v>0.21</v>
      </c>
      <c r="I375" s="852">
        <v>0.3</v>
      </c>
      <c r="J375" s="852">
        <f t="shared" si="23"/>
        <v>6.3E-2</v>
      </c>
      <c r="K375" s="852">
        <f t="shared" si="24"/>
        <v>8.1899999999999994E-3</v>
      </c>
      <c r="L375">
        <v>26.5</v>
      </c>
      <c r="M375" s="425" t="s">
        <v>2598</v>
      </c>
      <c r="N375" s="370">
        <v>2020</v>
      </c>
      <c r="O375" s="425" t="s">
        <v>2599</v>
      </c>
      <c r="P375" s="854" t="s">
        <v>47</v>
      </c>
      <c r="Q375" s="425" t="s">
        <v>2036</v>
      </c>
      <c r="R375" s="851">
        <v>0</v>
      </c>
      <c r="S375" s="851">
        <v>0</v>
      </c>
      <c r="T375" s="851">
        <v>0</v>
      </c>
      <c r="U375" s="851">
        <v>0</v>
      </c>
      <c r="V375" s="851">
        <v>0</v>
      </c>
      <c r="W375" s="851">
        <v>0</v>
      </c>
      <c r="X375" s="851">
        <v>0</v>
      </c>
      <c r="Y375" s="851">
        <v>0</v>
      </c>
      <c r="Z375" s="851">
        <v>0</v>
      </c>
      <c r="AA375" s="851">
        <v>0</v>
      </c>
      <c r="AB375" s="851">
        <v>0</v>
      </c>
      <c r="AC375" s="851">
        <v>0</v>
      </c>
      <c r="AD375" s="851">
        <v>2.5</v>
      </c>
      <c r="AE375" s="851">
        <v>0</v>
      </c>
      <c r="AF375" s="851">
        <v>0</v>
      </c>
      <c r="AG375" s="851">
        <v>0</v>
      </c>
      <c r="AH375" s="851">
        <f t="shared" si="25"/>
        <v>2.0661157024793391</v>
      </c>
      <c r="AI375" s="851">
        <v>0</v>
      </c>
      <c r="AJ375" s="851"/>
      <c r="AK375" s="851"/>
      <c r="AL375" s="851"/>
      <c r="AM375" s="851"/>
      <c r="AN375" s="851"/>
      <c r="AO375" s="851"/>
      <c r="AP375" s="851"/>
    </row>
    <row r="376" spans="1:42" ht="14">
      <c r="A376" s="856">
        <v>375</v>
      </c>
      <c r="B376" s="425" t="s">
        <v>2901</v>
      </c>
      <c r="C376" s="425" t="s">
        <v>41</v>
      </c>
      <c r="D376" s="425" t="s">
        <v>2595</v>
      </c>
      <c r="E376" s="425" t="s">
        <v>718</v>
      </c>
      <c r="F376" s="425" t="s">
        <v>519</v>
      </c>
      <c r="G376">
        <v>1</v>
      </c>
      <c r="H376" s="852">
        <v>0.21</v>
      </c>
      <c r="I376" s="852">
        <v>0.3</v>
      </c>
      <c r="J376" s="852">
        <f t="shared" si="23"/>
        <v>6.3E-2</v>
      </c>
      <c r="K376" s="852">
        <f t="shared" si="24"/>
        <v>8.1899999999999994E-3</v>
      </c>
      <c r="L376">
        <v>53</v>
      </c>
      <c r="M376" s="425" t="s">
        <v>2380</v>
      </c>
      <c r="N376" s="370">
        <v>2020</v>
      </c>
      <c r="O376" s="425" t="s">
        <v>2599</v>
      </c>
      <c r="P376" s="854" t="s">
        <v>47</v>
      </c>
      <c r="Q376" s="425" t="s">
        <v>2036</v>
      </c>
      <c r="R376" s="851">
        <v>0</v>
      </c>
      <c r="S376" s="851">
        <v>0</v>
      </c>
      <c r="T376" s="851">
        <v>0</v>
      </c>
      <c r="U376" s="851">
        <v>0</v>
      </c>
      <c r="V376" s="851">
        <v>0</v>
      </c>
      <c r="W376" s="851">
        <v>0</v>
      </c>
      <c r="X376" s="851">
        <v>0</v>
      </c>
      <c r="Y376" s="851">
        <v>0</v>
      </c>
      <c r="Z376" s="851">
        <v>0</v>
      </c>
      <c r="AA376" s="851">
        <v>0</v>
      </c>
      <c r="AB376" s="851">
        <v>0</v>
      </c>
      <c r="AC376" s="851">
        <v>0</v>
      </c>
      <c r="AD376" s="851">
        <v>2.5</v>
      </c>
      <c r="AE376" s="851">
        <v>0</v>
      </c>
      <c r="AF376" s="851">
        <v>0</v>
      </c>
      <c r="AG376" s="851">
        <v>0</v>
      </c>
      <c r="AH376" s="851">
        <f t="shared" si="25"/>
        <v>2.0661157024793391</v>
      </c>
      <c r="AI376" s="851">
        <v>0</v>
      </c>
      <c r="AJ376" s="851"/>
      <c r="AK376" s="851"/>
      <c r="AL376" s="851"/>
      <c r="AM376" s="851"/>
      <c r="AN376" s="851"/>
      <c r="AO376" s="851"/>
      <c r="AP376" s="851"/>
    </row>
    <row r="377" spans="1:42" ht="14">
      <c r="A377" s="856">
        <v>376</v>
      </c>
      <c r="B377" s="425" t="s">
        <v>2902</v>
      </c>
      <c r="C377" s="425" t="s">
        <v>41</v>
      </c>
      <c r="D377" s="425" t="s">
        <v>2595</v>
      </c>
      <c r="E377" s="425" t="s">
        <v>718</v>
      </c>
      <c r="F377" s="425" t="s">
        <v>705</v>
      </c>
      <c r="G377">
        <v>1</v>
      </c>
      <c r="H377" s="852">
        <v>0.21</v>
      </c>
      <c r="I377" s="852">
        <v>0.3</v>
      </c>
      <c r="J377" s="852">
        <f t="shared" si="23"/>
        <v>6.3E-2</v>
      </c>
      <c r="K377" s="852">
        <f t="shared" si="24"/>
        <v>8.1899999999999994E-3</v>
      </c>
      <c r="L377">
        <v>53</v>
      </c>
      <c r="M377" s="425" t="s">
        <v>2380</v>
      </c>
      <c r="N377" s="370">
        <v>2020</v>
      </c>
      <c r="O377" s="425" t="s">
        <v>2599</v>
      </c>
      <c r="P377" s="854" t="s">
        <v>47</v>
      </c>
      <c r="Q377" s="425" t="s">
        <v>2036</v>
      </c>
      <c r="R377" s="851">
        <v>0</v>
      </c>
      <c r="S377" s="851">
        <v>0</v>
      </c>
      <c r="T377" s="851">
        <v>0</v>
      </c>
      <c r="U377" s="851">
        <v>0</v>
      </c>
      <c r="V377" s="851">
        <v>0</v>
      </c>
      <c r="W377" s="851">
        <v>0</v>
      </c>
      <c r="X377" s="851">
        <v>0</v>
      </c>
      <c r="Y377" s="851">
        <v>0</v>
      </c>
      <c r="Z377" s="851">
        <v>0</v>
      </c>
      <c r="AA377" s="851">
        <v>0</v>
      </c>
      <c r="AB377" s="851">
        <v>0</v>
      </c>
      <c r="AC377" s="851">
        <v>0</v>
      </c>
      <c r="AD377" s="851">
        <v>2.5</v>
      </c>
      <c r="AE377" s="851">
        <v>0</v>
      </c>
      <c r="AF377" s="851">
        <v>0</v>
      </c>
      <c r="AG377" s="851">
        <v>0</v>
      </c>
      <c r="AH377" s="851">
        <f t="shared" si="25"/>
        <v>2.0661157024793391</v>
      </c>
      <c r="AI377" s="851">
        <v>0</v>
      </c>
      <c r="AJ377" s="851"/>
      <c r="AK377" s="851"/>
      <c r="AL377" s="851"/>
      <c r="AM377" s="851"/>
      <c r="AN377" s="851"/>
      <c r="AO377" s="851"/>
      <c r="AP377" s="851"/>
    </row>
    <row r="378" spans="1:42" ht="14">
      <c r="A378" s="856">
        <v>377</v>
      </c>
      <c r="B378" s="425" t="s">
        <v>2903</v>
      </c>
      <c r="C378" s="425" t="s">
        <v>41</v>
      </c>
      <c r="D378" s="425" t="s">
        <v>2595</v>
      </c>
      <c r="E378" s="425" t="s">
        <v>718</v>
      </c>
      <c r="F378" s="425" t="s">
        <v>721</v>
      </c>
      <c r="G378">
        <v>1</v>
      </c>
      <c r="H378" s="852">
        <v>0.21</v>
      </c>
      <c r="I378" s="852">
        <v>0.3</v>
      </c>
      <c r="J378" s="852">
        <f t="shared" si="23"/>
        <v>6.3E-2</v>
      </c>
      <c r="K378" s="852">
        <f t="shared" si="24"/>
        <v>8.1899999999999994E-3</v>
      </c>
      <c r="L378">
        <v>53</v>
      </c>
      <c r="M378" s="425" t="s">
        <v>2380</v>
      </c>
      <c r="N378" s="370">
        <v>2020</v>
      </c>
      <c r="O378" s="425" t="s">
        <v>2599</v>
      </c>
      <c r="P378" s="854" t="s">
        <v>47</v>
      </c>
      <c r="Q378" s="425" t="s">
        <v>2036</v>
      </c>
      <c r="R378" s="851">
        <v>0</v>
      </c>
      <c r="S378" s="851">
        <v>0</v>
      </c>
      <c r="T378" s="851">
        <v>0</v>
      </c>
      <c r="U378" s="851">
        <v>0</v>
      </c>
      <c r="V378" s="851">
        <v>0</v>
      </c>
      <c r="W378" s="851">
        <v>0</v>
      </c>
      <c r="X378" s="851">
        <v>0</v>
      </c>
      <c r="Y378" s="851">
        <v>0</v>
      </c>
      <c r="Z378" s="851">
        <v>0</v>
      </c>
      <c r="AA378" s="851">
        <v>0</v>
      </c>
      <c r="AB378" s="851">
        <v>0</v>
      </c>
      <c r="AC378" s="851">
        <v>0</v>
      </c>
      <c r="AD378" s="851">
        <v>2.5</v>
      </c>
      <c r="AE378" s="851">
        <v>0</v>
      </c>
      <c r="AF378" s="851">
        <v>0</v>
      </c>
      <c r="AG378" s="851">
        <v>0</v>
      </c>
      <c r="AH378" s="851">
        <f t="shared" si="25"/>
        <v>2.0661157024793391</v>
      </c>
      <c r="AI378" s="851">
        <v>0</v>
      </c>
      <c r="AJ378" s="851"/>
      <c r="AK378" s="851"/>
      <c r="AL378" s="851"/>
      <c r="AM378" s="851"/>
      <c r="AN378" s="851"/>
      <c r="AO378" s="851"/>
      <c r="AP378" s="851"/>
    </row>
    <row r="379" spans="1:42" ht="14">
      <c r="A379" s="856">
        <v>378</v>
      </c>
      <c r="B379" s="425" t="s">
        <v>2904</v>
      </c>
      <c r="C379" s="425" t="s">
        <v>41</v>
      </c>
      <c r="D379" s="425" t="s">
        <v>2595</v>
      </c>
      <c r="E379" s="425" t="s">
        <v>718</v>
      </c>
      <c r="F379" s="425" t="s">
        <v>723</v>
      </c>
      <c r="G379">
        <v>1</v>
      </c>
      <c r="H379" s="852">
        <v>0.21</v>
      </c>
      <c r="I379" s="852">
        <v>0.3</v>
      </c>
      <c r="J379" s="852">
        <f t="shared" si="23"/>
        <v>6.3E-2</v>
      </c>
      <c r="K379" s="852">
        <f t="shared" si="24"/>
        <v>8.1899999999999994E-3</v>
      </c>
      <c r="L379">
        <v>53</v>
      </c>
      <c r="M379" s="425" t="s">
        <v>2380</v>
      </c>
      <c r="N379" s="370">
        <v>2020</v>
      </c>
      <c r="O379" s="425" t="s">
        <v>2599</v>
      </c>
      <c r="P379" s="854" t="s">
        <v>47</v>
      </c>
      <c r="Q379" s="425" t="s">
        <v>2036</v>
      </c>
      <c r="R379" s="851">
        <v>0</v>
      </c>
      <c r="S379" s="851">
        <v>0</v>
      </c>
      <c r="T379" s="851">
        <v>0</v>
      </c>
      <c r="U379" s="851">
        <v>0</v>
      </c>
      <c r="V379" s="851">
        <v>0</v>
      </c>
      <c r="W379" s="851">
        <v>0</v>
      </c>
      <c r="X379" s="851">
        <v>0</v>
      </c>
      <c r="Y379" s="851">
        <v>0</v>
      </c>
      <c r="Z379" s="851">
        <v>0</v>
      </c>
      <c r="AA379" s="851">
        <v>0</v>
      </c>
      <c r="AB379" s="851">
        <v>0</v>
      </c>
      <c r="AC379" s="851">
        <v>0</v>
      </c>
      <c r="AD379" s="851">
        <v>2.5</v>
      </c>
      <c r="AE379" s="851">
        <v>0</v>
      </c>
      <c r="AF379" s="851">
        <v>0</v>
      </c>
      <c r="AG379" s="851">
        <v>0</v>
      </c>
      <c r="AH379" s="851">
        <f t="shared" si="25"/>
        <v>2.0661157024793391</v>
      </c>
      <c r="AI379" s="851">
        <v>0</v>
      </c>
      <c r="AJ379" s="851"/>
      <c r="AK379" s="851"/>
      <c r="AL379" s="851"/>
      <c r="AM379" s="851"/>
      <c r="AN379" s="851"/>
      <c r="AO379" s="851"/>
      <c r="AP379" s="851"/>
    </row>
    <row r="380" spans="1:42" ht="14">
      <c r="A380" s="856">
        <v>379</v>
      </c>
      <c r="B380" s="425" t="s">
        <v>2905</v>
      </c>
      <c r="C380" s="425" t="s">
        <v>41</v>
      </c>
      <c r="D380" s="425" t="s">
        <v>2595</v>
      </c>
      <c r="E380" s="425" t="s">
        <v>718</v>
      </c>
      <c r="F380" s="425" t="s">
        <v>725</v>
      </c>
      <c r="G380">
        <v>1</v>
      </c>
      <c r="H380" s="852">
        <v>0.21</v>
      </c>
      <c r="I380" s="852">
        <v>0.3</v>
      </c>
      <c r="J380" s="852">
        <f t="shared" si="23"/>
        <v>6.3E-2</v>
      </c>
      <c r="K380" s="852">
        <f t="shared" si="24"/>
        <v>8.1899999999999994E-3</v>
      </c>
      <c r="L380">
        <v>53</v>
      </c>
      <c r="M380" s="425" t="s">
        <v>2380</v>
      </c>
      <c r="N380" s="370">
        <v>2020</v>
      </c>
      <c r="O380" s="425" t="s">
        <v>2599</v>
      </c>
      <c r="P380" s="854" t="s">
        <v>47</v>
      </c>
      <c r="Q380" s="425" t="s">
        <v>2036</v>
      </c>
      <c r="R380" s="851">
        <v>0</v>
      </c>
      <c r="S380" s="851">
        <v>0</v>
      </c>
      <c r="T380" s="851">
        <v>0</v>
      </c>
      <c r="U380" s="851">
        <v>0</v>
      </c>
      <c r="V380" s="851">
        <v>0</v>
      </c>
      <c r="W380" s="851">
        <v>0</v>
      </c>
      <c r="X380" s="851">
        <v>0</v>
      </c>
      <c r="Y380" s="851">
        <v>0</v>
      </c>
      <c r="Z380" s="851">
        <v>0</v>
      </c>
      <c r="AA380" s="851">
        <v>0</v>
      </c>
      <c r="AB380" s="851">
        <v>0</v>
      </c>
      <c r="AC380" s="851">
        <v>0</v>
      </c>
      <c r="AD380" s="851">
        <v>2.5</v>
      </c>
      <c r="AE380" s="851">
        <v>0</v>
      </c>
      <c r="AF380" s="851">
        <v>0</v>
      </c>
      <c r="AG380" s="851">
        <v>0</v>
      </c>
      <c r="AH380" s="851">
        <f t="shared" si="25"/>
        <v>2.0661157024793391</v>
      </c>
      <c r="AI380" s="851">
        <v>0</v>
      </c>
      <c r="AJ380" s="851"/>
      <c r="AK380" s="851"/>
      <c r="AL380" s="851"/>
      <c r="AM380" s="851"/>
      <c r="AN380" s="851"/>
      <c r="AO380" s="851"/>
      <c r="AP380" s="851"/>
    </row>
    <row r="381" spans="1:42" ht="14">
      <c r="A381" s="856">
        <v>380</v>
      </c>
      <c r="B381" s="425" t="s">
        <v>2906</v>
      </c>
      <c r="C381" s="425" t="s">
        <v>41</v>
      </c>
      <c r="D381" s="425" t="s">
        <v>2595</v>
      </c>
      <c r="E381" s="425" t="s">
        <v>718</v>
      </c>
      <c r="F381" s="425" t="s">
        <v>590</v>
      </c>
      <c r="G381">
        <v>1</v>
      </c>
      <c r="H381" s="852">
        <v>0.21</v>
      </c>
      <c r="I381" s="852">
        <v>0.3</v>
      </c>
      <c r="J381" s="852">
        <f t="shared" si="23"/>
        <v>6.3E-2</v>
      </c>
      <c r="K381" s="852">
        <f t="shared" si="24"/>
        <v>8.1899999999999994E-3</v>
      </c>
      <c r="L381">
        <v>53</v>
      </c>
      <c r="M381" s="425" t="s">
        <v>2380</v>
      </c>
      <c r="N381" s="370">
        <v>2020</v>
      </c>
      <c r="O381" s="425" t="s">
        <v>2599</v>
      </c>
      <c r="P381" s="854" t="s">
        <v>47</v>
      </c>
      <c r="Q381" s="425" t="s">
        <v>2036</v>
      </c>
      <c r="R381" s="851">
        <v>0</v>
      </c>
      <c r="S381" s="851">
        <v>0</v>
      </c>
      <c r="T381" s="851">
        <v>0</v>
      </c>
      <c r="U381" s="851">
        <v>0</v>
      </c>
      <c r="V381" s="851">
        <v>0</v>
      </c>
      <c r="W381" s="851">
        <v>0</v>
      </c>
      <c r="X381" s="851">
        <v>0</v>
      </c>
      <c r="Y381" s="851">
        <v>0</v>
      </c>
      <c r="Z381" s="851">
        <v>0</v>
      </c>
      <c r="AA381" s="851">
        <v>0</v>
      </c>
      <c r="AB381" s="851">
        <v>0</v>
      </c>
      <c r="AC381" s="851">
        <v>0</v>
      </c>
      <c r="AD381" s="851">
        <v>2.5</v>
      </c>
      <c r="AE381" s="851">
        <v>0</v>
      </c>
      <c r="AF381" s="851">
        <v>0</v>
      </c>
      <c r="AG381" s="851">
        <v>0</v>
      </c>
      <c r="AH381" s="851">
        <f t="shared" si="25"/>
        <v>2.0661157024793391</v>
      </c>
      <c r="AI381" s="851">
        <v>0</v>
      </c>
      <c r="AJ381" s="851"/>
      <c r="AK381" s="851"/>
      <c r="AL381" s="851"/>
      <c r="AM381" s="851"/>
      <c r="AN381" s="851"/>
      <c r="AO381" s="851"/>
      <c r="AP381" s="851"/>
    </row>
    <row r="382" spans="1:42" ht="14">
      <c r="A382" s="856">
        <v>381</v>
      </c>
      <c r="B382" s="425" t="s">
        <v>2907</v>
      </c>
      <c r="C382" s="425" t="s">
        <v>41</v>
      </c>
      <c r="D382" s="425" t="s">
        <v>2595</v>
      </c>
      <c r="E382" s="425" t="s">
        <v>728</v>
      </c>
      <c r="F382" s="425" t="s">
        <v>695</v>
      </c>
      <c r="G382">
        <v>1</v>
      </c>
      <c r="H382" s="852">
        <v>0.21</v>
      </c>
      <c r="I382" s="852">
        <v>0.3</v>
      </c>
      <c r="J382" s="852">
        <f t="shared" si="23"/>
        <v>6.3E-2</v>
      </c>
      <c r="K382" s="852">
        <f t="shared" si="24"/>
        <v>8.1899999999999994E-3</v>
      </c>
      <c r="L382">
        <v>53</v>
      </c>
      <c r="M382" s="425" t="s">
        <v>2380</v>
      </c>
      <c r="N382" s="370">
        <v>2020</v>
      </c>
      <c r="O382" s="425" t="s">
        <v>2599</v>
      </c>
      <c r="P382" s="854" t="s">
        <v>47</v>
      </c>
      <c r="Q382" s="425" t="s">
        <v>2036</v>
      </c>
      <c r="R382" s="851">
        <v>0</v>
      </c>
      <c r="S382" s="851">
        <v>0</v>
      </c>
      <c r="T382" s="851">
        <v>0</v>
      </c>
      <c r="U382" s="851">
        <v>0</v>
      </c>
      <c r="V382" s="851">
        <v>0</v>
      </c>
      <c r="W382" s="851">
        <v>0</v>
      </c>
      <c r="X382" s="851">
        <v>0</v>
      </c>
      <c r="Y382" s="851">
        <v>0</v>
      </c>
      <c r="Z382" s="851">
        <v>0</v>
      </c>
      <c r="AA382" s="851">
        <v>0</v>
      </c>
      <c r="AB382" s="851">
        <v>0</v>
      </c>
      <c r="AC382" s="851">
        <v>0</v>
      </c>
      <c r="AD382" s="851">
        <v>2.5</v>
      </c>
      <c r="AE382" s="851">
        <v>0</v>
      </c>
      <c r="AF382" s="851">
        <v>0</v>
      </c>
      <c r="AG382" s="851">
        <v>0</v>
      </c>
      <c r="AH382" s="851">
        <f t="shared" si="25"/>
        <v>2.0661157024793391</v>
      </c>
      <c r="AI382" s="851">
        <v>0</v>
      </c>
      <c r="AJ382" s="851"/>
      <c r="AK382" s="851"/>
      <c r="AL382" s="851"/>
      <c r="AM382" s="851"/>
      <c r="AN382" s="851"/>
      <c r="AO382" s="851"/>
      <c r="AP382" s="851"/>
    </row>
    <row r="383" spans="1:42" ht="14">
      <c r="A383" s="856">
        <v>382</v>
      </c>
      <c r="B383" s="425" t="s">
        <v>2908</v>
      </c>
      <c r="C383" s="425" t="s">
        <v>41</v>
      </c>
      <c r="D383" s="425" t="s">
        <v>2595</v>
      </c>
      <c r="E383" s="425" t="s">
        <v>728</v>
      </c>
      <c r="F383" s="425" t="s">
        <v>721</v>
      </c>
      <c r="G383">
        <v>1</v>
      </c>
      <c r="H383" s="852">
        <v>0.21</v>
      </c>
      <c r="I383" s="852">
        <v>0.3</v>
      </c>
      <c r="J383" s="852">
        <f t="shared" si="23"/>
        <v>6.3E-2</v>
      </c>
      <c r="K383" s="852">
        <f t="shared" si="24"/>
        <v>8.1899999999999994E-3</v>
      </c>
      <c r="L383">
        <v>53</v>
      </c>
      <c r="M383" s="425" t="s">
        <v>2380</v>
      </c>
      <c r="N383" s="370">
        <v>2020</v>
      </c>
      <c r="O383" s="425" t="s">
        <v>2599</v>
      </c>
      <c r="P383" s="854" t="s">
        <v>47</v>
      </c>
      <c r="Q383" s="425" t="s">
        <v>2036</v>
      </c>
      <c r="R383" s="851">
        <v>0</v>
      </c>
      <c r="S383" s="851">
        <v>0</v>
      </c>
      <c r="T383" s="851">
        <v>0</v>
      </c>
      <c r="U383" s="851">
        <v>0</v>
      </c>
      <c r="V383" s="851">
        <v>0</v>
      </c>
      <c r="W383" s="851">
        <v>0</v>
      </c>
      <c r="X383" s="851">
        <v>0</v>
      </c>
      <c r="Y383" s="851">
        <v>0</v>
      </c>
      <c r="Z383" s="851">
        <v>0</v>
      </c>
      <c r="AA383" s="851">
        <v>0</v>
      </c>
      <c r="AB383" s="851">
        <v>0</v>
      </c>
      <c r="AC383" s="851">
        <v>0</v>
      </c>
      <c r="AD383" s="851">
        <v>2.5</v>
      </c>
      <c r="AE383" s="851">
        <v>0</v>
      </c>
      <c r="AF383" s="851">
        <v>0</v>
      </c>
      <c r="AG383" s="851">
        <v>0</v>
      </c>
      <c r="AH383" s="851">
        <f t="shared" si="25"/>
        <v>2.0661157024793391</v>
      </c>
      <c r="AI383" s="851">
        <v>0</v>
      </c>
      <c r="AJ383" s="851"/>
      <c r="AK383" s="851"/>
      <c r="AL383" s="851"/>
      <c r="AM383" s="851"/>
      <c r="AN383" s="851"/>
      <c r="AO383" s="851"/>
      <c r="AP383" s="851"/>
    </row>
    <row r="384" spans="1:42" ht="14">
      <c r="A384" s="856">
        <v>383</v>
      </c>
      <c r="B384" s="425" t="s">
        <v>2909</v>
      </c>
      <c r="C384" s="425" t="s">
        <v>41</v>
      </c>
      <c r="D384" s="425" t="s">
        <v>2595</v>
      </c>
      <c r="E384" s="425" t="s">
        <v>728</v>
      </c>
      <c r="F384" s="425" t="s">
        <v>723</v>
      </c>
      <c r="G384">
        <v>1</v>
      </c>
      <c r="H384" s="852">
        <v>0.21</v>
      </c>
      <c r="I384" s="852">
        <v>0.3</v>
      </c>
      <c r="J384" s="852">
        <f t="shared" si="23"/>
        <v>6.3E-2</v>
      </c>
      <c r="K384" s="852">
        <f t="shared" si="24"/>
        <v>8.1899999999999994E-3</v>
      </c>
      <c r="L384">
        <v>53</v>
      </c>
      <c r="M384" s="425" t="s">
        <v>2380</v>
      </c>
      <c r="N384" s="370">
        <v>2020</v>
      </c>
      <c r="O384" s="425" t="s">
        <v>2599</v>
      </c>
      <c r="P384" s="854" t="s">
        <v>47</v>
      </c>
      <c r="Q384" s="425" t="s">
        <v>2036</v>
      </c>
      <c r="R384" s="851">
        <v>0</v>
      </c>
      <c r="S384" s="851">
        <v>0</v>
      </c>
      <c r="T384" s="851">
        <v>0</v>
      </c>
      <c r="U384" s="851">
        <v>0</v>
      </c>
      <c r="V384" s="851">
        <v>0</v>
      </c>
      <c r="W384" s="851">
        <v>0</v>
      </c>
      <c r="X384" s="851">
        <v>0</v>
      </c>
      <c r="Y384" s="851">
        <v>0</v>
      </c>
      <c r="Z384" s="851">
        <v>0</v>
      </c>
      <c r="AA384" s="851">
        <v>0</v>
      </c>
      <c r="AB384" s="851">
        <v>0</v>
      </c>
      <c r="AC384" s="851">
        <v>0</v>
      </c>
      <c r="AD384" s="851">
        <v>2.5</v>
      </c>
      <c r="AE384" s="851">
        <v>0</v>
      </c>
      <c r="AF384" s="851">
        <v>0</v>
      </c>
      <c r="AG384" s="851">
        <v>0</v>
      </c>
      <c r="AH384" s="851">
        <f t="shared" si="25"/>
        <v>2.0661157024793391</v>
      </c>
      <c r="AI384" s="851">
        <v>0</v>
      </c>
      <c r="AJ384" s="851"/>
      <c r="AK384" s="851"/>
      <c r="AL384" s="851"/>
      <c r="AM384" s="851"/>
      <c r="AN384" s="851"/>
      <c r="AO384" s="851"/>
      <c r="AP384" s="851"/>
    </row>
    <row r="385" spans="1:42" ht="14">
      <c r="A385" s="856">
        <v>384</v>
      </c>
      <c r="B385" s="425" t="s">
        <v>2910</v>
      </c>
      <c r="C385" s="425" t="s">
        <v>41</v>
      </c>
      <c r="D385" s="425" t="s">
        <v>2595</v>
      </c>
      <c r="E385" s="425" t="s">
        <v>728</v>
      </c>
      <c r="F385" s="425" t="s">
        <v>518</v>
      </c>
      <c r="G385">
        <v>1</v>
      </c>
      <c r="H385" s="852">
        <v>0.21</v>
      </c>
      <c r="I385" s="852">
        <v>0.3</v>
      </c>
      <c r="J385" s="852">
        <f t="shared" si="23"/>
        <v>6.3E-2</v>
      </c>
      <c r="K385" s="852">
        <f t="shared" si="24"/>
        <v>8.1899999999999994E-3</v>
      </c>
      <c r="L385">
        <v>53</v>
      </c>
      <c r="M385" s="425" t="s">
        <v>2380</v>
      </c>
      <c r="N385" s="370">
        <v>2020</v>
      </c>
      <c r="O385" s="425" t="s">
        <v>2599</v>
      </c>
      <c r="P385" s="854" t="s">
        <v>47</v>
      </c>
      <c r="Q385" s="425" t="s">
        <v>2036</v>
      </c>
      <c r="R385" s="851">
        <v>0</v>
      </c>
      <c r="S385" s="851">
        <v>0</v>
      </c>
      <c r="T385" s="851">
        <v>0</v>
      </c>
      <c r="U385" s="851">
        <v>0</v>
      </c>
      <c r="V385" s="851">
        <v>0</v>
      </c>
      <c r="W385" s="851">
        <v>0</v>
      </c>
      <c r="X385" s="851">
        <v>0</v>
      </c>
      <c r="Y385" s="851">
        <v>0</v>
      </c>
      <c r="Z385" s="851">
        <v>0</v>
      </c>
      <c r="AA385" s="851">
        <v>0</v>
      </c>
      <c r="AB385" s="851">
        <v>0</v>
      </c>
      <c r="AC385" s="851">
        <v>0</v>
      </c>
      <c r="AD385" s="851">
        <v>2.5</v>
      </c>
      <c r="AE385" s="851">
        <v>0</v>
      </c>
      <c r="AF385" s="851">
        <v>0</v>
      </c>
      <c r="AG385" s="851">
        <v>0</v>
      </c>
      <c r="AH385" s="851">
        <f t="shared" si="25"/>
        <v>2.0661157024793391</v>
      </c>
      <c r="AI385" s="851">
        <v>0</v>
      </c>
      <c r="AJ385" s="851"/>
      <c r="AK385" s="851"/>
      <c r="AL385" s="851"/>
      <c r="AM385" s="851"/>
      <c r="AN385" s="851"/>
      <c r="AO385" s="851"/>
      <c r="AP385" s="851"/>
    </row>
    <row r="386" spans="1:42" ht="14">
      <c r="A386" s="856">
        <v>385</v>
      </c>
      <c r="B386" s="425" t="s">
        <v>2911</v>
      </c>
      <c r="C386" s="425" t="s">
        <v>41</v>
      </c>
      <c r="D386" s="425" t="s">
        <v>2595</v>
      </c>
      <c r="E386" s="425" t="s">
        <v>728</v>
      </c>
      <c r="F386" s="425" t="s">
        <v>725</v>
      </c>
      <c r="G386">
        <v>1</v>
      </c>
      <c r="H386" s="852">
        <v>0.21</v>
      </c>
      <c r="I386" s="852">
        <v>0.3</v>
      </c>
      <c r="J386" s="852">
        <f t="shared" si="23"/>
        <v>6.3E-2</v>
      </c>
      <c r="K386" s="852">
        <f t="shared" si="24"/>
        <v>8.1899999999999994E-3</v>
      </c>
      <c r="L386">
        <v>53</v>
      </c>
      <c r="M386" s="425" t="s">
        <v>2380</v>
      </c>
      <c r="N386" s="370">
        <v>2020</v>
      </c>
      <c r="O386" s="425" t="s">
        <v>2599</v>
      </c>
      <c r="P386" s="854" t="s">
        <v>47</v>
      </c>
      <c r="Q386" s="425" t="s">
        <v>2036</v>
      </c>
      <c r="R386" s="851">
        <v>0</v>
      </c>
      <c r="S386" s="851">
        <v>0</v>
      </c>
      <c r="T386" s="851">
        <v>0</v>
      </c>
      <c r="U386" s="851">
        <v>0</v>
      </c>
      <c r="V386" s="851">
        <v>0</v>
      </c>
      <c r="W386" s="851">
        <v>0</v>
      </c>
      <c r="X386" s="851">
        <v>0</v>
      </c>
      <c r="Y386" s="851">
        <v>0</v>
      </c>
      <c r="Z386" s="851">
        <v>0</v>
      </c>
      <c r="AA386" s="851">
        <v>0</v>
      </c>
      <c r="AB386" s="851">
        <v>0</v>
      </c>
      <c r="AC386" s="851">
        <v>0</v>
      </c>
      <c r="AD386" s="851">
        <v>2.5</v>
      </c>
      <c r="AE386" s="851">
        <v>0</v>
      </c>
      <c r="AF386" s="851">
        <v>0</v>
      </c>
      <c r="AG386" s="851">
        <v>0</v>
      </c>
      <c r="AH386" s="851">
        <f t="shared" si="25"/>
        <v>2.0661157024793391</v>
      </c>
      <c r="AI386" s="851">
        <v>0</v>
      </c>
      <c r="AJ386" s="851"/>
      <c r="AK386" s="851"/>
      <c r="AL386" s="851"/>
      <c r="AM386" s="851"/>
      <c r="AN386" s="851"/>
      <c r="AO386" s="851"/>
      <c r="AP386" s="851"/>
    </row>
    <row r="387" spans="1:42" ht="14">
      <c r="A387" s="856">
        <v>386</v>
      </c>
      <c r="B387" s="425" t="s">
        <v>2912</v>
      </c>
      <c r="C387" s="425" t="s">
        <v>41</v>
      </c>
      <c r="D387" s="425" t="s">
        <v>2595</v>
      </c>
      <c r="E387" s="425" t="s">
        <v>734</v>
      </c>
      <c r="F387" s="425" t="s">
        <v>723</v>
      </c>
      <c r="G387">
        <v>1</v>
      </c>
      <c r="H387" s="852">
        <v>0.21</v>
      </c>
      <c r="I387" s="852">
        <v>0.3</v>
      </c>
      <c r="J387" s="852">
        <f t="shared" si="23"/>
        <v>6.3E-2</v>
      </c>
      <c r="K387" s="852">
        <f t="shared" si="24"/>
        <v>8.1899999999999994E-3</v>
      </c>
      <c r="L387">
        <v>53</v>
      </c>
      <c r="M387" s="425" t="s">
        <v>2380</v>
      </c>
      <c r="N387" s="370">
        <v>2020</v>
      </c>
      <c r="O387" s="425" t="s">
        <v>2599</v>
      </c>
      <c r="P387" s="854" t="s">
        <v>47</v>
      </c>
      <c r="Q387" s="425" t="s">
        <v>2036</v>
      </c>
      <c r="R387" s="851">
        <v>0</v>
      </c>
      <c r="S387" s="851">
        <v>0</v>
      </c>
      <c r="T387" s="851">
        <v>0</v>
      </c>
      <c r="U387" s="851">
        <v>0</v>
      </c>
      <c r="V387" s="851">
        <v>0</v>
      </c>
      <c r="W387" s="851">
        <v>0</v>
      </c>
      <c r="X387" s="851">
        <v>0</v>
      </c>
      <c r="Y387" s="851">
        <v>0</v>
      </c>
      <c r="Z387" s="851">
        <v>0</v>
      </c>
      <c r="AA387" s="851">
        <v>0</v>
      </c>
      <c r="AB387" s="851">
        <v>0</v>
      </c>
      <c r="AC387" s="851">
        <v>0</v>
      </c>
      <c r="AD387" s="851">
        <v>2.5</v>
      </c>
      <c r="AE387" s="851">
        <v>0</v>
      </c>
      <c r="AF387" s="851">
        <v>0</v>
      </c>
      <c r="AG387" s="851">
        <v>0</v>
      </c>
      <c r="AH387" s="851">
        <f t="shared" si="25"/>
        <v>2.0661157024793391</v>
      </c>
      <c r="AI387" s="851">
        <v>0</v>
      </c>
      <c r="AJ387" s="851"/>
      <c r="AK387" s="851"/>
      <c r="AL387" s="851"/>
      <c r="AM387" s="851"/>
      <c r="AN387" s="851"/>
      <c r="AO387" s="851"/>
      <c r="AP387" s="851"/>
    </row>
    <row r="388" spans="1:42" ht="14">
      <c r="A388" s="856">
        <v>387</v>
      </c>
      <c r="B388" s="425" t="s">
        <v>2913</v>
      </c>
      <c r="C388" s="425" t="s">
        <v>41</v>
      </c>
      <c r="D388" s="425" t="s">
        <v>2595</v>
      </c>
      <c r="E388" s="425" t="s">
        <v>734</v>
      </c>
      <c r="F388" s="425" t="s">
        <v>521</v>
      </c>
      <c r="G388">
        <v>1</v>
      </c>
      <c r="H388" s="852">
        <v>0.21</v>
      </c>
      <c r="I388" s="852">
        <v>0.3</v>
      </c>
      <c r="J388" s="852">
        <f t="shared" si="23"/>
        <v>6.3E-2</v>
      </c>
      <c r="K388" s="852">
        <f t="shared" si="24"/>
        <v>8.1899999999999994E-3</v>
      </c>
      <c r="L388">
        <v>53</v>
      </c>
      <c r="M388" s="425" t="s">
        <v>2380</v>
      </c>
      <c r="N388" s="370">
        <v>2020</v>
      </c>
      <c r="O388" s="425" t="s">
        <v>2599</v>
      </c>
      <c r="P388" s="854" t="s">
        <v>47</v>
      </c>
      <c r="Q388" s="425" t="s">
        <v>2036</v>
      </c>
      <c r="R388" s="851">
        <v>0</v>
      </c>
      <c r="S388" s="851">
        <v>0</v>
      </c>
      <c r="T388" s="851">
        <v>0</v>
      </c>
      <c r="U388" s="851">
        <v>0</v>
      </c>
      <c r="V388" s="851">
        <v>0</v>
      </c>
      <c r="W388" s="851">
        <v>0</v>
      </c>
      <c r="X388" s="851">
        <v>0</v>
      </c>
      <c r="Y388" s="851">
        <v>0</v>
      </c>
      <c r="Z388" s="851">
        <v>0</v>
      </c>
      <c r="AA388" s="851">
        <v>0</v>
      </c>
      <c r="AB388" s="851">
        <v>0</v>
      </c>
      <c r="AC388" s="851">
        <v>0</v>
      </c>
      <c r="AD388" s="851">
        <v>2.5</v>
      </c>
      <c r="AE388" s="851">
        <v>0</v>
      </c>
      <c r="AF388" s="851">
        <v>0</v>
      </c>
      <c r="AG388" s="851">
        <v>0</v>
      </c>
      <c r="AH388" s="851">
        <f t="shared" si="25"/>
        <v>2.0661157024793391</v>
      </c>
      <c r="AI388" s="851">
        <v>0</v>
      </c>
      <c r="AJ388" s="851"/>
      <c r="AK388" s="851"/>
      <c r="AL388" s="851"/>
      <c r="AM388" s="851"/>
      <c r="AN388" s="851"/>
      <c r="AO388" s="851"/>
      <c r="AP388" s="851"/>
    </row>
    <row r="389" spans="1:42" ht="14">
      <c r="A389" s="856">
        <v>388</v>
      </c>
      <c r="B389" s="425" t="s">
        <v>2914</v>
      </c>
      <c r="C389" s="425" t="s">
        <v>41</v>
      </c>
      <c r="D389" s="425" t="s">
        <v>2595</v>
      </c>
      <c r="E389" s="425" t="s">
        <v>734</v>
      </c>
      <c r="F389" s="425" t="s">
        <v>519</v>
      </c>
      <c r="G389">
        <v>1</v>
      </c>
      <c r="H389" s="852">
        <v>0.21</v>
      </c>
      <c r="I389" s="852">
        <v>0.3</v>
      </c>
      <c r="J389" s="852">
        <f t="shared" si="23"/>
        <v>6.3E-2</v>
      </c>
      <c r="K389" s="852">
        <f t="shared" si="24"/>
        <v>8.1899999999999994E-3</v>
      </c>
      <c r="L389">
        <v>53</v>
      </c>
      <c r="M389" s="425" t="s">
        <v>2380</v>
      </c>
      <c r="N389" s="370">
        <v>2020</v>
      </c>
      <c r="O389" s="425" t="s">
        <v>2599</v>
      </c>
      <c r="P389" s="854" t="s">
        <v>47</v>
      </c>
      <c r="Q389" s="425" t="s">
        <v>2036</v>
      </c>
      <c r="R389" s="851">
        <v>0</v>
      </c>
      <c r="S389" s="851">
        <v>0</v>
      </c>
      <c r="T389" s="851">
        <v>0</v>
      </c>
      <c r="U389" s="851">
        <v>0</v>
      </c>
      <c r="V389" s="851">
        <v>0</v>
      </c>
      <c r="W389" s="851">
        <v>0</v>
      </c>
      <c r="X389" s="851">
        <v>0</v>
      </c>
      <c r="Y389" s="851">
        <v>0</v>
      </c>
      <c r="Z389" s="851">
        <v>0</v>
      </c>
      <c r="AA389" s="851">
        <v>0</v>
      </c>
      <c r="AB389" s="851">
        <v>0</v>
      </c>
      <c r="AC389" s="851">
        <v>0</v>
      </c>
      <c r="AD389" s="851">
        <v>2.5</v>
      </c>
      <c r="AE389" s="851">
        <v>0</v>
      </c>
      <c r="AF389" s="851">
        <v>0</v>
      </c>
      <c r="AG389" s="851">
        <v>0</v>
      </c>
      <c r="AH389" s="851">
        <f t="shared" si="25"/>
        <v>2.0661157024793391</v>
      </c>
      <c r="AI389" s="851">
        <v>0</v>
      </c>
      <c r="AJ389" s="851"/>
      <c r="AK389" s="851"/>
      <c r="AL389" s="851"/>
      <c r="AM389" s="851"/>
      <c r="AN389" s="851"/>
      <c r="AO389" s="851"/>
      <c r="AP389" s="851"/>
    </row>
    <row r="390" spans="1:42" ht="14">
      <c r="A390" s="856">
        <v>389</v>
      </c>
      <c r="B390" s="425" t="s">
        <v>2915</v>
      </c>
      <c r="C390" s="425" t="s">
        <v>41</v>
      </c>
      <c r="D390" s="425" t="s">
        <v>2595</v>
      </c>
      <c r="E390" s="425" t="s">
        <v>734</v>
      </c>
      <c r="F390" s="425" t="s">
        <v>711</v>
      </c>
      <c r="G390">
        <v>1</v>
      </c>
      <c r="H390" s="852">
        <v>0.21</v>
      </c>
      <c r="I390" s="852">
        <v>0.3</v>
      </c>
      <c r="J390" s="852">
        <f t="shared" si="23"/>
        <v>6.3E-2</v>
      </c>
      <c r="K390" s="852">
        <f t="shared" si="24"/>
        <v>8.1899999999999994E-3</v>
      </c>
      <c r="L390">
        <v>53</v>
      </c>
      <c r="M390" s="425" t="s">
        <v>2380</v>
      </c>
      <c r="N390" s="370">
        <v>2020</v>
      </c>
      <c r="O390" s="425" t="s">
        <v>2599</v>
      </c>
      <c r="P390" s="854" t="s">
        <v>47</v>
      </c>
      <c r="Q390" s="425" t="s">
        <v>2036</v>
      </c>
      <c r="R390" s="851">
        <v>0</v>
      </c>
      <c r="S390" s="851">
        <v>0</v>
      </c>
      <c r="T390" s="851">
        <v>0</v>
      </c>
      <c r="U390" s="851">
        <v>0</v>
      </c>
      <c r="V390" s="851">
        <v>0</v>
      </c>
      <c r="W390" s="851">
        <v>0</v>
      </c>
      <c r="X390" s="851">
        <v>0</v>
      </c>
      <c r="Y390" s="851">
        <v>0</v>
      </c>
      <c r="Z390" s="851">
        <v>0</v>
      </c>
      <c r="AA390" s="851">
        <v>0</v>
      </c>
      <c r="AB390" s="851">
        <v>0</v>
      </c>
      <c r="AC390" s="851">
        <v>0</v>
      </c>
      <c r="AD390" s="851">
        <v>2.5</v>
      </c>
      <c r="AE390" s="851">
        <v>0</v>
      </c>
      <c r="AF390" s="851">
        <v>0</v>
      </c>
      <c r="AG390" s="851">
        <v>0</v>
      </c>
      <c r="AH390" s="851">
        <f t="shared" si="25"/>
        <v>2.0661157024793391</v>
      </c>
      <c r="AI390" s="851">
        <v>0</v>
      </c>
      <c r="AJ390" s="851"/>
      <c r="AK390" s="851"/>
      <c r="AL390" s="851"/>
      <c r="AM390" s="851"/>
      <c r="AN390" s="851"/>
      <c r="AO390" s="851"/>
      <c r="AP390" s="851"/>
    </row>
    <row r="391" spans="1:42" ht="14">
      <c r="A391" s="856">
        <v>390</v>
      </c>
      <c r="B391" s="425" t="s">
        <v>2916</v>
      </c>
      <c r="C391" s="425" t="s">
        <v>41</v>
      </c>
      <c r="D391" s="425" t="s">
        <v>2595</v>
      </c>
      <c r="E391" s="425" t="s">
        <v>739</v>
      </c>
      <c r="F391" s="425" t="s">
        <v>695</v>
      </c>
      <c r="G391">
        <v>1</v>
      </c>
      <c r="H391" s="852">
        <v>0.21</v>
      </c>
      <c r="I391" s="852">
        <v>0.3</v>
      </c>
      <c r="J391" s="852">
        <f t="shared" si="23"/>
        <v>6.3E-2</v>
      </c>
      <c r="K391" s="852">
        <f t="shared" si="24"/>
        <v>8.1899999999999994E-3</v>
      </c>
      <c r="L391">
        <v>53</v>
      </c>
      <c r="M391" s="425" t="s">
        <v>2380</v>
      </c>
      <c r="N391" s="370">
        <v>2020</v>
      </c>
      <c r="O391" s="425" t="s">
        <v>2599</v>
      </c>
      <c r="P391" s="854" t="s">
        <v>47</v>
      </c>
      <c r="Q391" s="425" t="s">
        <v>2036</v>
      </c>
      <c r="R391" s="851">
        <v>0</v>
      </c>
      <c r="S391" s="851">
        <v>0</v>
      </c>
      <c r="T391" s="851">
        <v>0</v>
      </c>
      <c r="U391" s="851">
        <v>0</v>
      </c>
      <c r="V391" s="851">
        <v>0</v>
      </c>
      <c r="W391" s="851">
        <v>0</v>
      </c>
      <c r="X391" s="851">
        <v>0</v>
      </c>
      <c r="Y391" s="851">
        <v>0</v>
      </c>
      <c r="Z391" s="851">
        <v>0</v>
      </c>
      <c r="AA391" s="851">
        <v>0</v>
      </c>
      <c r="AB391" s="851">
        <v>0</v>
      </c>
      <c r="AC391" s="851">
        <v>0</v>
      </c>
      <c r="AD391" s="851">
        <v>2.5</v>
      </c>
      <c r="AE391" s="851">
        <v>0</v>
      </c>
      <c r="AF391" s="851">
        <v>0</v>
      </c>
      <c r="AG391" s="851">
        <v>0</v>
      </c>
      <c r="AH391" s="851">
        <f t="shared" si="25"/>
        <v>2.0661157024793391</v>
      </c>
      <c r="AI391" s="851">
        <v>0</v>
      </c>
      <c r="AJ391" s="851"/>
      <c r="AK391" s="851"/>
      <c r="AL391" s="851"/>
      <c r="AM391" s="851"/>
      <c r="AN391" s="851"/>
      <c r="AO391" s="851"/>
      <c r="AP391" s="851"/>
    </row>
    <row r="392" spans="1:42" ht="14">
      <c r="A392" s="856">
        <v>391</v>
      </c>
      <c r="B392" s="425" t="s">
        <v>2917</v>
      </c>
      <c r="C392" s="425" t="s">
        <v>41</v>
      </c>
      <c r="D392" s="425" t="s">
        <v>2595</v>
      </c>
      <c r="E392" s="425" t="s">
        <v>739</v>
      </c>
      <c r="F392" s="425" t="s">
        <v>519</v>
      </c>
      <c r="G392">
        <v>1</v>
      </c>
      <c r="H392" s="852">
        <v>0.21</v>
      </c>
      <c r="I392" s="852">
        <v>0.3</v>
      </c>
      <c r="J392" s="852">
        <f t="shared" si="23"/>
        <v>6.3E-2</v>
      </c>
      <c r="K392" s="852">
        <f t="shared" si="24"/>
        <v>8.1899999999999994E-3</v>
      </c>
      <c r="L392">
        <v>53</v>
      </c>
      <c r="M392" s="425" t="s">
        <v>2380</v>
      </c>
      <c r="N392" s="370">
        <v>2020</v>
      </c>
      <c r="O392" s="425" t="s">
        <v>2599</v>
      </c>
      <c r="P392" s="854" t="s">
        <v>47</v>
      </c>
      <c r="Q392" s="425" t="s">
        <v>2036</v>
      </c>
      <c r="R392" s="851">
        <v>0</v>
      </c>
      <c r="S392" s="851">
        <v>0</v>
      </c>
      <c r="T392" s="851">
        <v>0</v>
      </c>
      <c r="U392" s="851">
        <v>0</v>
      </c>
      <c r="V392" s="851">
        <v>0</v>
      </c>
      <c r="W392" s="851">
        <v>0</v>
      </c>
      <c r="X392" s="851">
        <v>0</v>
      </c>
      <c r="Y392" s="851">
        <v>0</v>
      </c>
      <c r="Z392" s="851">
        <v>0</v>
      </c>
      <c r="AA392" s="851">
        <v>0</v>
      </c>
      <c r="AB392" s="851">
        <v>0</v>
      </c>
      <c r="AC392" s="851">
        <v>0</v>
      </c>
      <c r="AD392" s="851">
        <v>2.5</v>
      </c>
      <c r="AE392" s="851">
        <v>0</v>
      </c>
      <c r="AF392" s="851">
        <v>0</v>
      </c>
      <c r="AG392" s="851">
        <v>0</v>
      </c>
      <c r="AH392" s="851">
        <f t="shared" si="25"/>
        <v>2.0661157024793391</v>
      </c>
      <c r="AI392" s="851">
        <v>0</v>
      </c>
      <c r="AJ392" s="851"/>
      <c r="AK392" s="851"/>
      <c r="AL392" s="851"/>
      <c r="AM392" s="851"/>
      <c r="AN392" s="851"/>
      <c r="AO392" s="851"/>
      <c r="AP392" s="851"/>
    </row>
    <row r="393" spans="1:42" ht="14">
      <c r="A393" s="856">
        <v>392</v>
      </c>
      <c r="B393" s="425" t="s">
        <v>2918</v>
      </c>
      <c r="C393" s="425" t="s">
        <v>41</v>
      </c>
      <c r="D393" s="425" t="s">
        <v>2595</v>
      </c>
      <c r="E393" s="425" t="s">
        <v>739</v>
      </c>
      <c r="F393" s="425" t="s">
        <v>725</v>
      </c>
      <c r="G393">
        <v>1</v>
      </c>
      <c r="H393" s="852">
        <v>0.21</v>
      </c>
      <c r="I393" s="852">
        <v>0.3</v>
      </c>
      <c r="J393" s="852">
        <f t="shared" si="23"/>
        <v>6.3E-2</v>
      </c>
      <c r="K393" s="852">
        <f t="shared" si="24"/>
        <v>8.1899999999999994E-3</v>
      </c>
      <c r="L393">
        <v>53</v>
      </c>
      <c r="M393" s="425" t="s">
        <v>2380</v>
      </c>
      <c r="N393" s="370">
        <v>2020</v>
      </c>
      <c r="O393" s="425" t="s">
        <v>2599</v>
      </c>
      <c r="P393" s="854" t="s">
        <v>47</v>
      </c>
      <c r="Q393" s="425" t="s">
        <v>2036</v>
      </c>
      <c r="R393" s="851">
        <v>0</v>
      </c>
      <c r="S393" s="851">
        <v>0</v>
      </c>
      <c r="T393" s="851">
        <v>0</v>
      </c>
      <c r="U393" s="851">
        <v>0</v>
      </c>
      <c r="V393" s="851">
        <v>0</v>
      </c>
      <c r="W393" s="851">
        <v>0</v>
      </c>
      <c r="X393" s="851">
        <v>0</v>
      </c>
      <c r="Y393" s="851">
        <v>0</v>
      </c>
      <c r="Z393" s="851">
        <v>0</v>
      </c>
      <c r="AA393" s="851">
        <v>0</v>
      </c>
      <c r="AB393" s="851">
        <v>0</v>
      </c>
      <c r="AC393" s="851">
        <v>0</v>
      </c>
      <c r="AD393" s="851">
        <v>2.5</v>
      </c>
      <c r="AE393" s="851">
        <v>0</v>
      </c>
      <c r="AF393" s="851">
        <v>0</v>
      </c>
      <c r="AG393" s="851">
        <v>0</v>
      </c>
      <c r="AH393" s="851">
        <f t="shared" si="25"/>
        <v>2.0661157024793391</v>
      </c>
      <c r="AI393" s="851">
        <v>0</v>
      </c>
      <c r="AJ393" s="851"/>
      <c r="AK393" s="851"/>
      <c r="AL393" s="851"/>
      <c r="AM393" s="851"/>
      <c r="AN393" s="851"/>
      <c r="AO393" s="851"/>
      <c r="AP393" s="851"/>
    </row>
    <row r="394" spans="1:42" ht="14">
      <c r="A394" s="856">
        <v>393</v>
      </c>
      <c r="B394" s="425" t="s">
        <v>2919</v>
      </c>
      <c r="C394" s="425" t="s">
        <v>41</v>
      </c>
      <c r="D394" s="425" t="s">
        <v>2595</v>
      </c>
      <c r="E394" s="425" t="s">
        <v>743</v>
      </c>
      <c r="F394" s="425" t="s">
        <v>703</v>
      </c>
      <c r="G394">
        <v>1</v>
      </c>
      <c r="H394" s="852">
        <v>0.21</v>
      </c>
      <c r="I394" s="852">
        <v>0.3</v>
      </c>
      <c r="J394" s="852">
        <f t="shared" si="23"/>
        <v>6.3E-2</v>
      </c>
      <c r="K394" s="852">
        <f t="shared" si="24"/>
        <v>8.1899999999999994E-3</v>
      </c>
      <c r="L394">
        <v>53</v>
      </c>
      <c r="M394" s="425" t="s">
        <v>2380</v>
      </c>
      <c r="N394" s="370">
        <v>2020</v>
      </c>
      <c r="O394" s="425" t="s">
        <v>2599</v>
      </c>
      <c r="P394" s="854" t="s">
        <v>47</v>
      </c>
      <c r="Q394" s="425" t="s">
        <v>2036</v>
      </c>
      <c r="R394" s="851">
        <v>0</v>
      </c>
      <c r="S394" s="851">
        <v>0</v>
      </c>
      <c r="T394" s="851">
        <v>0</v>
      </c>
      <c r="U394" s="851">
        <v>0</v>
      </c>
      <c r="V394" s="851">
        <v>0</v>
      </c>
      <c r="W394" s="851">
        <v>0</v>
      </c>
      <c r="X394" s="851">
        <v>0</v>
      </c>
      <c r="Y394" s="851">
        <v>0</v>
      </c>
      <c r="Z394" s="851">
        <v>0</v>
      </c>
      <c r="AA394" s="851">
        <v>0</v>
      </c>
      <c r="AB394" s="851">
        <v>0</v>
      </c>
      <c r="AC394" s="851">
        <v>0</v>
      </c>
      <c r="AD394" s="851">
        <v>2.5</v>
      </c>
      <c r="AE394" s="851">
        <v>0</v>
      </c>
      <c r="AF394" s="851">
        <v>0</v>
      </c>
      <c r="AG394" s="851">
        <v>0</v>
      </c>
      <c r="AH394" s="851">
        <f t="shared" si="25"/>
        <v>2.0661157024793391</v>
      </c>
      <c r="AI394" s="851">
        <v>0</v>
      </c>
      <c r="AJ394" s="851"/>
      <c r="AK394" s="851"/>
      <c r="AL394" s="851"/>
      <c r="AM394" s="851"/>
      <c r="AN394" s="851"/>
      <c r="AO394" s="851"/>
      <c r="AP394" s="851"/>
    </row>
    <row r="395" spans="1:42" ht="14">
      <c r="A395" s="856">
        <v>394</v>
      </c>
      <c r="B395" s="425" t="s">
        <v>2920</v>
      </c>
      <c r="C395" s="425" t="s">
        <v>41</v>
      </c>
      <c r="D395" s="425" t="s">
        <v>2595</v>
      </c>
      <c r="E395" s="425" t="s">
        <v>743</v>
      </c>
      <c r="F395" s="425" t="s">
        <v>745</v>
      </c>
      <c r="G395">
        <v>1</v>
      </c>
      <c r="H395" s="852">
        <v>0.21</v>
      </c>
      <c r="I395" s="852">
        <v>0.3</v>
      </c>
      <c r="J395" s="852">
        <f t="shared" si="23"/>
        <v>6.3E-2</v>
      </c>
      <c r="K395" s="852">
        <f t="shared" si="24"/>
        <v>8.1899999999999994E-3</v>
      </c>
      <c r="L395">
        <v>53</v>
      </c>
      <c r="M395" s="425" t="s">
        <v>2380</v>
      </c>
      <c r="N395" s="370">
        <v>2020</v>
      </c>
      <c r="O395" s="425" t="s">
        <v>2599</v>
      </c>
      <c r="P395" s="854" t="s">
        <v>47</v>
      </c>
      <c r="Q395" s="425" t="s">
        <v>2036</v>
      </c>
      <c r="R395" s="851">
        <v>0</v>
      </c>
      <c r="S395" s="851">
        <v>0</v>
      </c>
      <c r="T395" s="851">
        <v>0</v>
      </c>
      <c r="U395" s="851">
        <v>0</v>
      </c>
      <c r="V395" s="851">
        <v>0</v>
      </c>
      <c r="W395" s="851">
        <v>0</v>
      </c>
      <c r="X395" s="851">
        <v>0</v>
      </c>
      <c r="Y395" s="851">
        <v>0</v>
      </c>
      <c r="Z395" s="851">
        <v>0</v>
      </c>
      <c r="AA395" s="851">
        <v>0</v>
      </c>
      <c r="AB395" s="851">
        <v>0</v>
      </c>
      <c r="AC395" s="851">
        <v>0</v>
      </c>
      <c r="AD395" s="851">
        <v>2.5</v>
      </c>
      <c r="AE395" s="851">
        <v>0</v>
      </c>
      <c r="AF395" s="851">
        <v>0</v>
      </c>
      <c r="AG395" s="851">
        <v>0</v>
      </c>
      <c r="AH395" s="851">
        <f t="shared" si="25"/>
        <v>2.0661157024793391</v>
      </c>
      <c r="AI395" s="851">
        <v>0</v>
      </c>
      <c r="AJ395" s="851"/>
      <c r="AK395" s="851"/>
      <c r="AL395" s="851"/>
      <c r="AM395" s="851"/>
      <c r="AN395" s="851"/>
      <c r="AO395" s="851"/>
      <c r="AP395" s="851"/>
    </row>
    <row r="396" spans="1:42" ht="14">
      <c r="A396" s="856">
        <v>395</v>
      </c>
      <c r="B396" s="425" t="s">
        <v>2921</v>
      </c>
      <c r="C396" s="425" t="s">
        <v>41</v>
      </c>
      <c r="D396" s="425" t="s">
        <v>2595</v>
      </c>
      <c r="E396" s="425" t="s">
        <v>747</v>
      </c>
      <c r="F396" s="425" t="s">
        <v>520</v>
      </c>
      <c r="G396">
        <v>1</v>
      </c>
      <c r="H396" s="852">
        <v>0.21</v>
      </c>
      <c r="I396" s="852">
        <v>0.3</v>
      </c>
      <c r="J396" s="852">
        <f t="shared" si="23"/>
        <v>6.3E-2</v>
      </c>
      <c r="K396" s="852">
        <f t="shared" si="24"/>
        <v>8.1899999999999994E-3</v>
      </c>
      <c r="L396">
        <v>53</v>
      </c>
      <c r="M396" s="425" t="s">
        <v>2380</v>
      </c>
      <c r="N396" s="370">
        <v>2020</v>
      </c>
      <c r="O396" s="425" t="s">
        <v>2599</v>
      </c>
      <c r="P396" s="854" t="s">
        <v>47</v>
      </c>
      <c r="Q396" s="425" t="s">
        <v>2036</v>
      </c>
      <c r="R396" s="851">
        <v>0</v>
      </c>
      <c r="S396" s="851">
        <v>0</v>
      </c>
      <c r="T396" s="851">
        <v>0</v>
      </c>
      <c r="U396" s="851">
        <v>0</v>
      </c>
      <c r="V396" s="851">
        <v>0</v>
      </c>
      <c r="W396" s="851">
        <v>0</v>
      </c>
      <c r="X396" s="851">
        <v>0</v>
      </c>
      <c r="Y396" s="851">
        <v>0</v>
      </c>
      <c r="Z396" s="851">
        <v>0</v>
      </c>
      <c r="AA396" s="851">
        <v>0</v>
      </c>
      <c r="AB396" s="851">
        <v>0</v>
      </c>
      <c r="AC396" s="851">
        <v>0</v>
      </c>
      <c r="AD396" s="851">
        <v>2.5</v>
      </c>
      <c r="AE396" s="851">
        <v>0</v>
      </c>
      <c r="AF396" s="851">
        <v>0</v>
      </c>
      <c r="AG396" s="851">
        <v>0</v>
      </c>
      <c r="AH396" s="851">
        <f t="shared" si="25"/>
        <v>2.0661157024793391</v>
      </c>
      <c r="AI396" s="851">
        <v>0</v>
      </c>
      <c r="AJ396" s="851"/>
      <c r="AK396" s="851"/>
      <c r="AL396" s="851"/>
      <c r="AM396" s="851"/>
      <c r="AN396" s="851"/>
      <c r="AO396" s="851"/>
      <c r="AP396" s="851"/>
    </row>
    <row r="397" spans="1:42" ht="14">
      <c r="A397" s="856">
        <v>396</v>
      </c>
      <c r="B397" s="425" t="s">
        <v>2922</v>
      </c>
      <c r="C397" s="425" t="s">
        <v>41</v>
      </c>
      <c r="D397" s="425" t="s">
        <v>2595</v>
      </c>
      <c r="E397" s="425" t="s">
        <v>747</v>
      </c>
      <c r="F397" s="425" t="s">
        <v>723</v>
      </c>
      <c r="G397">
        <v>1</v>
      </c>
      <c r="H397" s="852">
        <v>0.21</v>
      </c>
      <c r="I397" s="852">
        <v>0.3</v>
      </c>
      <c r="J397" s="852">
        <f t="shared" si="23"/>
        <v>6.3E-2</v>
      </c>
      <c r="K397" s="852">
        <f t="shared" si="24"/>
        <v>8.1899999999999994E-3</v>
      </c>
      <c r="L397">
        <v>53</v>
      </c>
      <c r="M397" s="425" t="s">
        <v>2380</v>
      </c>
      <c r="N397" s="370">
        <v>2020</v>
      </c>
      <c r="O397" s="425" t="s">
        <v>2599</v>
      </c>
      <c r="P397" s="854" t="s">
        <v>47</v>
      </c>
      <c r="Q397" s="425" t="s">
        <v>2036</v>
      </c>
      <c r="R397" s="851">
        <v>0</v>
      </c>
      <c r="S397" s="851">
        <v>0</v>
      </c>
      <c r="T397" s="851">
        <v>0</v>
      </c>
      <c r="U397" s="851">
        <v>0</v>
      </c>
      <c r="V397" s="851">
        <v>0</v>
      </c>
      <c r="W397" s="851">
        <v>0</v>
      </c>
      <c r="X397" s="851">
        <v>0</v>
      </c>
      <c r="Y397" s="851">
        <v>0</v>
      </c>
      <c r="Z397" s="851">
        <v>0</v>
      </c>
      <c r="AA397" s="851">
        <v>0</v>
      </c>
      <c r="AB397" s="851">
        <v>0</v>
      </c>
      <c r="AC397" s="851">
        <v>0</v>
      </c>
      <c r="AD397" s="851">
        <v>2.5</v>
      </c>
      <c r="AE397" s="851">
        <v>0</v>
      </c>
      <c r="AF397" s="851">
        <v>0</v>
      </c>
      <c r="AG397" s="851">
        <v>0</v>
      </c>
      <c r="AH397" s="851">
        <f t="shared" si="25"/>
        <v>2.0661157024793391</v>
      </c>
      <c r="AI397" s="851">
        <v>0</v>
      </c>
      <c r="AJ397" s="851"/>
      <c r="AK397" s="851"/>
      <c r="AL397" s="851"/>
      <c r="AM397" s="851"/>
      <c r="AN397" s="851"/>
      <c r="AO397" s="851"/>
      <c r="AP397" s="851"/>
    </row>
    <row r="398" spans="1:42" ht="14">
      <c r="A398" s="856">
        <v>397</v>
      </c>
      <c r="B398" s="425" t="s">
        <v>2923</v>
      </c>
      <c r="C398" s="425" t="s">
        <v>41</v>
      </c>
      <c r="D398" s="425" t="s">
        <v>2595</v>
      </c>
      <c r="E398" s="425" t="s">
        <v>747</v>
      </c>
      <c r="F398" s="425" t="s">
        <v>512</v>
      </c>
      <c r="G398">
        <v>1</v>
      </c>
      <c r="H398" s="852">
        <v>0.21</v>
      </c>
      <c r="I398" s="852">
        <v>0.3</v>
      </c>
      <c r="J398" s="852">
        <f t="shared" si="23"/>
        <v>6.3E-2</v>
      </c>
      <c r="K398" s="852">
        <f t="shared" si="24"/>
        <v>8.1899999999999994E-3</v>
      </c>
      <c r="L398">
        <v>53</v>
      </c>
      <c r="M398" s="425" t="s">
        <v>2380</v>
      </c>
      <c r="N398" s="370">
        <v>2020</v>
      </c>
      <c r="O398" s="425" t="s">
        <v>2599</v>
      </c>
      <c r="P398" s="854" t="s">
        <v>47</v>
      </c>
      <c r="Q398" s="425" t="s">
        <v>2036</v>
      </c>
      <c r="R398" s="851">
        <v>0</v>
      </c>
      <c r="S398" s="851">
        <v>0</v>
      </c>
      <c r="T398" s="851">
        <v>0</v>
      </c>
      <c r="U398" s="851">
        <v>0</v>
      </c>
      <c r="V398" s="851">
        <v>0</v>
      </c>
      <c r="W398" s="851">
        <v>0</v>
      </c>
      <c r="X398" s="851">
        <v>0</v>
      </c>
      <c r="Y398" s="851">
        <v>0</v>
      </c>
      <c r="Z398" s="851">
        <v>0</v>
      </c>
      <c r="AA398" s="851">
        <v>0</v>
      </c>
      <c r="AB398" s="851">
        <v>0</v>
      </c>
      <c r="AC398" s="851">
        <v>0</v>
      </c>
      <c r="AD398" s="851">
        <v>2.5</v>
      </c>
      <c r="AE398" s="851">
        <v>0</v>
      </c>
      <c r="AF398" s="851">
        <v>0</v>
      </c>
      <c r="AG398" s="851">
        <v>0</v>
      </c>
      <c r="AH398" s="851">
        <f t="shared" si="25"/>
        <v>2.0661157024793391</v>
      </c>
      <c r="AI398" s="851">
        <v>0</v>
      </c>
      <c r="AJ398" s="851"/>
      <c r="AK398" s="851"/>
      <c r="AL398" s="851"/>
      <c r="AM398" s="851"/>
      <c r="AN398" s="851"/>
      <c r="AO398" s="851"/>
      <c r="AP398" s="851"/>
    </row>
    <row r="399" spans="1:42" ht="14">
      <c r="A399" s="856">
        <v>398</v>
      </c>
      <c r="B399" s="425" t="s">
        <v>2924</v>
      </c>
      <c r="C399" s="425" t="s">
        <v>41</v>
      </c>
      <c r="D399" s="425" t="s">
        <v>2595</v>
      </c>
      <c r="E399" s="425" t="s">
        <v>747</v>
      </c>
      <c r="F399" s="425" t="s">
        <v>703</v>
      </c>
      <c r="G399">
        <v>1</v>
      </c>
      <c r="H399" s="852">
        <v>0.21</v>
      </c>
      <c r="I399" s="852">
        <v>0.3</v>
      </c>
      <c r="J399" s="852">
        <f t="shared" si="23"/>
        <v>6.3E-2</v>
      </c>
      <c r="K399" s="852">
        <f t="shared" si="24"/>
        <v>8.1899999999999994E-3</v>
      </c>
      <c r="L399">
        <v>53</v>
      </c>
      <c r="M399" s="425" t="s">
        <v>2380</v>
      </c>
      <c r="N399" s="370">
        <v>2020</v>
      </c>
      <c r="O399" s="425" t="s">
        <v>2599</v>
      </c>
      <c r="P399" s="854" t="s">
        <v>47</v>
      </c>
      <c r="Q399" s="425" t="s">
        <v>2036</v>
      </c>
      <c r="R399" s="851">
        <v>0</v>
      </c>
      <c r="S399" s="851">
        <v>0</v>
      </c>
      <c r="T399" s="851">
        <v>0</v>
      </c>
      <c r="U399" s="851">
        <v>0</v>
      </c>
      <c r="V399" s="851">
        <v>0</v>
      </c>
      <c r="W399" s="851">
        <v>0</v>
      </c>
      <c r="X399" s="851">
        <v>0</v>
      </c>
      <c r="Y399" s="851">
        <v>0</v>
      </c>
      <c r="Z399" s="851">
        <v>0</v>
      </c>
      <c r="AA399" s="851">
        <v>0</v>
      </c>
      <c r="AB399" s="851">
        <v>0</v>
      </c>
      <c r="AC399" s="851">
        <v>0</v>
      </c>
      <c r="AD399" s="851">
        <v>2.5</v>
      </c>
      <c r="AE399" s="851">
        <v>0</v>
      </c>
      <c r="AF399" s="851">
        <v>0</v>
      </c>
      <c r="AG399" s="851">
        <v>0</v>
      </c>
      <c r="AH399" s="851">
        <f t="shared" si="25"/>
        <v>2.0661157024793391</v>
      </c>
      <c r="AI399" s="851">
        <v>0</v>
      </c>
      <c r="AJ399" s="851"/>
      <c r="AK399" s="851"/>
      <c r="AL399" s="851"/>
      <c r="AM399" s="851"/>
      <c r="AN399" s="851"/>
      <c r="AO399" s="851"/>
      <c r="AP399" s="851"/>
    </row>
    <row r="400" spans="1:42" ht="14">
      <c r="A400" s="856">
        <v>399</v>
      </c>
      <c r="B400" s="425" t="s">
        <v>2925</v>
      </c>
      <c r="C400" s="425" t="s">
        <v>41</v>
      </c>
      <c r="D400" s="425" t="s">
        <v>2595</v>
      </c>
      <c r="E400" s="425" t="s">
        <v>747</v>
      </c>
      <c r="F400" s="425" t="s">
        <v>698</v>
      </c>
      <c r="G400">
        <v>1</v>
      </c>
      <c r="H400" s="852">
        <v>0.21</v>
      </c>
      <c r="I400" s="852">
        <v>0.3</v>
      </c>
      <c r="J400" s="852">
        <f t="shared" si="23"/>
        <v>6.3E-2</v>
      </c>
      <c r="K400" s="852">
        <f t="shared" si="24"/>
        <v>8.1899999999999994E-3</v>
      </c>
      <c r="L400">
        <v>53</v>
      </c>
      <c r="M400" s="425" t="s">
        <v>2380</v>
      </c>
      <c r="N400" s="370">
        <v>2020</v>
      </c>
      <c r="O400" s="425" t="s">
        <v>2599</v>
      </c>
      <c r="P400" s="854" t="s">
        <v>47</v>
      </c>
      <c r="Q400" s="425" t="s">
        <v>2036</v>
      </c>
      <c r="R400" s="851">
        <v>0</v>
      </c>
      <c r="S400" s="851">
        <v>0</v>
      </c>
      <c r="T400" s="851">
        <v>0</v>
      </c>
      <c r="U400" s="851">
        <v>0</v>
      </c>
      <c r="V400" s="851">
        <v>0</v>
      </c>
      <c r="W400" s="851">
        <v>0</v>
      </c>
      <c r="X400" s="851">
        <v>0</v>
      </c>
      <c r="Y400" s="851">
        <v>0</v>
      </c>
      <c r="Z400" s="851">
        <v>0</v>
      </c>
      <c r="AA400" s="851">
        <v>0</v>
      </c>
      <c r="AB400" s="851">
        <v>0</v>
      </c>
      <c r="AC400" s="851">
        <v>0</v>
      </c>
      <c r="AD400" s="851">
        <v>2.5</v>
      </c>
      <c r="AE400" s="851">
        <v>0</v>
      </c>
      <c r="AF400" s="851">
        <v>0</v>
      </c>
      <c r="AG400" s="851">
        <v>0</v>
      </c>
      <c r="AH400" s="851">
        <f t="shared" si="25"/>
        <v>2.0661157024793391</v>
      </c>
      <c r="AI400" s="851">
        <v>0</v>
      </c>
      <c r="AJ400" s="851"/>
      <c r="AK400" s="851"/>
      <c r="AL400" s="851"/>
      <c r="AM400" s="851"/>
      <c r="AN400" s="851"/>
      <c r="AO400" s="851"/>
      <c r="AP400" s="851"/>
    </row>
    <row r="401" spans="1:42" ht="14">
      <c r="A401" s="856">
        <v>400</v>
      </c>
      <c r="B401" s="425" t="s">
        <v>2926</v>
      </c>
      <c r="C401" s="425" t="s">
        <v>41</v>
      </c>
      <c r="D401" s="425" t="s">
        <v>2595</v>
      </c>
      <c r="E401" s="425" t="s">
        <v>747</v>
      </c>
      <c r="F401" s="425" t="s">
        <v>590</v>
      </c>
      <c r="G401">
        <v>1</v>
      </c>
      <c r="H401" s="852">
        <v>0.21</v>
      </c>
      <c r="I401" s="852">
        <v>0.3</v>
      </c>
      <c r="J401" s="852">
        <f t="shared" si="23"/>
        <v>6.3E-2</v>
      </c>
      <c r="K401" s="852">
        <f t="shared" si="24"/>
        <v>8.1899999999999994E-3</v>
      </c>
      <c r="L401">
        <v>53</v>
      </c>
      <c r="M401" s="425" t="s">
        <v>2380</v>
      </c>
      <c r="N401" s="370">
        <v>2020</v>
      </c>
      <c r="O401" s="425" t="s">
        <v>2599</v>
      </c>
      <c r="P401" s="854" t="s">
        <v>47</v>
      </c>
      <c r="Q401" s="425" t="s">
        <v>2036</v>
      </c>
      <c r="R401" s="851">
        <v>0</v>
      </c>
      <c r="S401" s="851">
        <v>0</v>
      </c>
      <c r="T401" s="851">
        <v>0</v>
      </c>
      <c r="U401" s="851">
        <v>0</v>
      </c>
      <c r="V401" s="851">
        <v>0</v>
      </c>
      <c r="W401" s="851">
        <v>0</v>
      </c>
      <c r="X401" s="851">
        <v>0</v>
      </c>
      <c r="Y401" s="851">
        <v>0</v>
      </c>
      <c r="Z401" s="851">
        <v>0</v>
      </c>
      <c r="AA401" s="851">
        <v>0</v>
      </c>
      <c r="AB401" s="851">
        <v>0</v>
      </c>
      <c r="AC401" s="851">
        <v>0</v>
      </c>
      <c r="AD401" s="851">
        <v>2.5</v>
      </c>
      <c r="AE401" s="851">
        <v>0</v>
      </c>
      <c r="AF401" s="851">
        <v>0</v>
      </c>
      <c r="AG401" s="851">
        <v>0</v>
      </c>
      <c r="AH401" s="851">
        <f t="shared" si="25"/>
        <v>2.0661157024793391</v>
      </c>
      <c r="AI401" s="851">
        <v>0</v>
      </c>
      <c r="AJ401" s="851"/>
      <c r="AK401" s="851"/>
      <c r="AL401" s="851"/>
      <c r="AM401" s="851"/>
      <c r="AN401" s="851"/>
      <c r="AO401" s="851"/>
      <c r="AP401" s="851"/>
    </row>
    <row r="402" spans="1:42" ht="14">
      <c r="A402" s="856">
        <v>401</v>
      </c>
      <c r="B402" s="425" t="s">
        <v>2927</v>
      </c>
      <c r="C402" s="425" t="s">
        <v>41</v>
      </c>
      <c r="D402" s="425" t="s">
        <v>2595</v>
      </c>
      <c r="E402" s="425" t="s">
        <v>754</v>
      </c>
      <c r="F402" s="425" t="s">
        <v>518</v>
      </c>
      <c r="G402">
        <v>1</v>
      </c>
      <c r="H402" s="852">
        <v>0.21</v>
      </c>
      <c r="I402" s="852">
        <v>0.3</v>
      </c>
      <c r="J402" s="852">
        <f t="shared" si="23"/>
        <v>6.3E-2</v>
      </c>
      <c r="K402" s="852">
        <f t="shared" si="24"/>
        <v>8.1899999999999994E-3</v>
      </c>
      <c r="L402">
        <v>53</v>
      </c>
      <c r="M402" s="425" t="s">
        <v>2380</v>
      </c>
      <c r="N402" s="370">
        <v>2020</v>
      </c>
      <c r="O402" s="425" t="s">
        <v>2599</v>
      </c>
      <c r="P402" s="854" t="s">
        <v>47</v>
      </c>
      <c r="Q402" s="425" t="s">
        <v>2036</v>
      </c>
      <c r="R402" s="851">
        <v>0</v>
      </c>
      <c r="S402" s="851">
        <v>0</v>
      </c>
      <c r="T402" s="851">
        <v>0</v>
      </c>
      <c r="U402" s="851">
        <v>0</v>
      </c>
      <c r="V402" s="851">
        <v>0</v>
      </c>
      <c r="W402" s="851">
        <v>0</v>
      </c>
      <c r="X402" s="851">
        <v>0</v>
      </c>
      <c r="Y402" s="851">
        <v>0</v>
      </c>
      <c r="Z402" s="851">
        <v>0</v>
      </c>
      <c r="AA402" s="851">
        <v>0</v>
      </c>
      <c r="AB402" s="851">
        <v>0</v>
      </c>
      <c r="AC402" s="851">
        <v>0</v>
      </c>
      <c r="AD402" s="851">
        <v>2.5</v>
      </c>
      <c r="AE402" s="851">
        <v>0</v>
      </c>
      <c r="AF402" s="851">
        <v>0</v>
      </c>
      <c r="AG402" s="851">
        <v>0</v>
      </c>
      <c r="AH402" s="851">
        <f t="shared" si="25"/>
        <v>2.0661157024793391</v>
      </c>
      <c r="AI402" s="851">
        <v>0</v>
      </c>
      <c r="AJ402" s="851"/>
      <c r="AK402" s="851"/>
      <c r="AL402" s="851"/>
      <c r="AM402" s="851"/>
      <c r="AN402" s="851"/>
      <c r="AO402" s="851"/>
      <c r="AP402" s="851"/>
    </row>
    <row r="403" spans="1:42" ht="14">
      <c r="A403" s="856">
        <v>402</v>
      </c>
      <c r="B403" s="425" t="s">
        <v>2928</v>
      </c>
      <c r="C403" s="425" t="s">
        <v>41</v>
      </c>
      <c r="D403" s="425" t="s">
        <v>2595</v>
      </c>
      <c r="E403" s="425" t="s">
        <v>754</v>
      </c>
      <c r="F403" s="425" t="s">
        <v>725</v>
      </c>
      <c r="G403">
        <v>1</v>
      </c>
      <c r="H403" s="852">
        <v>0.21</v>
      </c>
      <c r="I403" s="852">
        <v>0.3</v>
      </c>
      <c r="J403" s="852">
        <f t="shared" si="23"/>
        <v>6.3E-2</v>
      </c>
      <c r="K403" s="852">
        <f t="shared" si="24"/>
        <v>8.1899999999999994E-3</v>
      </c>
      <c r="L403">
        <v>53</v>
      </c>
      <c r="M403" s="425" t="s">
        <v>2380</v>
      </c>
      <c r="N403" s="370">
        <v>2020</v>
      </c>
      <c r="O403" s="425" t="s">
        <v>2599</v>
      </c>
      <c r="P403" s="854" t="s">
        <v>47</v>
      </c>
      <c r="Q403" s="425" t="s">
        <v>2036</v>
      </c>
      <c r="R403" s="851">
        <v>0</v>
      </c>
      <c r="S403" s="851">
        <v>0</v>
      </c>
      <c r="T403" s="851">
        <v>0</v>
      </c>
      <c r="U403" s="851">
        <v>0</v>
      </c>
      <c r="V403" s="851">
        <v>0</v>
      </c>
      <c r="W403" s="851">
        <v>0</v>
      </c>
      <c r="X403" s="851">
        <v>0</v>
      </c>
      <c r="Y403" s="851">
        <v>0</v>
      </c>
      <c r="Z403" s="851">
        <v>0</v>
      </c>
      <c r="AA403" s="851">
        <v>0</v>
      </c>
      <c r="AB403" s="851">
        <v>0</v>
      </c>
      <c r="AC403" s="851">
        <v>0</v>
      </c>
      <c r="AD403" s="851">
        <v>2.5</v>
      </c>
      <c r="AE403" s="851">
        <v>0</v>
      </c>
      <c r="AF403" s="851">
        <v>0</v>
      </c>
      <c r="AG403" s="851">
        <v>0</v>
      </c>
      <c r="AH403" s="851">
        <f t="shared" si="25"/>
        <v>2.0661157024793391</v>
      </c>
      <c r="AI403" s="851">
        <v>0</v>
      </c>
      <c r="AJ403" s="851"/>
      <c r="AK403" s="851"/>
      <c r="AL403" s="851"/>
      <c r="AM403" s="851"/>
      <c r="AN403" s="851"/>
      <c r="AO403" s="851"/>
      <c r="AP403" s="851"/>
    </row>
    <row r="404" spans="1:42" ht="14">
      <c r="A404" s="856">
        <v>403</v>
      </c>
      <c r="B404" s="425" t="s">
        <v>2929</v>
      </c>
      <c r="C404" s="425" t="s">
        <v>41</v>
      </c>
      <c r="D404" s="425" t="s">
        <v>2595</v>
      </c>
      <c r="E404" s="425" t="s">
        <v>754</v>
      </c>
      <c r="F404" s="425" t="s">
        <v>519</v>
      </c>
      <c r="G404">
        <v>1</v>
      </c>
      <c r="H404" s="852">
        <v>0.21</v>
      </c>
      <c r="I404" s="852">
        <v>0.3</v>
      </c>
      <c r="J404" s="852">
        <f t="shared" si="23"/>
        <v>6.3E-2</v>
      </c>
      <c r="K404" s="852">
        <f t="shared" si="24"/>
        <v>8.1899999999999994E-3</v>
      </c>
      <c r="L404">
        <v>53</v>
      </c>
      <c r="M404" s="425" t="s">
        <v>2380</v>
      </c>
      <c r="N404" s="370">
        <v>2020</v>
      </c>
      <c r="O404" s="425" t="s">
        <v>2599</v>
      </c>
      <c r="P404" s="854" t="s">
        <v>47</v>
      </c>
      <c r="Q404" s="425" t="s">
        <v>2036</v>
      </c>
      <c r="R404" s="851">
        <v>0</v>
      </c>
      <c r="S404" s="851">
        <v>0</v>
      </c>
      <c r="T404" s="851">
        <v>0</v>
      </c>
      <c r="U404" s="851">
        <v>0</v>
      </c>
      <c r="V404" s="851">
        <v>0</v>
      </c>
      <c r="W404" s="851">
        <v>0</v>
      </c>
      <c r="X404" s="851">
        <v>0</v>
      </c>
      <c r="Y404" s="851">
        <v>0</v>
      </c>
      <c r="Z404" s="851">
        <v>0</v>
      </c>
      <c r="AA404" s="851">
        <v>0</v>
      </c>
      <c r="AB404" s="851">
        <v>0</v>
      </c>
      <c r="AC404" s="851">
        <v>0</v>
      </c>
      <c r="AD404" s="851">
        <v>2.5</v>
      </c>
      <c r="AE404" s="851">
        <v>0</v>
      </c>
      <c r="AF404" s="851">
        <v>0</v>
      </c>
      <c r="AG404" s="851">
        <v>0</v>
      </c>
      <c r="AH404" s="851">
        <f t="shared" si="25"/>
        <v>2.0661157024793391</v>
      </c>
      <c r="AI404" s="851">
        <v>0</v>
      </c>
      <c r="AJ404" s="851"/>
      <c r="AK404" s="851"/>
      <c r="AL404" s="851"/>
      <c r="AM404" s="851"/>
      <c r="AN404" s="851"/>
      <c r="AO404" s="851"/>
      <c r="AP404" s="851"/>
    </row>
    <row r="405" spans="1:42" ht="14">
      <c r="A405" s="856">
        <v>404</v>
      </c>
      <c r="B405" s="425" t="s">
        <v>2930</v>
      </c>
      <c r="C405" s="425" t="s">
        <v>41</v>
      </c>
      <c r="D405" s="425" t="s">
        <v>2595</v>
      </c>
      <c r="E405" s="425" t="s">
        <v>758</v>
      </c>
      <c r="F405" s="425" t="s">
        <v>705</v>
      </c>
      <c r="G405">
        <v>1</v>
      </c>
      <c r="H405" s="852">
        <v>0.21</v>
      </c>
      <c r="I405" s="852">
        <v>0.3</v>
      </c>
      <c r="J405" s="852">
        <f t="shared" si="23"/>
        <v>6.3E-2</v>
      </c>
      <c r="K405" s="852">
        <f t="shared" si="24"/>
        <v>8.1899999999999994E-3</v>
      </c>
      <c r="L405">
        <v>53</v>
      </c>
      <c r="M405" s="425" t="s">
        <v>2380</v>
      </c>
      <c r="N405" s="370">
        <v>2020</v>
      </c>
      <c r="O405" s="425" t="s">
        <v>2599</v>
      </c>
      <c r="P405" s="854" t="s">
        <v>47</v>
      </c>
      <c r="Q405" s="425" t="s">
        <v>2036</v>
      </c>
      <c r="R405" s="851">
        <v>0</v>
      </c>
      <c r="S405" s="851">
        <v>0</v>
      </c>
      <c r="T405" s="851">
        <v>0</v>
      </c>
      <c r="U405" s="851">
        <v>0</v>
      </c>
      <c r="V405" s="851">
        <v>0</v>
      </c>
      <c r="W405" s="851">
        <v>0</v>
      </c>
      <c r="X405" s="851">
        <v>0</v>
      </c>
      <c r="Y405" s="851">
        <v>0</v>
      </c>
      <c r="Z405" s="851">
        <v>0</v>
      </c>
      <c r="AA405" s="851">
        <v>0</v>
      </c>
      <c r="AB405" s="851">
        <v>0</v>
      </c>
      <c r="AC405" s="851">
        <v>0</v>
      </c>
      <c r="AD405" s="851">
        <v>2.5</v>
      </c>
      <c r="AE405" s="851">
        <v>0</v>
      </c>
      <c r="AF405" s="851">
        <v>0</v>
      </c>
      <c r="AG405" s="851">
        <v>0</v>
      </c>
      <c r="AH405" s="851">
        <f t="shared" si="25"/>
        <v>2.0661157024793391</v>
      </c>
      <c r="AI405" s="851">
        <v>0</v>
      </c>
      <c r="AJ405" s="851"/>
      <c r="AK405" s="851"/>
      <c r="AL405" s="851"/>
      <c r="AM405" s="851"/>
      <c r="AN405" s="851"/>
      <c r="AO405" s="851"/>
      <c r="AP405" s="851"/>
    </row>
    <row r="406" spans="1:42" ht="14">
      <c r="A406" s="856">
        <v>405</v>
      </c>
      <c r="B406" s="425" t="s">
        <v>2931</v>
      </c>
      <c r="C406" s="425" t="s">
        <v>41</v>
      </c>
      <c r="D406" s="425" t="s">
        <v>2595</v>
      </c>
      <c r="E406" s="425" t="s">
        <v>758</v>
      </c>
      <c r="F406" s="425" t="s">
        <v>590</v>
      </c>
      <c r="G406">
        <v>1</v>
      </c>
      <c r="H406" s="852">
        <v>0.21</v>
      </c>
      <c r="I406" s="852">
        <v>0.3</v>
      </c>
      <c r="J406" s="852">
        <f t="shared" si="23"/>
        <v>6.3E-2</v>
      </c>
      <c r="K406" s="852">
        <f t="shared" si="24"/>
        <v>8.1899999999999994E-3</v>
      </c>
      <c r="L406">
        <v>53</v>
      </c>
      <c r="M406" s="425" t="s">
        <v>2380</v>
      </c>
      <c r="N406" s="370">
        <v>2020</v>
      </c>
      <c r="O406" s="425" t="s">
        <v>2599</v>
      </c>
      <c r="P406" s="854" t="s">
        <v>47</v>
      </c>
      <c r="Q406" s="425" t="s">
        <v>2036</v>
      </c>
      <c r="R406" s="851">
        <v>0</v>
      </c>
      <c r="S406" s="851">
        <v>0</v>
      </c>
      <c r="T406" s="851">
        <v>0</v>
      </c>
      <c r="U406" s="851">
        <v>0</v>
      </c>
      <c r="V406" s="851">
        <v>0</v>
      </c>
      <c r="W406" s="851">
        <v>0</v>
      </c>
      <c r="X406" s="851">
        <v>0</v>
      </c>
      <c r="Y406" s="851">
        <v>0</v>
      </c>
      <c r="Z406" s="851">
        <v>0</v>
      </c>
      <c r="AA406" s="851">
        <v>0</v>
      </c>
      <c r="AB406" s="851">
        <v>0</v>
      </c>
      <c r="AC406" s="851">
        <v>0</v>
      </c>
      <c r="AD406" s="851">
        <v>2.5</v>
      </c>
      <c r="AE406" s="851">
        <v>0</v>
      </c>
      <c r="AF406" s="851">
        <v>0</v>
      </c>
      <c r="AG406" s="851">
        <v>0</v>
      </c>
      <c r="AH406" s="851">
        <f t="shared" si="25"/>
        <v>2.0661157024793391</v>
      </c>
      <c r="AI406" s="851">
        <v>0</v>
      </c>
      <c r="AJ406" s="851"/>
      <c r="AK406" s="851"/>
      <c r="AL406" s="851"/>
      <c r="AM406" s="851"/>
      <c r="AN406" s="851"/>
      <c r="AO406" s="851"/>
      <c r="AP406" s="851"/>
    </row>
    <row r="407" spans="1:42" ht="14">
      <c r="A407" s="856">
        <v>406</v>
      </c>
      <c r="B407" s="425" t="s">
        <v>2932</v>
      </c>
      <c r="C407" s="425" t="s">
        <v>41</v>
      </c>
      <c r="D407" s="425" t="s">
        <v>653</v>
      </c>
      <c r="E407" s="425" t="s">
        <v>761</v>
      </c>
      <c r="F407" s="425" t="s">
        <v>590</v>
      </c>
      <c r="G407">
        <v>1</v>
      </c>
      <c r="H407" s="852">
        <v>0.2</v>
      </c>
      <c r="I407" s="852">
        <v>0.53</v>
      </c>
      <c r="J407" s="852">
        <f t="shared" si="23"/>
        <v>0.10600000000000001</v>
      </c>
      <c r="K407" s="852">
        <f t="shared" si="24"/>
        <v>1.3780000000000001E-2</v>
      </c>
      <c r="L407">
        <v>0</v>
      </c>
      <c r="M407" s="425" t="s">
        <v>47</v>
      </c>
      <c r="N407" s="370">
        <v>2050</v>
      </c>
      <c r="O407" s="425" t="s">
        <v>2599</v>
      </c>
      <c r="P407" s="854" t="s">
        <v>47</v>
      </c>
      <c r="Q407" s="425" t="s">
        <v>2036</v>
      </c>
      <c r="R407" s="851">
        <v>0</v>
      </c>
      <c r="S407" s="851">
        <v>0</v>
      </c>
      <c r="T407" s="851">
        <v>0</v>
      </c>
      <c r="U407" s="851">
        <v>0</v>
      </c>
      <c r="V407" s="851">
        <v>0</v>
      </c>
      <c r="W407" s="851">
        <v>0</v>
      </c>
      <c r="X407" s="851">
        <v>0</v>
      </c>
      <c r="Y407" s="851">
        <v>0</v>
      </c>
      <c r="Z407" s="851">
        <v>0</v>
      </c>
      <c r="AA407" s="851">
        <v>0</v>
      </c>
      <c r="AB407" s="851">
        <v>0</v>
      </c>
      <c r="AC407" s="851">
        <v>0</v>
      </c>
      <c r="AD407" s="851">
        <v>2.5</v>
      </c>
      <c r="AE407" s="851">
        <v>0</v>
      </c>
      <c r="AF407" s="851">
        <v>0</v>
      </c>
      <c r="AG407" s="851">
        <v>0</v>
      </c>
      <c r="AH407" s="851">
        <f t="shared" si="25"/>
        <v>2.0661157024793391</v>
      </c>
      <c r="AI407" s="851">
        <v>0</v>
      </c>
      <c r="AJ407" s="851"/>
      <c r="AK407" s="851"/>
      <c r="AL407" s="851"/>
      <c r="AM407" s="851"/>
      <c r="AN407" s="851"/>
      <c r="AO407" s="851"/>
      <c r="AP407" s="851"/>
    </row>
    <row r="408" spans="1:42" ht="14">
      <c r="A408" s="856">
        <v>407</v>
      </c>
      <c r="B408" s="425" t="s">
        <v>2933</v>
      </c>
      <c r="C408" s="425" t="s">
        <v>41</v>
      </c>
      <c r="D408" s="425" t="s">
        <v>653</v>
      </c>
      <c r="E408" s="425" t="s">
        <v>761</v>
      </c>
      <c r="F408" s="425" t="s">
        <v>723</v>
      </c>
      <c r="G408">
        <v>1</v>
      </c>
      <c r="H408" s="852">
        <v>0.2</v>
      </c>
      <c r="I408" s="852">
        <v>0.53</v>
      </c>
      <c r="J408" s="852">
        <f t="shared" si="23"/>
        <v>0.10600000000000001</v>
      </c>
      <c r="K408" s="852">
        <f t="shared" si="24"/>
        <v>1.3780000000000001E-2</v>
      </c>
      <c r="L408">
        <v>0</v>
      </c>
      <c r="M408" s="425" t="s">
        <v>47</v>
      </c>
      <c r="N408" s="370">
        <v>2050</v>
      </c>
      <c r="O408" s="425" t="s">
        <v>2599</v>
      </c>
      <c r="P408" s="854" t="s">
        <v>47</v>
      </c>
      <c r="Q408" s="425" t="s">
        <v>2036</v>
      </c>
      <c r="R408" s="851">
        <v>0</v>
      </c>
      <c r="S408" s="851">
        <v>0</v>
      </c>
      <c r="T408" s="851">
        <v>0</v>
      </c>
      <c r="U408" s="851">
        <v>0</v>
      </c>
      <c r="V408" s="851">
        <v>0</v>
      </c>
      <c r="W408" s="851">
        <v>0</v>
      </c>
      <c r="X408" s="851">
        <v>0</v>
      </c>
      <c r="Y408" s="851">
        <v>0</v>
      </c>
      <c r="Z408" s="851">
        <v>0</v>
      </c>
      <c r="AA408" s="851">
        <v>0</v>
      </c>
      <c r="AB408" s="851">
        <v>0</v>
      </c>
      <c r="AC408" s="851">
        <v>0</v>
      </c>
      <c r="AD408" s="851">
        <v>2.5</v>
      </c>
      <c r="AE408" s="851">
        <v>0</v>
      </c>
      <c r="AF408" s="851">
        <v>0</v>
      </c>
      <c r="AG408" s="851">
        <v>0</v>
      </c>
      <c r="AH408" s="851">
        <f t="shared" si="25"/>
        <v>2.0661157024793391</v>
      </c>
      <c r="AI408" s="851">
        <v>0</v>
      </c>
      <c r="AJ408" s="851"/>
      <c r="AK408" s="851"/>
      <c r="AL408" s="851"/>
      <c r="AM408" s="851"/>
      <c r="AN408" s="851"/>
      <c r="AO408" s="851"/>
      <c r="AP408" s="851"/>
    </row>
    <row r="409" spans="1:42" ht="14">
      <c r="A409" s="856">
        <v>408</v>
      </c>
      <c r="B409" s="425" t="s">
        <v>2934</v>
      </c>
      <c r="C409" s="425" t="s">
        <v>41</v>
      </c>
      <c r="D409" s="425" t="s">
        <v>653</v>
      </c>
      <c r="E409" s="425" t="s">
        <v>761</v>
      </c>
      <c r="F409" s="425" t="s">
        <v>521</v>
      </c>
      <c r="G409">
        <v>1</v>
      </c>
      <c r="H409" s="852">
        <v>0.2</v>
      </c>
      <c r="I409" s="852">
        <v>0.53</v>
      </c>
      <c r="J409" s="852">
        <f t="shared" si="23"/>
        <v>0.10600000000000001</v>
      </c>
      <c r="K409" s="852">
        <f t="shared" si="24"/>
        <v>1.3780000000000001E-2</v>
      </c>
      <c r="L409">
        <v>0</v>
      </c>
      <c r="M409" s="425" t="s">
        <v>47</v>
      </c>
      <c r="N409" s="370">
        <v>2050</v>
      </c>
      <c r="O409" s="425" t="s">
        <v>2599</v>
      </c>
      <c r="P409" s="854" t="s">
        <v>47</v>
      </c>
      <c r="Q409" s="425" t="s">
        <v>2036</v>
      </c>
      <c r="R409" s="851">
        <v>0</v>
      </c>
      <c r="S409" s="851">
        <v>0</v>
      </c>
      <c r="T409" s="851">
        <v>0</v>
      </c>
      <c r="U409" s="851">
        <v>0</v>
      </c>
      <c r="V409" s="851">
        <v>0</v>
      </c>
      <c r="W409" s="851">
        <v>0</v>
      </c>
      <c r="X409" s="851">
        <v>0</v>
      </c>
      <c r="Y409" s="851">
        <v>0</v>
      </c>
      <c r="Z409" s="851">
        <v>0</v>
      </c>
      <c r="AA409" s="851">
        <v>0</v>
      </c>
      <c r="AB409" s="851">
        <v>0</v>
      </c>
      <c r="AC409" s="851">
        <v>0</v>
      </c>
      <c r="AD409" s="851">
        <v>2.5</v>
      </c>
      <c r="AE409" s="851">
        <v>0</v>
      </c>
      <c r="AF409" s="851">
        <v>0</v>
      </c>
      <c r="AG409" s="851">
        <v>0</v>
      </c>
      <c r="AH409" s="851">
        <f t="shared" si="25"/>
        <v>2.0661157024793391</v>
      </c>
      <c r="AI409" s="851">
        <v>0</v>
      </c>
      <c r="AJ409" s="851"/>
      <c r="AK409" s="851"/>
      <c r="AL409" s="851"/>
      <c r="AM409" s="851"/>
      <c r="AN409" s="851"/>
      <c r="AO409" s="851"/>
      <c r="AP409" s="851"/>
    </row>
    <row r="410" spans="1:42" ht="14">
      <c r="A410" s="856">
        <v>409</v>
      </c>
      <c r="B410" s="425" t="s">
        <v>2935</v>
      </c>
      <c r="C410" s="425" t="s">
        <v>41</v>
      </c>
      <c r="D410" s="425" t="s">
        <v>653</v>
      </c>
      <c r="E410" s="425" t="s">
        <v>761</v>
      </c>
      <c r="F410" s="425" t="s">
        <v>698</v>
      </c>
      <c r="G410">
        <v>1</v>
      </c>
      <c r="H410" s="852">
        <v>0.2</v>
      </c>
      <c r="I410" s="852">
        <v>0.53</v>
      </c>
      <c r="J410" s="852">
        <f t="shared" si="23"/>
        <v>0.10600000000000001</v>
      </c>
      <c r="K410" s="852">
        <f t="shared" si="24"/>
        <v>1.3780000000000001E-2</v>
      </c>
      <c r="L410">
        <v>0</v>
      </c>
      <c r="M410" s="425" t="s">
        <v>47</v>
      </c>
      <c r="N410" s="370">
        <v>2050</v>
      </c>
      <c r="O410" s="425" t="s">
        <v>2599</v>
      </c>
      <c r="P410" s="854" t="s">
        <v>47</v>
      </c>
      <c r="Q410" s="425" t="s">
        <v>2036</v>
      </c>
      <c r="R410" s="851">
        <v>0</v>
      </c>
      <c r="S410" s="851">
        <v>0</v>
      </c>
      <c r="T410" s="851">
        <v>0</v>
      </c>
      <c r="U410" s="851">
        <v>0</v>
      </c>
      <c r="V410" s="851">
        <v>0</v>
      </c>
      <c r="W410" s="851">
        <v>0</v>
      </c>
      <c r="X410" s="851">
        <v>0</v>
      </c>
      <c r="Y410" s="851">
        <v>0</v>
      </c>
      <c r="Z410" s="851">
        <v>0</v>
      </c>
      <c r="AA410" s="851">
        <v>0</v>
      </c>
      <c r="AB410" s="851">
        <v>0</v>
      </c>
      <c r="AC410" s="851">
        <v>0</v>
      </c>
      <c r="AD410" s="851">
        <v>2.5</v>
      </c>
      <c r="AE410" s="851">
        <v>0</v>
      </c>
      <c r="AF410" s="851">
        <v>0</v>
      </c>
      <c r="AG410" s="851">
        <v>0</v>
      </c>
      <c r="AH410" s="851">
        <f t="shared" si="25"/>
        <v>2.0661157024793391</v>
      </c>
      <c r="AI410" s="851">
        <v>0</v>
      </c>
      <c r="AJ410" s="851"/>
      <c r="AK410" s="851"/>
      <c r="AL410" s="851"/>
      <c r="AM410" s="851"/>
      <c r="AN410" s="851"/>
      <c r="AO410" s="851"/>
      <c r="AP410" s="851"/>
    </row>
    <row r="411" spans="1:42" ht="14">
      <c r="A411" s="856">
        <v>410</v>
      </c>
      <c r="B411" s="425" t="s">
        <v>2936</v>
      </c>
      <c r="C411" s="425" t="s">
        <v>41</v>
      </c>
      <c r="D411" s="425" t="s">
        <v>653</v>
      </c>
      <c r="E411" s="425" t="s">
        <v>761</v>
      </c>
      <c r="F411" s="425" t="s">
        <v>518</v>
      </c>
      <c r="G411">
        <v>1</v>
      </c>
      <c r="H411" s="852">
        <v>0.2</v>
      </c>
      <c r="I411" s="852">
        <v>0.53</v>
      </c>
      <c r="J411" s="852">
        <f t="shared" si="23"/>
        <v>0.10600000000000001</v>
      </c>
      <c r="K411" s="852">
        <f t="shared" si="24"/>
        <v>1.3780000000000001E-2</v>
      </c>
      <c r="L411">
        <v>0</v>
      </c>
      <c r="M411" s="425" t="s">
        <v>47</v>
      </c>
      <c r="N411" s="370">
        <v>2050</v>
      </c>
      <c r="O411" s="425" t="s">
        <v>2599</v>
      </c>
      <c r="P411" s="854" t="s">
        <v>47</v>
      </c>
      <c r="Q411" s="425" t="s">
        <v>2036</v>
      </c>
      <c r="R411" s="851">
        <v>0</v>
      </c>
      <c r="S411" s="851">
        <v>0</v>
      </c>
      <c r="T411" s="851">
        <v>0</v>
      </c>
      <c r="U411" s="851">
        <v>0</v>
      </c>
      <c r="V411" s="851">
        <v>0</v>
      </c>
      <c r="W411" s="851">
        <v>0</v>
      </c>
      <c r="X411" s="851">
        <v>0</v>
      </c>
      <c r="Y411" s="851">
        <v>0</v>
      </c>
      <c r="Z411" s="851">
        <v>0</v>
      </c>
      <c r="AA411" s="851">
        <v>0</v>
      </c>
      <c r="AB411" s="851">
        <v>0</v>
      </c>
      <c r="AC411" s="851">
        <v>0</v>
      </c>
      <c r="AD411" s="851">
        <v>2.5</v>
      </c>
      <c r="AE411" s="851">
        <v>0</v>
      </c>
      <c r="AF411" s="851">
        <v>0</v>
      </c>
      <c r="AG411" s="851">
        <v>0</v>
      </c>
      <c r="AH411" s="851">
        <f t="shared" si="25"/>
        <v>2.0661157024793391</v>
      </c>
      <c r="AI411" s="851">
        <v>0</v>
      </c>
      <c r="AJ411" s="851"/>
      <c r="AK411" s="851"/>
      <c r="AL411" s="851"/>
      <c r="AM411" s="851"/>
      <c r="AN411" s="851"/>
      <c r="AO411" s="851"/>
      <c r="AP411" s="851"/>
    </row>
    <row r="412" spans="1:42" ht="14">
      <c r="A412" s="856">
        <v>411</v>
      </c>
      <c r="B412" s="425" t="s">
        <v>2937</v>
      </c>
      <c r="C412" s="425" t="s">
        <v>41</v>
      </c>
      <c r="D412" s="425" t="s">
        <v>653</v>
      </c>
      <c r="E412" s="425" t="s">
        <v>761</v>
      </c>
      <c r="F412" s="425" t="s">
        <v>512</v>
      </c>
      <c r="G412">
        <v>1</v>
      </c>
      <c r="H412" s="852">
        <v>0.2</v>
      </c>
      <c r="I412" s="852">
        <v>0.53</v>
      </c>
      <c r="J412" s="852">
        <f t="shared" si="23"/>
        <v>0.10600000000000001</v>
      </c>
      <c r="K412" s="852">
        <f t="shared" si="24"/>
        <v>1.3780000000000001E-2</v>
      </c>
      <c r="L412">
        <v>0</v>
      </c>
      <c r="M412" s="425" t="s">
        <v>47</v>
      </c>
      <c r="N412" s="370">
        <v>2050</v>
      </c>
      <c r="O412" s="425" t="s">
        <v>2599</v>
      </c>
      <c r="P412" s="854" t="s">
        <v>47</v>
      </c>
      <c r="Q412" s="425" t="s">
        <v>2036</v>
      </c>
      <c r="R412" s="851">
        <v>0</v>
      </c>
      <c r="S412" s="851">
        <v>0</v>
      </c>
      <c r="T412" s="851">
        <v>0</v>
      </c>
      <c r="U412" s="851">
        <v>0</v>
      </c>
      <c r="V412" s="851">
        <v>0</v>
      </c>
      <c r="W412" s="851">
        <v>0</v>
      </c>
      <c r="X412" s="851">
        <v>0</v>
      </c>
      <c r="Y412" s="851">
        <v>0</v>
      </c>
      <c r="Z412" s="851">
        <v>0</v>
      </c>
      <c r="AA412" s="851">
        <v>0</v>
      </c>
      <c r="AB412" s="851">
        <v>0</v>
      </c>
      <c r="AC412" s="851">
        <v>0</v>
      </c>
      <c r="AD412" s="851">
        <v>2.5</v>
      </c>
      <c r="AE412" s="851">
        <v>0</v>
      </c>
      <c r="AF412" s="851">
        <v>0</v>
      </c>
      <c r="AG412" s="851">
        <v>0</v>
      </c>
      <c r="AH412" s="851">
        <f t="shared" si="25"/>
        <v>2.0661157024793391</v>
      </c>
      <c r="AI412" s="851">
        <v>0</v>
      </c>
      <c r="AJ412" s="851"/>
      <c r="AK412" s="851"/>
      <c r="AL412" s="851"/>
      <c r="AM412" s="851"/>
      <c r="AN412" s="851"/>
      <c r="AO412" s="851"/>
      <c r="AP412" s="851"/>
    </row>
    <row r="413" spans="1:42" ht="14">
      <c r="A413" s="856">
        <v>412</v>
      </c>
      <c r="B413" s="425" t="s">
        <v>2938</v>
      </c>
      <c r="C413" s="425" t="s">
        <v>41</v>
      </c>
      <c r="D413" s="425" t="s">
        <v>653</v>
      </c>
      <c r="E413" s="425" t="s">
        <v>768</v>
      </c>
      <c r="F413" s="425" t="s">
        <v>518</v>
      </c>
      <c r="G413">
        <v>1</v>
      </c>
      <c r="H413" s="852">
        <v>0.2</v>
      </c>
      <c r="I413" s="852">
        <v>0.53</v>
      </c>
      <c r="J413" s="852">
        <f t="shared" ref="J413:J425" si="26">H413*I413*G413</f>
        <v>0.10600000000000001</v>
      </c>
      <c r="K413" s="852">
        <f t="shared" ref="K413:K425" si="27">J413*130/1000</f>
        <v>1.3780000000000001E-2</v>
      </c>
      <c r="L413">
        <v>0</v>
      </c>
      <c r="M413" s="425" t="s">
        <v>47</v>
      </c>
      <c r="N413" s="370">
        <v>2050</v>
      </c>
      <c r="O413" s="425" t="s">
        <v>2599</v>
      </c>
      <c r="P413" s="854" t="s">
        <v>47</v>
      </c>
      <c r="Q413" s="425" t="s">
        <v>2036</v>
      </c>
      <c r="R413" s="851">
        <v>0</v>
      </c>
      <c r="S413" s="851">
        <v>0</v>
      </c>
      <c r="T413" s="851">
        <v>0</v>
      </c>
      <c r="U413" s="851">
        <v>0</v>
      </c>
      <c r="V413" s="851">
        <v>0</v>
      </c>
      <c r="W413" s="851">
        <v>0</v>
      </c>
      <c r="X413" s="851">
        <v>0</v>
      </c>
      <c r="Y413" s="851">
        <v>0</v>
      </c>
      <c r="Z413" s="851">
        <v>0</v>
      </c>
      <c r="AA413" s="851">
        <v>0</v>
      </c>
      <c r="AB413" s="851">
        <v>0</v>
      </c>
      <c r="AC413" s="851">
        <v>0</v>
      </c>
      <c r="AD413" s="851">
        <v>2.5</v>
      </c>
      <c r="AE413" s="851">
        <v>0</v>
      </c>
      <c r="AF413" s="851">
        <v>0</v>
      </c>
      <c r="AG413" s="851">
        <v>0</v>
      </c>
      <c r="AH413" s="851">
        <f t="shared" si="25"/>
        <v>2.0661157024793391</v>
      </c>
      <c r="AI413" s="851">
        <v>0</v>
      </c>
      <c r="AJ413" s="851"/>
      <c r="AK413" s="851"/>
      <c r="AL413" s="851"/>
      <c r="AM413" s="851"/>
      <c r="AN413" s="851"/>
      <c r="AO413" s="851"/>
      <c r="AP413" s="851"/>
    </row>
    <row r="414" spans="1:42" ht="14">
      <c r="A414" s="856">
        <v>413</v>
      </c>
      <c r="B414" s="425" t="s">
        <v>2939</v>
      </c>
      <c r="C414" s="425" t="s">
        <v>41</v>
      </c>
      <c r="D414" s="425" t="s">
        <v>653</v>
      </c>
      <c r="E414" s="425" t="s">
        <v>768</v>
      </c>
      <c r="F414" s="425" t="s">
        <v>723</v>
      </c>
      <c r="G414">
        <v>1</v>
      </c>
      <c r="H414" s="852">
        <v>0.2</v>
      </c>
      <c r="I414" s="852">
        <v>0.53</v>
      </c>
      <c r="J414" s="852">
        <f t="shared" si="26"/>
        <v>0.10600000000000001</v>
      </c>
      <c r="K414" s="852">
        <f t="shared" si="27"/>
        <v>1.3780000000000001E-2</v>
      </c>
      <c r="L414">
        <v>0</v>
      </c>
      <c r="M414" s="425" t="s">
        <v>47</v>
      </c>
      <c r="N414" s="370">
        <v>2050</v>
      </c>
      <c r="O414" s="425" t="s">
        <v>2599</v>
      </c>
      <c r="P414" s="854" t="s">
        <v>47</v>
      </c>
      <c r="Q414" s="425" t="s">
        <v>2036</v>
      </c>
      <c r="R414" s="851">
        <v>0</v>
      </c>
      <c r="S414" s="851">
        <v>0</v>
      </c>
      <c r="T414" s="851">
        <v>0</v>
      </c>
      <c r="U414" s="851">
        <v>0</v>
      </c>
      <c r="V414" s="851">
        <v>0</v>
      </c>
      <c r="W414" s="851">
        <v>0</v>
      </c>
      <c r="X414" s="851">
        <v>0</v>
      </c>
      <c r="Y414" s="851">
        <v>0</v>
      </c>
      <c r="Z414" s="851">
        <v>0</v>
      </c>
      <c r="AA414" s="851">
        <v>0</v>
      </c>
      <c r="AB414" s="851">
        <v>0</v>
      </c>
      <c r="AC414" s="851">
        <v>0</v>
      </c>
      <c r="AD414" s="851">
        <v>2.5</v>
      </c>
      <c r="AE414" s="851">
        <v>0</v>
      </c>
      <c r="AF414" s="851">
        <v>0</v>
      </c>
      <c r="AG414" s="851">
        <v>0</v>
      </c>
      <c r="AH414" s="851">
        <f t="shared" si="25"/>
        <v>2.0661157024793391</v>
      </c>
      <c r="AI414" s="851">
        <v>0</v>
      </c>
      <c r="AJ414" s="851"/>
      <c r="AK414" s="851"/>
      <c r="AL414" s="851"/>
      <c r="AM414" s="851"/>
      <c r="AN414" s="851"/>
      <c r="AO414" s="851"/>
      <c r="AP414" s="851"/>
    </row>
    <row r="415" spans="1:42" ht="14">
      <c r="A415" s="856">
        <v>414</v>
      </c>
      <c r="B415" s="425" t="s">
        <v>2940</v>
      </c>
      <c r="C415" s="425" t="s">
        <v>41</v>
      </c>
      <c r="D415" s="425" t="s">
        <v>653</v>
      </c>
      <c r="E415" s="425" t="s">
        <v>768</v>
      </c>
      <c r="F415" s="425" t="s">
        <v>590</v>
      </c>
      <c r="G415">
        <v>1</v>
      </c>
      <c r="H415" s="852">
        <v>0.2</v>
      </c>
      <c r="I415" s="852">
        <v>0.53</v>
      </c>
      <c r="J415" s="852">
        <f t="shared" si="26"/>
        <v>0.10600000000000001</v>
      </c>
      <c r="K415" s="852">
        <f t="shared" si="27"/>
        <v>1.3780000000000001E-2</v>
      </c>
      <c r="L415">
        <v>0</v>
      </c>
      <c r="M415" s="425" t="s">
        <v>47</v>
      </c>
      <c r="N415" s="370">
        <v>2050</v>
      </c>
      <c r="O415" s="425" t="s">
        <v>2599</v>
      </c>
      <c r="P415" s="854" t="s">
        <v>47</v>
      </c>
      <c r="Q415" s="425" t="s">
        <v>2036</v>
      </c>
      <c r="R415" s="851">
        <v>0</v>
      </c>
      <c r="S415" s="851">
        <v>0</v>
      </c>
      <c r="T415" s="851">
        <v>0</v>
      </c>
      <c r="U415" s="851">
        <v>0</v>
      </c>
      <c r="V415" s="851">
        <v>0</v>
      </c>
      <c r="W415" s="851">
        <v>0</v>
      </c>
      <c r="X415" s="851">
        <v>0</v>
      </c>
      <c r="Y415" s="851">
        <v>0</v>
      </c>
      <c r="Z415" s="851">
        <v>0</v>
      </c>
      <c r="AA415" s="851">
        <v>0</v>
      </c>
      <c r="AB415" s="851">
        <v>0</v>
      </c>
      <c r="AC415" s="851">
        <v>0</v>
      </c>
      <c r="AD415" s="851">
        <v>2.5</v>
      </c>
      <c r="AE415" s="851">
        <v>0</v>
      </c>
      <c r="AF415" s="851">
        <v>0</v>
      </c>
      <c r="AG415" s="851">
        <v>0</v>
      </c>
      <c r="AH415" s="851">
        <f t="shared" si="25"/>
        <v>2.0661157024793391</v>
      </c>
      <c r="AI415" s="851">
        <v>0</v>
      </c>
      <c r="AJ415" s="851"/>
      <c r="AK415" s="851"/>
      <c r="AL415" s="851"/>
      <c r="AM415" s="851"/>
      <c r="AN415" s="851"/>
      <c r="AO415" s="851"/>
      <c r="AP415" s="851"/>
    </row>
    <row r="416" spans="1:42" ht="14">
      <c r="A416" s="856">
        <v>415</v>
      </c>
      <c r="B416" s="425" t="s">
        <v>2941</v>
      </c>
      <c r="C416" s="425" t="s">
        <v>41</v>
      </c>
      <c r="D416" s="425" t="s">
        <v>653</v>
      </c>
      <c r="E416" s="425" t="s">
        <v>768</v>
      </c>
      <c r="F416" s="425" t="s">
        <v>512</v>
      </c>
      <c r="G416">
        <v>1</v>
      </c>
      <c r="H416" s="852">
        <v>0.2</v>
      </c>
      <c r="I416" s="852">
        <v>0.53</v>
      </c>
      <c r="J416" s="852">
        <f t="shared" si="26"/>
        <v>0.10600000000000001</v>
      </c>
      <c r="K416" s="852">
        <f t="shared" si="27"/>
        <v>1.3780000000000001E-2</v>
      </c>
      <c r="L416">
        <v>0</v>
      </c>
      <c r="M416" s="425" t="s">
        <v>47</v>
      </c>
      <c r="N416" s="370">
        <v>2050</v>
      </c>
      <c r="O416" s="425" t="s">
        <v>2599</v>
      </c>
      <c r="P416" s="854" t="s">
        <v>47</v>
      </c>
      <c r="Q416" s="425" t="s">
        <v>2036</v>
      </c>
      <c r="R416" s="851">
        <v>0</v>
      </c>
      <c r="S416" s="851">
        <v>0</v>
      </c>
      <c r="T416" s="851">
        <v>0</v>
      </c>
      <c r="U416" s="851">
        <v>0</v>
      </c>
      <c r="V416" s="851">
        <v>0</v>
      </c>
      <c r="W416" s="851">
        <v>0</v>
      </c>
      <c r="X416" s="851">
        <v>0</v>
      </c>
      <c r="Y416" s="851">
        <v>0</v>
      </c>
      <c r="Z416" s="851">
        <v>0</v>
      </c>
      <c r="AA416" s="851">
        <v>0</v>
      </c>
      <c r="AB416" s="851">
        <v>0</v>
      </c>
      <c r="AC416" s="851">
        <v>0</v>
      </c>
      <c r="AD416" s="851">
        <v>2.5</v>
      </c>
      <c r="AE416" s="851">
        <v>0</v>
      </c>
      <c r="AF416" s="851">
        <v>0</v>
      </c>
      <c r="AG416" s="851">
        <v>0</v>
      </c>
      <c r="AH416" s="851">
        <f t="shared" si="25"/>
        <v>2.0661157024793391</v>
      </c>
      <c r="AI416" s="851">
        <v>0</v>
      </c>
      <c r="AJ416" s="851"/>
      <c r="AK416" s="851"/>
      <c r="AL416" s="851"/>
      <c r="AM416" s="851"/>
      <c r="AN416" s="851"/>
      <c r="AO416" s="851"/>
      <c r="AP416" s="851"/>
    </row>
    <row r="417" spans="1:42" ht="14">
      <c r="A417" s="856">
        <v>416</v>
      </c>
      <c r="B417" s="425" t="s">
        <v>2942</v>
      </c>
      <c r="C417" s="425" t="s">
        <v>41</v>
      </c>
      <c r="D417" s="425" t="s">
        <v>653</v>
      </c>
      <c r="E417" s="425" t="s">
        <v>768</v>
      </c>
      <c r="F417" s="425" t="s">
        <v>521</v>
      </c>
      <c r="G417">
        <v>1</v>
      </c>
      <c r="H417" s="852">
        <v>0.2</v>
      </c>
      <c r="I417" s="852">
        <v>0.53</v>
      </c>
      <c r="J417" s="852">
        <f t="shared" si="26"/>
        <v>0.10600000000000001</v>
      </c>
      <c r="K417" s="852">
        <f t="shared" si="27"/>
        <v>1.3780000000000001E-2</v>
      </c>
      <c r="L417">
        <v>0</v>
      </c>
      <c r="M417" s="425" t="s">
        <v>47</v>
      </c>
      <c r="N417" s="370">
        <v>2050</v>
      </c>
      <c r="O417" s="425" t="s">
        <v>2599</v>
      </c>
      <c r="P417" s="854" t="s">
        <v>47</v>
      </c>
      <c r="Q417" s="425" t="s">
        <v>2036</v>
      </c>
      <c r="R417" s="851">
        <v>0</v>
      </c>
      <c r="S417" s="851">
        <v>0</v>
      </c>
      <c r="T417" s="851">
        <v>0</v>
      </c>
      <c r="U417" s="851">
        <v>0</v>
      </c>
      <c r="V417" s="851">
        <v>0</v>
      </c>
      <c r="W417" s="851">
        <v>0</v>
      </c>
      <c r="X417" s="851">
        <v>0</v>
      </c>
      <c r="Y417" s="851">
        <v>0</v>
      </c>
      <c r="Z417" s="851">
        <v>0</v>
      </c>
      <c r="AA417" s="851">
        <v>0</v>
      </c>
      <c r="AB417" s="851">
        <v>0</v>
      </c>
      <c r="AC417" s="851">
        <v>0</v>
      </c>
      <c r="AD417" s="851">
        <v>2.5</v>
      </c>
      <c r="AE417" s="851">
        <v>0</v>
      </c>
      <c r="AF417" s="851">
        <v>0</v>
      </c>
      <c r="AG417" s="851">
        <v>0</v>
      </c>
      <c r="AH417" s="851">
        <f t="shared" si="25"/>
        <v>2.0661157024793391</v>
      </c>
      <c r="AI417" s="851">
        <v>0</v>
      </c>
      <c r="AJ417" s="851"/>
      <c r="AK417" s="851"/>
      <c r="AL417" s="851"/>
      <c r="AM417" s="851"/>
      <c r="AN417" s="851"/>
      <c r="AO417" s="851"/>
      <c r="AP417" s="851"/>
    </row>
    <row r="418" spans="1:42" ht="14">
      <c r="A418" s="856">
        <v>417</v>
      </c>
      <c r="B418" s="425" t="s">
        <v>2943</v>
      </c>
      <c r="C418" s="425" t="s">
        <v>41</v>
      </c>
      <c r="D418" s="425" t="s">
        <v>653</v>
      </c>
      <c r="E418" s="425" t="s">
        <v>768</v>
      </c>
      <c r="F418" s="425" t="s">
        <v>698</v>
      </c>
      <c r="G418">
        <v>1</v>
      </c>
      <c r="H418" s="852">
        <v>0.2</v>
      </c>
      <c r="I418" s="852">
        <v>0.53</v>
      </c>
      <c r="J418" s="852">
        <f t="shared" si="26"/>
        <v>0.10600000000000001</v>
      </c>
      <c r="K418" s="852">
        <f t="shared" si="27"/>
        <v>1.3780000000000001E-2</v>
      </c>
      <c r="L418">
        <v>0</v>
      </c>
      <c r="M418" s="425" t="s">
        <v>47</v>
      </c>
      <c r="N418" s="370">
        <v>2050</v>
      </c>
      <c r="O418" s="425" t="s">
        <v>2599</v>
      </c>
      <c r="P418" s="854" t="s">
        <v>47</v>
      </c>
      <c r="Q418" s="425" t="s">
        <v>2036</v>
      </c>
      <c r="R418" s="851">
        <v>0</v>
      </c>
      <c r="S418" s="851">
        <v>0</v>
      </c>
      <c r="T418" s="851">
        <v>0</v>
      </c>
      <c r="U418" s="851">
        <v>0</v>
      </c>
      <c r="V418" s="851">
        <v>0</v>
      </c>
      <c r="W418" s="851">
        <v>0</v>
      </c>
      <c r="X418" s="851">
        <v>0</v>
      </c>
      <c r="Y418" s="851">
        <v>0</v>
      </c>
      <c r="Z418" s="851">
        <v>0</v>
      </c>
      <c r="AA418" s="851">
        <v>0</v>
      </c>
      <c r="AB418" s="851">
        <v>0</v>
      </c>
      <c r="AC418" s="851">
        <v>0</v>
      </c>
      <c r="AD418" s="851">
        <v>2.5</v>
      </c>
      <c r="AE418" s="851">
        <v>0</v>
      </c>
      <c r="AF418" s="851">
        <v>0</v>
      </c>
      <c r="AG418" s="851">
        <v>0</v>
      </c>
      <c r="AH418" s="851">
        <f t="shared" si="25"/>
        <v>2.0661157024793391</v>
      </c>
      <c r="AI418" s="851">
        <v>0</v>
      </c>
      <c r="AJ418" s="851"/>
      <c r="AK418" s="851"/>
      <c r="AL418" s="851"/>
      <c r="AM418" s="851"/>
      <c r="AN418" s="851"/>
      <c r="AO418" s="851"/>
      <c r="AP418" s="851"/>
    </row>
    <row r="419" spans="1:42" ht="14">
      <c r="A419" s="856">
        <v>418</v>
      </c>
      <c r="B419" s="425" t="s">
        <v>2944</v>
      </c>
      <c r="C419" s="425" t="s">
        <v>41</v>
      </c>
      <c r="D419" s="425" t="s">
        <v>653</v>
      </c>
      <c r="E419" s="425" t="s">
        <v>775</v>
      </c>
      <c r="F419" s="425" t="s">
        <v>723</v>
      </c>
      <c r="G419">
        <v>1</v>
      </c>
      <c r="H419" s="852">
        <v>0.2</v>
      </c>
      <c r="I419" s="852">
        <v>0.53</v>
      </c>
      <c r="J419" s="852">
        <f t="shared" si="26"/>
        <v>0.10600000000000001</v>
      </c>
      <c r="K419" s="852">
        <f t="shared" si="27"/>
        <v>1.3780000000000001E-2</v>
      </c>
      <c r="L419">
        <v>0</v>
      </c>
      <c r="M419" s="425" t="s">
        <v>47</v>
      </c>
      <c r="N419" s="370">
        <v>2050</v>
      </c>
      <c r="O419" s="425" t="s">
        <v>2599</v>
      </c>
      <c r="P419" s="854" t="s">
        <v>47</v>
      </c>
      <c r="Q419" s="425" t="s">
        <v>2036</v>
      </c>
      <c r="R419" s="851">
        <v>0</v>
      </c>
      <c r="S419" s="851">
        <v>0</v>
      </c>
      <c r="T419" s="851">
        <v>0</v>
      </c>
      <c r="U419" s="851">
        <v>0</v>
      </c>
      <c r="V419" s="851">
        <v>0</v>
      </c>
      <c r="W419" s="851">
        <v>0</v>
      </c>
      <c r="X419" s="851">
        <v>0</v>
      </c>
      <c r="Y419" s="851">
        <v>0</v>
      </c>
      <c r="Z419" s="851">
        <v>0</v>
      </c>
      <c r="AA419" s="851">
        <v>0</v>
      </c>
      <c r="AB419" s="851">
        <v>0</v>
      </c>
      <c r="AC419" s="851">
        <v>0</v>
      </c>
      <c r="AD419" s="851">
        <v>2.5</v>
      </c>
      <c r="AE419" s="851">
        <v>0</v>
      </c>
      <c r="AF419" s="851">
        <v>0</v>
      </c>
      <c r="AG419" s="851">
        <v>0</v>
      </c>
      <c r="AH419" s="851">
        <f t="shared" si="25"/>
        <v>2.0661157024793391</v>
      </c>
      <c r="AI419" s="851">
        <v>0</v>
      </c>
      <c r="AJ419" s="851"/>
      <c r="AK419" s="851"/>
      <c r="AL419" s="851"/>
      <c r="AM419" s="851"/>
      <c r="AN419" s="851"/>
      <c r="AO419" s="851"/>
      <c r="AP419" s="851"/>
    </row>
    <row r="420" spans="1:42" ht="14">
      <c r="A420" s="856">
        <v>419</v>
      </c>
      <c r="B420" s="425" t="s">
        <v>2945</v>
      </c>
      <c r="C420" s="425" t="s">
        <v>41</v>
      </c>
      <c r="D420" s="425" t="s">
        <v>653</v>
      </c>
      <c r="E420" s="425" t="s">
        <v>775</v>
      </c>
      <c r="F420" s="425" t="s">
        <v>521</v>
      </c>
      <c r="G420">
        <v>1</v>
      </c>
      <c r="H420" s="852">
        <v>0.2</v>
      </c>
      <c r="I420" s="852">
        <v>0.53</v>
      </c>
      <c r="J420" s="852">
        <f t="shared" si="26"/>
        <v>0.10600000000000001</v>
      </c>
      <c r="K420" s="852">
        <f t="shared" si="27"/>
        <v>1.3780000000000001E-2</v>
      </c>
      <c r="L420">
        <v>0</v>
      </c>
      <c r="M420" s="425" t="s">
        <v>47</v>
      </c>
      <c r="N420" s="370">
        <v>2050</v>
      </c>
      <c r="O420" s="425" t="s">
        <v>2599</v>
      </c>
      <c r="P420" s="854" t="s">
        <v>47</v>
      </c>
      <c r="Q420" s="425" t="s">
        <v>2036</v>
      </c>
      <c r="R420" s="851">
        <v>0</v>
      </c>
      <c r="S420" s="851">
        <v>0</v>
      </c>
      <c r="T420" s="851">
        <v>0</v>
      </c>
      <c r="U420" s="851">
        <v>0</v>
      </c>
      <c r="V420" s="851">
        <v>0</v>
      </c>
      <c r="W420" s="851">
        <v>0</v>
      </c>
      <c r="X420" s="851">
        <v>0</v>
      </c>
      <c r="Y420" s="851">
        <v>0</v>
      </c>
      <c r="Z420" s="851">
        <v>0</v>
      </c>
      <c r="AA420" s="851">
        <v>0</v>
      </c>
      <c r="AB420" s="851">
        <v>0</v>
      </c>
      <c r="AC420" s="851">
        <v>0</v>
      </c>
      <c r="AD420" s="851">
        <v>2.5</v>
      </c>
      <c r="AE420" s="851">
        <v>0</v>
      </c>
      <c r="AF420" s="851">
        <v>0</v>
      </c>
      <c r="AG420" s="851">
        <v>0</v>
      </c>
      <c r="AH420" s="851">
        <f t="shared" si="25"/>
        <v>2.0661157024793391</v>
      </c>
      <c r="AI420" s="851">
        <v>0</v>
      </c>
      <c r="AJ420" s="851"/>
      <c r="AK420" s="851"/>
      <c r="AL420" s="851"/>
      <c r="AM420" s="851"/>
      <c r="AN420" s="851"/>
      <c r="AO420" s="851"/>
      <c r="AP420" s="851"/>
    </row>
    <row r="421" spans="1:42" ht="14">
      <c r="A421" s="856">
        <v>420</v>
      </c>
      <c r="B421" s="425" t="s">
        <v>2946</v>
      </c>
      <c r="C421" s="425" t="s">
        <v>41</v>
      </c>
      <c r="D421" s="425" t="s">
        <v>653</v>
      </c>
      <c r="E421" s="425" t="s">
        <v>775</v>
      </c>
      <c r="F421" s="425" t="s">
        <v>698</v>
      </c>
      <c r="G421">
        <v>1</v>
      </c>
      <c r="H421" s="852">
        <v>0.2</v>
      </c>
      <c r="I421" s="852">
        <v>0.53</v>
      </c>
      <c r="J421" s="852">
        <f t="shared" si="26"/>
        <v>0.10600000000000001</v>
      </c>
      <c r="K421" s="852">
        <f t="shared" si="27"/>
        <v>1.3780000000000001E-2</v>
      </c>
      <c r="L421">
        <v>0</v>
      </c>
      <c r="M421" s="425" t="s">
        <v>47</v>
      </c>
      <c r="N421" s="370">
        <v>2050</v>
      </c>
      <c r="O421" s="425" t="s">
        <v>2599</v>
      </c>
      <c r="P421" s="854" t="s">
        <v>47</v>
      </c>
      <c r="Q421" s="425" t="s">
        <v>2036</v>
      </c>
      <c r="R421" s="851">
        <v>0</v>
      </c>
      <c r="S421" s="851">
        <v>0</v>
      </c>
      <c r="T421" s="851">
        <v>0</v>
      </c>
      <c r="U421" s="851">
        <v>0</v>
      </c>
      <c r="V421" s="851">
        <v>0</v>
      </c>
      <c r="W421" s="851">
        <v>0</v>
      </c>
      <c r="X421" s="851">
        <v>0</v>
      </c>
      <c r="Y421" s="851">
        <v>0</v>
      </c>
      <c r="Z421" s="851">
        <v>0</v>
      </c>
      <c r="AA421" s="851">
        <v>0</v>
      </c>
      <c r="AB421" s="851">
        <v>0</v>
      </c>
      <c r="AC421" s="851">
        <v>0</v>
      </c>
      <c r="AD421" s="851">
        <v>2.5</v>
      </c>
      <c r="AE421" s="851">
        <v>0</v>
      </c>
      <c r="AF421" s="851">
        <v>0</v>
      </c>
      <c r="AG421" s="851">
        <v>0</v>
      </c>
      <c r="AH421" s="851">
        <f t="shared" si="25"/>
        <v>2.0661157024793391</v>
      </c>
      <c r="AI421" s="851">
        <v>0</v>
      </c>
      <c r="AJ421" s="851"/>
      <c r="AK421" s="851"/>
      <c r="AL421" s="851"/>
      <c r="AM421" s="851"/>
      <c r="AN421" s="851"/>
      <c r="AO421" s="851"/>
      <c r="AP421" s="851"/>
    </row>
    <row r="422" spans="1:42" ht="14">
      <c r="A422" s="856">
        <v>421</v>
      </c>
      <c r="B422" s="425" t="s">
        <v>2947</v>
      </c>
      <c r="C422" s="425" t="s">
        <v>41</v>
      </c>
      <c r="D422" s="425" t="s">
        <v>653</v>
      </c>
      <c r="E422" s="425" t="s">
        <v>775</v>
      </c>
      <c r="F422" s="425" t="s">
        <v>590</v>
      </c>
      <c r="G422">
        <v>1</v>
      </c>
      <c r="H422" s="852">
        <v>0.2</v>
      </c>
      <c r="I422" s="852">
        <v>0.53</v>
      </c>
      <c r="J422" s="852">
        <f t="shared" si="26"/>
        <v>0.10600000000000001</v>
      </c>
      <c r="K422" s="852">
        <f t="shared" si="27"/>
        <v>1.3780000000000001E-2</v>
      </c>
      <c r="L422">
        <v>0</v>
      </c>
      <c r="M422" s="425" t="s">
        <v>47</v>
      </c>
      <c r="N422" s="370">
        <v>2050</v>
      </c>
      <c r="O422" s="425" t="s">
        <v>2599</v>
      </c>
      <c r="P422" s="854" t="s">
        <v>47</v>
      </c>
      <c r="Q422" s="425" t="s">
        <v>2036</v>
      </c>
      <c r="R422" s="851">
        <v>0</v>
      </c>
      <c r="S422" s="851">
        <v>0</v>
      </c>
      <c r="T422" s="851">
        <v>0</v>
      </c>
      <c r="U422" s="851">
        <v>0</v>
      </c>
      <c r="V422" s="851">
        <v>0</v>
      </c>
      <c r="W422" s="851">
        <v>0</v>
      </c>
      <c r="X422" s="851">
        <v>0</v>
      </c>
      <c r="Y422" s="851">
        <v>0</v>
      </c>
      <c r="Z422" s="851">
        <v>0</v>
      </c>
      <c r="AA422" s="851">
        <v>0</v>
      </c>
      <c r="AB422" s="851">
        <v>0</v>
      </c>
      <c r="AC422" s="851">
        <v>0</v>
      </c>
      <c r="AD422" s="851">
        <v>2.5</v>
      </c>
      <c r="AE422" s="851">
        <v>0</v>
      </c>
      <c r="AF422" s="851">
        <v>0</v>
      </c>
      <c r="AG422" s="851">
        <v>0</v>
      </c>
      <c r="AH422" s="851">
        <f t="shared" si="25"/>
        <v>2.0661157024793391</v>
      </c>
      <c r="AI422" s="851">
        <v>0</v>
      </c>
      <c r="AJ422" s="851"/>
      <c r="AK422" s="851"/>
      <c r="AL422" s="851"/>
      <c r="AM422" s="851"/>
      <c r="AN422" s="851"/>
      <c r="AO422" s="851"/>
      <c r="AP422" s="851"/>
    </row>
    <row r="423" spans="1:42" ht="14">
      <c r="A423" s="856">
        <v>422</v>
      </c>
      <c r="B423" s="425" t="s">
        <v>2948</v>
      </c>
      <c r="C423" s="425" t="s">
        <v>41</v>
      </c>
      <c r="D423" s="425" t="s">
        <v>653</v>
      </c>
      <c r="E423" s="425" t="s">
        <v>775</v>
      </c>
      <c r="F423" s="425" t="s">
        <v>512</v>
      </c>
      <c r="G423">
        <v>1</v>
      </c>
      <c r="H423" s="852">
        <v>0.2</v>
      </c>
      <c r="I423" s="852">
        <v>0.53</v>
      </c>
      <c r="J423" s="852">
        <f t="shared" si="26"/>
        <v>0.10600000000000001</v>
      </c>
      <c r="K423" s="852">
        <f t="shared" si="27"/>
        <v>1.3780000000000001E-2</v>
      </c>
      <c r="L423">
        <v>0</v>
      </c>
      <c r="M423" s="425" t="s">
        <v>47</v>
      </c>
      <c r="N423" s="370">
        <v>2050</v>
      </c>
      <c r="O423" s="425" t="s">
        <v>2599</v>
      </c>
      <c r="P423" s="854" t="s">
        <v>47</v>
      </c>
      <c r="Q423" s="425" t="s">
        <v>2036</v>
      </c>
      <c r="R423" s="851">
        <v>0</v>
      </c>
      <c r="S423" s="851">
        <v>0</v>
      </c>
      <c r="T423" s="851">
        <v>0</v>
      </c>
      <c r="U423" s="851">
        <v>0</v>
      </c>
      <c r="V423" s="851">
        <v>0</v>
      </c>
      <c r="W423" s="851">
        <v>0</v>
      </c>
      <c r="X423" s="851">
        <v>0</v>
      </c>
      <c r="Y423" s="851">
        <v>0</v>
      </c>
      <c r="Z423" s="851">
        <v>0</v>
      </c>
      <c r="AA423" s="851">
        <v>0</v>
      </c>
      <c r="AB423" s="851">
        <v>0</v>
      </c>
      <c r="AC423" s="851">
        <v>0</v>
      </c>
      <c r="AD423" s="851">
        <v>2.5</v>
      </c>
      <c r="AE423" s="851">
        <v>0</v>
      </c>
      <c r="AF423" s="851">
        <v>0</v>
      </c>
      <c r="AG423" s="851">
        <v>0</v>
      </c>
      <c r="AH423" s="851">
        <f t="shared" si="25"/>
        <v>2.0661157024793391</v>
      </c>
      <c r="AI423" s="851">
        <v>0</v>
      </c>
      <c r="AJ423" s="851"/>
      <c r="AK423" s="851"/>
      <c r="AL423" s="851"/>
      <c r="AM423" s="851"/>
      <c r="AN423" s="851"/>
      <c r="AO423" s="851"/>
      <c r="AP423" s="851"/>
    </row>
    <row r="424" spans="1:42" ht="14">
      <c r="A424" s="856">
        <v>423</v>
      </c>
      <c r="B424" s="425" t="s">
        <v>2949</v>
      </c>
      <c r="C424" s="425" t="s">
        <v>41</v>
      </c>
      <c r="D424" s="425" t="s">
        <v>653</v>
      </c>
      <c r="E424" s="425" t="s">
        <v>775</v>
      </c>
      <c r="F424" s="425" t="s">
        <v>518</v>
      </c>
      <c r="G424">
        <v>1</v>
      </c>
      <c r="H424" s="852">
        <v>0.2</v>
      </c>
      <c r="I424" s="852">
        <v>0.53</v>
      </c>
      <c r="J424" s="852">
        <f t="shared" si="26"/>
        <v>0.10600000000000001</v>
      </c>
      <c r="K424" s="852">
        <f t="shared" si="27"/>
        <v>1.3780000000000001E-2</v>
      </c>
      <c r="L424">
        <v>0</v>
      </c>
      <c r="M424" s="425" t="s">
        <v>47</v>
      </c>
      <c r="N424" s="370">
        <v>2050</v>
      </c>
      <c r="O424" s="425" t="s">
        <v>2599</v>
      </c>
      <c r="P424" s="854" t="s">
        <v>47</v>
      </c>
      <c r="Q424" s="425" t="s">
        <v>2036</v>
      </c>
      <c r="R424" s="851">
        <v>0</v>
      </c>
      <c r="S424" s="851">
        <v>0</v>
      </c>
      <c r="T424" s="851">
        <v>0</v>
      </c>
      <c r="U424" s="851">
        <v>0</v>
      </c>
      <c r="V424" s="851">
        <v>0</v>
      </c>
      <c r="W424" s="851">
        <v>0</v>
      </c>
      <c r="X424" s="851">
        <v>0</v>
      </c>
      <c r="Y424" s="851">
        <v>0</v>
      </c>
      <c r="Z424" s="851">
        <v>0</v>
      </c>
      <c r="AA424" s="851">
        <v>0</v>
      </c>
      <c r="AB424" s="851">
        <v>0</v>
      </c>
      <c r="AC424" s="851">
        <v>0</v>
      </c>
      <c r="AD424" s="851">
        <v>2.5</v>
      </c>
      <c r="AE424" s="851">
        <v>0</v>
      </c>
      <c r="AF424" s="851">
        <v>0</v>
      </c>
      <c r="AG424" s="851">
        <v>0</v>
      </c>
      <c r="AH424" s="851">
        <f t="shared" si="25"/>
        <v>2.0661157024793391</v>
      </c>
      <c r="AI424" s="851">
        <v>0</v>
      </c>
      <c r="AJ424" s="851"/>
      <c r="AK424" s="851"/>
      <c r="AL424" s="851"/>
      <c r="AM424" s="851"/>
      <c r="AN424" s="851"/>
      <c r="AO424" s="851"/>
      <c r="AP424" s="851"/>
    </row>
    <row r="425" spans="1:42" s="868" customFormat="1" ht="14">
      <c r="A425" s="866">
        <v>424</v>
      </c>
      <c r="B425" s="867" t="s">
        <v>587</v>
      </c>
      <c r="C425" s="867" t="s">
        <v>42</v>
      </c>
      <c r="D425" s="867" t="s">
        <v>2377</v>
      </c>
      <c r="E425" s="867" t="s">
        <v>2664</v>
      </c>
      <c r="F425" s="867" t="s">
        <v>659</v>
      </c>
      <c r="G425" s="868">
        <v>1</v>
      </c>
      <c r="H425" s="869">
        <v>0.53</v>
      </c>
      <c r="I425" s="869">
        <v>10.050000000000001</v>
      </c>
      <c r="J425" s="869">
        <f t="shared" si="26"/>
        <v>5.3265000000000002</v>
      </c>
      <c r="K425" s="869">
        <f t="shared" si="27"/>
        <v>0.69244500000000009</v>
      </c>
      <c r="L425" s="868">
        <v>53</v>
      </c>
      <c r="M425" s="867" t="s">
        <v>2598</v>
      </c>
      <c r="N425" s="866">
        <v>2021</v>
      </c>
      <c r="O425" s="867" t="s">
        <v>2674</v>
      </c>
      <c r="P425" s="870">
        <v>5415058039066</v>
      </c>
      <c r="Q425" s="867" t="s">
        <v>2385</v>
      </c>
      <c r="R425" s="871">
        <v>16</v>
      </c>
      <c r="S425" s="871">
        <v>0</v>
      </c>
      <c r="T425" s="871">
        <v>20</v>
      </c>
      <c r="U425" s="871">
        <v>0</v>
      </c>
      <c r="V425" s="871">
        <v>17.600000000000001</v>
      </c>
      <c r="W425" s="871">
        <v>0</v>
      </c>
      <c r="X425" s="871">
        <v>22</v>
      </c>
      <c r="Y425" s="871">
        <v>0</v>
      </c>
      <c r="Z425" s="871">
        <v>40</v>
      </c>
      <c r="AA425" s="871">
        <v>0</v>
      </c>
      <c r="AB425" s="871">
        <v>56</v>
      </c>
      <c r="AC425" s="871">
        <v>0</v>
      </c>
      <c r="AD425" s="871">
        <v>96.8</v>
      </c>
      <c r="AE425" s="871">
        <v>0</v>
      </c>
      <c r="AF425" s="871">
        <v>44</v>
      </c>
      <c r="AG425" s="871">
        <v>0</v>
      </c>
      <c r="AH425" s="871">
        <v>80</v>
      </c>
      <c r="AI425" s="871">
        <v>0</v>
      </c>
      <c r="AJ425" s="871"/>
      <c r="AK425" s="871"/>
      <c r="AL425" s="871"/>
      <c r="AM425" s="871"/>
      <c r="AN425" s="871"/>
      <c r="AO425" s="871"/>
      <c r="AP425" s="871"/>
    </row>
    <row r="426" spans="1:42" s="868" customFormat="1" ht="14">
      <c r="A426" s="866">
        <v>425</v>
      </c>
      <c r="B426" s="867" t="s">
        <v>591</v>
      </c>
      <c r="C426" s="867" t="s">
        <v>42</v>
      </c>
      <c r="D426" s="867" t="s">
        <v>2377</v>
      </c>
      <c r="E426" s="867" t="s">
        <v>2664</v>
      </c>
      <c r="F426" s="867" t="s">
        <v>604</v>
      </c>
      <c r="G426" s="868">
        <v>1</v>
      </c>
      <c r="H426" s="869">
        <v>0.53</v>
      </c>
      <c r="I426" s="869">
        <v>10.050000000000001</v>
      </c>
      <c r="J426" s="869">
        <f t="shared" ref="J426:J464" si="28">H426*I426*G426</f>
        <v>5.3265000000000002</v>
      </c>
      <c r="K426" s="869">
        <f t="shared" ref="K426:K464" si="29">J426*130/1000</f>
        <v>0.69244500000000009</v>
      </c>
      <c r="L426" s="868">
        <v>53</v>
      </c>
      <c r="M426" s="867" t="s">
        <v>2598</v>
      </c>
      <c r="N426" s="866">
        <v>2021</v>
      </c>
      <c r="O426" s="867" t="s">
        <v>2674</v>
      </c>
      <c r="P426" s="870">
        <v>5415058039073</v>
      </c>
      <c r="Q426" s="867" t="s">
        <v>2385</v>
      </c>
      <c r="R426" s="871">
        <v>16</v>
      </c>
      <c r="S426" s="871">
        <v>0</v>
      </c>
      <c r="T426" s="871">
        <v>20</v>
      </c>
      <c r="U426" s="871">
        <v>0</v>
      </c>
      <c r="V426" s="871">
        <v>17.600000000000001</v>
      </c>
      <c r="W426" s="871">
        <v>0</v>
      </c>
      <c r="X426" s="871">
        <v>22</v>
      </c>
      <c r="Y426" s="871">
        <v>0</v>
      </c>
      <c r="Z426" s="871">
        <v>40</v>
      </c>
      <c r="AA426" s="871">
        <v>0</v>
      </c>
      <c r="AB426" s="871">
        <v>56</v>
      </c>
      <c r="AC426" s="871">
        <v>0</v>
      </c>
      <c r="AD426" s="871">
        <v>96.8</v>
      </c>
      <c r="AE426" s="871">
        <v>0</v>
      </c>
      <c r="AF426" s="871">
        <v>44</v>
      </c>
      <c r="AG426" s="871">
        <v>0</v>
      </c>
      <c r="AH426" s="871">
        <v>80</v>
      </c>
      <c r="AI426" s="871">
        <v>0</v>
      </c>
      <c r="AJ426" s="871"/>
      <c r="AK426" s="871"/>
      <c r="AL426" s="871"/>
      <c r="AM426" s="871"/>
      <c r="AN426" s="871"/>
      <c r="AO426" s="871"/>
      <c r="AP426" s="871"/>
    </row>
    <row r="427" spans="1:42" s="868" customFormat="1" ht="14">
      <c r="A427" s="866">
        <v>426</v>
      </c>
      <c r="B427" s="867" t="s">
        <v>592</v>
      </c>
      <c r="C427" s="867" t="s">
        <v>42</v>
      </c>
      <c r="D427" s="867" t="s">
        <v>2377</v>
      </c>
      <c r="E427" s="867" t="s">
        <v>2664</v>
      </c>
      <c r="F427" s="867" t="s">
        <v>625</v>
      </c>
      <c r="G427" s="868">
        <v>1</v>
      </c>
      <c r="H427" s="869">
        <v>0.53</v>
      </c>
      <c r="I427" s="869">
        <v>10.050000000000001</v>
      </c>
      <c r="J427" s="869">
        <f t="shared" si="28"/>
        <v>5.3265000000000002</v>
      </c>
      <c r="K427" s="869">
        <f t="shared" si="29"/>
        <v>0.69244500000000009</v>
      </c>
      <c r="L427" s="868">
        <v>53</v>
      </c>
      <c r="M427" s="867" t="s">
        <v>2598</v>
      </c>
      <c r="N427" s="866">
        <v>2021</v>
      </c>
      <c r="O427" s="867" t="s">
        <v>2674</v>
      </c>
      <c r="P427" s="870">
        <v>5415058039080</v>
      </c>
      <c r="Q427" s="867" t="s">
        <v>2385</v>
      </c>
      <c r="R427" s="871">
        <v>16</v>
      </c>
      <c r="S427" s="871">
        <v>0</v>
      </c>
      <c r="T427" s="871">
        <v>20</v>
      </c>
      <c r="U427" s="871">
        <v>0</v>
      </c>
      <c r="V427" s="871">
        <v>17.600000000000001</v>
      </c>
      <c r="W427" s="871">
        <v>0</v>
      </c>
      <c r="X427" s="871">
        <v>22</v>
      </c>
      <c r="Y427" s="871">
        <v>0</v>
      </c>
      <c r="Z427" s="871">
        <v>40</v>
      </c>
      <c r="AA427" s="871">
        <v>0</v>
      </c>
      <c r="AB427" s="871">
        <v>56</v>
      </c>
      <c r="AC427" s="871">
        <v>0</v>
      </c>
      <c r="AD427" s="871">
        <v>96.8</v>
      </c>
      <c r="AE427" s="871">
        <v>0</v>
      </c>
      <c r="AF427" s="871">
        <v>44</v>
      </c>
      <c r="AG427" s="871">
        <v>0</v>
      </c>
      <c r="AH427" s="871">
        <v>80</v>
      </c>
      <c r="AI427" s="871">
        <v>0</v>
      </c>
      <c r="AJ427" s="871"/>
      <c r="AK427" s="871"/>
      <c r="AL427" s="871"/>
      <c r="AM427" s="871"/>
      <c r="AN427" s="871"/>
      <c r="AO427" s="871"/>
      <c r="AP427" s="871"/>
    </row>
    <row r="428" spans="1:42" s="868" customFormat="1" ht="14">
      <c r="A428" s="866">
        <v>427</v>
      </c>
      <c r="B428" s="867" t="s">
        <v>593</v>
      </c>
      <c r="C428" s="867" t="s">
        <v>42</v>
      </c>
      <c r="D428" s="867" t="s">
        <v>2377</v>
      </c>
      <c r="E428" s="867" t="s">
        <v>2664</v>
      </c>
      <c r="F428" s="867" t="s">
        <v>594</v>
      </c>
      <c r="G428" s="868">
        <v>1</v>
      </c>
      <c r="H428" s="869">
        <v>0.53</v>
      </c>
      <c r="I428" s="869">
        <v>10.050000000000001</v>
      </c>
      <c r="J428" s="869">
        <f t="shared" si="28"/>
        <v>5.3265000000000002</v>
      </c>
      <c r="K428" s="869">
        <f t="shared" si="29"/>
        <v>0.69244500000000009</v>
      </c>
      <c r="L428" s="868">
        <v>53</v>
      </c>
      <c r="M428" s="867" t="s">
        <v>2598</v>
      </c>
      <c r="N428" s="866">
        <v>2021</v>
      </c>
      <c r="O428" s="867" t="s">
        <v>2674</v>
      </c>
      <c r="P428" s="870">
        <v>5415058039097</v>
      </c>
      <c r="Q428" s="867" t="s">
        <v>2385</v>
      </c>
      <c r="R428" s="871">
        <v>16</v>
      </c>
      <c r="S428" s="871">
        <v>0</v>
      </c>
      <c r="T428" s="871">
        <v>20</v>
      </c>
      <c r="U428" s="871">
        <v>0</v>
      </c>
      <c r="V428" s="871">
        <v>17.600000000000001</v>
      </c>
      <c r="W428" s="871">
        <v>0</v>
      </c>
      <c r="X428" s="871">
        <v>22</v>
      </c>
      <c r="Y428" s="871">
        <v>0</v>
      </c>
      <c r="Z428" s="871">
        <v>40</v>
      </c>
      <c r="AA428" s="871">
        <v>0</v>
      </c>
      <c r="AB428" s="871">
        <v>56</v>
      </c>
      <c r="AC428" s="871">
        <v>0</v>
      </c>
      <c r="AD428" s="871">
        <v>96.8</v>
      </c>
      <c r="AE428" s="871">
        <v>0</v>
      </c>
      <c r="AF428" s="871">
        <v>44</v>
      </c>
      <c r="AG428" s="871">
        <v>0</v>
      </c>
      <c r="AH428" s="871">
        <v>80</v>
      </c>
      <c r="AI428" s="871">
        <v>0</v>
      </c>
      <c r="AJ428" s="871"/>
      <c r="AK428" s="871"/>
      <c r="AL428" s="871"/>
      <c r="AM428" s="871"/>
      <c r="AN428" s="871"/>
      <c r="AO428" s="871"/>
      <c r="AP428" s="871"/>
    </row>
    <row r="429" spans="1:42" s="868" customFormat="1" ht="14">
      <c r="A429" s="866">
        <v>428</v>
      </c>
      <c r="B429" s="867" t="s">
        <v>595</v>
      </c>
      <c r="C429" s="867" t="s">
        <v>42</v>
      </c>
      <c r="D429" s="867" t="s">
        <v>2377</v>
      </c>
      <c r="E429" s="867" t="s">
        <v>2665</v>
      </c>
      <c r="F429" s="867" t="s">
        <v>594</v>
      </c>
      <c r="G429" s="868">
        <v>1</v>
      </c>
      <c r="H429" s="869">
        <v>0.53</v>
      </c>
      <c r="I429" s="869">
        <v>10.050000000000001</v>
      </c>
      <c r="J429" s="869">
        <f t="shared" si="28"/>
        <v>5.3265000000000002</v>
      </c>
      <c r="K429" s="869">
        <f t="shared" si="29"/>
        <v>0.69244500000000009</v>
      </c>
      <c r="L429" s="868">
        <v>53</v>
      </c>
      <c r="M429" s="867" t="s">
        <v>2380</v>
      </c>
      <c r="N429" s="866">
        <v>2021</v>
      </c>
      <c r="O429" s="867" t="s">
        <v>2674</v>
      </c>
      <c r="P429" s="870">
        <v>5415058039103</v>
      </c>
      <c r="Q429" s="867" t="s">
        <v>2385</v>
      </c>
      <c r="R429" s="871">
        <v>16</v>
      </c>
      <c r="S429" s="871">
        <v>0</v>
      </c>
      <c r="T429" s="871">
        <v>20</v>
      </c>
      <c r="U429" s="871">
        <v>0</v>
      </c>
      <c r="V429" s="871">
        <v>17.600000000000001</v>
      </c>
      <c r="W429" s="871">
        <v>0</v>
      </c>
      <c r="X429" s="871">
        <v>22</v>
      </c>
      <c r="Y429" s="871">
        <v>0</v>
      </c>
      <c r="Z429" s="871">
        <v>40</v>
      </c>
      <c r="AA429" s="871">
        <v>0</v>
      </c>
      <c r="AB429" s="871">
        <v>56</v>
      </c>
      <c r="AC429" s="871">
        <v>0</v>
      </c>
      <c r="AD429" s="871">
        <v>96.8</v>
      </c>
      <c r="AE429" s="871">
        <v>0</v>
      </c>
      <c r="AF429" s="871">
        <v>44</v>
      </c>
      <c r="AG429" s="871">
        <v>0</v>
      </c>
      <c r="AH429" s="871">
        <v>80</v>
      </c>
      <c r="AI429" s="871">
        <v>0</v>
      </c>
      <c r="AJ429" s="871"/>
      <c r="AK429" s="871"/>
      <c r="AL429" s="871"/>
      <c r="AM429" s="871"/>
      <c r="AN429" s="871"/>
      <c r="AO429" s="871"/>
      <c r="AP429" s="871"/>
    </row>
    <row r="430" spans="1:42" s="868" customFormat="1" ht="14">
      <c r="A430" s="866">
        <v>429</v>
      </c>
      <c r="B430" s="867" t="s">
        <v>597</v>
      </c>
      <c r="C430" s="867" t="s">
        <v>42</v>
      </c>
      <c r="D430" s="867" t="s">
        <v>2377</v>
      </c>
      <c r="E430" s="867" t="s">
        <v>2665</v>
      </c>
      <c r="F430" s="867" t="s">
        <v>598</v>
      </c>
      <c r="G430" s="868">
        <v>1</v>
      </c>
      <c r="H430" s="869">
        <v>0.53</v>
      </c>
      <c r="I430" s="869">
        <v>10.050000000000001</v>
      </c>
      <c r="J430" s="869">
        <f t="shared" si="28"/>
        <v>5.3265000000000002</v>
      </c>
      <c r="K430" s="869">
        <f t="shared" si="29"/>
        <v>0.69244500000000009</v>
      </c>
      <c r="L430" s="868">
        <v>53</v>
      </c>
      <c r="M430" s="867" t="s">
        <v>2380</v>
      </c>
      <c r="N430" s="866">
        <v>2021</v>
      </c>
      <c r="O430" s="867" t="s">
        <v>2674</v>
      </c>
      <c r="P430" s="870">
        <v>5415058039110</v>
      </c>
      <c r="Q430" s="867" t="s">
        <v>2385</v>
      </c>
      <c r="R430" s="871">
        <v>16</v>
      </c>
      <c r="S430" s="871">
        <v>0</v>
      </c>
      <c r="T430" s="871">
        <v>20</v>
      </c>
      <c r="U430" s="871">
        <v>0</v>
      </c>
      <c r="V430" s="871">
        <v>17.600000000000001</v>
      </c>
      <c r="W430" s="871">
        <v>0</v>
      </c>
      <c r="X430" s="871">
        <v>22</v>
      </c>
      <c r="Y430" s="871">
        <v>0</v>
      </c>
      <c r="Z430" s="871">
        <v>40</v>
      </c>
      <c r="AA430" s="871">
        <v>0</v>
      </c>
      <c r="AB430" s="871">
        <v>56</v>
      </c>
      <c r="AC430" s="871">
        <v>0</v>
      </c>
      <c r="AD430" s="871">
        <v>96.8</v>
      </c>
      <c r="AE430" s="871">
        <v>0</v>
      </c>
      <c r="AF430" s="871">
        <v>44</v>
      </c>
      <c r="AG430" s="871">
        <v>0</v>
      </c>
      <c r="AH430" s="871">
        <v>80</v>
      </c>
      <c r="AI430" s="871">
        <v>0</v>
      </c>
      <c r="AJ430" s="871"/>
      <c r="AK430" s="871"/>
      <c r="AL430" s="871"/>
      <c r="AM430" s="871"/>
      <c r="AN430" s="871"/>
      <c r="AO430" s="871"/>
      <c r="AP430" s="871"/>
    </row>
    <row r="431" spans="1:42" s="868" customFormat="1" ht="14">
      <c r="A431" s="866">
        <v>430</v>
      </c>
      <c r="B431" s="867" t="s">
        <v>599</v>
      </c>
      <c r="C431" s="867" t="s">
        <v>42</v>
      </c>
      <c r="D431" s="867" t="s">
        <v>2377</v>
      </c>
      <c r="E431" s="867" t="s">
        <v>2665</v>
      </c>
      <c r="F431" s="867" t="s">
        <v>600</v>
      </c>
      <c r="G431" s="868">
        <v>1</v>
      </c>
      <c r="H431" s="869">
        <v>0.53</v>
      </c>
      <c r="I431" s="869">
        <v>10.050000000000001</v>
      </c>
      <c r="J431" s="869">
        <f t="shared" si="28"/>
        <v>5.3265000000000002</v>
      </c>
      <c r="K431" s="869">
        <f t="shared" si="29"/>
        <v>0.69244500000000009</v>
      </c>
      <c r="L431" s="868">
        <v>53</v>
      </c>
      <c r="M431" s="867" t="s">
        <v>2380</v>
      </c>
      <c r="N431" s="866">
        <v>2021</v>
      </c>
      <c r="O431" s="867" t="s">
        <v>2674</v>
      </c>
      <c r="P431" s="870">
        <v>5415058039127</v>
      </c>
      <c r="Q431" s="867" t="s">
        <v>2385</v>
      </c>
      <c r="R431" s="871">
        <v>16</v>
      </c>
      <c r="S431" s="871">
        <v>0</v>
      </c>
      <c r="T431" s="871">
        <v>20</v>
      </c>
      <c r="U431" s="871">
        <v>0</v>
      </c>
      <c r="V431" s="871">
        <v>17.600000000000001</v>
      </c>
      <c r="W431" s="871">
        <v>0</v>
      </c>
      <c r="X431" s="871">
        <v>22</v>
      </c>
      <c r="Y431" s="871">
        <v>0</v>
      </c>
      <c r="Z431" s="871">
        <v>40</v>
      </c>
      <c r="AA431" s="871">
        <v>0</v>
      </c>
      <c r="AB431" s="871">
        <v>56</v>
      </c>
      <c r="AC431" s="871">
        <v>0</v>
      </c>
      <c r="AD431" s="871">
        <v>96.8</v>
      </c>
      <c r="AE431" s="871">
        <v>0</v>
      </c>
      <c r="AF431" s="871">
        <v>44</v>
      </c>
      <c r="AG431" s="871">
        <v>0</v>
      </c>
      <c r="AH431" s="871">
        <v>80</v>
      </c>
      <c r="AI431" s="871">
        <v>0</v>
      </c>
      <c r="AJ431" s="871"/>
      <c r="AK431" s="871"/>
      <c r="AL431" s="871"/>
      <c r="AM431" s="871"/>
      <c r="AN431" s="871"/>
      <c r="AO431" s="871"/>
      <c r="AP431" s="871"/>
    </row>
    <row r="432" spans="1:42" s="868" customFormat="1" ht="14">
      <c r="A432" s="866">
        <v>431</v>
      </c>
      <c r="B432" s="867" t="s">
        <v>601</v>
      </c>
      <c r="C432" s="867" t="s">
        <v>42</v>
      </c>
      <c r="D432" s="867" t="s">
        <v>2377</v>
      </c>
      <c r="E432" s="867" t="s">
        <v>2665</v>
      </c>
      <c r="F432" s="867" t="s">
        <v>602</v>
      </c>
      <c r="G432" s="868">
        <v>1</v>
      </c>
      <c r="H432" s="869">
        <v>0.53</v>
      </c>
      <c r="I432" s="869">
        <v>10.050000000000001</v>
      </c>
      <c r="J432" s="869">
        <f t="shared" si="28"/>
        <v>5.3265000000000002</v>
      </c>
      <c r="K432" s="869">
        <f t="shared" si="29"/>
        <v>0.69244500000000009</v>
      </c>
      <c r="L432" s="868">
        <v>53</v>
      </c>
      <c r="M432" s="867" t="s">
        <v>2380</v>
      </c>
      <c r="N432" s="866">
        <v>2021</v>
      </c>
      <c r="O432" s="867" t="s">
        <v>2674</v>
      </c>
      <c r="P432" s="870">
        <v>5415058039134</v>
      </c>
      <c r="Q432" s="867" t="s">
        <v>2385</v>
      </c>
      <c r="R432" s="871">
        <v>16</v>
      </c>
      <c r="S432" s="871">
        <v>0</v>
      </c>
      <c r="T432" s="871">
        <v>20</v>
      </c>
      <c r="U432" s="871">
        <v>0</v>
      </c>
      <c r="V432" s="871">
        <v>17.600000000000001</v>
      </c>
      <c r="W432" s="871">
        <v>0</v>
      </c>
      <c r="X432" s="871">
        <v>22</v>
      </c>
      <c r="Y432" s="871">
        <v>0</v>
      </c>
      <c r="Z432" s="871">
        <v>40</v>
      </c>
      <c r="AA432" s="871">
        <v>0</v>
      </c>
      <c r="AB432" s="871">
        <v>56</v>
      </c>
      <c r="AC432" s="871">
        <v>0</v>
      </c>
      <c r="AD432" s="871">
        <v>96.8</v>
      </c>
      <c r="AE432" s="871">
        <v>0</v>
      </c>
      <c r="AF432" s="871">
        <v>44</v>
      </c>
      <c r="AG432" s="871">
        <v>0</v>
      </c>
      <c r="AH432" s="871">
        <v>80</v>
      </c>
      <c r="AI432" s="871">
        <v>0</v>
      </c>
      <c r="AJ432" s="871"/>
      <c r="AK432" s="871"/>
      <c r="AL432" s="871"/>
      <c r="AM432" s="871"/>
      <c r="AN432" s="871"/>
      <c r="AO432" s="871"/>
      <c r="AP432" s="871"/>
    </row>
    <row r="433" spans="1:42" s="868" customFormat="1" ht="14">
      <c r="A433" s="866">
        <v>432</v>
      </c>
      <c r="B433" s="867" t="s">
        <v>603</v>
      </c>
      <c r="C433" s="867" t="s">
        <v>42</v>
      </c>
      <c r="D433" s="867" t="s">
        <v>2377</v>
      </c>
      <c r="E433" s="867" t="s">
        <v>2665</v>
      </c>
      <c r="F433" s="867" t="s">
        <v>604</v>
      </c>
      <c r="G433" s="868">
        <v>1</v>
      </c>
      <c r="H433" s="869">
        <v>0.53</v>
      </c>
      <c r="I433" s="869">
        <v>10.050000000000001</v>
      </c>
      <c r="J433" s="869">
        <f t="shared" si="28"/>
        <v>5.3265000000000002</v>
      </c>
      <c r="K433" s="869">
        <f t="shared" si="29"/>
        <v>0.69244500000000009</v>
      </c>
      <c r="L433" s="868">
        <v>53</v>
      </c>
      <c r="M433" s="867" t="s">
        <v>2380</v>
      </c>
      <c r="N433" s="866">
        <v>2021</v>
      </c>
      <c r="O433" s="867" t="s">
        <v>2674</v>
      </c>
      <c r="P433" s="870">
        <v>5415058039141</v>
      </c>
      <c r="Q433" s="867" t="s">
        <v>2385</v>
      </c>
      <c r="R433" s="871">
        <v>16</v>
      </c>
      <c r="S433" s="871">
        <v>0</v>
      </c>
      <c r="T433" s="871">
        <v>20</v>
      </c>
      <c r="U433" s="871">
        <v>0</v>
      </c>
      <c r="V433" s="871">
        <v>17.600000000000001</v>
      </c>
      <c r="W433" s="871">
        <v>0</v>
      </c>
      <c r="X433" s="871">
        <v>22</v>
      </c>
      <c r="Y433" s="871">
        <v>0</v>
      </c>
      <c r="Z433" s="871">
        <v>40</v>
      </c>
      <c r="AA433" s="871">
        <v>0</v>
      </c>
      <c r="AB433" s="871">
        <v>56</v>
      </c>
      <c r="AC433" s="871">
        <v>0</v>
      </c>
      <c r="AD433" s="871">
        <v>96.8</v>
      </c>
      <c r="AE433" s="871">
        <v>0</v>
      </c>
      <c r="AF433" s="871">
        <v>44</v>
      </c>
      <c r="AG433" s="871">
        <v>0</v>
      </c>
      <c r="AH433" s="871">
        <v>80</v>
      </c>
      <c r="AI433" s="871">
        <v>0</v>
      </c>
      <c r="AJ433" s="871"/>
      <c r="AK433" s="871"/>
      <c r="AL433" s="871"/>
      <c r="AM433" s="871"/>
      <c r="AN433" s="871"/>
      <c r="AO433" s="871"/>
      <c r="AP433" s="871"/>
    </row>
    <row r="434" spans="1:42" s="868" customFormat="1" ht="14">
      <c r="A434" s="866">
        <v>433</v>
      </c>
      <c r="B434" s="867" t="s">
        <v>605</v>
      </c>
      <c r="C434" s="867" t="s">
        <v>42</v>
      </c>
      <c r="D434" s="867" t="s">
        <v>2377</v>
      </c>
      <c r="E434" s="867" t="s">
        <v>2665</v>
      </c>
      <c r="F434" s="867" t="s">
        <v>2666</v>
      </c>
      <c r="G434" s="868">
        <v>1</v>
      </c>
      <c r="H434" s="869">
        <v>0.53</v>
      </c>
      <c r="I434" s="869">
        <v>10.050000000000001</v>
      </c>
      <c r="J434" s="869">
        <f t="shared" si="28"/>
        <v>5.3265000000000002</v>
      </c>
      <c r="K434" s="869">
        <f t="shared" si="29"/>
        <v>0.69244500000000009</v>
      </c>
      <c r="L434" s="868">
        <v>53</v>
      </c>
      <c r="M434" s="867" t="s">
        <v>2380</v>
      </c>
      <c r="N434" s="866">
        <v>2021</v>
      </c>
      <c r="O434" s="867" t="s">
        <v>2674</v>
      </c>
      <c r="P434" s="870">
        <v>5415058039158</v>
      </c>
      <c r="Q434" s="867" t="s">
        <v>2385</v>
      </c>
      <c r="R434" s="871">
        <v>16</v>
      </c>
      <c r="S434" s="871">
        <v>0</v>
      </c>
      <c r="T434" s="871">
        <v>20</v>
      </c>
      <c r="U434" s="871">
        <v>0</v>
      </c>
      <c r="V434" s="871">
        <v>17.600000000000001</v>
      </c>
      <c r="W434" s="871">
        <v>0</v>
      </c>
      <c r="X434" s="871">
        <v>22</v>
      </c>
      <c r="Y434" s="871">
        <v>0</v>
      </c>
      <c r="Z434" s="871">
        <v>40</v>
      </c>
      <c r="AA434" s="871">
        <v>0</v>
      </c>
      <c r="AB434" s="871">
        <v>56</v>
      </c>
      <c r="AC434" s="871">
        <v>0</v>
      </c>
      <c r="AD434" s="871">
        <v>96.8</v>
      </c>
      <c r="AE434" s="871">
        <v>0</v>
      </c>
      <c r="AF434" s="871">
        <v>44</v>
      </c>
      <c r="AG434" s="871">
        <v>0</v>
      </c>
      <c r="AH434" s="871">
        <v>80</v>
      </c>
      <c r="AI434" s="871">
        <v>0</v>
      </c>
      <c r="AJ434" s="871"/>
      <c r="AK434" s="871"/>
      <c r="AL434" s="871"/>
      <c r="AM434" s="871"/>
      <c r="AN434" s="871"/>
      <c r="AO434" s="871"/>
      <c r="AP434" s="871"/>
    </row>
    <row r="435" spans="1:42" s="868" customFormat="1" ht="14">
      <c r="A435" s="866">
        <v>434</v>
      </c>
      <c r="B435" s="867" t="s">
        <v>607</v>
      </c>
      <c r="C435" s="867" t="s">
        <v>42</v>
      </c>
      <c r="D435" s="867" t="s">
        <v>2377</v>
      </c>
      <c r="E435" s="867" t="s">
        <v>2665</v>
      </c>
      <c r="F435" s="867" t="s">
        <v>608</v>
      </c>
      <c r="G435" s="868">
        <v>1</v>
      </c>
      <c r="H435" s="869">
        <v>0.53</v>
      </c>
      <c r="I435" s="869">
        <v>10.050000000000001</v>
      </c>
      <c r="J435" s="869">
        <f t="shared" si="28"/>
        <v>5.3265000000000002</v>
      </c>
      <c r="K435" s="869">
        <f t="shared" si="29"/>
        <v>0.69244500000000009</v>
      </c>
      <c r="L435" s="868">
        <v>53</v>
      </c>
      <c r="M435" s="867" t="s">
        <v>2380</v>
      </c>
      <c r="N435" s="866">
        <v>2021</v>
      </c>
      <c r="O435" s="867" t="s">
        <v>2674</v>
      </c>
      <c r="P435" s="870">
        <v>5415058039165</v>
      </c>
      <c r="Q435" s="867" t="s">
        <v>2385</v>
      </c>
      <c r="R435" s="871">
        <v>16</v>
      </c>
      <c r="S435" s="871">
        <v>0</v>
      </c>
      <c r="T435" s="871">
        <v>20</v>
      </c>
      <c r="U435" s="871">
        <v>0</v>
      </c>
      <c r="V435" s="871">
        <v>17.600000000000001</v>
      </c>
      <c r="W435" s="871">
        <v>0</v>
      </c>
      <c r="X435" s="871">
        <v>22</v>
      </c>
      <c r="Y435" s="871">
        <v>0</v>
      </c>
      <c r="Z435" s="871">
        <v>40</v>
      </c>
      <c r="AA435" s="871">
        <v>0</v>
      </c>
      <c r="AB435" s="871">
        <v>56</v>
      </c>
      <c r="AC435" s="871">
        <v>0</v>
      </c>
      <c r="AD435" s="871">
        <v>96.8</v>
      </c>
      <c r="AE435" s="871">
        <v>0</v>
      </c>
      <c r="AF435" s="871">
        <v>44</v>
      </c>
      <c r="AG435" s="871">
        <v>0</v>
      </c>
      <c r="AH435" s="871">
        <v>80</v>
      </c>
      <c r="AI435" s="871">
        <v>0</v>
      </c>
      <c r="AJ435" s="871"/>
      <c r="AK435" s="871"/>
      <c r="AL435" s="871"/>
      <c r="AM435" s="871"/>
      <c r="AN435" s="871"/>
      <c r="AO435" s="871"/>
      <c r="AP435" s="871"/>
    </row>
    <row r="436" spans="1:42" s="868" customFormat="1" ht="14">
      <c r="A436" s="866">
        <v>435</v>
      </c>
      <c r="B436" s="867" t="s">
        <v>609</v>
      </c>
      <c r="C436" s="867" t="s">
        <v>42</v>
      </c>
      <c r="D436" s="867" t="s">
        <v>2377</v>
      </c>
      <c r="E436" s="867" t="s">
        <v>2667</v>
      </c>
      <c r="F436" s="867" t="s">
        <v>600</v>
      </c>
      <c r="G436" s="868">
        <v>1</v>
      </c>
      <c r="H436" s="869">
        <v>0.53</v>
      </c>
      <c r="I436" s="869">
        <v>10.050000000000001</v>
      </c>
      <c r="J436" s="869">
        <f t="shared" si="28"/>
        <v>5.3265000000000002</v>
      </c>
      <c r="K436" s="869">
        <f t="shared" si="29"/>
        <v>0.69244500000000009</v>
      </c>
      <c r="L436" s="868">
        <v>53</v>
      </c>
      <c r="M436" s="867" t="s">
        <v>2598</v>
      </c>
      <c r="N436" s="866">
        <v>2021</v>
      </c>
      <c r="O436" s="867" t="s">
        <v>2674</v>
      </c>
      <c r="P436" s="870">
        <v>5415058039172</v>
      </c>
      <c r="Q436" s="867" t="s">
        <v>2385</v>
      </c>
      <c r="R436" s="871">
        <v>16</v>
      </c>
      <c r="S436" s="871">
        <v>0</v>
      </c>
      <c r="T436" s="871">
        <v>20</v>
      </c>
      <c r="U436" s="871">
        <v>0</v>
      </c>
      <c r="V436" s="871">
        <v>17.600000000000001</v>
      </c>
      <c r="W436" s="871">
        <v>0</v>
      </c>
      <c r="X436" s="871">
        <v>22</v>
      </c>
      <c r="Y436" s="871">
        <v>0</v>
      </c>
      <c r="Z436" s="871">
        <v>40</v>
      </c>
      <c r="AA436" s="871">
        <v>0</v>
      </c>
      <c r="AB436" s="871">
        <v>56</v>
      </c>
      <c r="AC436" s="871">
        <v>0</v>
      </c>
      <c r="AD436" s="871">
        <v>96.8</v>
      </c>
      <c r="AE436" s="871">
        <v>0</v>
      </c>
      <c r="AF436" s="871">
        <v>44</v>
      </c>
      <c r="AG436" s="871">
        <v>0</v>
      </c>
      <c r="AH436" s="871">
        <v>80</v>
      </c>
      <c r="AI436" s="871">
        <v>0</v>
      </c>
      <c r="AJ436" s="871"/>
      <c r="AK436" s="871"/>
      <c r="AL436" s="871"/>
      <c r="AM436" s="871"/>
      <c r="AN436" s="871"/>
      <c r="AO436" s="871"/>
      <c r="AP436" s="871"/>
    </row>
    <row r="437" spans="1:42" s="868" customFormat="1" ht="14">
      <c r="A437" s="866">
        <v>436</v>
      </c>
      <c r="B437" s="867" t="s">
        <v>611</v>
      </c>
      <c r="C437" s="867" t="s">
        <v>42</v>
      </c>
      <c r="D437" s="867" t="s">
        <v>2377</v>
      </c>
      <c r="E437" s="867" t="s">
        <v>2667</v>
      </c>
      <c r="F437" s="867" t="s">
        <v>598</v>
      </c>
      <c r="G437" s="868">
        <v>1</v>
      </c>
      <c r="H437" s="869">
        <v>0.53</v>
      </c>
      <c r="I437" s="869">
        <v>10.050000000000001</v>
      </c>
      <c r="J437" s="869">
        <f t="shared" si="28"/>
        <v>5.3265000000000002</v>
      </c>
      <c r="K437" s="869">
        <f t="shared" si="29"/>
        <v>0.69244500000000009</v>
      </c>
      <c r="L437" s="868">
        <v>53</v>
      </c>
      <c r="M437" s="867" t="s">
        <v>2598</v>
      </c>
      <c r="N437" s="866">
        <v>2021</v>
      </c>
      <c r="O437" s="867" t="s">
        <v>2674</v>
      </c>
      <c r="P437" s="870">
        <v>5415058039189</v>
      </c>
      <c r="Q437" s="867" t="s">
        <v>2385</v>
      </c>
      <c r="R437" s="871">
        <v>16</v>
      </c>
      <c r="S437" s="871">
        <v>0</v>
      </c>
      <c r="T437" s="871">
        <v>20</v>
      </c>
      <c r="U437" s="871">
        <v>0</v>
      </c>
      <c r="V437" s="871">
        <v>17.600000000000001</v>
      </c>
      <c r="W437" s="871">
        <v>0</v>
      </c>
      <c r="X437" s="871">
        <v>22</v>
      </c>
      <c r="Y437" s="871">
        <v>0</v>
      </c>
      <c r="Z437" s="871">
        <v>40</v>
      </c>
      <c r="AA437" s="871">
        <v>0</v>
      </c>
      <c r="AB437" s="871">
        <v>56</v>
      </c>
      <c r="AC437" s="871">
        <v>0</v>
      </c>
      <c r="AD437" s="871">
        <v>96.8</v>
      </c>
      <c r="AE437" s="871">
        <v>0</v>
      </c>
      <c r="AF437" s="871">
        <v>44</v>
      </c>
      <c r="AG437" s="871">
        <v>0</v>
      </c>
      <c r="AH437" s="871">
        <v>80</v>
      </c>
      <c r="AI437" s="871">
        <v>0</v>
      </c>
      <c r="AJ437" s="871"/>
      <c r="AK437" s="871"/>
      <c r="AL437" s="871"/>
      <c r="AM437" s="871"/>
      <c r="AN437" s="871"/>
      <c r="AO437" s="871"/>
      <c r="AP437" s="871"/>
    </row>
    <row r="438" spans="1:42" s="868" customFormat="1" ht="14">
      <c r="A438" s="866">
        <v>437</v>
      </c>
      <c r="B438" s="867" t="s">
        <v>612</v>
      </c>
      <c r="C438" s="867" t="s">
        <v>42</v>
      </c>
      <c r="D438" s="867" t="s">
        <v>2377</v>
      </c>
      <c r="E438" s="867" t="s">
        <v>2667</v>
      </c>
      <c r="F438" s="867" t="s">
        <v>613</v>
      </c>
      <c r="G438" s="868">
        <v>1</v>
      </c>
      <c r="H438" s="869">
        <v>0.53</v>
      </c>
      <c r="I438" s="869">
        <v>10.050000000000001</v>
      </c>
      <c r="J438" s="869">
        <f t="shared" si="28"/>
        <v>5.3265000000000002</v>
      </c>
      <c r="K438" s="869">
        <f t="shared" si="29"/>
        <v>0.69244500000000009</v>
      </c>
      <c r="L438" s="868">
        <v>53</v>
      </c>
      <c r="M438" s="867" t="s">
        <v>2598</v>
      </c>
      <c r="N438" s="866">
        <v>2021</v>
      </c>
      <c r="O438" s="867" t="s">
        <v>2674</v>
      </c>
      <c r="P438" s="870">
        <v>5415058039196</v>
      </c>
      <c r="Q438" s="867" t="s">
        <v>2385</v>
      </c>
      <c r="R438" s="871">
        <v>16</v>
      </c>
      <c r="S438" s="871">
        <v>0</v>
      </c>
      <c r="T438" s="871">
        <v>20</v>
      </c>
      <c r="U438" s="871">
        <v>0</v>
      </c>
      <c r="V438" s="871">
        <v>17.600000000000001</v>
      </c>
      <c r="W438" s="871">
        <v>0</v>
      </c>
      <c r="X438" s="871">
        <v>22</v>
      </c>
      <c r="Y438" s="871">
        <v>0</v>
      </c>
      <c r="Z438" s="871">
        <v>40</v>
      </c>
      <c r="AA438" s="871">
        <v>0</v>
      </c>
      <c r="AB438" s="871">
        <v>56</v>
      </c>
      <c r="AC438" s="871">
        <v>0</v>
      </c>
      <c r="AD438" s="871">
        <v>96.8</v>
      </c>
      <c r="AE438" s="871">
        <v>0</v>
      </c>
      <c r="AF438" s="871">
        <v>44</v>
      </c>
      <c r="AG438" s="871">
        <v>0</v>
      </c>
      <c r="AH438" s="871">
        <v>80</v>
      </c>
      <c r="AI438" s="871">
        <v>0</v>
      </c>
      <c r="AJ438" s="871"/>
      <c r="AK438" s="871"/>
      <c r="AL438" s="871"/>
      <c r="AM438" s="871"/>
      <c r="AN438" s="871"/>
      <c r="AO438" s="871"/>
      <c r="AP438" s="871"/>
    </row>
    <row r="439" spans="1:42" s="868" customFormat="1" ht="14">
      <c r="A439" s="866">
        <v>438</v>
      </c>
      <c r="B439" s="867" t="s">
        <v>614</v>
      </c>
      <c r="C439" s="867" t="s">
        <v>42</v>
      </c>
      <c r="D439" s="867" t="s">
        <v>2377</v>
      </c>
      <c r="E439" s="867" t="s">
        <v>2667</v>
      </c>
      <c r="F439" s="867" t="s">
        <v>594</v>
      </c>
      <c r="G439" s="868">
        <v>1</v>
      </c>
      <c r="H439" s="869">
        <v>0.53</v>
      </c>
      <c r="I439" s="869">
        <v>10.050000000000001</v>
      </c>
      <c r="J439" s="869">
        <f t="shared" si="28"/>
        <v>5.3265000000000002</v>
      </c>
      <c r="K439" s="869">
        <f t="shared" si="29"/>
        <v>0.69244500000000009</v>
      </c>
      <c r="L439" s="868">
        <v>53</v>
      </c>
      <c r="M439" s="867" t="s">
        <v>2598</v>
      </c>
      <c r="N439" s="866">
        <v>2021</v>
      </c>
      <c r="O439" s="867" t="s">
        <v>2674</v>
      </c>
      <c r="P439" s="870">
        <v>5415058039202</v>
      </c>
      <c r="Q439" s="867" t="s">
        <v>2385</v>
      </c>
      <c r="R439" s="871">
        <v>16</v>
      </c>
      <c r="S439" s="871">
        <v>0</v>
      </c>
      <c r="T439" s="871">
        <v>20</v>
      </c>
      <c r="U439" s="871">
        <v>0</v>
      </c>
      <c r="V439" s="871">
        <v>17.600000000000001</v>
      </c>
      <c r="W439" s="871">
        <v>0</v>
      </c>
      <c r="X439" s="871">
        <v>22</v>
      </c>
      <c r="Y439" s="871">
        <v>0</v>
      </c>
      <c r="Z439" s="871">
        <v>40</v>
      </c>
      <c r="AA439" s="871">
        <v>0</v>
      </c>
      <c r="AB439" s="871">
        <v>56</v>
      </c>
      <c r="AC439" s="871">
        <v>0</v>
      </c>
      <c r="AD439" s="871">
        <v>96.8</v>
      </c>
      <c r="AE439" s="871">
        <v>0</v>
      </c>
      <c r="AF439" s="871">
        <v>44</v>
      </c>
      <c r="AG439" s="871">
        <v>0</v>
      </c>
      <c r="AH439" s="871">
        <v>80</v>
      </c>
      <c r="AI439" s="871">
        <v>0</v>
      </c>
      <c r="AJ439" s="871"/>
      <c r="AK439" s="871"/>
      <c r="AL439" s="871"/>
      <c r="AM439" s="871"/>
      <c r="AN439" s="871"/>
      <c r="AO439" s="871"/>
      <c r="AP439" s="871"/>
    </row>
    <row r="440" spans="1:42" s="868" customFormat="1" ht="14">
      <c r="A440" s="866">
        <v>439</v>
      </c>
      <c r="B440" s="867" t="s">
        <v>615</v>
      </c>
      <c r="C440" s="867" t="s">
        <v>42</v>
      </c>
      <c r="D440" s="867" t="s">
        <v>2377</v>
      </c>
      <c r="E440" s="867" t="s">
        <v>2668</v>
      </c>
      <c r="F440" s="867" t="s">
        <v>600</v>
      </c>
      <c r="G440" s="868">
        <v>1</v>
      </c>
      <c r="H440" s="869">
        <v>0.53</v>
      </c>
      <c r="I440" s="869">
        <v>10.050000000000001</v>
      </c>
      <c r="J440" s="869">
        <f t="shared" si="28"/>
        <v>5.3265000000000002</v>
      </c>
      <c r="K440" s="869">
        <f t="shared" si="29"/>
        <v>0.69244500000000009</v>
      </c>
      <c r="L440" s="868">
        <v>17.600000000000001</v>
      </c>
      <c r="M440" s="867" t="s">
        <v>2380</v>
      </c>
      <c r="N440" s="866">
        <v>2021</v>
      </c>
      <c r="O440" s="867" t="s">
        <v>2674</v>
      </c>
      <c r="P440" s="870">
        <v>5415058039219</v>
      </c>
      <c r="Q440" s="867" t="s">
        <v>2385</v>
      </c>
      <c r="R440" s="871">
        <v>16</v>
      </c>
      <c r="S440" s="871">
        <v>0</v>
      </c>
      <c r="T440" s="871">
        <v>20</v>
      </c>
      <c r="U440" s="871">
        <v>0</v>
      </c>
      <c r="V440" s="871">
        <v>17.600000000000001</v>
      </c>
      <c r="W440" s="871">
        <v>0</v>
      </c>
      <c r="X440" s="871">
        <v>22</v>
      </c>
      <c r="Y440" s="871">
        <v>0</v>
      </c>
      <c r="Z440" s="871">
        <v>40</v>
      </c>
      <c r="AA440" s="871">
        <v>0</v>
      </c>
      <c r="AB440" s="871">
        <v>56</v>
      </c>
      <c r="AC440" s="871">
        <v>0</v>
      </c>
      <c r="AD440" s="871">
        <v>96.8</v>
      </c>
      <c r="AE440" s="871">
        <v>0</v>
      </c>
      <c r="AF440" s="871">
        <v>44</v>
      </c>
      <c r="AG440" s="871">
        <v>0</v>
      </c>
      <c r="AH440" s="871">
        <v>80</v>
      </c>
      <c r="AI440" s="871">
        <v>0</v>
      </c>
      <c r="AJ440" s="871"/>
      <c r="AK440" s="871"/>
      <c r="AL440" s="871"/>
      <c r="AM440" s="871"/>
      <c r="AN440" s="871"/>
      <c r="AO440" s="871"/>
      <c r="AP440" s="871"/>
    </row>
    <row r="441" spans="1:42" s="868" customFormat="1" ht="14">
      <c r="A441" s="866">
        <v>440</v>
      </c>
      <c r="B441" s="867" t="s">
        <v>618</v>
      </c>
      <c r="C441" s="867" t="s">
        <v>42</v>
      </c>
      <c r="D441" s="867" t="s">
        <v>2377</v>
      </c>
      <c r="E441" s="867" t="s">
        <v>2668</v>
      </c>
      <c r="F441" s="867" t="s">
        <v>598</v>
      </c>
      <c r="G441" s="868">
        <v>1</v>
      </c>
      <c r="H441" s="869">
        <v>0.53</v>
      </c>
      <c r="I441" s="869">
        <v>10.050000000000001</v>
      </c>
      <c r="J441" s="869">
        <f t="shared" si="28"/>
        <v>5.3265000000000002</v>
      </c>
      <c r="K441" s="869">
        <f t="shared" si="29"/>
        <v>0.69244500000000009</v>
      </c>
      <c r="L441" s="868">
        <v>17.600000000000001</v>
      </c>
      <c r="M441" s="867" t="s">
        <v>2380</v>
      </c>
      <c r="N441" s="866">
        <v>2021</v>
      </c>
      <c r="O441" s="867" t="s">
        <v>2674</v>
      </c>
      <c r="P441" s="870">
        <v>5415058039226</v>
      </c>
      <c r="Q441" s="867" t="s">
        <v>2385</v>
      </c>
      <c r="R441" s="871">
        <v>16</v>
      </c>
      <c r="S441" s="871">
        <v>0</v>
      </c>
      <c r="T441" s="871">
        <v>20</v>
      </c>
      <c r="U441" s="871">
        <v>0</v>
      </c>
      <c r="V441" s="871">
        <v>17.600000000000001</v>
      </c>
      <c r="W441" s="871">
        <v>0</v>
      </c>
      <c r="X441" s="871">
        <v>22</v>
      </c>
      <c r="Y441" s="871">
        <v>0</v>
      </c>
      <c r="Z441" s="871">
        <v>40</v>
      </c>
      <c r="AA441" s="871">
        <v>0</v>
      </c>
      <c r="AB441" s="871">
        <v>56</v>
      </c>
      <c r="AC441" s="871">
        <v>0</v>
      </c>
      <c r="AD441" s="871">
        <v>96.8</v>
      </c>
      <c r="AE441" s="871">
        <v>0</v>
      </c>
      <c r="AF441" s="871">
        <v>44</v>
      </c>
      <c r="AG441" s="871">
        <v>0</v>
      </c>
      <c r="AH441" s="871">
        <v>80</v>
      </c>
      <c r="AI441" s="871">
        <v>0</v>
      </c>
      <c r="AJ441" s="871"/>
      <c r="AK441" s="871"/>
      <c r="AL441" s="871"/>
      <c r="AM441" s="871"/>
      <c r="AN441" s="871"/>
      <c r="AO441" s="871"/>
      <c r="AP441" s="871"/>
    </row>
    <row r="442" spans="1:42" s="868" customFormat="1" ht="14">
      <c r="A442" s="866">
        <v>441</v>
      </c>
      <c r="B442" s="867" t="s">
        <v>619</v>
      </c>
      <c r="C442" s="867" t="s">
        <v>42</v>
      </c>
      <c r="D442" s="867" t="s">
        <v>2377</v>
      </c>
      <c r="E442" s="867" t="s">
        <v>2668</v>
      </c>
      <c r="F442" s="867" t="s">
        <v>613</v>
      </c>
      <c r="G442" s="868">
        <v>1</v>
      </c>
      <c r="H442" s="869">
        <v>0.53</v>
      </c>
      <c r="I442" s="869">
        <v>10.050000000000001</v>
      </c>
      <c r="J442" s="869">
        <f t="shared" si="28"/>
        <v>5.3265000000000002</v>
      </c>
      <c r="K442" s="869">
        <f t="shared" si="29"/>
        <v>0.69244500000000009</v>
      </c>
      <c r="L442" s="868">
        <v>17.600000000000001</v>
      </c>
      <c r="M442" s="867" t="s">
        <v>2380</v>
      </c>
      <c r="N442" s="866">
        <v>2021</v>
      </c>
      <c r="O442" s="867" t="s">
        <v>2674</v>
      </c>
      <c r="P442" s="870">
        <v>5415058039233</v>
      </c>
      <c r="Q442" s="867" t="s">
        <v>2385</v>
      </c>
      <c r="R442" s="871">
        <v>16</v>
      </c>
      <c r="S442" s="871">
        <v>0</v>
      </c>
      <c r="T442" s="871">
        <v>20</v>
      </c>
      <c r="U442" s="871">
        <v>0</v>
      </c>
      <c r="V442" s="871">
        <v>17.600000000000001</v>
      </c>
      <c r="W442" s="871">
        <v>0</v>
      </c>
      <c r="X442" s="871">
        <v>22</v>
      </c>
      <c r="Y442" s="871">
        <v>0</v>
      </c>
      <c r="Z442" s="871">
        <v>40</v>
      </c>
      <c r="AA442" s="871">
        <v>0</v>
      </c>
      <c r="AB442" s="871">
        <v>56</v>
      </c>
      <c r="AC442" s="871">
        <v>0</v>
      </c>
      <c r="AD442" s="871">
        <v>96.8</v>
      </c>
      <c r="AE442" s="871">
        <v>0</v>
      </c>
      <c r="AF442" s="871">
        <v>44</v>
      </c>
      <c r="AG442" s="871">
        <v>0</v>
      </c>
      <c r="AH442" s="871">
        <v>80</v>
      </c>
      <c r="AI442" s="871">
        <v>0</v>
      </c>
      <c r="AJ442" s="871"/>
      <c r="AK442" s="871"/>
      <c r="AL442" s="871"/>
      <c r="AM442" s="871"/>
      <c r="AN442" s="871"/>
      <c r="AO442" s="871"/>
      <c r="AP442" s="871"/>
    </row>
    <row r="443" spans="1:42" s="868" customFormat="1" ht="14">
      <c r="A443" s="866">
        <v>442</v>
      </c>
      <c r="B443" s="867" t="s">
        <v>620</v>
      </c>
      <c r="C443" s="867" t="s">
        <v>42</v>
      </c>
      <c r="D443" s="867" t="s">
        <v>2377</v>
      </c>
      <c r="E443" s="867" t="s">
        <v>2668</v>
      </c>
      <c r="F443" s="867" t="s">
        <v>621</v>
      </c>
      <c r="G443" s="868">
        <v>1</v>
      </c>
      <c r="H443" s="869">
        <v>0.53</v>
      </c>
      <c r="I443" s="869">
        <v>10.050000000000001</v>
      </c>
      <c r="J443" s="869">
        <f t="shared" si="28"/>
        <v>5.3265000000000002</v>
      </c>
      <c r="K443" s="869">
        <f t="shared" si="29"/>
        <v>0.69244500000000009</v>
      </c>
      <c r="L443" s="868">
        <v>17.600000000000001</v>
      </c>
      <c r="M443" s="867" t="s">
        <v>2380</v>
      </c>
      <c r="N443" s="866">
        <v>2021</v>
      </c>
      <c r="O443" s="867" t="s">
        <v>2674</v>
      </c>
      <c r="P443" s="870">
        <v>5415058039240</v>
      </c>
      <c r="Q443" s="867" t="s">
        <v>2385</v>
      </c>
      <c r="R443" s="871">
        <v>16</v>
      </c>
      <c r="S443" s="871">
        <v>0</v>
      </c>
      <c r="T443" s="871">
        <v>20</v>
      </c>
      <c r="U443" s="871">
        <v>0</v>
      </c>
      <c r="V443" s="871">
        <v>17.600000000000001</v>
      </c>
      <c r="W443" s="871">
        <v>0</v>
      </c>
      <c r="X443" s="871">
        <v>22</v>
      </c>
      <c r="Y443" s="871">
        <v>0</v>
      </c>
      <c r="Z443" s="871">
        <v>40</v>
      </c>
      <c r="AA443" s="871">
        <v>0</v>
      </c>
      <c r="AB443" s="871">
        <v>56</v>
      </c>
      <c r="AC443" s="871">
        <v>0</v>
      </c>
      <c r="AD443" s="871">
        <v>96.8</v>
      </c>
      <c r="AE443" s="871">
        <v>0</v>
      </c>
      <c r="AF443" s="871">
        <v>44</v>
      </c>
      <c r="AG443" s="871">
        <v>0</v>
      </c>
      <c r="AH443" s="871">
        <v>80</v>
      </c>
      <c r="AI443" s="871">
        <v>0</v>
      </c>
      <c r="AJ443" s="871"/>
      <c r="AK443" s="871"/>
      <c r="AL443" s="871"/>
      <c r="AM443" s="871"/>
      <c r="AN443" s="871"/>
      <c r="AO443" s="871"/>
      <c r="AP443" s="871"/>
    </row>
    <row r="444" spans="1:42" s="868" customFormat="1" ht="14">
      <c r="A444" s="866">
        <v>443</v>
      </c>
      <c r="B444" s="867" t="s">
        <v>622</v>
      </c>
      <c r="C444" s="867" t="s">
        <v>42</v>
      </c>
      <c r="D444" s="867" t="s">
        <v>2377</v>
      </c>
      <c r="E444" s="867" t="s">
        <v>2668</v>
      </c>
      <c r="F444" s="867" t="s">
        <v>604</v>
      </c>
      <c r="G444" s="868">
        <v>1</v>
      </c>
      <c r="H444" s="869">
        <v>0.53</v>
      </c>
      <c r="I444" s="869">
        <v>10.050000000000001</v>
      </c>
      <c r="J444" s="869">
        <f t="shared" si="28"/>
        <v>5.3265000000000002</v>
      </c>
      <c r="K444" s="869">
        <f t="shared" si="29"/>
        <v>0.69244500000000009</v>
      </c>
      <c r="L444" s="868">
        <v>17.600000000000001</v>
      </c>
      <c r="M444" s="867" t="s">
        <v>2380</v>
      </c>
      <c r="N444" s="866">
        <v>2021</v>
      </c>
      <c r="O444" s="867" t="s">
        <v>2674</v>
      </c>
      <c r="P444" s="870">
        <v>5415058039257</v>
      </c>
      <c r="Q444" s="867" t="s">
        <v>2385</v>
      </c>
      <c r="R444" s="871">
        <v>16</v>
      </c>
      <c r="S444" s="871">
        <v>0</v>
      </c>
      <c r="T444" s="871">
        <v>20</v>
      </c>
      <c r="U444" s="871">
        <v>0</v>
      </c>
      <c r="V444" s="871">
        <v>17.600000000000001</v>
      </c>
      <c r="W444" s="871">
        <v>0</v>
      </c>
      <c r="X444" s="871">
        <v>22</v>
      </c>
      <c r="Y444" s="871">
        <v>0</v>
      </c>
      <c r="Z444" s="871">
        <v>40</v>
      </c>
      <c r="AA444" s="871">
        <v>0</v>
      </c>
      <c r="AB444" s="871">
        <v>56</v>
      </c>
      <c r="AC444" s="871">
        <v>0</v>
      </c>
      <c r="AD444" s="871">
        <v>96.8</v>
      </c>
      <c r="AE444" s="871">
        <v>0</v>
      </c>
      <c r="AF444" s="871">
        <v>44</v>
      </c>
      <c r="AG444" s="871">
        <v>0</v>
      </c>
      <c r="AH444" s="871">
        <v>80</v>
      </c>
      <c r="AI444" s="871">
        <v>0</v>
      </c>
      <c r="AJ444" s="871"/>
      <c r="AK444" s="871"/>
      <c r="AL444" s="871"/>
      <c r="AM444" s="871"/>
      <c r="AN444" s="871"/>
      <c r="AO444" s="871"/>
      <c r="AP444" s="871"/>
    </row>
    <row r="445" spans="1:42" s="868" customFormat="1" ht="14">
      <c r="A445" s="866">
        <v>444</v>
      </c>
      <c r="B445" s="867" t="s">
        <v>623</v>
      </c>
      <c r="C445" s="867" t="s">
        <v>42</v>
      </c>
      <c r="D445" s="867" t="s">
        <v>2377</v>
      </c>
      <c r="E445" s="867" t="s">
        <v>2669</v>
      </c>
      <c r="F445" s="867" t="s">
        <v>625</v>
      </c>
      <c r="G445" s="868">
        <v>1</v>
      </c>
      <c r="H445" s="869">
        <v>0.53</v>
      </c>
      <c r="I445" s="869">
        <v>10.050000000000001</v>
      </c>
      <c r="J445" s="869">
        <f t="shared" si="28"/>
        <v>5.3265000000000002</v>
      </c>
      <c r="K445" s="869">
        <f t="shared" si="29"/>
        <v>0.69244500000000009</v>
      </c>
      <c r="L445" s="868">
        <v>64</v>
      </c>
      <c r="M445" s="867" t="s">
        <v>2598</v>
      </c>
      <c r="N445" s="866">
        <v>2021</v>
      </c>
      <c r="O445" s="867" t="s">
        <v>2674</v>
      </c>
      <c r="P445" s="870">
        <v>5415058039264</v>
      </c>
      <c r="Q445" s="867" t="s">
        <v>2385</v>
      </c>
      <c r="R445" s="871">
        <v>16</v>
      </c>
      <c r="S445" s="871">
        <v>0</v>
      </c>
      <c r="T445" s="871">
        <v>20</v>
      </c>
      <c r="U445" s="871">
        <v>0</v>
      </c>
      <c r="V445" s="871">
        <v>17.600000000000001</v>
      </c>
      <c r="W445" s="871">
        <v>0</v>
      </c>
      <c r="X445" s="871">
        <v>22</v>
      </c>
      <c r="Y445" s="871">
        <v>0</v>
      </c>
      <c r="Z445" s="871">
        <v>40</v>
      </c>
      <c r="AA445" s="871">
        <v>0</v>
      </c>
      <c r="AB445" s="871">
        <v>56</v>
      </c>
      <c r="AC445" s="871">
        <v>0</v>
      </c>
      <c r="AD445" s="871">
        <v>96.8</v>
      </c>
      <c r="AE445" s="871">
        <v>0</v>
      </c>
      <c r="AF445" s="871">
        <v>44</v>
      </c>
      <c r="AG445" s="871">
        <v>0</v>
      </c>
      <c r="AH445" s="871">
        <v>80</v>
      </c>
      <c r="AI445" s="871">
        <v>0</v>
      </c>
      <c r="AJ445" s="871"/>
      <c r="AK445" s="871"/>
      <c r="AL445" s="871"/>
      <c r="AM445" s="871"/>
      <c r="AN445" s="871"/>
      <c r="AO445" s="871"/>
      <c r="AP445" s="871"/>
    </row>
    <row r="446" spans="1:42" s="868" customFormat="1" ht="14">
      <c r="A446" s="866">
        <v>445</v>
      </c>
      <c r="B446" s="867" t="s">
        <v>626</v>
      </c>
      <c r="C446" s="867" t="s">
        <v>42</v>
      </c>
      <c r="D446" s="867" t="s">
        <v>2377</v>
      </c>
      <c r="E446" s="867" t="s">
        <v>2669</v>
      </c>
      <c r="F446" s="867" t="s">
        <v>627</v>
      </c>
      <c r="G446" s="868">
        <v>1</v>
      </c>
      <c r="H446" s="869">
        <v>0.53</v>
      </c>
      <c r="I446" s="869">
        <v>10.050000000000001</v>
      </c>
      <c r="J446" s="869">
        <f t="shared" si="28"/>
        <v>5.3265000000000002</v>
      </c>
      <c r="K446" s="869">
        <f t="shared" si="29"/>
        <v>0.69244500000000009</v>
      </c>
      <c r="L446" s="868">
        <v>64</v>
      </c>
      <c r="M446" s="867" t="s">
        <v>2598</v>
      </c>
      <c r="N446" s="866">
        <v>2021</v>
      </c>
      <c r="O446" s="867" t="s">
        <v>2674</v>
      </c>
      <c r="P446" s="870">
        <v>5415058039271</v>
      </c>
      <c r="Q446" s="867" t="s">
        <v>2385</v>
      </c>
      <c r="R446" s="871">
        <v>16</v>
      </c>
      <c r="S446" s="871">
        <v>0</v>
      </c>
      <c r="T446" s="871">
        <v>20</v>
      </c>
      <c r="U446" s="871">
        <v>0</v>
      </c>
      <c r="V446" s="871">
        <v>17.600000000000001</v>
      </c>
      <c r="W446" s="871">
        <v>0</v>
      </c>
      <c r="X446" s="871">
        <v>22</v>
      </c>
      <c r="Y446" s="871">
        <v>0</v>
      </c>
      <c r="Z446" s="871">
        <v>40</v>
      </c>
      <c r="AA446" s="871">
        <v>0</v>
      </c>
      <c r="AB446" s="871">
        <v>56</v>
      </c>
      <c r="AC446" s="871">
        <v>0</v>
      </c>
      <c r="AD446" s="871">
        <v>96.8</v>
      </c>
      <c r="AE446" s="871">
        <v>0</v>
      </c>
      <c r="AF446" s="871">
        <v>44</v>
      </c>
      <c r="AG446" s="871">
        <v>0</v>
      </c>
      <c r="AH446" s="871">
        <v>80</v>
      </c>
      <c r="AI446" s="871">
        <v>0</v>
      </c>
      <c r="AJ446" s="871"/>
      <c r="AK446" s="871"/>
      <c r="AL446" s="871"/>
      <c r="AM446" s="871"/>
      <c r="AN446" s="871"/>
      <c r="AO446" s="871"/>
      <c r="AP446" s="871"/>
    </row>
    <row r="447" spans="1:42" s="868" customFormat="1" ht="14">
      <c r="A447" s="866">
        <v>446</v>
      </c>
      <c r="B447" s="867" t="s">
        <v>628</v>
      </c>
      <c r="C447" s="867" t="s">
        <v>42</v>
      </c>
      <c r="D447" s="867" t="s">
        <v>2377</v>
      </c>
      <c r="E447" s="867" t="s">
        <v>2669</v>
      </c>
      <c r="F447" s="867" t="s">
        <v>598</v>
      </c>
      <c r="G447" s="868">
        <v>1</v>
      </c>
      <c r="H447" s="869">
        <v>0.53</v>
      </c>
      <c r="I447" s="869">
        <v>10.050000000000001</v>
      </c>
      <c r="J447" s="869">
        <f t="shared" si="28"/>
        <v>5.3265000000000002</v>
      </c>
      <c r="K447" s="869">
        <f t="shared" si="29"/>
        <v>0.69244500000000009</v>
      </c>
      <c r="L447" s="868">
        <v>64</v>
      </c>
      <c r="M447" s="867" t="s">
        <v>2598</v>
      </c>
      <c r="N447" s="866">
        <v>2021</v>
      </c>
      <c r="O447" s="867" t="s">
        <v>2674</v>
      </c>
      <c r="P447" s="870">
        <v>5415058039288</v>
      </c>
      <c r="Q447" s="867" t="s">
        <v>2385</v>
      </c>
      <c r="R447" s="871">
        <v>16</v>
      </c>
      <c r="S447" s="871">
        <v>0</v>
      </c>
      <c r="T447" s="871">
        <v>20</v>
      </c>
      <c r="U447" s="871">
        <v>0</v>
      </c>
      <c r="V447" s="871">
        <v>17.600000000000001</v>
      </c>
      <c r="W447" s="871">
        <v>0</v>
      </c>
      <c r="X447" s="871">
        <v>22</v>
      </c>
      <c r="Y447" s="871">
        <v>0</v>
      </c>
      <c r="Z447" s="871">
        <v>40</v>
      </c>
      <c r="AA447" s="871">
        <v>0</v>
      </c>
      <c r="AB447" s="871">
        <v>56</v>
      </c>
      <c r="AC447" s="871">
        <v>0</v>
      </c>
      <c r="AD447" s="871">
        <v>96.8</v>
      </c>
      <c r="AE447" s="871">
        <v>0</v>
      </c>
      <c r="AF447" s="871">
        <v>44</v>
      </c>
      <c r="AG447" s="871">
        <v>0</v>
      </c>
      <c r="AH447" s="871">
        <v>80</v>
      </c>
      <c r="AI447" s="871">
        <v>0</v>
      </c>
      <c r="AJ447" s="871"/>
      <c r="AK447" s="871"/>
      <c r="AL447" s="871"/>
      <c r="AM447" s="871"/>
      <c r="AN447" s="871"/>
      <c r="AO447" s="871"/>
      <c r="AP447" s="871"/>
    </row>
    <row r="448" spans="1:42" s="868" customFormat="1" ht="14">
      <c r="A448" s="866">
        <v>447</v>
      </c>
      <c r="B448" s="867" t="s">
        <v>629</v>
      </c>
      <c r="C448" s="867" t="s">
        <v>42</v>
      </c>
      <c r="D448" s="867" t="s">
        <v>2377</v>
      </c>
      <c r="E448" s="867" t="s">
        <v>2669</v>
      </c>
      <c r="F448" s="867" t="s">
        <v>594</v>
      </c>
      <c r="G448" s="868">
        <v>1</v>
      </c>
      <c r="H448" s="869">
        <v>0.53</v>
      </c>
      <c r="I448" s="869">
        <v>10.050000000000001</v>
      </c>
      <c r="J448" s="869">
        <f t="shared" si="28"/>
        <v>5.3265000000000002</v>
      </c>
      <c r="K448" s="869">
        <f t="shared" si="29"/>
        <v>0.69244500000000009</v>
      </c>
      <c r="L448" s="868">
        <v>64</v>
      </c>
      <c r="M448" s="867" t="s">
        <v>2598</v>
      </c>
      <c r="N448" s="866">
        <v>2021</v>
      </c>
      <c r="O448" s="867" t="s">
        <v>2674</v>
      </c>
      <c r="P448" s="870">
        <v>5415058039295</v>
      </c>
      <c r="Q448" s="867" t="s">
        <v>2385</v>
      </c>
      <c r="R448" s="871">
        <v>16</v>
      </c>
      <c r="S448" s="871">
        <v>0</v>
      </c>
      <c r="T448" s="871">
        <v>20</v>
      </c>
      <c r="U448" s="871">
        <v>0</v>
      </c>
      <c r="V448" s="871">
        <v>17.600000000000001</v>
      </c>
      <c r="W448" s="871">
        <v>0</v>
      </c>
      <c r="X448" s="871">
        <v>22</v>
      </c>
      <c r="Y448" s="871">
        <v>0</v>
      </c>
      <c r="Z448" s="871">
        <v>40</v>
      </c>
      <c r="AA448" s="871">
        <v>0</v>
      </c>
      <c r="AB448" s="871">
        <v>56</v>
      </c>
      <c r="AC448" s="871">
        <v>0</v>
      </c>
      <c r="AD448" s="871">
        <v>96.8</v>
      </c>
      <c r="AE448" s="871">
        <v>0</v>
      </c>
      <c r="AF448" s="871">
        <v>44</v>
      </c>
      <c r="AG448" s="871">
        <v>0</v>
      </c>
      <c r="AH448" s="871">
        <v>80</v>
      </c>
      <c r="AI448" s="871">
        <v>0</v>
      </c>
      <c r="AJ448" s="871"/>
      <c r="AK448" s="871"/>
      <c r="AL448" s="871"/>
      <c r="AM448" s="871"/>
      <c r="AN448" s="871"/>
      <c r="AO448" s="871"/>
      <c r="AP448" s="871"/>
    </row>
    <row r="449" spans="1:42" s="868" customFormat="1" ht="14">
      <c r="A449" s="866">
        <v>448</v>
      </c>
      <c r="B449" s="867" t="s">
        <v>630</v>
      </c>
      <c r="C449" s="867" t="s">
        <v>42</v>
      </c>
      <c r="D449" s="867" t="s">
        <v>2377</v>
      </c>
      <c r="E449" s="867" t="s">
        <v>2669</v>
      </c>
      <c r="F449" s="867" t="s">
        <v>600</v>
      </c>
      <c r="G449" s="868">
        <v>1</v>
      </c>
      <c r="H449" s="869">
        <v>0.53</v>
      </c>
      <c r="I449" s="869">
        <v>10.050000000000001</v>
      </c>
      <c r="J449" s="869">
        <f t="shared" si="28"/>
        <v>5.3265000000000002</v>
      </c>
      <c r="K449" s="869">
        <f t="shared" si="29"/>
        <v>0.69244500000000009</v>
      </c>
      <c r="L449" s="868">
        <v>64</v>
      </c>
      <c r="M449" s="867" t="s">
        <v>2598</v>
      </c>
      <c r="N449" s="866">
        <v>2021</v>
      </c>
      <c r="O449" s="867" t="s">
        <v>2674</v>
      </c>
      <c r="P449" s="870">
        <v>5415058039301</v>
      </c>
      <c r="Q449" s="867" t="s">
        <v>2385</v>
      </c>
      <c r="R449" s="871">
        <v>16</v>
      </c>
      <c r="S449" s="871">
        <v>0</v>
      </c>
      <c r="T449" s="871">
        <v>20</v>
      </c>
      <c r="U449" s="871">
        <v>0</v>
      </c>
      <c r="V449" s="871">
        <v>17.600000000000001</v>
      </c>
      <c r="W449" s="871">
        <v>0</v>
      </c>
      <c r="X449" s="871">
        <v>22</v>
      </c>
      <c r="Y449" s="871">
        <v>0</v>
      </c>
      <c r="Z449" s="871">
        <v>40</v>
      </c>
      <c r="AA449" s="871">
        <v>0</v>
      </c>
      <c r="AB449" s="871">
        <v>56</v>
      </c>
      <c r="AC449" s="871">
        <v>0</v>
      </c>
      <c r="AD449" s="871">
        <v>96.8</v>
      </c>
      <c r="AE449" s="871">
        <v>0</v>
      </c>
      <c r="AF449" s="871">
        <v>44</v>
      </c>
      <c r="AG449" s="871">
        <v>0</v>
      </c>
      <c r="AH449" s="871">
        <v>80</v>
      </c>
      <c r="AI449" s="871">
        <v>0</v>
      </c>
      <c r="AJ449" s="871"/>
      <c r="AK449" s="871"/>
      <c r="AL449" s="871"/>
      <c r="AM449" s="871"/>
      <c r="AN449" s="871"/>
      <c r="AO449" s="871"/>
      <c r="AP449" s="871"/>
    </row>
    <row r="450" spans="1:42" s="868" customFormat="1" ht="14">
      <c r="A450" s="866">
        <v>449</v>
      </c>
      <c r="B450" s="867" t="s">
        <v>631</v>
      </c>
      <c r="C450" s="867" t="s">
        <v>42</v>
      </c>
      <c r="D450" s="867" t="s">
        <v>2377</v>
      </c>
      <c r="E450" s="867" t="s">
        <v>2670</v>
      </c>
      <c r="F450" s="867" t="s">
        <v>633</v>
      </c>
      <c r="G450" s="868">
        <v>1</v>
      </c>
      <c r="H450" s="869">
        <v>0.53</v>
      </c>
      <c r="I450" s="869">
        <v>10.050000000000001</v>
      </c>
      <c r="J450" s="869">
        <f t="shared" si="28"/>
        <v>5.3265000000000002</v>
      </c>
      <c r="K450" s="869">
        <f t="shared" si="29"/>
        <v>0.69244500000000009</v>
      </c>
      <c r="L450" s="868">
        <v>53</v>
      </c>
      <c r="M450" s="867" t="s">
        <v>2598</v>
      </c>
      <c r="N450" s="866">
        <v>2021</v>
      </c>
      <c r="O450" s="867" t="s">
        <v>2674</v>
      </c>
      <c r="P450" s="870">
        <v>5415058039318</v>
      </c>
      <c r="Q450" s="867" t="s">
        <v>2385</v>
      </c>
      <c r="R450" s="871">
        <v>16</v>
      </c>
      <c r="S450" s="871">
        <v>0</v>
      </c>
      <c r="T450" s="871">
        <v>20</v>
      </c>
      <c r="U450" s="871">
        <v>0</v>
      </c>
      <c r="V450" s="871">
        <v>17.600000000000001</v>
      </c>
      <c r="W450" s="871">
        <v>0</v>
      </c>
      <c r="X450" s="871">
        <v>22</v>
      </c>
      <c r="Y450" s="871">
        <v>0</v>
      </c>
      <c r="Z450" s="871">
        <v>40</v>
      </c>
      <c r="AA450" s="871">
        <v>0</v>
      </c>
      <c r="AB450" s="871">
        <v>56</v>
      </c>
      <c r="AC450" s="871">
        <v>0</v>
      </c>
      <c r="AD450" s="871">
        <v>96.8</v>
      </c>
      <c r="AE450" s="871">
        <v>0</v>
      </c>
      <c r="AF450" s="871">
        <v>44</v>
      </c>
      <c r="AG450" s="871">
        <v>0</v>
      </c>
      <c r="AH450" s="871">
        <v>80</v>
      </c>
      <c r="AI450" s="871">
        <v>0</v>
      </c>
      <c r="AJ450" s="871"/>
      <c r="AK450" s="871"/>
      <c r="AL450" s="871"/>
      <c r="AM450" s="871"/>
      <c r="AN450" s="871"/>
      <c r="AO450" s="871"/>
      <c r="AP450" s="871"/>
    </row>
    <row r="451" spans="1:42" s="868" customFormat="1" ht="14">
      <c r="A451" s="866">
        <v>450</v>
      </c>
      <c r="B451" s="867" t="s">
        <v>634</v>
      </c>
      <c r="C451" s="867" t="s">
        <v>42</v>
      </c>
      <c r="D451" s="867" t="s">
        <v>2377</v>
      </c>
      <c r="E451" s="867" t="s">
        <v>2670</v>
      </c>
      <c r="F451" s="867" t="s">
        <v>621</v>
      </c>
      <c r="G451" s="868">
        <v>1</v>
      </c>
      <c r="H451" s="869">
        <v>0.53</v>
      </c>
      <c r="I451" s="869">
        <v>10.050000000000001</v>
      </c>
      <c r="J451" s="869">
        <f t="shared" si="28"/>
        <v>5.3265000000000002</v>
      </c>
      <c r="K451" s="869">
        <f t="shared" si="29"/>
        <v>0.69244500000000009</v>
      </c>
      <c r="L451" s="868">
        <v>53</v>
      </c>
      <c r="M451" s="867" t="s">
        <v>2598</v>
      </c>
      <c r="N451" s="866">
        <v>2021</v>
      </c>
      <c r="O451" s="867" t="s">
        <v>2674</v>
      </c>
      <c r="P451" s="870">
        <v>5415058039325</v>
      </c>
      <c r="Q451" s="867" t="s">
        <v>2385</v>
      </c>
      <c r="R451" s="871">
        <v>16</v>
      </c>
      <c r="S451" s="871">
        <v>0</v>
      </c>
      <c r="T451" s="871">
        <v>20</v>
      </c>
      <c r="U451" s="871">
        <v>0</v>
      </c>
      <c r="V451" s="871">
        <v>17.600000000000001</v>
      </c>
      <c r="W451" s="871">
        <v>0</v>
      </c>
      <c r="X451" s="871">
        <v>22</v>
      </c>
      <c r="Y451" s="871">
        <v>0</v>
      </c>
      <c r="Z451" s="871">
        <v>40</v>
      </c>
      <c r="AA451" s="871">
        <v>0</v>
      </c>
      <c r="AB451" s="871">
        <v>56</v>
      </c>
      <c r="AC451" s="871">
        <v>0</v>
      </c>
      <c r="AD451" s="871">
        <v>96.8</v>
      </c>
      <c r="AE451" s="871">
        <v>0</v>
      </c>
      <c r="AF451" s="871">
        <v>44</v>
      </c>
      <c r="AG451" s="871">
        <v>0</v>
      </c>
      <c r="AH451" s="871">
        <v>80</v>
      </c>
      <c r="AI451" s="871">
        <v>0</v>
      </c>
      <c r="AJ451" s="871"/>
      <c r="AK451" s="871"/>
      <c r="AL451" s="871"/>
      <c r="AM451" s="871"/>
      <c r="AN451" s="871"/>
      <c r="AO451" s="871"/>
      <c r="AP451" s="871"/>
    </row>
    <row r="452" spans="1:42" s="868" customFormat="1" ht="14">
      <c r="A452" s="866">
        <v>451</v>
      </c>
      <c r="B452" s="867" t="s">
        <v>635</v>
      </c>
      <c r="C452" s="867" t="s">
        <v>42</v>
      </c>
      <c r="D452" s="867" t="s">
        <v>2377</v>
      </c>
      <c r="E452" s="867" t="s">
        <v>2670</v>
      </c>
      <c r="F452" s="867" t="s">
        <v>604</v>
      </c>
      <c r="G452" s="868">
        <v>1</v>
      </c>
      <c r="H452" s="869">
        <v>0.53</v>
      </c>
      <c r="I452" s="869">
        <v>10.050000000000001</v>
      </c>
      <c r="J452" s="869">
        <f t="shared" si="28"/>
        <v>5.3265000000000002</v>
      </c>
      <c r="K452" s="869">
        <f t="shared" si="29"/>
        <v>0.69244500000000009</v>
      </c>
      <c r="L452" s="868">
        <v>53</v>
      </c>
      <c r="M452" s="867" t="s">
        <v>2598</v>
      </c>
      <c r="N452" s="866">
        <v>2021</v>
      </c>
      <c r="O452" s="867" t="s">
        <v>2674</v>
      </c>
      <c r="P452" s="870">
        <v>5415058039332</v>
      </c>
      <c r="Q452" s="867" t="s">
        <v>2385</v>
      </c>
      <c r="R452" s="871">
        <v>16</v>
      </c>
      <c r="S452" s="871">
        <v>0</v>
      </c>
      <c r="T452" s="871">
        <v>20</v>
      </c>
      <c r="U452" s="871">
        <v>0</v>
      </c>
      <c r="V452" s="871">
        <v>17.600000000000001</v>
      </c>
      <c r="W452" s="871">
        <v>0</v>
      </c>
      <c r="X452" s="871">
        <v>22</v>
      </c>
      <c r="Y452" s="871">
        <v>0</v>
      </c>
      <c r="Z452" s="871">
        <v>40</v>
      </c>
      <c r="AA452" s="871">
        <v>0</v>
      </c>
      <c r="AB452" s="871">
        <v>56</v>
      </c>
      <c r="AC452" s="871">
        <v>0</v>
      </c>
      <c r="AD452" s="871">
        <v>96.8</v>
      </c>
      <c r="AE452" s="871">
        <v>0</v>
      </c>
      <c r="AF452" s="871">
        <v>44</v>
      </c>
      <c r="AG452" s="871">
        <v>0</v>
      </c>
      <c r="AH452" s="871">
        <v>80</v>
      </c>
      <c r="AI452" s="871">
        <v>0</v>
      </c>
      <c r="AJ452" s="871"/>
      <c r="AK452" s="871"/>
      <c r="AL452" s="871"/>
      <c r="AM452" s="871"/>
      <c r="AN452" s="871"/>
      <c r="AO452" s="871"/>
      <c r="AP452" s="871"/>
    </row>
    <row r="453" spans="1:42" s="868" customFormat="1" ht="14">
      <c r="A453" s="866">
        <v>452</v>
      </c>
      <c r="B453" s="867" t="s">
        <v>636</v>
      </c>
      <c r="C453" s="867" t="s">
        <v>42</v>
      </c>
      <c r="D453" s="867" t="s">
        <v>2377</v>
      </c>
      <c r="E453" s="867" t="s">
        <v>2670</v>
      </c>
      <c r="F453" s="867" t="s">
        <v>598</v>
      </c>
      <c r="G453" s="868">
        <v>1</v>
      </c>
      <c r="H453" s="869">
        <v>0.53</v>
      </c>
      <c r="I453" s="869">
        <v>10.050000000000001</v>
      </c>
      <c r="J453" s="869">
        <f t="shared" si="28"/>
        <v>5.3265000000000002</v>
      </c>
      <c r="K453" s="869">
        <f t="shared" si="29"/>
        <v>0.69244500000000009</v>
      </c>
      <c r="L453" s="868">
        <v>53</v>
      </c>
      <c r="M453" s="867" t="s">
        <v>2598</v>
      </c>
      <c r="N453" s="866">
        <v>2021</v>
      </c>
      <c r="O453" s="867" t="s">
        <v>2674</v>
      </c>
      <c r="P453" s="870">
        <v>5415058039349</v>
      </c>
      <c r="Q453" s="867" t="s">
        <v>2385</v>
      </c>
      <c r="R453" s="871">
        <v>16</v>
      </c>
      <c r="S453" s="871">
        <v>0</v>
      </c>
      <c r="T453" s="871">
        <v>20</v>
      </c>
      <c r="U453" s="871">
        <v>0</v>
      </c>
      <c r="V453" s="871">
        <v>17.600000000000001</v>
      </c>
      <c r="W453" s="871">
        <v>0</v>
      </c>
      <c r="X453" s="871">
        <v>22</v>
      </c>
      <c r="Y453" s="871">
        <v>0</v>
      </c>
      <c r="Z453" s="871">
        <v>40</v>
      </c>
      <c r="AA453" s="871">
        <v>0</v>
      </c>
      <c r="AB453" s="871">
        <v>56</v>
      </c>
      <c r="AC453" s="871">
        <v>0</v>
      </c>
      <c r="AD453" s="871">
        <v>96.8</v>
      </c>
      <c r="AE453" s="871">
        <v>0</v>
      </c>
      <c r="AF453" s="871">
        <v>44</v>
      </c>
      <c r="AG453" s="871">
        <v>0</v>
      </c>
      <c r="AH453" s="871">
        <v>80</v>
      </c>
      <c r="AI453" s="871">
        <v>0</v>
      </c>
      <c r="AJ453" s="871"/>
      <c r="AK453" s="871"/>
      <c r="AL453" s="871"/>
      <c r="AM453" s="871"/>
      <c r="AN453" s="871"/>
      <c r="AO453" s="871"/>
      <c r="AP453" s="871"/>
    </row>
    <row r="454" spans="1:42" s="868" customFormat="1" ht="14">
      <c r="A454" s="866">
        <v>453</v>
      </c>
      <c r="B454" s="867" t="s">
        <v>637</v>
      </c>
      <c r="C454" s="867" t="s">
        <v>42</v>
      </c>
      <c r="D454" s="867" t="s">
        <v>2377</v>
      </c>
      <c r="E454" s="867" t="s">
        <v>2671</v>
      </c>
      <c r="F454" s="867" t="s">
        <v>621</v>
      </c>
      <c r="G454" s="868">
        <v>1</v>
      </c>
      <c r="H454" s="869">
        <v>0.53</v>
      </c>
      <c r="I454" s="869">
        <v>10.050000000000001</v>
      </c>
      <c r="J454" s="869">
        <f t="shared" si="28"/>
        <v>5.3265000000000002</v>
      </c>
      <c r="K454" s="869">
        <f t="shared" si="29"/>
        <v>0.69244500000000009</v>
      </c>
      <c r="L454" s="868">
        <v>21.3</v>
      </c>
      <c r="M454" s="867" t="s">
        <v>2598</v>
      </c>
      <c r="N454" s="866">
        <v>2021</v>
      </c>
      <c r="O454" s="867" t="s">
        <v>2674</v>
      </c>
      <c r="P454" s="870">
        <v>5415058039356</v>
      </c>
      <c r="Q454" s="867" t="s">
        <v>2385</v>
      </c>
      <c r="R454" s="871">
        <v>16</v>
      </c>
      <c r="S454" s="871">
        <v>0</v>
      </c>
      <c r="T454" s="871">
        <v>20</v>
      </c>
      <c r="U454" s="871">
        <v>0</v>
      </c>
      <c r="V454" s="871">
        <v>17.600000000000001</v>
      </c>
      <c r="W454" s="871">
        <v>0</v>
      </c>
      <c r="X454" s="871">
        <v>22</v>
      </c>
      <c r="Y454" s="871">
        <v>0</v>
      </c>
      <c r="Z454" s="871">
        <v>40</v>
      </c>
      <c r="AA454" s="871">
        <v>0</v>
      </c>
      <c r="AB454" s="871">
        <v>56</v>
      </c>
      <c r="AC454" s="871">
        <v>0</v>
      </c>
      <c r="AD454" s="871">
        <v>96.8</v>
      </c>
      <c r="AE454" s="871">
        <v>0</v>
      </c>
      <c r="AF454" s="871">
        <v>44</v>
      </c>
      <c r="AG454" s="871">
        <v>0</v>
      </c>
      <c r="AH454" s="871">
        <v>80</v>
      </c>
      <c r="AI454" s="871">
        <v>0</v>
      </c>
      <c r="AJ454" s="871"/>
      <c r="AK454" s="871"/>
      <c r="AL454" s="871"/>
      <c r="AM454" s="871"/>
      <c r="AN454" s="871"/>
      <c r="AO454" s="871"/>
      <c r="AP454" s="871"/>
    </row>
    <row r="455" spans="1:42" s="868" customFormat="1" ht="14">
      <c r="A455" s="866">
        <v>454</v>
      </c>
      <c r="B455" s="867" t="s">
        <v>639</v>
      </c>
      <c r="C455" s="867" t="s">
        <v>42</v>
      </c>
      <c r="D455" s="867" t="s">
        <v>2377</v>
      </c>
      <c r="E455" s="867" t="s">
        <v>2671</v>
      </c>
      <c r="F455" s="867" t="s">
        <v>594</v>
      </c>
      <c r="G455" s="868">
        <v>1</v>
      </c>
      <c r="H455" s="869">
        <v>0.53</v>
      </c>
      <c r="I455" s="869">
        <v>10.050000000000001</v>
      </c>
      <c r="J455" s="869">
        <f t="shared" si="28"/>
        <v>5.3265000000000002</v>
      </c>
      <c r="K455" s="869">
        <f t="shared" si="29"/>
        <v>0.69244500000000009</v>
      </c>
      <c r="L455" s="868">
        <v>21.3</v>
      </c>
      <c r="M455" s="867" t="s">
        <v>2598</v>
      </c>
      <c r="N455" s="866">
        <v>2021</v>
      </c>
      <c r="O455" s="867" t="s">
        <v>2674</v>
      </c>
      <c r="P455" s="870">
        <v>5415058039363</v>
      </c>
      <c r="Q455" s="867" t="s">
        <v>2385</v>
      </c>
      <c r="R455" s="871">
        <v>16</v>
      </c>
      <c r="S455" s="871">
        <v>0</v>
      </c>
      <c r="T455" s="871">
        <v>20</v>
      </c>
      <c r="U455" s="871">
        <v>0</v>
      </c>
      <c r="V455" s="871">
        <v>17.600000000000001</v>
      </c>
      <c r="W455" s="871">
        <v>0</v>
      </c>
      <c r="X455" s="871">
        <v>22</v>
      </c>
      <c r="Y455" s="871">
        <v>0</v>
      </c>
      <c r="Z455" s="871">
        <v>40</v>
      </c>
      <c r="AA455" s="871">
        <v>0</v>
      </c>
      <c r="AB455" s="871">
        <v>56</v>
      </c>
      <c r="AC455" s="871">
        <v>0</v>
      </c>
      <c r="AD455" s="871">
        <v>96.8</v>
      </c>
      <c r="AE455" s="871">
        <v>0</v>
      </c>
      <c r="AF455" s="871">
        <v>44</v>
      </c>
      <c r="AG455" s="871">
        <v>0</v>
      </c>
      <c r="AH455" s="871">
        <v>80</v>
      </c>
      <c r="AI455" s="871">
        <v>0</v>
      </c>
      <c r="AJ455" s="871"/>
      <c r="AK455" s="871"/>
      <c r="AL455" s="871"/>
      <c r="AM455" s="871"/>
      <c r="AN455" s="871"/>
      <c r="AO455" s="871"/>
      <c r="AP455" s="871"/>
    </row>
    <row r="456" spans="1:42" s="868" customFormat="1" ht="14">
      <c r="A456" s="866">
        <v>455</v>
      </c>
      <c r="B456" s="867" t="s">
        <v>640</v>
      </c>
      <c r="C456" s="867" t="s">
        <v>42</v>
      </c>
      <c r="D456" s="867" t="s">
        <v>2377</v>
      </c>
      <c r="E456" s="867" t="s">
        <v>2671</v>
      </c>
      <c r="F456" s="867" t="s">
        <v>600</v>
      </c>
      <c r="G456" s="868">
        <v>1</v>
      </c>
      <c r="H456" s="869">
        <v>0.53</v>
      </c>
      <c r="I456" s="869">
        <v>10.050000000000001</v>
      </c>
      <c r="J456" s="869">
        <f t="shared" si="28"/>
        <v>5.3265000000000002</v>
      </c>
      <c r="K456" s="869">
        <f t="shared" si="29"/>
        <v>0.69244500000000009</v>
      </c>
      <c r="L456" s="868">
        <v>21.3</v>
      </c>
      <c r="M456" s="867" t="s">
        <v>2598</v>
      </c>
      <c r="N456" s="866">
        <v>2021</v>
      </c>
      <c r="O456" s="867" t="s">
        <v>2674</v>
      </c>
      <c r="P456" s="870">
        <v>5415058039370</v>
      </c>
      <c r="Q456" s="867" t="s">
        <v>2385</v>
      </c>
      <c r="R456" s="871">
        <v>16</v>
      </c>
      <c r="S456" s="871">
        <v>0</v>
      </c>
      <c r="T456" s="871">
        <v>20</v>
      </c>
      <c r="U456" s="871">
        <v>0</v>
      </c>
      <c r="V456" s="871">
        <v>17.600000000000001</v>
      </c>
      <c r="W456" s="871">
        <v>0</v>
      </c>
      <c r="X456" s="871">
        <v>22</v>
      </c>
      <c r="Y456" s="871">
        <v>0</v>
      </c>
      <c r="Z456" s="871">
        <v>40</v>
      </c>
      <c r="AA456" s="871">
        <v>0</v>
      </c>
      <c r="AB456" s="871">
        <v>56</v>
      </c>
      <c r="AC456" s="871">
        <v>0</v>
      </c>
      <c r="AD456" s="871">
        <v>96.8</v>
      </c>
      <c r="AE456" s="871">
        <v>0</v>
      </c>
      <c r="AF456" s="871">
        <v>44</v>
      </c>
      <c r="AG456" s="871">
        <v>0</v>
      </c>
      <c r="AH456" s="871">
        <v>80</v>
      </c>
      <c r="AI456" s="871">
        <v>0</v>
      </c>
      <c r="AJ456" s="871"/>
      <c r="AK456" s="871"/>
      <c r="AL456" s="871"/>
      <c r="AM456" s="871"/>
      <c r="AN456" s="871"/>
      <c r="AO456" s="871"/>
      <c r="AP456" s="871"/>
    </row>
    <row r="457" spans="1:42" s="868" customFormat="1" ht="14">
      <c r="A457" s="866">
        <v>456</v>
      </c>
      <c r="B457" s="867" t="s">
        <v>641</v>
      </c>
      <c r="C457" s="867" t="s">
        <v>42</v>
      </c>
      <c r="D457" s="867" t="s">
        <v>2377</v>
      </c>
      <c r="E457" s="867" t="s">
        <v>2671</v>
      </c>
      <c r="F457" s="867" t="s">
        <v>642</v>
      </c>
      <c r="G457" s="868">
        <v>1</v>
      </c>
      <c r="H457" s="869">
        <v>0.53</v>
      </c>
      <c r="I457" s="869">
        <v>10.050000000000001</v>
      </c>
      <c r="J457" s="869">
        <f t="shared" si="28"/>
        <v>5.3265000000000002</v>
      </c>
      <c r="K457" s="869">
        <f t="shared" si="29"/>
        <v>0.69244500000000009</v>
      </c>
      <c r="L457" s="868">
        <v>21.3</v>
      </c>
      <c r="M457" s="867" t="s">
        <v>2598</v>
      </c>
      <c r="N457" s="866">
        <v>2021</v>
      </c>
      <c r="O457" s="867" t="s">
        <v>2674</v>
      </c>
      <c r="P457" s="870">
        <v>5415058039387</v>
      </c>
      <c r="Q457" s="867" t="s">
        <v>2385</v>
      </c>
      <c r="R457" s="871">
        <v>16</v>
      </c>
      <c r="S457" s="871">
        <v>0</v>
      </c>
      <c r="T457" s="871">
        <v>20</v>
      </c>
      <c r="U457" s="871">
        <v>0</v>
      </c>
      <c r="V457" s="871">
        <v>17.600000000000001</v>
      </c>
      <c r="W457" s="871">
        <v>0</v>
      </c>
      <c r="X457" s="871">
        <v>22</v>
      </c>
      <c r="Y457" s="871">
        <v>0</v>
      </c>
      <c r="Z457" s="871">
        <v>40</v>
      </c>
      <c r="AA457" s="871">
        <v>0</v>
      </c>
      <c r="AB457" s="871">
        <v>56</v>
      </c>
      <c r="AC457" s="871">
        <v>0</v>
      </c>
      <c r="AD457" s="871">
        <v>96.8</v>
      </c>
      <c r="AE457" s="871">
        <v>0</v>
      </c>
      <c r="AF457" s="871">
        <v>44</v>
      </c>
      <c r="AG457" s="871">
        <v>0</v>
      </c>
      <c r="AH457" s="871">
        <v>80</v>
      </c>
      <c r="AI457" s="871">
        <v>0</v>
      </c>
      <c r="AJ457" s="871"/>
      <c r="AK457" s="871"/>
      <c r="AL457" s="871"/>
      <c r="AM457" s="871"/>
      <c r="AN457" s="871"/>
      <c r="AO457" s="871"/>
      <c r="AP457" s="871"/>
    </row>
    <row r="458" spans="1:42" s="868" customFormat="1" ht="14">
      <c r="A458" s="866">
        <v>457</v>
      </c>
      <c r="B458" s="867" t="s">
        <v>643</v>
      </c>
      <c r="C458" s="867" t="s">
        <v>42</v>
      </c>
      <c r="D458" s="867" t="s">
        <v>2377</v>
      </c>
      <c r="E458" s="867" t="s">
        <v>2672</v>
      </c>
      <c r="F458" s="867" t="s">
        <v>642</v>
      </c>
      <c r="G458" s="868">
        <v>1</v>
      </c>
      <c r="H458" s="869">
        <v>0.53</v>
      </c>
      <c r="I458" s="869">
        <v>10.050000000000001</v>
      </c>
      <c r="J458" s="869">
        <f t="shared" si="28"/>
        <v>5.3265000000000002</v>
      </c>
      <c r="K458" s="869">
        <f t="shared" si="29"/>
        <v>0.69244500000000009</v>
      </c>
      <c r="L458" s="868">
        <v>53</v>
      </c>
      <c r="M458" s="867" t="s">
        <v>2380</v>
      </c>
      <c r="N458" s="866">
        <v>2021</v>
      </c>
      <c r="O458" s="867" t="s">
        <v>2674</v>
      </c>
      <c r="P458" s="870">
        <v>5415058039806</v>
      </c>
      <c r="Q458" s="867" t="s">
        <v>2385</v>
      </c>
      <c r="R458" s="871">
        <v>16</v>
      </c>
      <c r="S458" s="871">
        <v>0</v>
      </c>
      <c r="T458" s="871">
        <v>20</v>
      </c>
      <c r="U458" s="871">
        <v>0</v>
      </c>
      <c r="V458" s="871">
        <v>17.600000000000001</v>
      </c>
      <c r="W458" s="871">
        <v>0</v>
      </c>
      <c r="X458" s="871">
        <v>22</v>
      </c>
      <c r="Y458" s="871">
        <v>0</v>
      </c>
      <c r="Z458" s="871">
        <v>40</v>
      </c>
      <c r="AA458" s="871">
        <v>0</v>
      </c>
      <c r="AB458" s="871">
        <v>56</v>
      </c>
      <c r="AC458" s="871">
        <v>0</v>
      </c>
      <c r="AD458" s="871">
        <v>96.8</v>
      </c>
      <c r="AE458" s="871">
        <v>0</v>
      </c>
      <c r="AF458" s="871">
        <v>44</v>
      </c>
      <c r="AG458" s="871">
        <v>0</v>
      </c>
      <c r="AH458" s="871">
        <v>80</v>
      </c>
      <c r="AI458" s="871">
        <v>0</v>
      </c>
      <c r="AJ458" s="871"/>
      <c r="AK458" s="871"/>
      <c r="AL458" s="871"/>
      <c r="AM458" s="871"/>
      <c r="AN458" s="871"/>
      <c r="AO458" s="871"/>
      <c r="AP458" s="871"/>
    </row>
    <row r="459" spans="1:42" s="868" customFormat="1" ht="14">
      <c r="A459" s="866">
        <v>458</v>
      </c>
      <c r="B459" s="867" t="s">
        <v>645</v>
      </c>
      <c r="C459" s="867" t="s">
        <v>42</v>
      </c>
      <c r="D459" s="867" t="s">
        <v>2377</v>
      </c>
      <c r="E459" s="867" t="s">
        <v>2673</v>
      </c>
      <c r="F459" s="867" t="s">
        <v>600</v>
      </c>
      <c r="G459" s="868">
        <v>1</v>
      </c>
      <c r="H459" s="869">
        <v>0.53</v>
      </c>
      <c r="I459" s="869">
        <v>10.050000000000001</v>
      </c>
      <c r="J459" s="869">
        <f t="shared" si="28"/>
        <v>5.3265000000000002</v>
      </c>
      <c r="K459" s="869">
        <f t="shared" si="29"/>
        <v>0.69244500000000009</v>
      </c>
      <c r="L459" s="868">
        <v>53</v>
      </c>
      <c r="M459" s="867" t="s">
        <v>2380</v>
      </c>
      <c r="N459" s="866">
        <v>2021</v>
      </c>
      <c r="O459" s="867" t="s">
        <v>2674</v>
      </c>
      <c r="P459" s="870">
        <v>5415058039813</v>
      </c>
      <c r="Q459" s="867" t="s">
        <v>2385</v>
      </c>
      <c r="R459" s="871">
        <v>16</v>
      </c>
      <c r="S459" s="871">
        <v>0</v>
      </c>
      <c r="T459" s="871">
        <v>20</v>
      </c>
      <c r="U459" s="871">
        <v>0</v>
      </c>
      <c r="V459" s="871">
        <v>17.600000000000001</v>
      </c>
      <c r="W459" s="871">
        <v>0</v>
      </c>
      <c r="X459" s="871">
        <v>22</v>
      </c>
      <c r="Y459" s="871">
        <v>0</v>
      </c>
      <c r="Z459" s="871">
        <v>40</v>
      </c>
      <c r="AA459" s="871">
        <v>0</v>
      </c>
      <c r="AB459" s="871">
        <v>56</v>
      </c>
      <c r="AC459" s="871">
        <v>0</v>
      </c>
      <c r="AD459" s="871">
        <v>96.8</v>
      </c>
      <c r="AE459" s="871">
        <v>0</v>
      </c>
      <c r="AF459" s="871">
        <v>44</v>
      </c>
      <c r="AG459" s="871">
        <v>0</v>
      </c>
      <c r="AH459" s="871">
        <v>80</v>
      </c>
      <c r="AI459" s="871">
        <v>0</v>
      </c>
      <c r="AJ459" s="871"/>
      <c r="AK459" s="871"/>
      <c r="AL459" s="871"/>
      <c r="AM459" s="871"/>
      <c r="AN459" s="871"/>
      <c r="AO459" s="871"/>
      <c r="AP459" s="871"/>
    </row>
    <row r="460" spans="1:42" s="868" customFormat="1" ht="14">
      <c r="A460" s="866">
        <v>459</v>
      </c>
      <c r="B460" s="867" t="s">
        <v>647</v>
      </c>
      <c r="C460" s="867" t="s">
        <v>42</v>
      </c>
      <c r="D460" s="867" t="s">
        <v>2377</v>
      </c>
      <c r="E460" s="867" t="s">
        <v>2673</v>
      </c>
      <c r="F460" s="867" t="s">
        <v>642</v>
      </c>
      <c r="G460" s="868">
        <v>1</v>
      </c>
      <c r="H460" s="869">
        <v>0.53</v>
      </c>
      <c r="I460" s="869">
        <v>10.050000000000001</v>
      </c>
      <c r="J460" s="869">
        <f t="shared" si="28"/>
        <v>5.3265000000000002</v>
      </c>
      <c r="K460" s="869">
        <f t="shared" si="29"/>
        <v>0.69244500000000009</v>
      </c>
      <c r="L460" s="868">
        <v>53</v>
      </c>
      <c r="M460" s="867" t="s">
        <v>2380</v>
      </c>
      <c r="N460" s="866">
        <v>2021</v>
      </c>
      <c r="O460" s="867" t="s">
        <v>2674</v>
      </c>
      <c r="P460" s="870">
        <v>5415058039820</v>
      </c>
      <c r="Q460" s="867" t="s">
        <v>2385</v>
      </c>
      <c r="R460" s="871">
        <v>16</v>
      </c>
      <c r="S460" s="871">
        <v>0</v>
      </c>
      <c r="T460" s="871">
        <v>20</v>
      </c>
      <c r="U460" s="871">
        <v>0</v>
      </c>
      <c r="V460" s="871">
        <v>17.600000000000001</v>
      </c>
      <c r="W460" s="871">
        <v>0</v>
      </c>
      <c r="X460" s="871">
        <v>22</v>
      </c>
      <c r="Y460" s="871">
        <v>0</v>
      </c>
      <c r="Z460" s="871">
        <v>40</v>
      </c>
      <c r="AA460" s="871">
        <v>0</v>
      </c>
      <c r="AB460" s="871">
        <v>56</v>
      </c>
      <c r="AC460" s="871">
        <v>0</v>
      </c>
      <c r="AD460" s="871">
        <v>96.8</v>
      </c>
      <c r="AE460" s="871">
        <v>0</v>
      </c>
      <c r="AF460" s="871">
        <v>44</v>
      </c>
      <c r="AG460" s="871">
        <v>0</v>
      </c>
      <c r="AH460" s="871">
        <v>80</v>
      </c>
      <c r="AI460" s="871">
        <v>0</v>
      </c>
      <c r="AJ460" s="871"/>
      <c r="AK460" s="871"/>
      <c r="AL460" s="871"/>
      <c r="AM460" s="871"/>
      <c r="AN460" s="871"/>
      <c r="AO460" s="871"/>
      <c r="AP460" s="871"/>
    </row>
    <row r="461" spans="1:42" s="868" customFormat="1" ht="14">
      <c r="A461" s="866">
        <v>460</v>
      </c>
      <c r="B461" s="867" t="s">
        <v>648</v>
      </c>
      <c r="C461" s="867" t="s">
        <v>42</v>
      </c>
      <c r="D461" s="867" t="s">
        <v>2377</v>
      </c>
      <c r="E461" s="867" t="s">
        <v>2673</v>
      </c>
      <c r="F461" s="867" t="s">
        <v>594</v>
      </c>
      <c r="G461" s="868">
        <v>1</v>
      </c>
      <c r="H461" s="869">
        <v>0.53</v>
      </c>
      <c r="I461" s="869">
        <v>10.050000000000001</v>
      </c>
      <c r="J461" s="869">
        <f t="shared" si="28"/>
        <v>5.3265000000000002</v>
      </c>
      <c r="K461" s="869">
        <f t="shared" si="29"/>
        <v>0.69244500000000009</v>
      </c>
      <c r="L461" s="868">
        <v>53</v>
      </c>
      <c r="M461" s="867" t="s">
        <v>2380</v>
      </c>
      <c r="N461" s="866">
        <v>2021</v>
      </c>
      <c r="O461" s="867" t="s">
        <v>2674</v>
      </c>
      <c r="P461" s="870">
        <v>5415058039837</v>
      </c>
      <c r="Q461" s="867" t="s">
        <v>2385</v>
      </c>
      <c r="R461" s="871">
        <v>16</v>
      </c>
      <c r="S461" s="871">
        <v>0</v>
      </c>
      <c r="T461" s="871">
        <v>20</v>
      </c>
      <c r="U461" s="871">
        <v>0</v>
      </c>
      <c r="V461" s="871">
        <v>17.600000000000001</v>
      </c>
      <c r="W461" s="871">
        <v>0</v>
      </c>
      <c r="X461" s="871">
        <v>22</v>
      </c>
      <c r="Y461" s="871">
        <v>0</v>
      </c>
      <c r="Z461" s="871">
        <v>40</v>
      </c>
      <c r="AA461" s="871">
        <v>0</v>
      </c>
      <c r="AB461" s="871">
        <v>56</v>
      </c>
      <c r="AC461" s="871">
        <v>0</v>
      </c>
      <c r="AD461" s="871">
        <v>96.8</v>
      </c>
      <c r="AE461" s="871">
        <v>0</v>
      </c>
      <c r="AF461" s="871">
        <v>44</v>
      </c>
      <c r="AG461" s="871">
        <v>0</v>
      </c>
      <c r="AH461" s="871">
        <v>80</v>
      </c>
      <c r="AI461" s="871">
        <v>0</v>
      </c>
      <c r="AJ461" s="871"/>
      <c r="AK461" s="871"/>
      <c r="AL461" s="871"/>
      <c r="AM461" s="871"/>
      <c r="AN461" s="871"/>
      <c r="AO461" s="871"/>
      <c r="AP461" s="871"/>
    </row>
    <row r="462" spans="1:42" s="868" customFormat="1" ht="14">
      <c r="A462" s="866">
        <v>461</v>
      </c>
      <c r="B462" s="867" t="s">
        <v>649</v>
      </c>
      <c r="C462" s="867" t="s">
        <v>42</v>
      </c>
      <c r="D462" s="867" t="s">
        <v>2377</v>
      </c>
      <c r="E462" s="867" t="s">
        <v>2673</v>
      </c>
      <c r="F462" s="867" t="s">
        <v>650</v>
      </c>
      <c r="G462" s="868">
        <v>1</v>
      </c>
      <c r="H462" s="869">
        <v>0.53</v>
      </c>
      <c r="I462" s="869">
        <v>10.050000000000001</v>
      </c>
      <c r="J462" s="869">
        <f t="shared" si="28"/>
        <v>5.3265000000000002</v>
      </c>
      <c r="K462" s="869">
        <f t="shared" si="29"/>
        <v>0.69244500000000009</v>
      </c>
      <c r="L462" s="868">
        <v>53</v>
      </c>
      <c r="M462" s="867" t="s">
        <v>2380</v>
      </c>
      <c r="N462" s="866">
        <v>2021</v>
      </c>
      <c r="O462" s="867" t="s">
        <v>2674</v>
      </c>
      <c r="P462" s="870">
        <v>5415058039844</v>
      </c>
      <c r="Q462" s="867" t="s">
        <v>2385</v>
      </c>
      <c r="R462" s="871">
        <v>16</v>
      </c>
      <c r="S462" s="871">
        <v>0</v>
      </c>
      <c r="T462" s="871">
        <v>20</v>
      </c>
      <c r="U462" s="871">
        <v>0</v>
      </c>
      <c r="V462" s="871">
        <v>17.600000000000001</v>
      </c>
      <c r="W462" s="871">
        <v>0</v>
      </c>
      <c r="X462" s="871">
        <v>22</v>
      </c>
      <c r="Y462" s="871">
        <v>0</v>
      </c>
      <c r="Z462" s="871">
        <v>40</v>
      </c>
      <c r="AA462" s="871">
        <v>0</v>
      </c>
      <c r="AB462" s="871">
        <v>56</v>
      </c>
      <c r="AC462" s="871">
        <v>0</v>
      </c>
      <c r="AD462" s="871">
        <v>96.8</v>
      </c>
      <c r="AE462" s="871">
        <v>0</v>
      </c>
      <c r="AF462" s="871">
        <v>44</v>
      </c>
      <c r="AG462" s="871">
        <v>0</v>
      </c>
      <c r="AH462" s="871">
        <v>80</v>
      </c>
      <c r="AI462" s="871">
        <v>0</v>
      </c>
      <c r="AJ462" s="871"/>
      <c r="AK462" s="871"/>
      <c r="AL462" s="871"/>
      <c r="AM462" s="871"/>
      <c r="AN462" s="871"/>
      <c r="AO462" s="871"/>
      <c r="AP462" s="871"/>
    </row>
    <row r="463" spans="1:42" s="868" customFormat="1" ht="14">
      <c r="A463" s="866">
        <v>462</v>
      </c>
      <c r="B463" s="867" t="s">
        <v>651</v>
      </c>
      <c r="C463" s="867" t="s">
        <v>42</v>
      </c>
      <c r="D463" s="867" t="s">
        <v>2377</v>
      </c>
      <c r="E463" s="867" t="s">
        <v>2673</v>
      </c>
      <c r="F463" s="867" t="s">
        <v>656</v>
      </c>
      <c r="G463" s="868">
        <v>1</v>
      </c>
      <c r="H463" s="869">
        <v>0.53</v>
      </c>
      <c r="I463" s="869">
        <v>10.050000000000001</v>
      </c>
      <c r="J463" s="869">
        <f t="shared" si="28"/>
        <v>5.3265000000000002</v>
      </c>
      <c r="K463" s="869">
        <f t="shared" si="29"/>
        <v>0.69244500000000009</v>
      </c>
      <c r="L463" s="868">
        <v>53</v>
      </c>
      <c r="M463" s="867" t="s">
        <v>2380</v>
      </c>
      <c r="N463" s="866">
        <v>2021</v>
      </c>
      <c r="O463" s="867" t="s">
        <v>2674</v>
      </c>
      <c r="P463" s="870">
        <v>5415058039851</v>
      </c>
      <c r="Q463" s="867" t="s">
        <v>2385</v>
      </c>
      <c r="R463" s="871">
        <v>16</v>
      </c>
      <c r="S463" s="871">
        <v>0</v>
      </c>
      <c r="T463" s="871">
        <v>20</v>
      </c>
      <c r="U463" s="871">
        <v>0</v>
      </c>
      <c r="V463" s="871">
        <v>17.600000000000001</v>
      </c>
      <c r="W463" s="871">
        <v>0</v>
      </c>
      <c r="X463" s="871">
        <v>22</v>
      </c>
      <c r="Y463" s="871">
        <v>0</v>
      </c>
      <c r="Z463" s="871">
        <v>40</v>
      </c>
      <c r="AA463" s="871">
        <v>0</v>
      </c>
      <c r="AB463" s="871">
        <v>56</v>
      </c>
      <c r="AC463" s="871">
        <v>0</v>
      </c>
      <c r="AD463" s="871">
        <v>96.8</v>
      </c>
      <c r="AE463" s="871">
        <v>0</v>
      </c>
      <c r="AF463" s="871">
        <v>44</v>
      </c>
      <c r="AG463" s="871">
        <v>0</v>
      </c>
      <c r="AH463" s="871">
        <v>80</v>
      </c>
      <c r="AI463" s="871">
        <v>0</v>
      </c>
      <c r="AJ463" s="871"/>
      <c r="AK463" s="871"/>
      <c r="AL463" s="871"/>
      <c r="AM463" s="871"/>
      <c r="AN463" s="871"/>
      <c r="AO463" s="871"/>
      <c r="AP463" s="871"/>
    </row>
    <row r="464" spans="1:42" s="868" customFormat="1" ht="14">
      <c r="A464" s="866">
        <v>463</v>
      </c>
      <c r="B464" s="867" t="s">
        <v>652</v>
      </c>
      <c r="C464" s="867" t="s">
        <v>42</v>
      </c>
      <c r="D464" s="867" t="s">
        <v>2450</v>
      </c>
      <c r="E464" s="867" t="s">
        <v>2675</v>
      </c>
      <c r="F464" s="867" t="s">
        <v>625</v>
      </c>
      <c r="G464" s="868">
        <v>6</v>
      </c>
      <c r="H464" s="869">
        <v>0.53</v>
      </c>
      <c r="I464" s="869">
        <v>3</v>
      </c>
      <c r="J464" s="869">
        <f t="shared" si="28"/>
        <v>9.5400000000000009</v>
      </c>
      <c r="K464" s="869">
        <f t="shared" si="29"/>
        <v>1.2402</v>
      </c>
      <c r="L464" s="868">
        <v>0</v>
      </c>
      <c r="M464" s="867" t="s">
        <v>47</v>
      </c>
      <c r="N464" s="866">
        <v>2050</v>
      </c>
      <c r="O464" s="867" t="s">
        <v>2674</v>
      </c>
      <c r="P464" s="870">
        <v>5415058039394</v>
      </c>
      <c r="Q464" s="867" t="s">
        <v>2474</v>
      </c>
      <c r="R464" s="871">
        <v>14.5</v>
      </c>
      <c r="S464" s="871">
        <v>16.7</v>
      </c>
      <c r="T464" s="871">
        <v>14.5</v>
      </c>
      <c r="U464" s="871">
        <v>16.7</v>
      </c>
      <c r="V464" s="871">
        <v>16</v>
      </c>
      <c r="W464" s="871">
        <v>18.5</v>
      </c>
      <c r="X464" s="871">
        <v>16</v>
      </c>
      <c r="Y464" s="871">
        <v>18.5</v>
      </c>
      <c r="Z464" s="871">
        <v>26</v>
      </c>
      <c r="AA464" s="871">
        <v>30</v>
      </c>
      <c r="AB464" s="871">
        <v>35</v>
      </c>
      <c r="AC464" s="871">
        <v>40.25</v>
      </c>
      <c r="AD464" s="871">
        <v>55</v>
      </c>
      <c r="AE464" s="871">
        <v>60.5</v>
      </c>
      <c r="AF464" s="871">
        <v>25</v>
      </c>
      <c r="AG464" s="871">
        <v>28.75</v>
      </c>
      <c r="AH464" s="871">
        <v>45.45</v>
      </c>
      <c r="AI464" s="871">
        <v>50</v>
      </c>
      <c r="AJ464" s="871"/>
      <c r="AK464" s="871"/>
      <c r="AL464" s="871"/>
      <c r="AM464" s="871"/>
      <c r="AN464" s="871"/>
      <c r="AO464" s="871"/>
      <c r="AP464" s="871"/>
    </row>
    <row r="465" spans="1:42" s="868" customFormat="1" ht="14">
      <c r="A465" s="866">
        <v>464</v>
      </c>
      <c r="B465" s="867" t="s">
        <v>655</v>
      </c>
      <c r="C465" s="867" t="s">
        <v>42</v>
      </c>
      <c r="D465" s="867" t="s">
        <v>2450</v>
      </c>
      <c r="E465" s="867" t="s">
        <v>2675</v>
      </c>
      <c r="F465" s="867" t="s">
        <v>656</v>
      </c>
      <c r="G465" s="868">
        <v>6</v>
      </c>
      <c r="H465" s="869">
        <v>0.53</v>
      </c>
      <c r="I465" s="869">
        <v>3</v>
      </c>
      <c r="J465" s="869">
        <f t="shared" ref="J465:J467" si="30">H465*I465*G465</f>
        <v>9.5400000000000009</v>
      </c>
      <c r="K465" s="869">
        <f t="shared" ref="K465:K467" si="31">J465*130/1000</f>
        <v>1.2402</v>
      </c>
      <c r="L465" s="868">
        <v>0</v>
      </c>
      <c r="M465" s="867" t="s">
        <v>47</v>
      </c>
      <c r="N465" s="866">
        <v>2050</v>
      </c>
      <c r="O465" s="867" t="s">
        <v>2674</v>
      </c>
      <c r="P465" s="870">
        <v>5415058039479</v>
      </c>
      <c r="Q465" s="867" t="s">
        <v>2474</v>
      </c>
      <c r="R465" s="871">
        <v>14.5</v>
      </c>
      <c r="S465" s="871">
        <v>16.7</v>
      </c>
      <c r="T465" s="871">
        <v>14.5</v>
      </c>
      <c r="U465" s="871">
        <v>16.7</v>
      </c>
      <c r="V465" s="871">
        <v>16</v>
      </c>
      <c r="W465" s="871">
        <v>18.5</v>
      </c>
      <c r="X465" s="871">
        <v>16</v>
      </c>
      <c r="Y465" s="871">
        <v>18.5</v>
      </c>
      <c r="Z465" s="871">
        <v>26</v>
      </c>
      <c r="AA465" s="871">
        <v>30</v>
      </c>
      <c r="AB465" s="871">
        <v>35</v>
      </c>
      <c r="AC465" s="871">
        <v>40.25</v>
      </c>
      <c r="AD465" s="871">
        <v>55</v>
      </c>
      <c r="AE465" s="871">
        <v>60.5</v>
      </c>
      <c r="AF465" s="871">
        <v>25</v>
      </c>
      <c r="AG465" s="871">
        <v>28.75</v>
      </c>
      <c r="AH465" s="871">
        <v>45.45</v>
      </c>
      <c r="AI465" s="871">
        <v>50</v>
      </c>
      <c r="AJ465" s="871"/>
      <c r="AK465" s="871"/>
      <c r="AL465" s="871"/>
      <c r="AM465" s="871"/>
      <c r="AN465" s="871"/>
      <c r="AO465" s="871"/>
      <c r="AP465" s="871"/>
    </row>
    <row r="466" spans="1:42" s="868" customFormat="1" ht="14">
      <c r="A466" s="866">
        <v>465</v>
      </c>
      <c r="B466" s="867" t="s">
        <v>657</v>
      </c>
      <c r="C466" s="867" t="s">
        <v>42</v>
      </c>
      <c r="D466" s="867" t="s">
        <v>2450</v>
      </c>
      <c r="E466" s="867" t="s">
        <v>2675</v>
      </c>
      <c r="F466" s="867" t="s">
        <v>650</v>
      </c>
      <c r="G466" s="868">
        <v>6</v>
      </c>
      <c r="H466" s="869">
        <v>0.53</v>
      </c>
      <c r="I466" s="869">
        <v>3</v>
      </c>
      <c r="J466" s="869">
        <f t="shared" si="30"/>
        <v>9.5400000000000009</v>
      </c>
      <c r="K466" s="869">
        <f t="shared" si="31"/>
        <v>1.2402</v>
      </c>
      <c r="L466" s="868">
        <v>0</v>
      </c>
      <c r="M466" s="867" t="s">
        <v>47</v>
      </c>
      <c r="N466" s="866">
        <v>2050</v>
      </c>
      <c r="O466" s="867" t="s">
        <v>2674</v>
      </c>
      <c r="P466" s="870">
        <v>5415058039400</v>
      </c>
      <c r="Q466" s="867" t="s">
        <v>2474</v>
      </c>
      <c r="R466" s="871">
        <v>14.5</v>
      </c>
      <c r="S466" s="871">
        <v>16.7</v>
      </c>
      <c r="T466" s="871">
        <v>14.5</v>
      </c>
      <c r="U466" s="871">
        <v>16.7</v>
      </c>
      <c r="V466" s="871">
        <v>16</v>
      </c>
      <c r="W466" s="871">
        <v>18.5</v>
      </c>
      <c r="X466" s="871">
        <v>16</v>
      </c>
      <c r="Y466" s="871">
        <v>18.5</v>
      </c>
      <c r="Z466" s="871">
        <v>26</v>
      </c>
      <c r="AA466" s="871">
        <v>30</v>
      </c>
      <c r="AB466" s="871">
        <v>35</v>
      </c>
      <c r="AC466" s="871">
        <v>40.25</v>
      </c>
      <c r="AD466" s="871">
        <v>55</v>
      </c>
      <c r="AE466" s="871">
        <v>60.5</v>
      </c>
      <c r="AF466" s="871">
        <v>25</v>
      </c>
      <c r="AG466" s="871">
        <v>28.75</v>
      </c>
      <c r="AH466" s="871">
        <v>45.45</v>
      </c>
      <c r="AI466" s="871">
        <v>50</v>
      </c>
      <c r="AJ466" s="871"/>
      <c r="AK466" s="871"/>
      <c r="AL466" s="871"/>
      <c r="AM466" s="871"/>
      <c r="AN466" s="871"/>
      <c r="AO466" s="871"/>
      <c r="AP466" s="871"/>
    </row>
    <row r="467" spans="1:42" s="868" customFormat="1" ht="14">
      <c r="A467" s="866">
        <v>466</v>
      </c>
      <c r="B467" s="867" t="s">
        <v>658</v>
      </c>
      <c r="C467" s="867" t="s">
        <v>42</v>
      </c>
      <c r="D467" s="867" t="s">
        <v>2450</v>
      </c>
      <c r="E467" s="867" t="s">
        <v>2675</v>
      </c>
      <c r="F467" s="867" t="s">
        <v>659</v>
      </c>
      <c r="G467" s="868">
        <v>6</v>
      </c>
      <c r="H467" s="869">
        <v>0.53</v>
      </c>
      <c r="I467" s="869">
        <v>3</v>
      </c>
      <c r="J467" s="869">
        <f t="shared" si="30"/>
        <v>9.5400000000000009</v>
      </c>
      <c r="K467" s="869">
        <f t="shared" si="31"/>
        <v>1.2402</v>
      </c>
      <c r="L467" s="868">
        <v>0</v>
      </c>
      <c r="M467" s="867" t="s">
        <v>47</v>
      </c>
      <c r="N467" s="866">
        <v>2050</v>
      </c>
      <c r="O467" s="867" t="s">
        <v>2674</v>
      </c>
      <c r="P467" s="870">
        <v>5415058039493</v>
      </c>
      <c r="Q467" s="867" t="s">
        <v>2474</v>
      </c>
      <c r="R467" s="871">
        <v>14.5</v>
      </c>
      <c r="S467" s="871">
        <v>16.7</v>
      </c>
      <c r="T467" s="871">
        <v>14.5</v>
      </c>
      <c r="U467" s="871">
        <v>16.7</v>
      </c>
      <c r="V467" s="871">
        <v>16</v>
      </c>
      <c r="W467" s="871">
        <v>18.5</v>
      </c>
      <c r="X467" s="871">
        <v>16</v>
      </c>
      <c r="Y467" s="871">
        <v>18.5</v>
      </c>
      <c r="Z467" s="871">
        <v>26</v>
      </c>
      <c r="AA467" s="871">
        <v>30</v>
      </c>
      <c r="AB467" s="871">
        <v>35</v>
      </c>
      <c r="AC467" s="871">
        <v>40.25</v>
      </c>
      <c r="AD467" s="871">
        <v>55</v>
      </c>
      <c r="AE467" s="871">
        <v>60.5</v>
      </c>
      <c r="AF467" s="871">
        <v>25</v>
      </c>
      <c r="AG467" s="871">
        <v>28.75</v>
      </c>
      <c r="AH467" s="871">
        <v>45.45</v>
      </c>
      <c r="AI467" s="871">
        <v>50</v>
      </c>
      <c r="AJ467" s="871"/>
      <c r="AK467" s="871"/>
      <c r="AL467" s="871"/>
      <c r="AM467" s="871"/>
      <c r="AN467" s="871"/>
      <c r="AO467" s="871"/>
      <c r="AP467" s="871"/>
    </row>
    <row r="468" spans="1:42" s="868" customFormat="1" ht="14">
      <c r="A468" s="866">
        <v>467</v>
      </c>
      <c r="B468" s="867" t="s">
        <v>660</v>
      </c>
      <c r="C468" s="867" t="s">
        <v>42</v>
      </c>
      <c r="D468" s="867" t="s">
        <v>2450</v>
      </c>
      <c r="E468" s="867" t="s">
        <v>2676</v>
      </c>
      <c r="F468" s="867" t="s">
        <v>650</v>
      </c>
      <c r="G468" s="868">
        <v>6</v>
      </c>
      <c r="H468" s="869">
        <v>0.53</v>
      </c>
      <c r="I468" s="869">
        <v>3</v>
      </c>
      <c r="J468" s="869">
        <f t="shared" ref="J468:J471" si="32">H468*I468*G468</f>
        <v>9.5400000000000009</v>
      </c>
      <c r="K468" s="869">
        <f t="shared" ref="K468:K471" si="33">J468*130/1000</f>
        <v>1.2402</v>
      </c>
      <c r="L468" s="868">
        <v>0</v>
      </c>
      <c r="M468" s="867" t="s">
        <v>47</v>
      </c>
      <c r="N468" s="866">
        <v>2050</v>
      </c>
      <c r="O468" s="867" t="s">
        <v>2674</v>
      </c>
      <c r="P468" s="870">
        <v>5415058039486</v>
      </c>
      <c r="Q468" s="867" t="s">
        <v>2474</v>
      </c>
      <c r="R468" s="871">
        <v>14.5</v>
      </c>
      <c r="S468" s="871">
        <v>16.7</v>
      </c>
      <c r="T468" s="871">
        <v>14.5</v>
      </c>
      <c r="U468" s="871">
        <v>16.7</v>
      </c>
      <c r="V468" s="871">
        <v>16</v>
      </c>
      <c r="W468" s="871">
        <v>18.5</v>
      </c>
      <c r="X468" s="871">
        <v>16</v>
      </c>
      <c r="Y468" s="871">
        <v>18.5</v>
      </c>
      <c r="Z468" s="871">
        <v>26</v>
      </c>
      <c r="AA468" s="871">
        <v>30</v>
      </c>
      <c r="AB468" s="871">
        <v>35</v>
      </c>
      <c r="AC468" s="871">
        <v>40.25</v>
      </c>
      <c r="AD468" s="871">
        <v>55</v>
      </c>
      <c r="AE468" s="871">
        <v>60.5</v>
      </c>
      <c r="AF468" s="871">
        <v>25</v>
      </c>
      <c r="AG468" s="871">
        <v>28.75</v>
      </c>
      <c r="AH468" s="871">
        <v>45.45</v>
      </c>
      <c r="AI468" s="871">
        <v>50</v>
      </c>
      <c r="AJ468" s="871"/>
      <c r="AK468" s="871"/>
      <c r="AL468" s="871"/>
      <c r="AM468" s="871"/>
      <c r="AN468" s="871"/>
      <c r="AO468" s="871"/>
      <c r="AP468" s="871"/>
    </row>
    <row r="469" spans="1:42" s="868" customFormat="1" ht="14">
      <c r="A469" s="866">
        <v>468</v>
      </c>
      <c r="B469" s="867" t="s">
        <v>662</v>
      </c>
      <c r="C469" s="867" t="s">
        <v>42</v>
      </c>
      <c r="D469" s="867" t="s">
        <v>2450</v>
      </c>
      <c r="E469" s="867" t="s">
        <v>2676</v>
      </c>
      <c r="F469" s="867" t="s">
        <v>625</v>
      </c>
      <c r="G469" s="868">
        <v>6</v>
      </c>
      <c r="H469" s="869">
        <v>0.53</v>
      </c>
      <c r="I469" s="869">
        <v>3</v>
      </c>
      <c r="J469" s="869">
        <f t="shared" si="32"/>
        <v>9.5400000000000009</v>
      </c>
      <c r="K469" s="869">
        <f t="shared" si="33"/>
        <v>1.2402</v>
      </c>
      <c r="L469" s="868">
        <v>0</v>
      </c>
      <c r="M469" s="867" t="s">
        <v>47</v>
      </c>
      <c r="N469" s="866">
        <v>2050</v>
      </c>
      <c r="O469" s="867" t="s">
        <v>2674</v>
      </c>
      <c r="P469" s="870">
        <v>5415058039868</v>
      </c>
      <c r="Q469" s="867" t="s">
        <v>2474</v>
      </c>
      <c r="R469" s="871">
        <v>14.5</v>
      </c>
      <c r="S469" s="871">
        <v>16.7</v>
      </c>
      <c r="T469" s="871">
        <v>14.5</v>
      </c>
      <c r="U469" s="871">
        <v>16.7</v>
      </c>
      <c r="V469" s="871">
        <v>16</v>
      </c>
      <c r="W469" s="871">
        <v>18.5</v>
      </c>
      <c r="X469" s="871">
        <v>16</v>
      </c>
      <c r="Y469" s="871">
        <v>18.5</v>
      </c>
      <c r="Z469" s="871">
        <v>26</v>
      </c>
      <c r="AA469" s="871">
        <v>30</v>
      </c>
      <c r="AB469" s="871">
        <v>35</v>
      </c>
      <c r="AC469" s="871">
        <v>40.25</v>
      </c>
      <c r="AD469" s="871">
        <v>55</v>
      </c>
      <c r="AE469" s="871">
        <v>60.5</v>
      </c>
      <c r="AF469" s="871">
        <v>25</v>
      </c>
      <c r="AG469" s="871">
        <v>28.75</v>
      </c>
      <c r="AH469" s="871">
        <v>45.45</v>
      </c>
      <c r="AI469" s="871">
        <v>50</v>
      </c>
      <c r="AJ469" s="871"/>
      <c r="AK469" s="871"/>
      <c r="AL469" s="871"/>
      <c r="AM469" s="871"/>
      <c r="AN469" s="871"/>
      <c r="AO469" s="871"/>
      <c r="AP469" s="871"/>
    </row>
    <row r="470" spans="1:42" s="868" customFormat="1" ht="14">
      <c r="A470" s="866">
        <v>469</v>
      </c>
      <c r="B470" s="867" t="s">
        <v>663</v>
      </c>
      <c r="C470" s="867" t="s">
        <v>42</v>
      </c>
      <c r="D470" s="867" t="s">
        <v>2450</v>
      </c>
      <c r="E470" s="867" t="s">
        <v>2676</v>
      </c>
      <c r="F470" s="867" t="s">
        <v>664</v>
      </c>
      <c r="G470" s="868">
        <v>6</v>
      </c>
      <c r="H470" s="869">
        <v>0.53</v>
      </c>
      <c r="I470" s="869">
        <v>3</v>
      </c>
      <c r="J470" s="869">
        <f t="shared" si="32"/>
        <v>9.5400000000000009</v>
      </c>
      <c r="K470" s="869">
        <f t="shared" si="33"/>
        <v>1.2402</v>
      </c>
      <c r="L470" s="868">
        <v>0</v>
      </c>
      <c r="M470" s="867" t="s">
        <v>47</v>
      </c>
      <c r="N470" s="866">
        <v>2050</v>
      </c>
      <c r="O470" s="867" t="s">
        <v>2674</v>
      </c>
      <c r="P470" s="870">
        <v>5415058039875</v>
      </c>
      <c r="Q470" s="867" t="s">
        <v>2474</v>
      </c>
      <c r="R470" s="871">
        <v>14.5</v>
      </c>
      <c r="S470" s="871">
        <v>16.7</v>
      </c>
      <c r="T470" s="871">
        <v>14.5</v>
      </c>
      <c r="U470" s="871">
        <v>16.7</v>
      </c>
      <c r="V470" s="871">
        <v>16</v>
      </c>
      <c r="W470" s="871">
        <v>18.5</v>
      </c>
      <c r="X470" s="871">
        <v>16</v>
      </c>
      <c r="Y470" s="871">
        <v>18.5</v>
      </c>
      <c r="Z470" s="871">
        <v>26</v>
      </c>
      <c r="AA470" s="871">
        <v>30</v>
      </c>
      <c r="AB470" s="871">
        <v>35</v>
      </c>
      <c r="AC470" s="871">
        <v>40.25</v>
      </c>
      <c r="AD470" s="871">
        <v>55</v>
      </c>
      <c r="AE470" s="871">
        <v>60.5</v>
      </c>
      <c r="AF470" s="871">
        <v>25</v>
      </c>
      <c r="AG470" s="871">
        <v>28.75</v>
      </c>
      <c r="AH470" s="871">
        <v>45.45</v>
      </c>
      <c r="AI470" s="871">
        <v>50</v>
      </c>
      <c r="AJ470" s="871"/>
      <c r="AK470" s="871"/>
      <c r="AL470" s="871"/>
      <c r="AM470" s="871"/>
      <c r="AN470" s="871"/>
      <c r="AO470" s="871"/>
      <c r="AP470" s="871"/>
    </row>
    <row r="471" spans="1:42" s="868" customFormat="1" ht="14">
      <c r="A471" s="866">
        <v>470</v>
      </c>
      <c r="B471" s="867" t="s">
        <v>665</v>
      </c>
      <c r="C471" s="867" t="s">
        <v>42</v>
      </c>
      <c r="D471" s="867" t="s">
        <v>2450</v>
      </c>
      <c r="E471" s="867" t="s">
        <v>2676</v>
      </c>
      <c r="F471" s="867" t="s">
        <v>600</v>
      </c>
      <c r="G471" s="868">
        <v>6</v>
      </c>
      <c r="H471" s="869">
        <v>0.53</v>
      </c>
      <c r="I471" s="869">
        <v>3</v>
      </c>
      <c r="J471" s="869">
        <f t="shared" si="32"/>
        <v>9.5400000000000009</v>
      </c>
      <c r="K471" s="869">
        <f t="shared" si="33"/>
        <v>1.2402</v>
      </c>
      <c r="L471" s="868">
        <v>0</v>
      </c>
      <c r="M471" s="867" t="s">
        <v>47</v>
      </c>
      <c r="N471" s="866">
        <v>2050</v>
      </c>
      <c r="O471" s="867" t="s">
        <v>2674</v>
      </c>
      <c r="P471" s="870">
        <v>5415058039882</v>
      </c>
      <c r="Q471" s="867" t="s">
        <v>2474</v>
      </c>
      <c r="R471" s="871">
        <v>14.5</v>
      </c>
      <c r="S471" s="871">
        <v>16.7</v>
      </c>
      <c r="T471" s="871">
        <v>14.5</v>
      </c>
      <c r="U471" s="871">
        <v>16.7</v>
      </c>
      <c r="V471" s="871">
        <v>16</v>
      </c>
      <c r="W471" s="871">
        <v>18.5</v>
      </c>
      <c r="X471" s="871">
        <v>16</v>
      </c>
      <c r="Y471" s="871">
        <v>18.5</v>
      </c>
      <c r="Z471" s="871">
        <v>26</v>
      </c>
      <c r="AA471" s="871">
        <v>30</v>
      </c>
      <c r="AB471" s="871">
        <v>35</v>
      </c>
      <c r="AC471" s="871">
        <v>40.25</v>
      </c>
      <c r="AD471" s="871">
        <v>55</v>
      </c>
      <c r="AE471" s="871">
        <v>60.5</v>
      </c>
      <c r="AF471" s="871">
        <v>25</v>
      </c>
      <c r="AG471" s="871">
        <v>28.75</v>
      </c>
      <c r="AH471" s="871">
        <v>45.45</v>
      </c>
      <c r="AI471" s="871">
        <v>50</v>
      </c>
      <c r="AJ471" s="871"/>
      <c r="AK471" s="871"/>
      <c r="AL471" s="871"/>
      <c r="AM471" s="871"/>
      <c r="AN471" s="871"/>
      <c r="AO471" s="871"/>
      <c r="AP471" s="871"/>
    </row>
    <row r="472" spans="1:42" s="868" customFormat="1" ht="14">
      <c r="A472" s="866">
        <v>471</v>
      </c>
      <c r="B472" s="867" t="s">
        <v>666</v>
      </c>
      <c r="C472" s="867" t="s">
        <v>42</v>
      </c>
      <c r="D472" s="867" t="s">
        <v>2450</v>
      </c>
      <c r="E472" s="867" t="s">
        <v>2677</v>
      </c>
      <c r="F472" s="867" t="s">
        <v>664</v>
      </c>
      <c r="G472" s="868">
        <v>6</v>
      </c>
      <c r="H472" s="869">
        <v>0.53</v>
      </c>
      <c r="I472" s="869">
        <v>3</v>
      </c>
      <c r="J472" s="869">
        <f t="shared" ref="J472:J475" si="34">H472*I472*G472</f>
        <v>9.5400000000000009</v>
      </c>
      <c r="K472" s="869">
        <f t="shared" ref="K472:K475" si="35">J472*130/1000</f>
        <v>1.2402</v>
      </c>
      <c r="L472" s="868">
        <v>0</v>
      </c>
      <c r="M472" s="867" t="s">
        <v>47</v>
      </c>
      <c r="N472" s="866">
        <v>2050</v>
      </c>
      <c r="O472" s="867" t="s">
        <v>2674</v>
      </c>
      <c r="P472" s="870">
        <v>5415058039417</v>
      </c>
      <c r="Q472" s="867" t="s">
        <v>2474</v>
      </c>
      <c r="R472" s="871">
        <v>14.5</v>
      </c>
      <c r="S472" s="871">
        <v>16.7</v>
      </c>
      <c r="T472" s="871">
        <v>14.5</v>
      </c>
      <c r="U472" s="871">
        <v>16.7</v>
      </c>
      <c r="V472" s="871">
        <v>16</v>
      </c>
      <c r="W472" s="871">
        <v>18.5</v>
      </c>
      <c r="X472" s="871">
        <v>16</v>
      </c>
      <c r="Y472" s="871">
        <v>18.5</v>
      </c>
      <c r="Z472" s="871">
        <v>26</v>
      </c>
      <c r="AA472" s="871">
        <v>30</v>
      </c>
      <c r="AB472" s="871">
        <v>35</v>
      </c>
      <c r="AC472" s="871">
        <v>40.25</v>
      </c>
      <c r="AD472" s="871">
        <v>55</v>
      </c>
      <c r="AE472" s="871">
        <v>60.5</v>
      </c>
      <c r="AF472" s="871">
        <v>25</v>
      </c>
      <c r="AG472" s="871">
        <v>28.75</v>
      </c>
      <c r="AH472" s="871">
        <v>45.45</v>
      </c>
      <c r="AI472" s="871">
        <v>50</v>
      </c>
      <c r="AJ472" s="871"/>
      <c r="AK472" s="871"/>
      <c r="AL472" s="871"/>
      <c r="AM472" s="871"/>
      <c r="AN472" s="871"/>
      <c r="AO472" s="871"/>
      <c r="AP472" s="871"/>
    </row>
    <row r="473" spans="1:42" s="868" customFormat="1" ht="14">
      <c r="A473" s="866">
        <v>472</v>
      </c>
      <c r="B473" s="867" t="s">
        <v>668</v>
      </c>
      <c r="C473" s="867" t="s">
        <v>42</v>
      </c>
      <c r="D473" s="867" t="s">
        <v>2450</v>
      </c>
      <c r="E473" s="867" t="s">
        <v>2677</v>
      </c>
      <c r="F473" s="867" t="s">
        <v>656</v>
      </c>
      <c r="G473" s="868">
        <v>6</v>
      </c>
      <c r="H473" s="869">
        <v>0.53</v>
      </c>
      <c r="I473" s="869">
        <v>3</v>
      </c>
      <c r="J473" s="869">
        <f t="shared" si="34"/>
        <v>9.5400000000000009</v>
      </c>
      <c r="K473" s="869">
        <f t="shared" si="35"/>
        <v>1.2402</v>
      </c>
      <c r="L473" s="868">
        <v>0</v>
      </c>
      <c r="M473" s="867" t="s">
        <v>47</v>
      </c>
      <c r="N473" s="866">
        <v>2050</v>
      </c>
      <c r="O473" s="867" t="s">
        <v>2674</v>
      </c>
      <c r="P473" s="870">
        <v>5415058039899</v>
      </c>
      <c r="Q473" s="867" t="s">
        <v>2474</v>
      </c>
      <c r="R473" s="871">
        <v>14.5</v>
      </c>
      <c r="S473" s="871">
        <v>16.7</v>
      </c>
      <c r="T473" s="871">
        <v>14.5</v>
      </c>
      <c r="U473" s="871">
        <v>16.7</v>
      </c>
      <c r="V473" s="871">
        <v>16</v>
      </c>
      <c r="W473" s="871">
        <v>18.5</v>
      </c>
      <c r="X473" s="871">
        <v>16</v>
      </c>
      <c r="Y473" s="871">
        <v>18.5</v>
      </c>
      <c r="Z473" s="871">
        <v>26</v>
      </c>
      <c r="AA473" s="871">
        <v>30</v>
      </c>
      <c r="AB473" s="871">
        <v>35</v>
      </c>
      <c r="AC473" s="871">
        <v>40.25</v>
      </c>
      <c r="AD473" s="871">
        <v>55</v>
      </c>
      <c r="AE473" s="871">
        <v>60.5</v>
      </c>
      <c r="AF473" s="871">
        <v>25</v>
      </c>
      <c r="AG473" s="871">
        <v>28.75</v>
      </c>
      <c r="AH473" s="871">
        <v>45.45</v>
      </c>
      <c r="AI473" s="871">
        <v>50</v>
      </c>
      <c r="AJ473" s="871"/>
      <c r="AK473" s="871"/>
      <c r="AL473" s="871"/>
      <c r="AM473" s="871"/>
      <c r="AN473" s="871"/>
      <c r="AO473" s="871"/>
      <c r="AP473" s="871"/>
    </row>
    <row r="474" spans="1:42" s="868" customFormat="1" ht="14">
      <c r="A474" s="866">
        <v>473</v>
      </c>
      <c r="B474" s="867" t="s">
        <v>669</v>
      </c>
      <c r="C474" s="867" t="s">
        <v>42</v>
      </c>
      <c r="D474" s="867" t="s">
        <v>2450</v>
      </c>
      <c r="E474" s="867" t="s">
        <v>2677</v>
      </c>
      <c r="F474" s="867" t="s">
        <v>650</v>
      </c>
      <c r="G474" s="868">
        <v>6</v>
      </c>
      <c r="H474" s="869">
        <v>0.53</v>
      </c>
      <c r="I474" s="869">
        <v>3</v>
      </c>
      <c r="J474" s="869">
        <f t="shared" si="34"/>
        <v>9.5400000000000009</v>
      </c>
      <c r="K474" s="869">
        <f t="shared" si="35"/>
        <v>1.2402</v>
      </c>
      <c r="L474" s="868">
        <v>0</v>
      </c>
      <c r="M474" s="867" t="s">
        <v>47</v>
      </c>
      <c r="N474" s="866">
        <v>2050</v>
      </c>
      <c r="O474" s="867" t="s">
        <v>2674</v>
      </c>
      <c r="P474" s="870">
        <v>5415058039905</v>
      </c>
      <c r="Q474" s="867" t="s">
        <v>2474</v>
      </c>
      <c r="R474" s="871">
        <v>14.5</v>
      </c>
      <c r="S474" s="871">
        <v>16.7</v>
      </c>
      <c r="T474" s="871">
        <v>14.5</v>
      </c>
      <c r="U474" s="871">
        <v>16.7</v>
      </c>
      <c r="V474" s="871">
        <v>16</v>
      </c>
      <c r="W474" s="871">
        <v>18.5</v>
      </c>
      <c r="X474" s="871">
        <v>16</v>
      </c>
      <c r="Y474" s="871">
        <v>18.5</v>
      </c>
      <c r="Z474" s="871">
        <v>26</v>
      </c>
      <c r="AA474" s="871">
        <v>30</v>
      </c>
      <c r="AB474" s="871">
        <v>35</v>
      </c>
      <c r="AC474" s="871">
        <v>40.25</v>
      </c>
      <c r="AD474" s="871">
        <v>55</v>
      </c>
      <c r="AE474" s="871">
        <v>60.5</v>
      </c>
      <c r="AF474" s="871">
        <v>25</v>
      </c>
      <c r="AG474" s="871">
        <v>28.75</v>
      </c>
      <c r="AH474" s="871">
        <v>45.45</v>
      </c>
      <c r="AI474" s="871">
        <v>50</v>
      </c>
      <c r="AJ474" s="871"/>
      <c r="AK474" s="871"/>
      <c r="AL474" s="871"/>
      <c r="AM474" s="871"/>
      <c r="AN474" s="871"/>
      <c r="AO474" s="871"/>
      <c r="AP474" s="871"/>
    </row>
    <row r="475" spans="1:42" s="868" customFormat="1" ht="14">
      <c r="A475" s="866">
        <v>474</v>
      </c>
      <c r="B475" s="867" t="s">
        <v>670</v>
      </c>
      <c r="C475" s="867" t="s">
        <v>42</v>
      </c>
      <c r="D475" s="867" t="s">
        <v>2450</v>
      </c>
      <c r="E475" s="867" t="s">
        <v>2678</v>
      </c>
      <c r="F475" s="867" t="s">
        <v>656</v>
      </c>
      <c r="G475" s="868">
        <v>4</v>
      </c>
      <c r="H475" s="869">
        <v>0.9</v>
      </c>
      <c r="I475" s="869">
        <v>3</v>
      </c>
      <c r="J475" s="869">
        <f t="shared" si="34"/>
        <v>10.8</v>
      </c>
      <c r="K475" s="869">
        <f t="shared" si="35"/>
        <v>1.4039999999999999</v>
      </c>
      <c r="L475" s="868">
        <v>0</v>
      </c>
      <c r="M475" s="867" t="s">
        <v>47</v>
      </c>
      <c r="N475" s="866">
        <v>2050</v>
      </c>
      <c r="O475" s="867" t="s">
        <v>2674</v>
      </c>
      <c r="P475" s="870">
        <v>5415058039424</v>
      </c>
      <c r="Q475" s="867" t="s">
        <v>2474</v>
      </c>
      <c r="R475" s="871">
        <v>14.5</v>
      </c>
      <c r="S475" s="871">
        <v>16.7</v>
      </c>
      <c r="T475" s="871">
        <v>14.5</v>
      </c>
      <c r="U475" s="871">
        <v>16.7</v>
      </c>
      <c r="V475" s="871">
        <v>16</v>
      </c>
      <c r="W475" s="871">
        <v>18.5</v>
      </c>
      <c r="X475" s="871">
        <v>16</v>
      </c>
      <c r="Y475" s="871">
        <v>18.5</v>
      </c>
      <c r="Z475" s="871">
        <v>26</v>
      </c>
      <c r="AA475" s="871">
        <v>30</v>
      </c>
      <c r="AB475" s="871">
        <v>35</v>
      </c>
      <c r="AC475" s="871">
        <v>40.25</v>
      </c>
      <c r="AD475" s="871">
        <v>55</v>
      </c>
      <c r="AE475" s="871">
        <v>60.5</v>
      </c>
      <c r="AF475" s="871">
        <v>25</v>
      </c>
      <c r="AG475" s="871">
        <v>28.75</v>
      </c>
      <c r="AH475" s="871">
        <v>45.45</v>
      </c>
      <c r="AI475" s="871">
        <v>50</v>
      </c>
      <c r="AJ475" s="871"/>
      <c r="AK475" s="871"/>
      <c r="AL475" s="871"/>
      <c r="AM475" s="871"/>
      <c r="AN475" s="871"/>
      <c r="AO475" s="871"/>
      <c r="AP475" s="871"/>
    </row>
    <row r="476" spans="1:42" s="868" customFormat="1" ht="14">
      <c r="A476" s="866">
        <v>475</v>
      </c>
      <c r="B476" s="867" t="s">
        <v>672</v>
      </c>
      <c r="C476" s="867" t="s">
        <v>42</v>
      </c>
      <c r="D476" s="867" t="s">
        <v>2450</v>
      </c>
      <c r="E476" s="867" t="s">
        <v>2678</v>
      </c>
      <c r="F476" s="867" t="s">
        <v>650</v>
      </c>
      <c r="G476" s="868">
        <v>4</v>
      </c>
      <c r="H476" s="869">
        <v>0.9</v>
      </c>
      <c r="I476" s="869">
        <v>3</v>
      </c>
      <c r="J476" s="869">
        <f t="shared" ref="J476:J479" si="36">H476*I476*G476</f>
        <v>10.8</v>
      </c>
      <c r="K476" s="869">
        <f t="shared" ref="K476:K479" si="37">J476*130/1000</f>
        <v>1.4039999999999999</v>
      </c>
      <c r="L476" s="868">
        <v>0</v>
      </c>
      <c r="M476" s="867" t="s">
        <v>47</v>
      </c>
      <c r="N476" s="866">
        <v>2050</v>
      </c>
      <c r="O476" s="867" t="s">
        <v>2674</v>
      </c>
      <c r="P476" s="870">
        <v>5415058039912</v>
      </c>
      <c r="Q476" s="867" t="s">
        <v>2474</v>
      </c>
      <c r="R476" s="871">
        <v>14.5</v>
      </c>
      <c r="S476" s="871">
        <v>16.7</v>
      </c>
      <c r="T476" s="871">
        <v>14.5</v>
      </c>
      <c r="U476" s="871">
        <v>16.7</v>
      </c>
      <c r="V476" s="871">
        <v>16</v>
      </c>
      <c r="W476" s="871">
        <v>18.5</v>
      </c>
      <c r="X476" s="871">
        <v>16</v>
      </c>
      <c r="Y476" s="871">
        <v>18.5</v>
      </c>
      <c r="Z476" s="871">
        <v>26</v>
      </c>
      <c r="AA476" s="871">
        <v>30</v>
      </c>
      <c r="AB476" s="871">
        <v>35</v>
      </c>
      <c r="AC476" s="871">
        <v>40.25</v>
      </c>
      <c r="AD476" s="871">
        <v>55</v>
      </c>
      <c r="AE476" s="871">
        <v>60.5</v>
      </c>
      <c r="AF476" s="871">
        <v>25</v>
      </c>
      <c r="AG476" s="871">
        <v>28.75</v>
      </c>
      <c r="AH476" s="871">
        <v>45.45</v>
      </c>
      <c r="AI476" s="871">
        <v>50</v>
      </c>
      <c r="AJ476" s="871"/>
      <c r="AK476" s="871"/>
      <c r="AL476" s="871"/>
      <c r="AM476" s="871"/>
      <c r="AN476" s="871"/>
      <c r="AO476" s="871"/>
      <c r="AP476" s="871"/>
    </row>
    <row r="477" spans="1:42" s="868" customFormat="1" ht="14">
      <c r="A477" s="866">
        <v>476</v>
      </c>
      <c r="B477" s="867" t="s">
        <v>673</v>
      </c>
      <c r="C477" s="867" t="s">
        <v>42</v>
      </c>
      <c r="D477" s="867" t="s">
        <v>2450</v>
      </c>
      <c r="E477" s="867" t="s">
        <v>2678</v>
      </c>
      <c r="F477" s="867" t="s">
        <v>600</v>
      </c>
      <c r="G477" s="868">
        <v>4</v>
      </c>
      <c r="H477" s="869">
        <v>0.9</v>
      </c>
      <c r="I477" s="869">
        <v>3</v>
      </c>
      <c r="J477" s="869">
        <f t="shared" si="36"/>
        <v>10.8</v>
      </c>
      <c r="K477" s="869">
        <f t="shared" si="37"/>
        <v>1.4039999999999999</v>
      </c>
      <c r="L477" s="868">
        <v>0</v>
      </c>
      <c r="M477" s="867" t="s">
        <v>47</v>
      </c>
      <c r="N477" s="866">
        <v>2050</v>
      </c>
      <c r="O477" s="867" t="s">
        <v>2674</v>
      </c>
      <c r="P477" s="870">
        <v>5415058039929</v>
      </c>
      <c r="Q477" s="867" t="s">
        <v>2474</v>
      </c>
      <c r="R477" s="871">
        <v>14.5</v>
      </c>
      <c r="S477" s="871">
        <v>16.7</v>
      </c>
      <c r="T477" s="871">
        <v>14.5</v>
      </c>
      <c r="U477" s="871">
        <v>16.7</v>
      </c>
      <c r="V477" s="871">
        <v>16</v>
      </c>
      <c r="W477" s="871">
        <v>18.5</v>
      </c>
      <c r="X477" s="871">
        <v>16</v>
      </c>
      <c r="Y477" s="871">
        <v>18.5</v>
      </c>
      <c r="Z477" s="871">
        <v>26</v>
      </c>
      <c r="AA477" s="871">
        <v>30</v>
      </c>
      <c r="AB477" s="871">
        <v>35</v>
      </c>
      <c r="AC477" s="871">
        <v>40.25</v>
      </c>
      <c r="AD477" s="871">
        <v>55</v>
      </c>
      <c r="AE477" s="871">
        <v>60.5</v>
      </c>
      <c r="AF477" s="871">
        <v>25</v>
      </c>
      <c r="AG477" s="871">
        <v>28.75</v>
      </c>
      <c r="AH477" s="871">
        <v>45.45</v>
      </c>
      <c r="AI477" s="871">
        <v>50</v>
      </c>
      <c r="AJ477" s="871"/>
      <c r="AK477" s="871"/>
      <c r="AL477" s="871"/>
      <c r="AM477" s="871"/>
      <c r="AN477" s="871"/>
      <c r="AO477" s="871"/>
      <c r="AP477" s="871"/>
    </row>
    <row r="478" spans="1:42" s="868" customFormat="1" ht="14">
      <c r="A478" s="866">
        <v>477</v>
      </c>
      <c r="B478" s="867" t="s">
        <v>674</v>
      </c>
      <c r="C478" s="867" t="s">
        <v>42</v>
      </c>
      <c r="D478" s="867" t="s">
        <v>2450</v>
      </c>
      <c r="E478" s="867" t="s">
        <v>2678</v>
      </c>
      <c r="F478" s="867" t="s">
        <v>594</v>
      </c>
      <c r="G478" s="868">
        <v>4</v>
      </c>
      <c r="H478" s="869">
        <v>0.9</v>
      </c>
      <c r="I478" s="869">
        <v>3</v>
      </c>
      <c r="J478" s="869">
        <f t="shared" si="36"/>
        <v>10.8</v>
      </c>
      <c r="K478" s="869">
        <f t="shared" si="37"/>
        <v>1.4039999999999999</v>
      </c>
      <c r="L478" s="868">
        <v>0</v>
      </c>
      <c r="M478" s="867" t="s">
        <v>47</v>
      </c>
      <c r="N478" s="866">
        <v>2050</v>
      </c>
      <c r="O478" s="867" t="s">
        <v>2674</v>
      </c>
      <c r="P478" s="870">
        <v>5415058039936</v>
      </c>
      <c r="Q478" s="867" t="s">
        <v>2474</v>
      </c>
      <c r="R478" s="871">
        <v>14.5</v>
      </c>
      <c r="S478" s="871">
        <v>16.7</v>
      </c>
      <c r="T478" s="871">
        <v>14.5</v>
      </c>
      <c r="U478" s="871">
        <v>16.7</v>
      </c>
      <c r="V478" s="871">
        <v>16</v>
      </c>
      <c r="W478" s="871">
        <v>18.5</v>
      </c>
      <c r="X478" s="871">
        <v>16</v>
      </c>
      <c r="Y478" s="871">
        <v>18.5</v>
      </c>
      <c r="Z478" s="871">
        <v>26</v>
      </c>
      <c r="AA478" s="871">
        <v>30</v>
      </c>
      <c r="AB478" s="871">
        <v>35</v>
      </c>
      <c r="AC478" s="871">
        <v>40.25</v>
      </c>
      <c r="AD478" s="871">
        <v>55</v>
      </c>
      <c r="AE478" s="871">
        <v>60.5</v>
      </c>
      <c r="AF478" s="871">
        <v>25</v>
      </c>
      <c r="AG478" s="871">
        <v>28.75</v>
      </c>
      <c r="AH478" s="871">
        <v>45.45</v>
      </c>
      <c r="AI478" s="871">
        <v>50</v>
      </c>
      <c r="AJ478" s="871"/>
      <c r="AK478" s="871"/>
      <c r="AL478" s="871"/>
      <c r="AM478" s="871"/>
      <c r="AN478" s="871"/>
      <c r="AO478" s="871"/>
      <c r="AP478" s="871"/>
    </row>
    <row r="479" spans="1:42" s="868" customFormat="1" ht="14">
      <c r="A479" s="866">
        <v>478</v>
      </c>
      <c r="B479" s="867" t="s">
        <v>675</v>
      </c>
      <c r="C479" s="867" t="s">
        <v>42</v>
      </c>
      <c r="D479" s="867" t="s">
        <v>2450</v>
      </c>
      <c r="E479" s="867" t="s">
        <v>2679</v>
      </c>
      <c r="F479" s="867" t="s">
        <v>656</v>
      </c>
      <c r="G479" s="868">
        <v>6</v>
      </c>
      <c r="H479" s="869">
        <v>0.53</v>
      </c>
      <c r="I479" s="869">
        <v>3</v>
      </c>
      <c r="J479" s="869">
        <f t="shared" si="36"/>
        <v>9.5400000000000009</v>
      </c>
      <c r="K479" s="869">
        <f t="shared" si="37"/>
        <v>1.2402</v>
      </c>
      <c r="L479" s="868">
        <v>0</v>
      </c>
      <c r="M479" s="867" t="s">
        <v>47</v>
      </c>
      <c r="N479" s="866">
        <v>2050</v>
      </c>
      <c r="O479" s="867" t="s">
        <v>2674</v>
      </c>
      <c r="P479" s="870">
        <v>5415058039431</v>
      </c>
      <c r="Q479" s="867" t="s">
        <v>2474</v>
      </c>
      <c r="R479" s="871">
        <v>14.5</v>
      </c>
      <c r="S479" s="871">
        <v>16.7</v>
      </c>
      <c r="T479" s="871">
        <v>14.5</v>
      </c>
      <c r="U479" s="871">
        <v>16.7</v>
      </c>
      <c r="V479" s="871">
        <v>16</v>
      </c>
      <c r="W479" s="871">
        <v>18.5</v>
      </c>
      <c r="X479" s="871">
        <v>16</v>
      </c>
      <c r="Y479" s="871">
        <v>18.5</v>
      </c>
      <c r="Z479" s="871">
        <v>26</v>
      </c>
      <c r="AA479" s="871">
        <v>30</v>
      </c>
      <c r="AB479" s="871">
        <v>35</v>
      </c>
      <c r="AC479" s="871">
        <v>40.25</v>
      </c>
      <c r="AD479" s="871">
        <v>55</v>
      </c>
      <c r="AE479" s="871">
        <v>60.5</v>
      </c>
      <c r="AF479" s="871">
        <v>25</v>
      </c>
      <c r="AG479" s="871">
        <v>28.75</v>
      </c>
      <c r="AH479" s="871">
        <v>45.45</v>
      </c>
      <c r="AI479" s="871">
        <v>50</v>
      </c>
      <c r="AJ479" s="871"/>
      <c r="AK479" s="871"/>
      <c r="AL479" s="871"/>
      <c r="AM479" s="871"/>
      <c r="AN479" s="871"/>
      <c r="AO479" s="871"/>
      <c r="AP479" s="871"/>
    </row>
    <row r="480" spans="1:42" s="868" customFormat="1" ht="14">
      <c r="A480" s="866">
        <v>479</v>
      </c>
      <c r="B480" s="867" t="s">
        <v>677</v>
      </c>
      <c r="C480" s="867" t="s">
        <v>42</v>
      </c>
      <c r="D480" s="867" t="s">
        <v>2450</v>
      </c>
      <c r="E480" s="867" t="s">
        <v>2679</v>
      </c>
      <c r="F480" s="867" t="s">
        <v>650</v>
      </c>
      <c r="G480" s="868">
        <v>6</v>
      </c>
      <c r="H480" s="869">
        <v>0.53</v>
      </c>
      <c r="I480" s="869">
        <v>3</v>
      </c>
      <c r="J480" s="869">
        <f t="shared" ref="J480:J543" si="38">H480*I480*G480</f>
        <v>9.5400000000000009</v>
      </c>
      <c r="K480" s="869">
        <f t="shared" ref="K480:K543" si="39">J480*130/1000</f>
        <v>1.2402</v>
      </c>
      <c r="L480" s="868">
        <v>0</v>
      </c>
      <c r="M480" s="867" t="s">
        <v>47</v>
      </c>
      <c r="N480" s="866">
        <v>2050</v>
      </c>
      <c r="O480" s="867" t="s">
        <v>2674</v>
      </c>
      <c r="P480" s="870">
        <v>5415058039943</v>
      </c>
      <c r="Q480" s="867" t="s">
        <v>2474</v>
      </c>
      <c r="R480" s="871">
        <v>14.5</v>
      </c>
      <c r="S480" s="871">
        <v>16.7</v>
      </c>
      <c r="T480" s="871">
        <v>14.5</v>
      </c>
      <c r="U480" s="871">
        <v>16.7</v>
      </c>
      <c r="V480" s="871">
        <v>16</v>
      </c>
      <c r="W480" s="871">
        <v>18.5</v>
      </c>
      <c r="X480" s="871">
        <v>16</v>
      </c>
      <c r="Y480" s="871">
        <v>18.5</v>
      </c>
      <c r="Z480" s="871">
        <v>26</v>
      </c>
      <c r="AA480" s="871">
        <v>30</v>
      </c>
      <c r="AB480" s="871">
        <v>35</v>
      </c>
      <c r="AC480" s="871">
        <v>40.25</v>
      </c>
      <c r="AD480" s="871">
        <v>55</v>
      </c>
      <c r="AE480" s="871">
        <v>60.5</v>
      </c>
      <c r="AF480" s="871">
        <v>25</v>
      </c>
      <c r="AG480" s="871">
        <v>28.75</v>
      </c>
      <c r="AH480" s="871">
        <v>45.45</v>
      </c>
      <c r="AI480" s="871">
        <v>50</v>
      </c>
      <c r="AJ480" s="871"/>
      <c r="AK480" s="871"/>
      <c r="AL480" s="871"/>
      <c r="AM480" s="871"/>
      <c r="AN480" s="871"/>
      <c r="AO480" s="871"/>
      <c r="AP480" s="871"/>
    </row>
    <row r="481" spans="1:42" s="868" customFormat="1" ht="14">
      <c r="A481" s="866">
        <v>480</v>
      </c>
      <c r="B481" s="867" t="s">
        <v>678</v>
      </c>
      <c r="C481" s="867" t="s">
        <v>42</v>
      </c>
      <c r="D481" s="867" t="s">
        <v>2450</v>
      </c>
      <c r="E481" s="867" t="s">
        <v>2679</v>
      </c>
      <c r="F481" s="867" t="s">
        <v>600</v>
      </c>
      <c r="G481" s="868">
        <v>6</v>
      </c>
      <c r="H481" s="869">
        <v>0.53</v>
      </c>
      <c r="I481" s="869">
        <v>3</v>
      </c>
      <c r="J481" s="869">
        <f t="shared" si="38"/>
        <v>9.5400000000000009</v>
      </c>
      <c r="K481" s="869">
        <f t="shared" si="39"/>
        <v>1.2402</v>
      </c>
      <c r="L481" s="868">
        <v>0</v>
      </c>
      <c r="M481" s="867" t="s">
        <v>47</v>
      </c>
      <c r="N481" s="866">
        <v>2050</v>
      </c>
      <c r="O481" s="867" t="s">
        <v>2674</v>
      </c>
      <c r="P481" s="870">
        <v>5415058039950</v>
      </c>
      <c r="Q481" s="867" t="s">
        <v>2474</v>
      </c>
      <c r="R481" s="871">
        <v>14.5</v>
      </c>
      <c r="S481" s="871">
        <v>16.7</v>
      </c>
      <c r="T481" s="871">
        <v>14.5</v>
      </c>
      <c r="U481" s="871">
        <v>16.7</v>
      </c>
      <c r="V481" s="871">
        <v>16</v>
      </c>
      <c r="W481" s="871">
        <v>18.5</v>
      </c>
      <c r="X481" s="871">
        <v>16</v>
      </c>
      <c r="Y481" s="871">
        <v>18.5</v>
      </c>
      <c r="Z481" s="871">
        <v>26</v>
      </c>
      <c r="AA481" s="871">
        <v>30</v>
      </c>
      <c r="AB481" s="871">
        <v>35</v>
      </c>
      <c r="AC481" s="871">
        <v>40.25</v>
      </c>
      <c r="AD481" s="871">
        <v>55</v>
      </c>
      <c r="AE481" s="871">
        <v>60.5</v>
      </c>
      <c r="AF481" s="871">
        <v>25</v>
      </c>
      <c r="AG481" s="871">
        <v>28.75</v>
      </c>
      <c r="AH481" s="871">
        <v>45.45</v>
      </c>
      <c r="AI481" s="871">
        <v>50</v>
      </c>
      <c r="AJ481" s="871"/>
      <c r="AK481" s="871"/>
      <c r="AL481" s="871"/>
      <c r="AM481" s="871"/>
      <c r="AN481" s="871"/>
      <c r="AO481" s="871"/>
      <c r="AP481" s="871"/>
    </row>
    <row r="482" spans="1:42" s="868" customFormat="1" ht="14">
      <c r="A482" s="866">
        <v>481</v>
      </c>
      <c r="B482" s="867" t="s">
        <v>679</v>
      </c>
      <c r="C482" s="867" t="s">
        <v>42</v>
      </c>
      <c r="D482" s="867" t="s">
        <v>2450</v>
      </c>
      <c r="E482" s="867" t="s">
        <v>2679</v>
      </c>
      <c r="F482" s="867" t="s">
        <v>633</v>
      </c>
      <c r="G482" s="868">
        <v>6</v>
      </c>
      <c r="H482" s="869">
        <v>0.53</v>
      </c>
      <c r="I482" s="869">
        <v>3</v>
      </c>
      <c r="J482" s="869">
        <f t="shared" si="38"/>
        <v>9.5400000000000009</v>
      </c>
      <c r="K482" s="869">
        <f t="shared" si="39"/>
        <v>1.2402</v>
      </c>
      <c r="L482" s="868">
        <v>0</v>
      </c>
      <c r="M482" s="867" t="s">
        <v>47</v>
      </c>
      <c r="N482" s="866">
        <v>2050</v>
      </c>
      <c r="O482" s="867" t="s">
        <v>2674</v>
      </c>
      <c r="P482" s="870">
        <v>5415058039967</v>
      </c>
      <c r="Q482" s="867" t="s">
        <v>2474</v>
      </c>
      <c r="R482" s="871">
        <v>14.5</v>
      </c>
      <c r="S482" s="871">
        <v>16.7</v>
      </c>
      <c r="T482" s="871">
        <v>14.5</v>
      </c>
      <c r="U482" s="871">
        <v>16.7</v>
      </c>
      <c r="V482" s="871">
        <v>16</v>
      </c>
      <c r="W482" s="871">
        <v>18.5</v>
      </c>
      <c r="X482" s="871">
        <v>16</v>
      </c>
      <c r="Y482" s="871">
        <v>18.5</v>
      </c>
      <c r="Z482" s="871">
        <v>26</v>
      </c>
      <c r="AA482" s="871">
        <v>30</v>
      </c>
      <c r="AB482" s="871">
        <v>35</v>
      </c>
      <c r="AC482" s="871">
        <v>40.25</v>
      </c>
      <c r="AD482" s="871">
        <v>55</v>
      </c>
      <c r="AE482" s="871">
        <v>60.5</v>
      </c>
      <c r="AF482" s="871">
        <v>25</v>
      </c>
      <c r="AG482" s="871">
        <v>28.75</v>
      </c>
      <c r="AH482" s="871">
        <v>45.45</v>
      </c>
      <c r="AI482" s="871">
        <v>50</v>
      </c>
      <c r="AJ482" s="871"/>
      <c r="AK482" s="871"/>
      <c r="AL482" s="871"/>
      <c r="AM482" s="871"/>
      <c r="AN482" s="871"/>
      <c r="AO482" s="871"/>
      <c r="AP482" s="871"/>
    </row>
    <row r="483" spans="1:42" s="868" customFormat="1" ht="14">
      <c r="A483" s="866">
        <v>482</v>
      </c>
      <c r="B483" s="867" t="s">
        <v>680</v>
      </c>
      <c r="C483" s="867" t="s">
        <v>42</v>
      </c>
      <c r="D483" s="867" t="s">
        <v>2450</v>
      </c>
      <c r="E483" s="867" t="s">
        <v>2680</v>
      </c>
      <c r="F483" s="867" t="s">
        <v>664</v>
      </c>
      <c r="G483" s="868">
        <v>5</v>
      </c>
      <c r="H483" s="869">
        <v>0.9</v>
      </c>
      <c r="I483" s="869">
        <v>3</v>
      </c>
      <c r="J483" s="869">
        <f t="shared" si="38"/>
        <v>13.5</v>
      </c>
      <c r="K483" s="869">
        <f t="shared" si="39"/>
        <v>1.7549999999999999</v>
      </c>
      <c r="L483" s="868">
        <v>0</v>
      </c>
      <c r="M483" s="867" t="s">
        <v>47</v>
      </c>
      <c r="N483" s="866">
        <v>2050</v>
      </c>
      <c r="O483" s="867" t="s">
        <v>2674</v>
      </c>
      <c r="P483" s="870">
        <v>5415058039448</v>
      </c>
      <c r="Q483" s="867" t="s">
        <v>2474</v>
      </c>
      <c r="R483" s="871">
        <v>14.5</v>
      </c>
      <c r="S483" s="871">
        <v>16.7</v>
      </c>
      <c r="T483" s="871">
        <v>14.5</v>
      </c>
      <c r="U483" s="871">
        <v>16.7</v>
      </c>
      <c r="V483" s="871">
        <v>16</v>
      </c>
      <c r="W483" s="871">
        <v>18.5</v>
      </c>
      <c r="X483" s="871">
        <v>16</v>
      </c>
      <c r="Y483" s="871">
        <v>18.5</v>
      </c>
      <c r="Z483" s="871">
        <v>26</v>
      </c>
      <c r="AA483" s="871">
        <v>30</v>
      </c>
      <c r="AB483" s="871">
        <v>35</v>
      </c>
      <c r="AC483" s="871">
        <v>40.25</v>
      </c>
      <c r="AD483" s="871">
        <v>55</v>
      </c>
      <c r="AE483" s="871">
        <v>60.5</v>
      </c>
      <c r="AF483" s="871">
        <v>25</v>
      </c>
      <c r="AG483" s="871">
        <v>28.75</v>
      </c>
      <c r="AH483" s="871">
        <v>45.45</v>
      </c>
      <c r="AI483" s="871">
        <v>50</v>
      </c>
      <c r="AJ483" s="871"/>
      <c r="AK483" s="871"/>
      <c r="AL483" s="871"/>
      <c r="AM483" s="871"/>
      <c r="AN483" s="871"/>
      <c r="AO483" s="871"/>
      <c r="AP483" s="871"/>
    </row>
    <row r="484" spans="1:42" s="868" customFormat="1" ht="14">
      <c r="A484" s="866">
        <v>483</v>
      </c>
      <c r="B484" s="867" t="s">
        <v>682</v>
      </c>
      <c r="C484" s="867" t="s">
        <v>42</v>
      </c>
      <c r="D484" s="867" t="s">
        <v>2450</v>
      </c>
      <c r="E484" s="867" t="s">
        <v>2680</v>
      </c>
      <c r="F484" s="867" t="s">
        <v>594</v>
      </c>
      <c r="G484" s="868">
        <v>5</v>
      </c>
      <c r="H484" s="869">
        <v>0.9</v>
      </c>
      <c r="I484" s="869">
        <v>3</v>
      </c>
      <c r="J484" s="869">
        <f t="shared" si="38"/>
        <v>13.5</v>
      </c>
      <c r="K484" s="869">
        <f t="shared" si="39"/>
        <v>1.7549999999999999</v>
      </c>
      <c r="L484" s="868">
        <v>0</v>
      </c>
      <c r="M484" s="867" t="s">
        <v>47</v>
      </c>
      <c r="N484" s="866">
        <v>2050</v>
      </c>
      <c r="O484" s="867" t="s">
        <v>2674</v>
      </c>
      <c r="P484" s="870">
        <v>5415058039998</v>
      </c>
      <c r="Q484" s="867" t="s">
        <v>2474</v>
      </c>
      <c r="R484" s="871">
        <v>14.5</v>
      </c>
      <c r="S484" s="871">
        <v>16.7</v>
      </c>
      <c r="T484" s="871">
        <v>14.5</v>
      </c>
      <c r="U484" s="871">
        <v>16.7</v>
      </c>
      <c r="V484" s="871">
        <v>16</v>
      </c>
      <c r="W484" s="871">
        <v>18.5</v>
      </c>
      <c r="X484" s="871">
        <v>16</v>
      </c>
      <c r="Y484" s="871">
        <v>18.5</v>
      </c>
      <c r="Z484" s="871">
        <v>26</v>
      </c>
      <c r="AA484" s="871">
        <v>30</v>
      </c>
      <c r="AB484" s="871">
        <v>35</v>
      </c>
      <c r="AC484" s="871">
        <v>40.25</v>
      </c>
      <c r="AD484" s="871">
        <v>55</v>
      </c>
      <c r="AE484" s="871">
        <v>60.5</v>
      </c>
      <c r="AF484" s="871">
        <v>25</v>
      </c>
      <c r="AG484" s="871">
        <v>28.75</v>
      </c>
      <c r="AH484" s="871">
        <v>45.45</v>
      </c>
      <c r="AI484" s="871">
        <v>50</v>
      </c>
      <c r="AJ484" s="871"/>
      <c r="AK484" s="871"/>
      <c r="AL484" s="871"/>
      <c r="AM484" s="871"/>
      <c r="AN484" s="871"/>
      <c r="AO484" s="871"/>
      <c r="AP484" s="871"/>
    </row>
    <row r="485" spans="1:42" s="868" customFormat="1" ht="14">
      <c r="A485" s="866">
        <v>484</v>
      </c>
      <c r="B485" s="867" t="s">
        <v>683</v>
      </c>
      <c r="C485" s="867" t="s">
        <v>42</v>
      </c>
      <c r="D485" s="867" t="s">
        <v>2450</v>
      </c>
      <c r="E485" s="867" t="s">
        <v>2681</v>
      </c>
      <c r="F485" s="867" t="s">
        <v>650</v>
      </c>
      <c r="G485" s="868">
        <v>2</v>
      </c>
      <c r="H485" s="869">
        <v>0.9</v>
      </c>
      <c r="I485" s="869">
        <v>3</v>
      </c>
      <c r="J485" s="869">
        <f t="shared" si="38"/>
        <v>5.4</v>
      </c>
      <c r="K485" s="869">
        <f t="shared" si="39"/>
        <v>0.70199999999999996</v>
      </c>
      <c r="L485" s="868">
        <v>0</v>
      </c>
      <c r="M485" s="867" t="s">
        <v>47</v>
      </c>
      <c r="N485" s="866">
        <v>2050</v>
      </c>
      <c r="O485" s="867" t="s">
        <v>2674</v>
      </c>
      <c r="P485" s="870">
        <v>5415058039455</v>
      </c>
      <c r="Q485" s="867" t="s">
        <v>2474</v>
      </c>
      <c r="R485" s="871">
        <v>14.5</v>
      </c>
      <c r="S485" s="871">
        <v>16.7</v>
      </c>
      <c r="T485" s="871">
        <v>14.5</v>
      </c>
      <c r="U485" s="871">
        <v>16.7</v>
      </c>
      <c r="V485" s="871">
        <v>16</v>
      </c>
      <c r="W485" s="871">
        <v>18.5</v>
      </c>
      <c r="X485" s="871">
        <v>16</v>
      </c>
      <c r="Y485" s="871">
        <v>18.5</v>
      </c>
      <c r="Z485" s="871">
        <v>26</v>
      </c>
      <c r="AA485" s="871">
        <v>30</v>
      </c>
      <c r="AB485" s="871">
        <v>35</v>
      </c>
      <c r="AC485" s="871">
        <v>40.25</v>
      </c>
      <c r="AD485" s="871">
        <v>55</v>
      </c>
      <c r="AE485" s="871">
        <v>60.5</v>
      </c>
      <c r="AF485" s="871">
        <v>25</v>
      </c>
      <c r="AG485" s="871">
        <v>28.75</v>
      </c>
      <c r="AH485" s="871">
        <v>45.45</v>
      </c>
      <c r="AI485" s="871">
        <v>50</v>
      </c>
      <c r="AJ485" s="871"/>
      <c r="AK485" s="871"/>
      <c r="AL485" s="871"/>
      <c r="AM485" s="871"/>
      <c r="AN485" s="871"/>
      <c r="AO485" s="871"/>
      <c r="AP485" s="871"/>
    </row>
    <row r="486" spans="1:42" s="868" customFormat="1" ht="14">
      <c r="A486" s="866">
        <v>485</v>
      </c>
      <c r="B486" s="867" t="s">
        <v>685</v>
      </c>
      <c r="C486" s="867" t="s">
        <v>42</v>
      </c>
      <c r="D486" s="867" t="s">
        <v>2450</v>
      </c>
      <c r="E486" s="867" t="s">
        <v>2681</v>
      </c>
      <c r="F486" s="867" t="s">
        <v>600</v>
      </c>
      <c r="G486" s="868">
        <v>2</v>
      </c>
      <c r="H486" s="869">
        <v>0.9</v>
      </c>
      <c r="I486" s="869">
        <v>3</v>
      </c>
      <c r="J486" s="869">
        <f t="shared" si="38"/>
        <v>5.4</v>
      </c>
      <c r="K486" s="869">
        <f t="shared" si="39"/>
        <v>0.70199999999999996</v>
      </c>
      <c r="L486" s="868">
        <v>0</v>
      </c>
      <c r="M486" s="867" t="s">
        <v>47</v>
      </c>
      <c r="N486" s="866">
        <v>2050</v>
      </c>
      <c r="O486" s="867" t="s">
        <v>2674</v>
      </c>
      <c r="P486" s="870">
        <v>5415058040000</v>
      </c>
      <c r="Q486" s="867" t="s">
        <v>2474</v>
      </c>
      <c r="R486" s="871">
        <v>14.5</v>
      </c>
      <c r="S486" s="871">
        <v>16.7</v>
      </c>
      <c r="T486" s="871">
        <v>14.5</v>
      </c>
      <c r="U486" s="871">
        <v>16.7</v>
      </c>
      <c r="V486" s="871">
        <v>16</v>
      </c>
      <c r="W486" s="871">
        <v>18.5</v>
      </c>
      <c r="X486" s="871">
        <v>16</v>
      </c>
      <c r="Y486" s="871">
        <v>18.5</v>
      </c>
      <c r="Z486" s="871">
        <v>26</v>
      </c>
      <c r="AA486" s="871">
        <v>30</v>
      </c>
      <c r="AB486" s="871">
        <v>35</v>
      </c>
      <c r="AC486" s="871">
        <v>40.25</v>
      </c>
      <c r="AD486" s="871">
        <v>55</v>
      </c>
      <c r="AE486" s="871">
        <v>60.5</v>
      </c>
      <c r="AF486" s="871">
        <v>25</v>
      </c>
      <c r="AG486" s="871">
        <v>28.75</v>
      </c>
      <c r="AH486" s="871">
        <v>45.45</v>
      </c>
      <c r="AI486" s="871">
        <v>50</v>
      </c>
      <c r="AJ486" s="871"/>
      <c r="AK486" s="871"/>
      <c r="AL486" s="871"/>
      <c r="AM486" s="871"/>
      <c r="AN486" s="871"/>
      <c r="AO486" s="871"/>
      <c r="AP486" s="871"/>
    </row>
    <row r="487" spans="1:42" s="868" customFormat="1" ht="14">
      <c r="A487" s="866">
        <v>486</v>
      </c>
      <c r="B487" s="867" t="s">
        <v>686</v>
      </c>
      <c r="C487" s="867" t="s">
        <v>42</v>
      </c>
      <c r="D487" s="867" t="s">
        <v>2450</v>
      </c>
      <c r="E487" s="867" t="s">
        <v>2681</v>
      </c>
      <c r="F487" s="867" t="s">
        <v>594</v>
      </c>
      <c r="G487" s="868">
        <v>2</v>
      </c>
      <c r="H487" s="869">
        <v>0.9</v>
      </c>
      <c r="I487" s="869">
        <v>3</v>
      </c>
      <c r="J487" s="869">
        <f t="shared" si="38"/>
        <v>5.4</v>
      </c>
      <c r="K487" s="869">
        <f t="shared" si="39"/>
        <v>0.70199999999999996</v>
      </c>
      <c r="L487" s="868">
        <v>0</v>
      </c>
      <c r="M487" s="867" t="s">
        <v>47</v>
      </c>
      <c r="N487" s="866">
        <v>2050</v>
      </c>
      <c r="O487" s="867" t="s">
        <v>2674</v>
      </c>
      <c r="P487" s="870">
        <v>5415058039462</v>
      </c>
      <c r="Q487" s="867" t="s">
        <v>2474</v>
      </c>
      <c r="R487" s="871">
        <v>14.5</v>
      </c>
      <c r="S487" s="871">
        <v>16.7</v>
      </c>
      <c r="T487" s="871">
        <v>14.5</v>
      </c>
      <c r="U487" s="871">
        <v>16.7</v>
      </c>
      <c r="V487" s="871">
        <v>16</v>
      </c>
      <c r="W487" s="871">
        <v>18.5</v>
      </c>
      <c r="X487" s="871">
        <v>16</v>
      </c>
      <c r="Y487" s="871">
        <v>18.5</v>
      </c>
      <c r="Z487" s="871">
        <v>26</v>
      </c>
      <c r="AA487" s="871">
        <v>30</v>
      </c>
      <c r="AB487" s="871">
        <v>35</v>
      </c>
      <c r="AC487" s="871">
        <v>40.25</v>
      </c>
      <c r="AD487" s="871">
        <v>55</v>
      </c>
      <c r="AE487" s="871">
        <v>60.5</v>
      </c>
      <c r="AF487" s="871">
        <v>25</v>
      </c>
      <c r="AG487" s="871">
        <v>28.75</v>
      </c>
      <c r="AH487" s="871">
        <v>45.45</v>
      </c>
      <c r="AI487" s="871">
        <v>50</v>
      </c>
      <c r="AJ487" s="871"/>
      <c r="AK487" s="871"/>
      <c r="AL487" s="871"/>
      <c r="AM487" s="871"/>
      <c r="AN487" s="871"/>
      <c r="AO487" s="871"/>
      <c r="AP487" s="871"/>
    </row>
    <row r="488" spans="1:42" s="868" customFormat="1" ht="14">
      <c r="A488" s="866">
        <v>487</v>
      </c>
      <c r="B488" s="867" t="s">
        <v>687</v>
      </c>
      <c r="C488" s="867" t="s">
        <v>42</v>
      </c>
      <c r="D488" s="867" t="s">
        <v>2450</v>
      </c>
      <c r="E488" s="867" t="s">
        <v>2681</v>
      </c>
      <c r="F488" s="867" t="s">
        <v>659</v>
      </c>
      <c r="G488" s="868">
        <v>2</v>
      </c>
      <c r="H488" s="869">
        <v>0.9</v>
      </c>
      <c r="I488" s="869">
        <v>3</v>
      </c>
      <c r="J488" s="869">
        <f t="shared" si="38"/>
        <v>5.4</v>
      </c>
      <c r="K488" s="869">
        <f t="shared" si="39"/>
        <v>0.70199999999999996</v>
      </c>
      <c r="L488" s="868">
        <v>0</v>
      </c>
      <c r="M488" s="867" t="s">
        <v>47</v>
      </c>
      <c r="N488" s="866">
        <v>2050</v>
      </c>
      <c r="O488" s="867" t="s">
        <v>2674</v>
      </c>
      <c r="P488" s="870">
        <v>5415058040024</v>
      </c>
      <c r="Q488" s="867" t="s">
        <v>2474</v>
      </c>
      <c r="R488" s="871">
        <v>14.5</v>
      </c>
      <c r="S488" s="871">
        <v>16.7</v>
      </c>
      <c r="T488" s="871">
        <v>14.5</v>
      </c>
      <c r="U488" s="871">
        <v>16.7</v>
      </c>
      <c r="V488" s="871">
        <v>16</v>
      </c>
      <c r="W488" s="871">
        <v>18.5</v>
      </c>
      <c r="X488" s="871">
        <v>16</v>
      </c>
      <c r="Y488" s="871">
        <v>18.5</v>
      </c>
      <c r="Z488" s="871">
        <v>26</v>
      </c>
      <c r="AA488" s="871">
        <v>30</v>
      </c>
      <c r="AB488" s="871">
        <v>35</v>
      </c>
      <c r="AC488" s="871">
        <v>40.25</v>
      </c>
      <c r="AD488" s="871">
        <v>55</v>
      </c>
      <c r="AE488" s="871">
        <v>60.5</v>
      </c>
      <c r="AF488" s="871">
        <v>25</v>
      </c>
      <c r="AG488" s="871">
        <v>28.75</v>
      </c>
      <c r="AH488" s="871">
        <v>45.45</v>
      </c>
      <c r="AI488" s="871">
        <v>50</v>
      </c>
      <c r="AJ488" s="871"/>
      <c r="AK488" s="871"/>
      <c r="AL488" s="871"/>
      <c r="AM488" s="871"/>
      <c r="AN488" s="871"/>
      <c r="AO488" s="871"/>
      <c r="AP488" s="871"/>
    </row>
    <row r="489" spans="1:42" s="868" customFormat="1" ht="14">
      <c r="A489" s="866">
        <v>488</v>
      </c>
      <c r="B489" s="867" t="s">
        <v>688</v>
      </c>
      <c r="C489" s="867" t="s">
        <v>42</v>
      </c>
      <c r="D489" s="867" t="s">
        <v>2450</v>
      </c>
      <c r="E489" s="867" t="s">
        <v>2681</v>
      </c>
      <c r="F489" s="867" t="s">
        <v>633</v>
      </c>
      <c r="G489" s="868">
        <v>2</v>
      </c>
      <c r="H489" s="869">
        <v>0.9</v>
      </c>
      <c r="I489" s="869">
        <v>3</v>
      </c>
      <c r="J489" s="869">
        <f t="shared" si="38"/>
        <v>5.4</v>
      </c>
      <c r="K489" s="869">
        <f t="shared" si="39"/>
        <v>0.70199999999999996</v>
      </c>
      <c r="L489" s="868">
        <v>0</v>
      </c>
      <c r="M489" s="867" t="s">
        <v>47</v>
      </c>
      <c r="N489" s="866">
        <v>2050</v>
      </c>
      <c r="O489" s="867" t="s">
        <v>2674</v>
      </c>
      <c r="P489" s="870">
        <v>5415058040031</v>
      </c>
      <c r="Q489" s="867" t="s">
        <v>2474</v>
      </c>
      <c r="R489" s="871">
        <v>14.5</v>
      </c>
      <c r="S489" s="871">
        <v>16.7</v>
      </c>
      <c r="T489" s="871">
        <v>14.5</v>
      </c>
      <c r="U489" s="871">
        <v>16.7</v>
      </c>
      <c r="V489" s="871">
        <v>16</v>
      </c>
      <c r="W489" s="871">
        <v>18.5</v>
      </c>
      <c r="X489" s="871">
        <v>16</v>
      </c>
      <c r="Y489" s="871">
        <v>18.5</v>
      </c>
      <c r="Z489" s="871">
        <v>26</v>
      </c>
      <c r="AA489" s="871">
        <v>30</v>
      </c>
      <c r="AB489" s="871">
        <v>35</v>
      </c>
      <c r="AC489" s="871">
        <v>40.25</v>
      </c>
      <c r="AD489" s="871">
        <v>55</v>
      </c>
      <c r="AE489" s="871">
        <v>60.5</v>
      </c>
      <c r="AF489" s="871">
        <v>25</v>
      </c>
      <c r="AG489" s="871">
        <v>28.75</v>
      </c>
      <c r="AH489" s="871">
        <v>45.45</v>
      </c>
      <c r="AI489" s="871">
        <v>50</v>
      </c>
      <c r="AJ489" s="871"/>
      <c r="AK489" s="871"/>
      <c r="AL489" s="871"/>
      <c r="AM489" s="871"/>
      <c r="AN489" s="871"/>
      <c r="AO489" s="871"/>
      <c r="AP489" s="871"/>
    </row>
    <row r="490" spans="1:42" s="868" customFormat="1" ht="14">
      <c r="A490" s="866">
        <v>489</v>
      </c>
      <c r="B490" s="867" t="s">
        <v>689</v>
      </c>
      <c r="C490" s="867" t="s">
        <v>42</v>
      </c>
      <c r="D490" s="867" t="s">
        <v>2450</v>
      </c>
      <c r="E490" s="867" t="s">
        <v>2681</v>
      </c>
      <c r="F490" s="867" t="s">
        <v>2666</v>
      </c>
      <c r="G490" s="868">
        <v>2</v>
      </c>
      <c r="H490" s="869">
        <v>0.9</v>
      </c>
      <c r="I490" s="869">
        <v>3</v>
      </c>
      <c r="J490" s="869">
        <f t="shared" si="38"/>
        <v>5.4</v>
      </c>
      <c r="K490" s="869">
        <f t="shared" si="39"/>
        <v>0.70199999999999996</v>
      </c>
      <c r="L490" s="868">
        <v>0</v>
      </c>
      <c r="M490" s="867" t="s">
        <v>47</v>
      </c>
      <c r="N490" s="866">
        <v>2050</v>
      </c>
      <c r="O490" s="867" t="s">
        <v>2674</v>
      </c>
      <c r="P490" s="870">
        <v>5415058040048</v>
      </c>
      <c r="Q490" s="867" t="s">
        <v>2474</v>
      </c>
      <c r="R490" s="871">
        <v>14.5</v>
      </c>
      <c r="S490" s="871">
        <v>16.7</v>
      </c>
      <c r="T490" s="871">
        <v>14.5</v>
      </c>
      <c r="U490" s="871">
        <v>16.7</v>
      </c>
      <c r="V490" s="871">
        <v>16</v>
      </c>
      <c r="W490" s="871">
        <v>18.5</v>
      </c>
      <c r="X490" s="871">
        <v>16</v>
      </c>
      <c r="Y490" s="871">
        <v>18.5</v>
      </c>
      <c r="Z490" s="871">
        <v>26</v>
      </c>
      <c r="AA490" s="871">
        <v>30</v>
      </c>
      <c r="AB490" s="871">
        <v>35</v>
      </c>
      <c r="AC490" s="871">
        <v>40.25</v>
      </c>
      <c r="AD490" s="871">
        <v>55</v>
      </c>
      <c r="AE490" s="871">
        <v>60.5</v>
      </c>
      <c r="AF490" s="871">
        <v>25</v>
      </c>
      <c r="AG490" s="871">
        <v>28.75</v>
      </c>
      <c r="AH490" s="871">
        <v>45.45</v>
      </c>
      <c r="AI490" s="871">
        <v>50</v>
      </c>
      <c r="AJ490" s="871"/>
      <c r="AK490" s="871"/>
      <c r="AL490" s="871"/>
      <c r="AM490" s="871"/>
      <c r="AN490" s="871"/>
      <c r="AO490" s="871"/>
      <c r="AP490" s="871"/>
    </row>
    <row r="491" spans="1:42" s="868" customFormat="1" ht="14">
      <c r="A491" s="866">
        <v>490</v>
      </c>
      <c r="B491" s="867" t="s">
        <v>691</v>
      </c>
      <c r="C491" s="867" t="s">
        <v>42</v>
      </c>
      <c r="D491" s="867" t="s">
        <v>2450</v>
      </c>
      <c r="E491" s="867" t="s">
        <v>2681</v>
      </c>
      <c r="F491" s="867" t="s">
        <v>627</v>
      </c>
      <c r="G491" s="868">
        <v>2</v>
      </c>
      <c r="H491" s="869">
        <v>0.9</v>
      </c>
      <c r="I491" s="869">
        <v>3</v>
      </c>
      <c r="J491" s="869">
        <f t="shared" si="38"/>
        <v>5.4</v>
      </c>
      <c r="K491" s="869">
        <f t="shared" si="39"/>
        <v>0.70199999999999996</v>
      </c>
      <c r="L491" s="868">
        <v>0</v>
      </c>
      <c r="M491" s="867" t="s">
        <v>47</v>
      </c>
      <c r="N491" s="866">
        <v>2050</v>
      </c>
      <c r="O491" s="867" t="s">
        <v>2674</v>
      </c>
      <c r="P491" s="870">
        <v>5415058040055</v>
      </c>
      <c r="Q491" s="867" t="s">
        <v>2474</v>
      </c>
      <c r="R491" s="871">
        <v>14.5</v>
      </c>
      <c r="S491" s="871">
        <v>16.7</v>
      </c>
      <c r="T491" s="871">
        <v>14.5</v>
      </c>
      <c r="U491" s="871">
        <v>16.7</v>
      </c>
      <c r="V491" s="871">
        <v>16</v>
      </c>
      <c r="W491" s="871">
        <v>18.5</v>
      </c>
      <c r="X491" s="871">
        <v>16</v>
      </c>
      <c r="Y491" s="871">
        <v>18.5</v>
      </c>
      <c r="Z491" s="871">
        <v>26</v>
      </c>
      <c r="AA491" s="871">
        <v>30</v>
      </c>
      <c r="AB491" s="871">
        <v>35</v>
      </c>
      <c r="AC491" s="871">
        <v>40.25</v>
      </c>
      <c r="AD491" s="871">
        <v>55</v>
      </c>
      <c r="AE491" s="871">
        <v>60.5</v>
      </c>
      <c r="AF491" s="871">
        <v>25</v>
      </c>
      <c r="AG491" s="871">
        <v>28.75</v>
      </c>
      <c r="AH491" s="871">
        <v>45.45</v>
      </c>
      <c r="AI491" s="871">
        <v>50</v>
      </c>
      <c r="AJ491" s="871"/>
      <c r="AK491" s="871"/>
      <c r="AL491" s="871"/>
      <c r="AM491" s="871"/>
      <c r="AN491" s="871"/>
      <c r="AO491" s="871"/>
      <c r="AP491" s="871"/>
    </row>
    <row r="492" spans="1:42" s="868" customFormat="1" ht="14">
      <c r="A492" s="866">
        <v>491</v>
      </c>
      <c r="B492" s="867" t="s">
        <v>692</v>
      </c>
      <c r="C492" s="867" t="s">
        <v>42</v>
      </c>
      <c r="D492" s="867" t="s">
        <v>2450</v>
      </c>
      <c r="E492" s="867" t="s">
        <v>2681</v>
      </c>
      <c r="F492" s="867" t="s">
        <v>613</v>
      </c>
      <c r="G492" s="868">
        <v>2</v>
      </c>
      <c r="H492" s="869">
        <v>0.9</v>
      </c>
      <c r="I492" s="869">
        <v>3</v>
      </c>
      <c r="J492" s="869">
        <f t="shared" si="38"/>
        <v>5.4</v>
      </c>
      <c r="K492" s="869">
        <f t="shared" si="39"/>
        <v>0.70199999999999996</v>
      </c>
      <c r="L492" s="868">
        <v>0</v>
      </c>
      <c r="M492" s="867" t="s">
        <v>47</v>
      </c>
      <c r="N492" s="866">
        <v>2050</v>
      </c>
      <c r="O492" s="867" t="s">
        <v>2674</v>
      </c>
      <c r="P492" s="870">
        <v>5415058040062</v>
      </c>
      <c r="Q492" s="867" t="s">
        <v>2474</v>
      </c>
      <c r="R492" s="871">
        <v>14.5</v>
      </c>
      <c r="S492" s="871">
        <v>16.7</v>
      </c>
      <c r="T492" s="871">
        <v>14.5</v>
      </c>
      <c r="U492" s="871">
        <v>16.7</v>
      </c>
      <c r="V492" s="871">
        <v>16</v>
      </c>
      <c r="W492" s="871">
        <v>18.5</v>
      </c>
      <c r="X492" s="871">
        <v>16</v>
      </c>
      <c r="Y492" s="871">
        <v>18.5</v>
      </c>
      <c r="Z492" s="871">
        <v>26</v>
      </c>
      <c r="AA492" s="871">
        <v>30</v>
      </c>
      <c r="AB492" s="871">
        <v>35</v>
      </c>
      <c r="AC492" s="871">
        <v>40.25</v>
      </c>
      <c r="AD492" s="871">
        <v>55</v>
      </c>
      <c r="AE492" s="871">
        <v>60.5</v>
      </c>
      <c r="AF492" s="871">
        <v>25</v>
      </c>
      <c r="AG492" s="871">
        <v>28.75</v>
      </c>
      <c r="AH492" s="871">
        <v>45.45</v>
      </c>
      <c r="AI492" s="871">
        <v>50</v>
      </c>
      <c r="AJ492" s="871"/>
      <c r="AK492" s="871"/>
      <c r="AL492" s="871"/>
      <c r="AM492" s="871"/>
      <c r="AN492" s="871"/>
      <c r="AO492" s="871"/>
      <c r="AP492" s="871"/>
    </row>
    <row r="493" spans="1:42" s="868" customFormat="1" ht="14">
      <c r="A493" s="866">
        <v>492</v>
      </c>
      <c r="B493" s="867" t="s">
        <v>2950</v>
      </c>
      <c r="C493" s="867" t="s">
        <v>42</v>
      </c>
      <c r="D493" s="867" t="s">
        <v>2377</v>
      </c>
      <c r="E493" s="867" t="s">
        <v>2664</v>
      </c>
      <c r="F493" s="867" t="s">
        <v>659</v>
      </c>
      <c r="G493" s="868">
        <v>1</v>
      </c>
      <c r="H493" s="869">
        <v>0.21</v>
      </c>
      <c r="I493" s="869">
        <v>0.3</v>
      </c>
      <c r="J493" s="869">
        <f t="shared" si="38"/>
        <v>6.3E-2</v>
      </c>
      <c r="K493" s="869">
        <f t="shared" si="39"/>
        <v>8.1899999999999994E-3</v>
      </c>
      <c r="L493" s="868">
        <v>53</v>
      </c>
      <c r="M493" s="867" t="s">
        <v>2598</v>
      </c>
      <c r="N493" s="866">
        <v>2021</v>
      </c>
      <c r="O493" s="867" t="s">
        <v>2674</v>
      </c>
      <c r="P493" s="870" t="s">
        <v>47</v>
      </c>
      <c r="Q493" s="867" t="s">
        <v>92</v>
      </c>
      <c r="R493" s="871">
        <v>0</v>
      </c>
      <c r="S493" s="871">
        <v>0</v>
      </c>
      <c r="T493" s="871">
        <v>0</v>
      </c>
      <c r="U493" s="871">
        <v>0</v>
      </c>
      <c r="V493" s="871">
        <v>0</v>
      </c>
      <c r="W493" s="871">
        <v>0</v>
      </c>
      <c r="X493" s="871">
        <v>0</v>
      </c>
      <c r="Y493" s="871">
        <v>0</v>
      </c>
      <c r="Z493" s="871">
        <v>0</v>
      </c>
      <c r="AA493" s="871">
        <v>0</v>
      </c>
      <c r="AB493" s="871">
        <v>0</v>
      </c>
      <c r="AC493" s="871">
        <v>0</v>
      </c>
      <c r="AD493" s="871">
        <v>2.5</v>
      </c>
      <c r="AE493" s="871">
        <v>0</v>
      </c>
      <c r="AF493" s="871">
        <v>0</v>
      </c>
      <c r="AG493" s="871">
        <v>0</v>
      </c>
      <c r="AH493" s="871">
        <f t="shared" ref="AH493:AH556" si="40">2.5/1.21</f>
        <v>2.0661157024793391</v>
      </c>
      <c r="AI493" s="871">
        <v>0</v>
      </c>
      <c r="AJ493" s="871">
        <v>0</v>
      </c>
      <c r="AK493" s="871">
        <v>0</v>
      </c>
      <c r="AL493" s="871">
        <v>0</v>
      </c>
      <c r="AM493" s="871">
        <v>0</v>
      </c>
      <c r="AN493" s="871">
        <v>0</v>
      </c>
      <c r="AO493" s="871">
        <v>0</v>
      </c>
      <c r="AP493" s="871"/>
    </row>
    <row r="494" spans="1:42" s="868" customFormat="1" ht="14">
      <c r="A494" s="866">
        <v>493</v>
      </c>
      <c r="B494" s="867" t="s">
        <v>2951</v>
      </c>
      <c r="C494" s="867" t="s">
        <v>42</v>
      </c>
      <c r="D494" s="867" t="s">
        <v>2377</v>
      </c>
      <c r="E494" s="867" t="s">
        <v>2664</v>
      </c>
      <c r="F494" s="867" t="s">
        <v>604</v>
      </c>
      <c r="G494" s="868">
        <v>1</v>
      </c>
      <c r="H494" s="869">
        <v>0.21</v>
      </c>
      <c r="I494" s="869">
        <v>0.3</v>
      </c>
      <c r="J494" s="869">
        <f t="shared" si="38"/>
        <v>6.3E-2</v>
      </c>
      <c r="K494" s="869">
        <f t="shared" si="39"/>
        <v>8.1899999999999994E-3</v>
      </c>
      <c r="L494" s="868">
        <v>53</v>
      </c>
      <c r="M494" s="867" t="s">
        <v>2598</v>
      </c>
      <c r="N494" s="866">
        <v>2021</v>
      </c>
      <c r="O494" s="867" t="s">
        <v>2674</v>
      </c>
      <c r="P494" s="870" t="s">
        <v>47</v>
      </c>
      <c r="Q494" s="867" t="s">
        <v>92</v>
      </c>
      <c r="R494" s="871">
        <v>0</v>
      </c>
      <c r="S494" s="871">
        <v>0</v>
      </c>
      <c r="T494" s="871">
        <v>0</v>
      </c>
      <c r="U494" s="871">
        <v>0</v>
      </c>
      <c r="V494" s="871">
        <v>0</v>
      </c>
      <c r="W494" s="871">
        <v>0</v>
      </c>
      <c r="X494" s="871">
        <v>0</v>
      </c>
      <c r="Y494" s="871">
        <v>0</v>
      </c>
      <c r="Z494" s="871">
        <v>0</v>
      </c>
      <c r="AA494" s="871">
        <v>0</v>
      </c>
      <c r="AB494" s="871">
        <v>0</v>
      </c>
      <c r="AC494" s="871">
        <v>0</v>
      </c>
      <c r="AD494" s="871">
        <v>2.5</v>
      </c>
      <c r="AE494" s="871">
        <v>0</v>
      </c>
      <c r="AF494" s="871">
        <v>0</v>
      </c>
      <c r="AG494" s="871">
        <v>0</v>
      </c>
      <c r="AH494" s="871">
        <f t="shared" si="40"/>
        <v>2.0661157024793391</v>
      </c>
      <c r="AI494" s="871">
        <v>0</v>
      </c>
      <c r="AJ494" s="871">
        <v>0</v>
      </c>
      <c r="AK494" s="871">
        <v>0</v>
      </c>
      <c r="AL494" s="871">
        <v>0</v>
      </c>
      <c r="AM494" s="871">
        <v>0</v>
      </c>
      <c r="AN494" s="871">
        <v>0</v>
      </c>
      <c r="AO494" s="871">
        <v>0</v>
      </c>
      <c r="AP494" s="871"/>
    </row>
    <row r="495" spans="1:42" s="868" customFormat="1" ht="14">
      <c r="A495" s="866">
        <v>494</v>
      </c>
      <c r="B495" s="867" t="s">
        <v>2952</v>
      </c>
      <c r="C495" s="867" t="s">
        <v>42</v>
      </c>
      <c r="D495" s="867" t="s">
        <v>2377</v>
      </c>
      <c r="E495" s="867" t="s">
        <v>2664</v>
      </c>
      <c r="F495" s="867" t="s">
        <v>625</v>
      </c>
      <c r="G495" s="868">
        <v>1</v>
      </c>
      <c r="H495" s="869">
        <v>0.21</v>
      </c>
      <c r="I495" s="869">
        <v>0.3</v>
      </c>
      <c r="J495" s="869">
        <f t="shared" si="38"/>
        <v>6.3E-2</v>
      </c>
      <c r="K495" s="869">
        <f t="shared" si="39"/>
        <v>8.1899999999999994E-3</v>
      </c>
      <c r="L495" s="868">
        <v>53</v>
      </c>
      <c r="M495" s="867" t="s">
        <v>2598</v>
      </c>
      <c r="N495" s="866">
        <v>2021</v>
      </c>
      <c r="O495" s="867" t="s">
        <v>2674</v>
      </c>
      <c r="P495" s="870" t="s">
        <v>47</v>
      </c>
      <c r="Q495" s="867" t="s">
        <v>92</v>
      </c>
      <c r="R495" s="871">
        <v>0</v>
      </c>
      <c r="S495" s="871">
        <v>0</v>
      </c>
      <c r="T495" s="871">
        <v>0</v>
      </c>
      <c r="U495" s="871">
        <v>0</v>
      </c>
      <c r="V495" s="871">
        <v>0</v>
      </c>
      <c r="W495" s="871">
        <v>0</v>
      </c>
      <c r="X495" s="871">
        <v>0</v>
      </c>
      <c r="Y495" s="871">
        <v>0</v>
      </c>
      <c r="Z495" s="871">
        <v>0</v>
      </c>
      <c r="AA495" s="871">
        <v>0</v>
      </c>
      <c r="AB495" s="871">
        <v>0</v>
      </c>
      <c r="AC495" s="871">
        <v>0</v>
      </c>
      <c r="AD495" s="871">
        <v>2.5</v>
      </c>
      <c r="AE495" s="871">
        <v>0</v>
      </c>
      <c r="AF495" s="871">
        <v>0</v>
      </c>
      <c r="AG495" s="871">
        <v>0</v>
      </c>
      <c r="AH495" s="871">
        <f t="shared" si="40"/>
        <v>2.0661157024793391</v>
      </c>
      <c r="AI495" s="871">
        <v>0</v>
      </c>
      <c r="AJ495" s="871">
        <v>0</v>
      </c>
      <c r="AK495" s="871">
        <v>0</v>
      </c>
      <c r="AL495" s="871">
        <v>0</v>
      </c>
      <c r="AM495" s="871">
        <v>0</v>
      </c>
      <c r="AN495" s="871">
        <v>0</v>
      </c>
      <c r="AO495" s="871">
        <v>0</v>
      </c>
      <c r="AP495" s="871"/>
    </row>
    <row r="496" spans="1:42" s="868" customFormat="1" ht="14">
      <c r="A496" s="866">
        <v>495</v>
      </c>
      <c r="B496" s="867" t="s">
        <v>2953</v>
      </c>
      <c r="C496" s="867" t="s">
        <v>42</v>
      </c>
      <c r="D496" s="867" t="s">
        <v>2377</v>
      </c>
      <c r="E496" s="867" t="s">
        <v>2664</v>
      </c>
      <c r="F496" s="867" t="s">
        <v>594</v>
      </c>
      <c r="G496" s="868">
        <v>1</v>
      </c>
      <c r="H496" s="869">
        <v>0.21</v>
      </c>
      <c r="I496" s="869">
        <v>0.3</v>
      </c>
      <c r="J496" s="869">
        <f t="shared" si="38"/>
        <v>6.3E-2</v>
      </c>
      <c r="K496" s="869">
        <f t="shared" si="39"/>
        <v>8.1899999999999994E-3</v>
      </c>
      <c r="L496" s="868">
        <v>53</v>
      </c>
      <c r="M496" s="867" t="s">
        <v>2598</v>
      </c>
      <c r="N496" s="866">
        <v>2021</v>
      </c>
      <c r="O496" s="867" t="s">
        <v>2674</v>
      </c>
      <c r="P496" s="870" t="s">
        <v>47</v>
      </c>
      <c r="Q496" s="867" t="s">
        <v>92</v>
      </c>
      <c r="R496" s="871">
        <v>0</v>
      </c>
      <c r="S496" s="871">
        <v>0</v>
      </c>
      <c r="T496" s="871">
        <v>0</v>
      </c>
      <c r="U496" s="871">
        <v>0</v>
      </c>
      <c r="V496" s="871">
        <v>0</v>
      </c>
      <c r="W496" s="871">
        <v>0</v>
      </c>
      <c r="X496" s="871">
        <v>0</v>
      </c>
      <c r="Y496" s="871">
        <v>0</v>
      </c>
      <c r="Z496" s="871">
        <v>0</v>
      </c>
      <c r="AA496" s="871">
        <v>0</v>
      </c>
      <c r="AB496" s="871">
        <v>0</v>
      </c>
      <c r="AC496" s="871">
        <v>0</v>
      </c>
      <c r="AD496" s="871">
        <v>2.5</v>
      </c>
      <c r="AE496" s="871">
        <v>0</v>
      </c>
      <c r="AF496" s="871">
        <v>0</v>
      </c>
      <c r="AG496" s="871">
        <v>0</v>
      </c>
      <c r="AH496" s="871">
        <f t="shared" si="40"/>
        <v>2.0661157024793391</v>
      </c>
      <c r="AI496" s="871">
        <v>0</v>
      </c>
      <c r="AJ496" s="871">
        <v>0</v>
      </c>
      <c r="AK496" s="871">
        <v>0</v>
      </c>
      <c r="AL496" s="871">
        <v>0</v>
      </c>
      <c r="AM496" s="871">
        <v>0</v>
      </c>
      <c r="AN496" s="871">
        <v>0</v>
      </c>
      <c r="AO496" s="871">
        <v>0</v>
      </c>
      <c r="AP496" s="871"/>
    </row>
    <row r="497" spans="1:42" s="868" customFormat="1" ht="14">
      <c r="A497" s="866">
        <v>496</v>
      </c>
      <c r="B497" s="867" t="s">
        <v>2954</v>
      </c>
      <c r="C497" s="867" t="s">
        <v>42</v>
      </c>
      <c r="D497" s="867" t="s">
        <v>2377</v>
      </c>
      <c r="E497" s="867" t="s">
        <v>2665</v>
      </c>
      <c r="F497" s="867" t="s">
        <v>594</v>
      </c>
      <c r="G497" s="868">
        <v>1</v>
      </c>
      <c r="H497" s="869">
        <v>0.21</v>
      </c>
      <c r="I497" s="869">
        <v>0.3</v>
      </c>
      <c r="J497" s="869">
        <f t="shared" si="38"/>
        <v>6.3E-2</v>
      </c>
      <c r="K497" s="869">
        <f t="shared" si="39"/>
        <v>8.1899999999999994E-3</v>
      </c>
      <c r="L497" s="868">
        <v>53</v>
      </c>
      <c r="M497" s="867" t="s">
        <v>2380</v>
      </c>
      <c r="N497" s="866">
        <v>2021</v>
      </c>
      <c r="O497" s="867" t="s">
        <v>2674</v>
      </c>
      <c r="P497" s="870" t="s">
        <v>47</v>
      </c>
      <c r="Q497" s="867" t="s">
        <v>92</v>
      </c>
      <c r="R497" s="871">
        <v>0</v>
      </c>
      <c r="S497" s="871">
        <v>0</v>
      </c>
      <c r="T497" s="871">
        <v>0</v>
      </c>
      <c r="U497" s="871">
        <v>0</v>
      </c>
      <c r="V497" s="871">
        <v>0</v>
      </c>
      <c r="W497" s="871">
        <v>0</v>
      </c>
      <c r="X497" s="871">
        <v>0</v>
      </c>
      <c r="Y497" s="871">
        <v>0</v>
      </c>
      <c r="Z497" s="871">
        <v>0</v>
      </c>
      <c r="AA497" s="871">
        <v>0</v>
      </c>
      <c r="AB497" s="871">
        <v>0</v>
      </c>
      <c r="AC497" s="871">
        <v>0</v>
      </c>
      <c r="AD497" s="871">
        <v>2.5</v>
      </c>
      <c r="AE497" s="871">
        <v>0</v>
      </c>
      <c r="AF497" s="871">
        <v>0</v>
      </c>
      <c r="AG497" s="871">
        <v>0</v>
      </c>
      <c r="AH497" s="871">
        <f t="shared" si="40"/>
        <v>2.0661157024793391</v>
      </c>
      <c r="AI497" s="871">
        <v>0</v>
      </c>
      <c r="AJ497" s="871">
        <v>0</v>
      </c>
      <c r="AK497" s="871">
        <v>0</v>
      </c>
      <c r="AL497" s="871">
        <v>0</v>
      </c>
      <c r="AM497" s="871">
        <v>0</v>
      </c>
      <c r="AN497" s="871">
        <v>0</v>
      </c>
      <c r="AO497" s="871">
        <v>0</v>
      </c>
      <c r="AP497" s="871"/>
    </row>
    <row r="498" spans="1:42" s="868" customFormat="1" ht="14">
      <c r="A498" s="866">
        <v>497</v>
      </c>
      <c r="B498" s="867" t="s">
        <v>2955</v>
      </c>
      <c r="C498" s="867" t="s">
        <v>42</v>
      </c>
      <c r="D498" s="867" t="s">
        <v>2377</v>
      </c>
      <c r="E498" s="867" t="s">
        <v>2665</v>
      </c>
      <c r="F498" s="867" t="s">
        <v>598</v>
      </c>
      <c r="G498" s="868">
        <v>1</v>
      </c>
      <c r="H498" s="869">
        <v>0.21</v>
      </c>
      <c r="I498" s="869">
        <v>0.3</v>
      </c>
      <c r="J498" s="869">
        <f t="shared" si="38"/>
        <v>6.3E-2</v>
      </c>
      <c r="K498" s="869">
        <f t="shared" si="39"/>
        <v>8.1899999999999994E-3</v>
      </c>
      <c r="L498" s="868">
        <v>53</v>
      </c>
      <c r="M498" s="867" t="s">
        <v>2380</v>
      </c>
      <c r="N498" s="866">
        <v>2021</v>
      </c>
      <c r="O498" s="867" t="s">
        <v>2674</v>
      </c>
      <c r="P498" s="870" t="s">
        <v>47</v>
      </c>
      <c r="Q498" s="867" t="s">
        <v>92</v>
      </c>
      <c r="R498" s="871">
        <v>0</v>
      </c>
      <c r="S498" s="871">
        <v>0</v>
      </c>
      <c r="T498" s="871">
        <v>0</v>
      </c>
      <c r="U498" s="871">
        <v>0</v>
      </c>
      <c r="V498" s="871">
        <v>0</v>
      </c>
      <c r="W498" s="871">
        <v>0</v>
      </c>
      <c r="X498" s="871">
        <v>0</v>
      </c>
      <c r="Y498" s="871">
        <v>0</v>
      </c>
      <c r="Z498" s="871">
        <v>0</v>
      </c>
      <c r="AA498" s="871">
        <v>0</v>
      </c>
      <c r="AB498" s="871">
        <v>0</v>
      </c>
      <c r="AC498" s="871">
        <v>0</v>
      </c>
      <c r="AD498" s="871">
        <v>2.5</v>
      </c>
      <c r="AE498" s="871">
        <v>0</v>
      </c>
      <c r="AF498" s="871">
        <v>0</v>
      </c>
      <c r="AG498" s="871">
        <v>0</v>
      </c>
      <c r="AH498" s="871">
        <f t="shared" si="40"/>
        <v>2.0661157024793391</v>
      </c>
      <c r="AI498" s="871">
        <v>0</v>
      </c>
      <c r="AJ498" s="871">
        <v>0</v>
      </c>
      <c r="AK498" s="871">
        <v>0</v>
      </c>
      <c r="AL498" s="871">
        <v>0</v>
      </c>
      <c r="AM498" s="871">
        <v>0</v>
      </c>
      <c r="AN498" s="871">
        <v>0</v>
      </c>
      <c r="AO498" s="871">
        <v>0</v>
      </c>
      <c r="AP498" s="871"/>
    </row>
    <row r="499" spans="1:42" s="868" customFormat="1" ht="14">
      <c r="A499" s="866">
        <v>498</v>
      </c>
      <c r="B499" s="867" t="s">
        <v>2956</v>
      </c>
      <c r="C499" s="867" t="s">
        <v>42</v>
      </c>
      <c r="D499" s="867" t="s">
        <v>2377</v>
      </c>
      <c r="E499" s="867" t="s">
        <v>2665</v>
      </c>
      <c r="F499" s="867" t="s">
        <v>600</v>
      </c>
      <c r="G499" s="868">
        <v>1</v>
      </c>
      <c r="H499" s="869">
        <v>0.21</v>
      </c>
      <c r="I499" s="869">
        <v>0.3</v>
      </c>
      <c r="J499" s="869">
        <f t="shared" si="38"/>
        <v>6.3E-2</v>
      </c>
      <c r="K499" s="869">
        <f t="shared" si="39"/>
        <v>8.1899999999999994E-3</v>
      </c>
      <c r="L499" s="868">
        <v>53</v>
      </c>
      <c r="M499" s="867" t="s">
        <v>2380</v>
      </c>
      <c r="N499" s="866">
        <v>2021</v>
      </c>
      <c r="O499" s="867" t="s">
        <v>2674</v>
      </c>
      <c r="P499" s="870" t="s">
        <v>47</v>
      </c>
      <c r="Q499" s="867" t="s">
        <v>92</v>
      </c>
      <c r="R499" s="871">
        <v>0</v>
      </c>
      <c r="S499" s="871">
        <v>0</v>
      </c>
      <c r="T499" s="871">
        <v>0</v>
      </c>
      <c r="U499" s="871">
        <v>0</v>
      </c>
      <c r="V499" s="871">
        <v>0</v>
      </c>
      <c r="W499" s="871">
        <v>0</v>
      </c>
      <c r="X499" s="871">
        <v>0</v>
      </c>
      <c r="Y499" s="871">
        <v>0</v>
      </c>
      <c r="Z499" s="871">
        <v>0</v>
      </c>
      <c r="AA499" s="871">
        <v>0</v>
      </c>
      <c r="AB499" s="871">
        <v>0</v>
      </c>
      <c r="AC499" s="871">
        <v>0</v>
      </c>
      <c r="AD499" s="871">
        <v>2.5</v>
      </c>
      <c r="AE499" s="871">
        <v>0</v>
      </c>
      <c r="AF499" s="871">
        <v>0</v>
      </c>
      <c r="AG499" s="871">
        <v>0</v>
      </c>
      <c r="AH499" s="871">
        <f t="shared" si="40"/>
        <v>2.0661157024793391</v>
      </c>
      <c r="AI499" s="871">
        <v>0</v>
      </c>
      <c r="AJ499" s="871">
        <v>0</v>
      </c>
      <c r="AK499" s="871">
        <v>0</v>
      </c>
      <c r="AL499" s="871">
        <v>0</v>
      </c>
      <c r="AM499" s="871">
        <v>0</v>
      </c>
      <c r="AN499" s="871">
        <v>0</v>
      </c>
      <c r="AO499" s="871">
        <v>0</v>
      </c>
      <c r="AP499" s="871"/>
    </row>
    <row r="500" spans="1:42" s="868" customFormat="1" ht="14">
      <c r="A500" s="866">
        <v>499</v>
      </c>
      <c r="B500" s="867" t="s">
        <v>2957</v>
      </c>
      <c r="C500" s="867" t="s">
        <v>42</v>
      </c>
      <c r="D500" s="867" t="s">
        <v>2377</v>
      </c>
      <c r="E500" s="867" t="s">
        <v>2665</v>
      </c>
      <c r="F500" s="867" t="s">
        <v>602</v>
      </c>
      <c r="G500" s="868">
        <v>1</v>
      </c>
      <c r="H500" s="869">
        <v>0.21</v>
      </c>
      <c r="I500" s="869">
        <v>0.3</v>
      </c>
      <c r="J500" s="869">
        <f t="shared" si="38"/>
        <v>6.3E-2</v>
      </c>
      <c r="K500" s="869">
        <f t="shared" si="39"/>
        <v>8.1899999999999994E-3</v>
      </c>
      <c r="L500" s="868">
        <v>53</v>
      </c>
      <c r="M500" s="867" t="s">
        <v>2380</v>
      </c>
      <c r="N500" s="866">
        <v>2021</v>
      </c>
      <c r="O500" s="867" t="s">
        <v>2674</v>
      </c>
      <c r="P500" s="870" t="s">
        <v>47</v>
      </c>
      <c r="Q500" s="867" t="s">
        <v>92</v>
      </c>
      <c r="R500" s="871">
        <v>0</v>
      </c>
      <c r="S500" s="871">
        <v>0</v>
      </c>
      <c r="T500" s="871">
        <v>0</v>
      </c>
      <c r="U500" s="871">
        <v>0</v>
      </c>
      <c r="V500" s="871">
        <v>0</v>
      </c>
      <c r="W500" s="871">
        <v>0</v>
      </c>
      <c r="X500" s="871">
        <v>0</v>
      </c>
      <c r="Y500" s="871">
        <v>0</v>
      </c>
      <c r="Z500" s="871">
        <v>0</v>
      </c>
      <c r="AA500" s="871">
        <v>0</v>
      </c>
      <c r="AB500" s="871">
        <v>0</v>
      </c>
      <c r="AC500" s="871">
        <v>0</v>
      </c>
      <c r="AD500" s="871">
        <v>2.5</v>
      </c>
      <c r="AE500" s="871">
        <v>0</v>
      </c>
      <c r="AF500" s="871">
        <v>0</v>
      </c>
      <c r="AG500" s="871">
        <v>0</v>
      </c>
      <c r="AH500" s="871">
        <f t="shared" si="40"/>
        <v>2.0661157024793391</v>
      </c>
      <c r="AI500" s="871">
        <v>0</v>
      </c>
      <c r="AJ500" s="871">
        <v>0</v>
      </c>
      <c r="AK500" s="871">
        <v>0</v>
      </c>
      <c r="AL500" s="871">
        <v>0</v>
      </c>
      <c r="AM500" s="871">
        <v>0</v>
      </c>
      <c r="AN500" s="871">
        <v>0</v>
      </c>
      <c r="AO500" s="871">
        <v>0</v>
      </c>
      <c r="AP500" s="871"/>
    </row>
    <row r="501" spans="1:42" s="868" customFormat="1" ht="14">
      <c r="A501" s="866">
        <v>500</v>
      </c>
      <c r="B501" s="867" t="s">
        <v>2958</v>
      </c>
      <c r="C501" s="867" t="s">
        <v>42</v>
      </c>
      <c r="D501" s="867" t="s">
        <v>2377</v>
      </c>
      <c r="E501" s="867" t="s">
        <v>2665</v>
      </c>
      <c r="F501" s="867" t="s">
        <v>604</v>
      </c>
      <c r="G501" s="868">
        <v>1</v>
      </c>
      <c r="H501" s="869">
        <v>0.21</v>
      </c>
      <c r="I501" s="869">
        <v>0.3</v>
      </c>
      <c r="J501" s="869">
        <f t="shared" si="38"/>
        <v>6.3E-2</v>
      </c>
      <c r="K501" s="869">
        <f t="shared" si="39"/>
        <v>8.1899999999999994E-3</v>
      </c>
      <c r="L501" s="868">
        <v>53</v>
      </c>
      <c r="M501" s="867" t="s">
        <v>2380</v>
      </c>
      <c r="N501" s="866">
        <v>2021</v>
      </c>
      <c r="O501" s="867" t="s">
        <v>2674</v>
      </c>
      <c r="P501" s="870" t="s">
        <v>47</v>
      </c>
      <c r="Q501" s="867" t="s">
        <v>92</v>
      </c>
      <c r="R501" s="871">
        <v>0</v>
      </c>
      <c r="S501" s="871">
        <v>0</v>
      </c>
      <c r="T501" s="871">
        <v>0</v>
      </c>
      <c r="U501" s="871">
        <v>0</v>
      </c>
      <c r="V501" s="871">
        <v>0</v>
      </c>
      <c r="W501" s="871">
        <v>0</v>
      </c>
      <c r="X501" s="871">
        <v>0</v>
      </c>
      <c r="Y501" s="871">
        <v>0</v>
      </c>
      <c r="Z501" s="871">
        <v>0</v>
      </c>
      <c r="AA501" s="871">
        <v>0</v>
      </c>
      <c r="AB501" s="871">
        <v>0</v>
      </c>
      <c r="AC501" s="871">
        <v>0</v>
      </c>
      <c r="AD501" s="871">
        <v>2.5</v>
      </c>
      <c r="AE501" s="871">
        <v>0</v>
      </c>
      <c r="AF501" s="871">
        <v>0</v>
      </c>
      <c r="AG501" s="871">
        <v>0</v>
      </c>
      <c r="AH501" s="871">
        <f t="shared" si="40"/>
        <v>2.0661157024793391</v>
      </c>
      <c r="AI501" s="871">
        <v>0</v>
      </c>
      <c r="AJ501" s="871">
        <v>0</v>
      </c>
      <c r="AK501" s="871">
        <v>0</v>
      </c>
      <c r="AL501" s="871">
        <v>0</v>
      </c>
      <c r="AM501" s="871">
        <v>0</v>
      </c>
      <c r="AN501" s="871">
        <v>0</v>
      </c>
      <c r="AO501" s="871">
        <v>0</v>
      </c>
      <c r="AP501" s="871"/>
    </row>
    <row r="502" spans="1:42" s="868" customFormat="1" ht="14">
      <c r="A502" s="866">
        <v>501</v>
      </c>
      <c r="B502" s="867" t="s">
        <v>2959</v>
      </c>
      <c r="C502" s="867" t="s">
        <v>42</v>
      </c>
      <c r="D502" s="867" t="s">
        <v>2377</v>
      </c>
      <c r="E502" s="867" t="s">
        <v>2665</v>
      </c>
      <c r="F502" s="867" t="s">
        <v>2666</v>
      </c>
      <c r="G502" s="868">
        <v>1</v>
      </c>
      <c r="H502" s="869">
        <v>0.21</v>
      </c>
      <c r="I502" s="869">
        <v>0.3</v>
      </c>
      <c r="J502" s="869">
        <f t="shared" si="38"/>
        <v>6.3E-2</v>
      </c>
      <c r="K502" s="869">
        <f t="shared" si="39"/>
        <v>8.1899999999999994E-3</v>
      </c>
      <c r="L502" s="868">
        <v>53</v>
      </c>
      <c r="M502" s="867" t="s">
        <v>2380</v>
      </c>
      <c r="N502" s="866">
        <v>2021</v>
      </c>
      <c r="O502" s="867" t="s">
        <v>2674</v>
      </c>
      <c r="P502" s="870" t="s">
        <v>47</v>
      </c>
      <c r="Q502" s="867" t="s">
        <v>92</v>
      </c>
      <c r="R502" s="871">
        <v>0</v>
      </c>
      <c r="S502" s="871">
        <v>0</v>
      </c>
      <c r="T502" s="871">
        <v>0</v>
      </c>
      <c r="U502" s="871">
        <v>0</v>
      </c>
      <c r="V502" s="871">
        <v>0</v>
      </c>
      <c r="W502" s="871">
        <v>0</v>
      </c>
      <c r="X502" s="871">
        <v>0</v>
      </c>
      <c r="Y502" s="871">
        <v>0</v>
      </c>
      <c r="Z502" s="871">
        <v>0</v>
      </c>
      <c r="AA502" s="871">
        <v>0</v>
      </c>
      <c r="AB502" s="871">
        <v>0</v>
      </c>
      <c r="AC502" s="871">
        <v>0</v>
      </c>
      <c r="AD502" s="871">
        <v>2.5</v>
      </c>
      <c r="AE502" s="871">
        <v>0</v>
      </c>
      <c r="AF502" s="871">
        <v>0</v>
      </c>
      <c r="AG502" s="871">
        <v>0</v>
      </c>
      <c r="AH502" s="871">
        <f t="shared" si="40"/>
        <v>2.0661157024793391</v>
      </c>
      <c r="AI502" s="871">
        <v>0</v>
      </c>
      <c r="AJ502" s="871">
        <v>0</v>
      </c>
      <c r="AK502" s="871">
        <v>0</v>
      </c>
      <c r="AL502" s="871">
        <v>0</v>
      </c>
      <c r="AM502" s="871">
        <v>0</v>
      </c>
      <c r="AN502" s="871">
        <v>0</v>
      </c>
      <c r="AO502" s="871">
        <v>0</v>
      </c>
      <c r="AP502" s="871"/>
    </row>
    <row r="503" spans="1:42" s="868" customFormat="1" ht="14">
      <c r="A503" s="866">
        <v>502</v>
      </c>
      <c r="B503" s="867" t="s">
        <v>2960</v>
      </c>
      <c r="C503" s="867" t="s">
        <v>42</v>
      </c>
      <c r="D503" s="867" t="s">
        <v>2377</v>
      </c>
      <c r="E503" s="867" t="s">
        <v>2665</v>
      </c>
      <c r="F503" s="867" t="s">
        <v>608</v>
      </c>
      <c r="G503" s="868">
        <v>1</v>
      </c>
      <c r="H503" s="869">
        <v>0.21</v>
      </c>
      <c r="I503" s="869">
        <v>0.3</v>
      </c>
      <c r="J503" s="869">
        <f t="shared" si="38"/>
        <v>6.3E-2</v>
      </c>
      <c r="K503" s="869">
        <f t="shared" si="39"/>
        <v>8.1899999999999994E-3</v>
      </c>
      <c r="L503" s="868">
        <v>53</v>
      </c>
      <c r="M503" s="867" t="s">
        <v>2380</v>
      </c>
      <c r="N503" s="866">
        <v>2021</v>
      </c>
      <c r="O503" s="867" t="s">
        <v>2674</v>
      </c>
      <c r="P503" s="870" t="s">
        <v>47</v>
      </c>
      <c r="Q503" s="867" t="s">
        <v>92</v>
      </c>
      <c r="R503" s="871">
        <v>0</v>
      </c>
      <c r="S503" s="871">
        <v>0</v>
      </c>
      <c r="T503" s="871">
        <v>0</v>
      </c>
      <c r="U503" s="871">
        <v>0</v>
      </c>
      <c r="V503" s="871">
        <v>0</v>
      </c>
      <c r="W503" s="871">
        <v>0</v>
      </c>
      <c r="X503" s="871">
        <v>0</v>
      </c>
      <c r="Y503" s="871">
        <v>0</v>
      </c>
      <c r="Z503" s="871">
        <v>0</v>
      </c>
      <c r="AA503" s="871">
        <v>0</v>
      </c>
      <c r="AB503" s="871">
        <v>0</v>
      </c>
      <c r="AC503" s="871">
        <v>0</v>
      </c>
      <c r="AD503" s="871">
        <v>2.5</v>
      </c>
      <c r="AE503" s="871">
        <v>0</v>
      </c>
      <c r="AF503" s="871">
        <v>0</v>
      </c>
      <c r="AG503" s="871">
        <v>0</v>
      </c>
      <c r="AH503" s="871">
        <f t="shared" si="40"/>
        <v>2.0661157024793391</v>
      </c>
      <c r="AI503" s="871">
        <v>0</v>
      </c>
      <c r="AJ503" s="871">
        <v>0</v>
      </c>
      <c r="AK503" s="871">
        <v>0</v>
      </c>
      <c r="AL503" s="871">
        <v>0</v>
      </c>
      <c r="AM503" s="871">
        <v>0</v>
      </c>
      <c r="AN503" s="871">
        <v>0</v>
      </c>
      <c r="AO503" s="871">
        <v>0</v>
      </c>
      <c r="AP503" s="871"/>
    </row>
    <row r="504" spans="1:42" s="868" customFormat="1" ht="14">
      <c r="A504" s="866">
        <v>503</v>
      </c>
      <c r="B504" s="867" t="s">
        <v>2961</v>
      </c>
      <c r="C504" s="867" t="s">
        <v>42</v>
      </c>
      <c r="D504" s="867" t="s">
        <v>2377</v>
      </c>
      <c r="E504" s="867" t="s">
        <v>2667</v>
      </c>
      <c r="F504" s="867" t="s">
        <v>600</v>
      </c>
      <c r="G504" s="868">
        <v>1</v>
      </c>
      <c r="H504" s="869">
        <v>0.21</v>
      </c>
      <c r="I504" s="869">
        <v>0.3</v>
      </c>
      <c r="J504" s="869">
        <f t="shared" si="38"/>
        <v>6.3E-2</v>
      </c>
      <c r="K504" s="869">
        <f t="shared" si="39"/>
        <v>8.1899999999999994E-3</v>
      </c>
      <c r="L504" s="868">
        <v>53</v>
      </c>
      <c r="M504" s="867" t="s">
        <v>2598</v>
      </c>
      <c r="N504" s="866">
        <v>2021</v>
      </c>
      <c r="O504" s="867" t="s">
        <v>2674</v>
      </c>
      <c r="P504" s="870" t="s">
        <v>47</v>
      </c>
      <c r="Q504" s="867" t="s">
        <v>92</v>
      </c>
      <c r="R504" s="871">
        <v>0</v>
      </c>
      <c r="S504" s="871">
        <v>0</v>
      </c>
      <c r="T504" s="871">
        <v>0</v>
      </c>
      <c r="U504" s="871">
        <v>0</v>
      </c>
      <c r="V504" s="871">
        <v>0</v>
      </c>
      <c r="W504" s="871">
        <v>0</v>
      </c>
      <c r="X504" s="871">
        <v>0</v>
      </c>
      <c r="Y504" s="871">
        <v>0</v>
      </c>
      <c r="Z504" s="871">
        <v>0</v>
      </c>
      <c r="AA504" s="871">
        <v>0</v>
      </c>
      <c r="AB504" s="871">
        <v>0</v>
      </c>
      <c r="AC504" s="871">
        <v>0</v>
      </c>
      <c r="AD504" s="871">
        <v>2.5</v>
      </c>
      <c r="AE504" s="871">
        <v>0</v>
      </c>
      <c r="AF504" s="871">
        <v>0</v>
      </c>
      <c r="AG504" s="871">
        <v>0</v>
      </c>
      <c r="AH504" s="871">
        <f t="shared" si="40"/>
        <v>2.0661157024793391</v>
      </c>
      <c r="AI504" s="871">
        <v>0</v>
      </c>
      <c r="AJ504" s="871">
        <v>0</v>
      </c>
      <c r="AK504" s="871">
        <v>0</v>
      </c>
      <c r="AL504" s="871">
        <v>0</v>
      </c>
      <c r="AM504" s="871">
        <v>0</v>
      </c>
      <c r="AN504" s="871">
        <v>0</v>
      </c>
      <c r="AO504" s="871">
        <v>0</v>
      </c>
      <c r="AP504" s="871"/>
    </row>
    <row r="505" spans="1:42" s="868" customFormat="1" ht="14">
      <c r="A505" s="866">
        <v>504</v>
      </c>
      <c r="B505" s="867" t="s">
        <v>2962</v>
      </c>
      <c r="C505" s="867" t="s">
        <v>42</v>
      </c>
      <c r="D505" s="867" t="s">
        <v>2377</v>
      </c>
      <c r="E505" s="867" t="s">
        <v>2667</v>
      </c>
      <c r="F505" s="867" t="s">
        <v>598</v>
      </c>
      <c r="G505" s="868">
        <v>1</v>
      </c>
      <c r="H505" s="869">
        <v>0.21</v>
      </c>
      <c r="I505" s="869">
        <v>0.3</v>
      </c>
      <c r="J505" s="869">
        <f t="shared" si="38"/>
        <v>6.3E-2</v>
      </c>
      <c r="K505" s="869">
        <f t="shared" si="39"/>
        <v>8.1899999999999994E-3</v>
      </c>
      <c r="L505" s="868">
        <v>53</v>
      </c>
      <c r="M505" s="867" t="s">
        <v>2598</v>
      </c>
      <c r="N505" s="866">
        <v>2021</v>
      </c>
      <c r="O505" s="867" t="s">
        <v>2674</v>
      </c>
      <c r="P505" s="870" t="s">
        <v>47</v>
      </c>
      <c r="Q505" s="867" t="s">
        <v>92</v>
      </c>
      <c r="R505" s="871">
        <v>0</v>
      </c>
      <c r="S505" s="871">
        <v>0</v>
      </c>
      <c r="T505" s="871">
        <v>0</v>
      </c>
      <c r="U505" s="871">
        <v>0</v>
      </c>
      <c r="V505" s="871">
        <v>0</v>
      </c>
      <c r="W505" s="871">
        <v>0</v>
      </c>
      <c r="X505" s="871">
        <v>0</v>
      </c>
      <c r="Y505" s="871">
        <v>0</v>
      </c>
      <c r="Z505" s="871">
        <v>0</v>
      </c>
      <c r="AA505" s="871">
        <v>0</v>
      </c>
      <c r="AB505" s="871">
        <v>0</v>
      </c>
      <c r="AC505" s="871">
        <v>0</v>
      </c>
      <c r="AD505" s="871">
        <v>2.5</v>
      </c>
      <c r="AE505" s="871">
        <v>0</v>
      </c>
      <c r="AF505" s="871">
        <v>0</v>
      </c>
      <c r="AG505" s="871">
        <v>0</v>
      </c>
      <c r="AH505" s="871">
        <f t="shared" si="40"/>
        <v>2.0661157024793391</v>
      </c>
      <c r="AI505" s="871">
        <v>0</v>
      </c>
      <c r="AJ505" s="871">
        <v>0</v>
      </c>
      <c r="AK505" s="871">
        <v>0</v>
      </c>
      <c r="AL505" s="871">
        <v>0</v>
      </c>
      <c r="AM505" s="871">
        <v>0</v>
      </c>
      <c r="AN505" s="871">
        <v>0</v>
      </c>
      <c r="AO505" s="871">
        <v>0</v>
      </c>
      <c r="AP505" s="871"/>
    </row>
    <row r="506" spans="1:42" s="868" customFormat="1" ht="14">
      <c r="A506" s="866">
        <v>505</v>
      </c>
      <c r="B506" s="867" t="s">
        <v>2963</v>
      </c>
      <c r="C506" s="867" t="s">
        <v>42</v>
      </c>
      <c r="D506" s="867" t="s">
        <v>2377</v>
      </c>
      <c r="E506" s="867" t="s">
        <v>2667</v>
      </c>
      <c r="F506" s="867" t="s">
        <v>613</v>
      </c>
      <c r="G506" s="868">
        <v>1</v>
      </c>
      <c r="H506" s="869">
        <v>0.21</v>
      </c>
      <c r="I506" s="869">
        <v>0.3</v>
      </c>
      <c r="J506" s="869">
        <f t="shared" si="38"/>
        <v>6.3E-2</v>
      </c>
      <c r="K506" s="869">
        <f t="shared" si="39"/>
        <v>8.1899999999999994E-3</v>
      </c>
      <c r="L506" s="868">
        <v>53</v>
      </c>
      <c r="M506" s="867" t="s">
        <v>2598</v>
      </c>
      <c r="N506" s="866">
        <v>2021</v>
      </c>
      <c r="O506" s="867" t="s">
        <v>2674</v>
      </c>
      <c r="P506" s="870" t="s">
        <v>47</v>
      </c>
      <c r="Q506" s="867" t="s">
        <v>92</v>
      </c>
      <c r="R506" s="871">
        <v>0</v>
      </c>
      <c r="S506" s="871">
        <v>0</v>
      </c>
      <c r="T506" s="871">
        <v>0</v>
      </c>
      <c r="U506" s="871">
        <v>0</v>
      </c>
      <c r="V506" s="871">
        <v>0</v>
      </c>
      <c r="W506" s="871">
        <v>0</v>
      </c>
      <c r="X506" s="871">
        <v>0</v>
      </c>
      <c r="Y506" s="871">
        <v>0</v>
      </c>
      <c r="Z506" s="871">
        <v>0</v>
      </c>
      <c r="AA506" s="871">
        <v>0</v>
      </c>
      <c r="AB506" s="871">
        <v>0</v>
      </c>
      <c r="AC506" s="871">
        <v>0</v>
      </c>
      <c r="AD506" s="871">
        <v>2.5</v>
      </c>
      <c r="AE506" s="871">
        <v>0</v>
      </c>
      <c r="AF506" s="871">
        <v>0</v>
      </c>
      <c r="AG506" s="871">
        <v>0</v>
      </c>
      <c r="AH506" s="871">
        <f t="shared" si="40"/>
        <v>2.0661157024793391</v>
      </c>
      <c r="AI506" s="871">
        <v>0</v>
      </c>
      <c r="AJ506" s="871">
        <v>0</v>
      </c>
      <c r="AK506" s="871">
        <v>0</v>
      </c>
      <c r="AL506" s="871">
        <v>0</v>
      </c>
      <c r="AM506" s="871">
        <v>0</v>
      </c>
      <c r="AN506" s="871">
        <v>0</v>
      </c>
      <c r="AO506" s="871">
        <v>0</v>
      </c>
      <c r="AP506" s="871"/>
    </row>
    <row r="507" spans="1:42" s="868" customFormat="1" ht="14">
      <c r="A507" s="866">
        <v>506</v>
      </c>
      <c r="B507" s="867" t="s">
        <v>2964</v>
      </c>
      <c r="C507" s="867" t="s">
        <v>42</v>
      </c>
      <c r="D507" s="867" t="s">
        <v>2377</v>
      </c>
      <c r="E507" s="867" t="s">
        <v>2667</v>
      </c>
      <c r="F507" s="867" t="s">
        <v>594</v>
      </c>
      <c r="G507" s="868">
        <v>1</v>
      </c>
      <c r="H507" s="869">
        <v>0.21</v>
      </c>
      <c r="I507" s="869">
        <v>0.3</v>
      </c>
      <c r="J507" s="869">
        <f t="shared" si="38"/>
        <v>6.3E-2</v>
      </c>
      <c r="K507" s="869">
        <f t="shared" si="39"/>
        <v>8.1899999999999994E-3</v>
      </c>
      <c r="L507" s="868">
        <v>53</v>
      </c>
      <c r="M507" s="867" t="s">
        <v>2598</v>
      </c>
      <c r="N507" s="866">
        <v>2021</v>
      </c>
      <c r="O507" s="867" t="s">
        <v>2674</v>
      </c>
      <c r="P507" s="870" t="s">
        <v>47</v>
      </c>
      <c r="Q507" s="867" t="s">
        <v>92</v>
      </c>
      <c r="R507" s="871">
        <v>0</v>
      </c>
      <c r="S507" s="871">
        <v>0</v>
      </c>
      <c r="T507" s="871">
        <v>0</v>
      </c>
      <c r="U507" s="871">
        <v>0</v>
      </c>
      <c r="V507" s="871">
        <v>0</v>
      </c>
      <c r="W507" s="871">
        <v>0</v>
      </c>
      <c r="X507" s="871">
        <v>0</v>
      </c>
      <c r="Y507" s="871">
        <v>0</v>
      </c>
      <c r="Z507" s="871">
        <v>0</v>
      </c>
      <c r="AA507" s="871">
        <v>0</v>
      </c>
      <c r="AB507" s="871">
        <v>0</v>
      </c>
      <c r="AC507" s="871">
        <v>0</v>
      </c>
      <c r="AD507" s="871">
        <v>2.5</v>
      </c>
      <c r="AE507" s="871">
        <v>0</v>
      </c>
      <c r="AF507" s="871">
        <v>0</v>
      </c>
      <c r="AG507" s="871">
        <v>0</v>
      </c>
      <c r="AH507" s="871">
        <f t="shared" si="40"/>
        <v>2.0661157024793391</v>
      </c>
      <c r="AI507" s="871">
        <v>0</v>
      </c>
      <c r="AJ507" s="871">
        <v>0</v>
      </c>
      <c r="AK507" s="871">
        <v>0</v>
      </c>
      <c r="AL507" s="871">
        <v>0</v>
      </c>
      <c r="AM507" s="871">
        <v>0</v>
      </c>
      <c r="AN507" s="871">
        <v>0</v>
      </c>
      <c r="AO507" s="871">
        <v>0</v>
      </c>
      <c r="AP507" s="871"/>
    </row>
    <row r="508" spans="1:42" s="868" customFormat="1" ht="14">
      <c r="A508" s="866">
        <v>507</v>
      </c>
      <c r="B508" s="867" t="s">
        <v>2965</v>
      </c>
      <c r="C508" s="867" t="s">
        <v>42</v>
      </c>
      <c r="D508" s="867" t="s">
        <v>2377</v>
      </c>
      <c r="E508" s="867" t="s">
        <v>2668</v>
      </c>
      <c r="F508" s="867" t="s">
        <v>600</v>
      </c>
      <c r="G508" s="868">
        <v>1</v>
      </c>
      <c r="H508" s="869">
        <v>0.21</v>
      </c>
      <c r="I508" s="869">
        <v>0.3</v>
      </c>
      <c r="J508" s="869">
        <f t="shared" si="38"/>
        <v>6.3E-2</v>
      </c>
      <c r="K508" s="869">
        <f t="shared" si="39"/>
        <v>8.1899999999999994E-3</v>
      </c>
      <c r="L508" s="868">
        <v>17.600000000000001</v>
      </c>
      <c r="M508" s="867" t="s">
        <v>2380</v>
      </c>
      <c r="N508" s="866">
        <v>2021</v>
      </c>
      <c r="O508" s="867" t="s">
        <v>2674</v>
      </c>
      <c r="P508" s="870" t="s">
        <v>47</v>
      </c>
      <c r="Q508" s="867" t="s">
        <v>92</v>
      </c>
      <c r="R508" s="871">
        <v>0</v>
      </c>
      <c r="S508" s="871">
        <v>0</v>
      </c>
      <c r="T508" s="871">
        <v>0</v>
      </c>
      <c r="U508" s="871">
        <v>0</v>
      </c>
      <c r="V508" s="871">
        <v>0</v>
      </c>
      <c r="W508" s="871">
        <v>0</v>
      </c>
      <c r="X508" s="871">
        <v>0</v>
      </c>
      <c r="Y508" s="871">
        <v>0</v>
      </c>
      <c r="Z508" s="871">
        <v>0</v>
      </c>
      <c r="AA508" s="871">
        <v>0</v>
      </c>
      <c r="AB508" s="871">
        <v>0</v>
      </c>
      <c r="AC508" s="871">
        <v>0</v>
      </c>
      <c r="AD508" s="871">
        <v>2.5</v>
      </c>
      <c r="AE508" s="871">
        <v>0</v>
      </c>
      <c r="AF508" s="871">
        <v>0</v>
      </c>
      <c r="AG508" s="871">
        <v>0</v>
      </c>
      <c r="AH508" s="871">
        <f t="shared" si="40"/>
        <v>2.0661157024793391</v>
      </c>
      <c r="AI508" s="871">
        <v>0</v>
      </c>
      <c r="AJ508" s="871">
        <v>0</v>
      </c>
      <c r="AK508" s="871">
        <v>0</v>
      </c>
      <c r="AL508" s="871">
        <v>0</v>
      </c>
      <c r="AM508" s="871">
        <v>0</v>
      </c>
      <c r="AN508" s="871">
        <v>0</v>
      </c>
      <c r="AO508" s="871">
        <v>0</v>
      </c>
      <c r="AP508" s="871"/>
    </row>
    <row r="509" spans="1:42" s="868" customFormat="1" ht="14">
      <c r="A509" s="866">
        <v>508</v>
      </c>
      <c r="B509" s="867" t="s">
        <v>2966</v>
      </c>
      <c r="C509" s="867" t="s">
        <v>42</v>
      </c>
      <c r="D509" s="867" t="s">
        <v>2377</v>
      </c>
      <c r="E509" s="867" t="s">
        <v>2668</v>
      </c>
      <c r="F509" s="867" t="s">
        <v>598</v>
      </c>
      <c r="G509" s="868">
        <v>1</v>
      </c>
      <c r="H509" s="869">
        <v>0.21</v>
      </c>
      <c r="I509" s="869">
        <v>0.3</v>
      </c>
      <c r="J509" s="869">
        <f t="shared" si="38"/>
        <v>6.3E-2</v>
      </c>
      <c r="K509" s="869">
        <f t="shared" si="39"/>
        <v>8.1899999999999994E-3</v>
      </c>
      <c r="L509" s="868">
        <v>17.600000000000001</v>
      </c>
      <c r="M509" s="867" t="s">
        <v>2380</v>
      </c>
      <c r="N509" s="866">
        <v>2021</v>
      </c>
      <c r="O509" s="867" t="s">
        <v>2674</v>
      </c>
      <c r="P509" s="870" t="s">
        <v>47</v>
      </c>
      <c r="Q509" s="867" t="s">
        <v>92</v>
      </c>
      <c r="R509" s="871">
        <v>0</v>
      </c>
      <c r="S509" s="871">
        <v>0</v>
      </c>
      <c r="T509" s="871">
        <v>0</v>
      </c>
      <c r="U509" s="871">
        <v>0</v>
      </c>
      <c r="V509" s="871">
        <v>0</v>
      </c>
      <c r="W509" s="871">
        <v>0</v>
      </c>
      <c r="X509" s="871">
        <v>0</v>
      </c>
      <c r="Y509" s="871">
        <v>0</v>
      </c>
      <c r="Z509" s="871">
        <v>0</v>
      </c>
      <c r="AA509" s="871">
        <v>0</v>
      </c>
      <c r="AB509" s="871">
        <v>0</v>
      </c>
      <c r="AC509" s="871">
        <v>0</v>
      </c>
      <c r="AD509" s="871">
        <v>2.5</v>
      </c>
      <c r="AE509" s="871">
        <v>0</v>
      </c>
      <c r="AF509" s="871">
        <v>0</v>
      </c>
      <c r="AG509" s="871">
        <v>0</v>
      </c>
      <c r="AH509" s="871">
        <f t="shared" si="40"/>
        <v>2.0661157024793391</v>
      </c>
      <c r="AI509" s="871">
        <v>0</v>
      </c>
      <c r="AJ509" s="871">
        <v>0</v>
      </c>
      <c r="AK509" s="871">
        <v>0</v>
      </c>
      <c r="AL509" s="871">
        <v>0</v>
      </c>
      <c r="AM509" s="871">
        <v>0</v>
      </c>
      <c r="AN509" s="871">
        <v>0</v>
      </c>
      <c r="AO509" s="871">
        <v>0</v>
      </c>
      <c r="AP509" s="871"/>
    </row>
    <row r="510" spans="1:42" s="868" customFormat="1" ht="14">
      <c r="A510" s="866">
        <v>509</v>
      </c>
      <c r="B510" s="867" t="s">
        <v>2967</v>
      </c>
      <c r="C510" s="867" t="s">
        <v>42</v>
      </c>
      <c r="D510" s="867" t="s">
        <v>2377</v>
      </c>
      <c r="E510" s="867" t="s">
        <v>2668</v>
      </c>
      <c r="F510" s="867" t="s">
        <v>613</v>
      </c>
      <c r="G510" s="868">
        <v>1</v>
      </c>
      <c r="H510" s="869">
        <v>0.21</v>
      </c>
      <c r="I510" s="869">
        <v>0.3</v>
      </c>
      <c r="J510" s="869">
        <f t="shared" si="38"/>
        <v>6.3E-2</v>
      </c>
      <c r="K510" s="869">
        <f t="shared" si="39"/>
        <v>8.1899999999999994E-3</v>
      </c>
      <c r="L510" s="868">
        <v>17.600000000000001</v>
      </c>
      <c r="M510" s="867" t="s">
        <v>2380</v>
      </c>
      <c r="N510" s="866">
        <v>2021</v>
      </c>
      <c r="O510" s="867" t="s">
        <v>2674</v>
      </c>
      <c r="P510" s="870" t="s">
        <v>47</v>
      </c>
      <c r="Q510" s="867" t="s">
        <v>92</v>
      </c>
      <c r="R510" s="871">
        <v>0</v>
      </c>
      <c r="S510" s="871">
        <v>0</v>
      </c>
      <c r="T510" s="871">
        <v>0</v>
      </c>
      <c r="U510" s="871">
        <v>0</v>
      </c>
      <c r="V510" s="871">
        <v>0</v>
      </c>
      <c r="W510" s="871">
        <v>0</v>
      </c>
      <c r="X510" s="871">
        <v>0</v>
      </c>
      <c r="Y510" s="871">
        <v>0</v>
      </c>
      <c r="Z510" s="871">
        <v>0</v>
      </c>
      <c r="AA510" s="871">
        <v>0</v>
      </c>
      <c r="AB510" s="871">
        <v>0</v>
      </c>
      <c r="AC510" s="871">
        <v>0</v>
      </c>
      <c r="AD510" s="871">
        <v>2.5</v>
      </c>
      <c r="AE510" s="871">
        <v>0</v>
      </c>
      <c r="AF510" s="871">
        <v>0</v>
      </c>
      <c r="AG510" s="871">
        <v>0</v>
      </c>
      <c r="AH510" s="871">
        <f t="shared" si="40"/>
        <v>2.0661157024793391</v>
      </c>
      <c r="AI510" s="871">
        <v>0</v>
      </c>
      <c r="AJ510" s="871">
        <v>0</v>
      </c>
      <c r="AK510" s="871">
        <v>0</v>
      </c>
      <c r="AL510" s="871">
        <v>0</v>
      </c>
      <c r="AM510" s="871">
        <v>0</v>
      </c>
      <c r="AN510" s="871">
        <v>0</v>
      </c>
      <c r="AO510" s="871">
        <v>0</v>
      </c>
      <c r="AP510" s="871"/>
    </row>
    <row r="511" spans="1:42" s="868" customFormat="1" ht="14">
      <c r="A511" s="866">
        <v>510</v>
      </c>
      <c r="B511" s="867" t="s">
        <v>2968</v>
      </c>
      <c r="C511" s="867" t="s">
        <v>42</v>
      </c>
      <c r="D511" s="867" t="s">
        <v>2377</v>
      </c>
      <c r="E511" s="867" t="s">
        <v>2668</v>
      </c>
      <c r="F511" s="867" t="s">
        <v>621</v>
      </c>
      <c r="G511" s="868">
        <v>1</v>
      </c>
      <c r="H511" s="869">
        <v>0.21</v>
      </c>
      <c r="I511" s="869">
        <v>0.3</v>
      </c>
      <c r="J511" s="869">
        <f t="shared" si="38"/>
        <v>6.3E-2</v>
      </c>
      <c r="K511" s="869">
        <f t="shared" si="39"/>
        <v>8.1899999999999994E-3</v>
      </c>
      <c r="L511" s="868">
        <v>17.600000000000001</v>
      </c>
      <c r="M511" s="867" t="s">
        <v>2380</v>
      </c>
      <c r="N511" s="866">
        <v>2021</v>
      </c>
      <c r="O511" s="867" t="s">
        <v>2674</v>
      </c>
      <c r="P511" s="870" t="s">
        <v>47</v>
      </c>
      <c r="Q511" s="867" t="s">
        <v>92</v>
      </c>
      <c r="R511" s="871">
        <v>0</v>
      </c>
      <c r="S511" s="871">
        <v>0</v>
      </c>
      <c r="T511" s="871">
        <v>0</v>
      </c>
      <c r="U511" s="871">
        <v>0</v>
      </c>
      <c r="V511" s="871">
        <v>0</v>
      </c>
      <c r="W511" s="871">
        <v>0</v>
      </c>
      <c r="X511" s="871">
        <v>0</v>
      </c>
      <c r="Y511" s="871">
        <v>0</v>
      </c>
      <c r="Z511" s="871">
        <v>0</v>
      </c>
      <c r="AA511" s="871">
        <v>0</v>
      </c>
      <c r="AB511" s="871">
        <v>0</v>
      </c>
      <c r="AC511" s="871">
        <v>0</v>
      </c>
      <c r="AD511" s="871">
        <v>2.5</v>
      </c>
      <c r="AE511" s="871">
        <v>0</v>
      </c>
      <c r="AF511" s="871">
        <v>0</v>
      </c>
      <c r="AG511" s="871">
        <v>0</v>
      </c>
      <c r="AH511" s="871">
        <f t="shared" si="40"/>
        <v>2.0661157024793391</v>
      </c>
      <c r="AI511" s="871">
        <v>0</v>
      </c>
      <c r="AJ511" s="871">
        <v>0</v>
      </c>
      <c r="AK511" s="871">
        <v>0</v>
      </c>
      <c r="AL511" s="871">
        <v>0</v>
      </c>
      <c r="AM511" s="871">
        <v>0</v>
      </c>
      <c r="AN511" s="871">
        <v>0</v>
      </c>
      <c r="AO511" s="871">
        <v>0</v>
      </c>
      <c r="AP511" s="871"/>
    </row>
    <row r="512" spans="1:42" s="868" customFormat="1" ht="14">
      <c r="A512" s="866">
        <v>511</v>
      </c>
      <c r="B512" s="867" t="s">
        <v>2969</v>
      </c>
      <c r="C512" s="867" t="s">
        <v>42</v>
      </c>
      <c r="D512" s="867" t="s">
        <v>2377</v>
      </c>
      <c r="E512" s="867" t="s">
        <v>2668</v>
      </c>
      <c r="F512" s="867" t="s">
        <v>604</v>
      </c>
      <c r="G512" s="868">
        <v>1</v>
      </c>
      <c r="H512" s="869">
        <v>0.21</v>
      </c>
      <c r="I512" s="869">
        <v>0.3</v>
      </c>
      <c r="J512" s="869">
        <f t="shared" si="38"/>
        <v>6.3E-2</v>
      </c>
      <c r="K512" s="869">
        <f t="shared" si="39"/>
        <v>8.1899999999999994E-3</v>
      </c>
      <c r="L512" s="868">
        <v>17.600000000000001</v>
      </c>
      <c r="M512" s="867" t="s">
        <v>2380</v>
      </c>
      <c r="N512" s="866">
        <v>2021</v>
      </c>
      <c r="O512" s="867" t="s">
        <v>2674</v>
      </c>
      <c r="P512" s="870" t="s">
        <v>47</v>
      </c>
      <c r="Q512" s="867" t="s">
        <v>92</v>
      </c>
      <c r="R512" s="871">
        <v>0</v>
      </c>
      <c r="S512" s="871">
        <v>0</v>
      </c>
      <c r="T512" s="871">
        <v>0</v>
      </c>
      <c r="U512" s="871">
        <v>0</v>
      </c>
      <c r="V512" s="871">
        <v>0</v>
      </c>
      <c r="W512" s="871">
        <v>0</v>
      </c>
      <c r="X512" s="871">
        <v>0</v>
      </c>
      <c r="Y512" s="871">
        <v>0</v>
      </c>
      <c r="Z512" s="871">
        <v>0</v>
      </c>
      <c r="AA512" s="871">
        <v>0</v>
      </c>
      <c r="AB512" s="871">
        <v>0</v>
      </c>
      <c r="AC512" s="871">
        <v>0</v>
      </c>
      <c r="AD512" s="871">
        <v>2.5</v>
      </c>
      <c r="AE512" s="871">
        <v>0</v>
      </c>
      <c r="AF512" s="871">
        <v>0</v>
      </c>
      <c r="AG512" s="871">
        <v>0</v>
      </c>
      <c r="AH512" s="871">
        <f t="shared" si="40"/>
        <v>2.0661157024793391</v>
      </c>
      <c r="AI512" s="871">
        <v>0</v>
      </c>
      <c r="AJ512" s="871">
        <v>0</v>
      </c>
      <c r="AK512" s="871">
        <v>0</v>
      </c>
      <c r="AL512" s="871">
        <v>0</v>
      </c>
      <c r="AM512" s="871">
        <v>0</v>
      </c>
      <c r="AN512" s="871">
        <v>0</v>
      </c>
      <c r="AO512" s="871">
        <v>0</v>
      </c>
      <c r="AP512" s="871"/>
    </row>
    <row r="513" spans="1:42" s="868" customFormat="1" ht="14">
      <c r="A513" s="866">
        <v>512</v>
      </c>
      <c r="B513" s="867" t="s">
        <v>2970</v>
      </c>
      <c r="C513" s="867" t="s">
        <v>42</v>
      </c>
      <c r="D513" s="867" t="s">
        <v>2377</v>
      </c>
      <c r="E513" s="867" t="s">
        <v>2669</v>
      </c>
      <c r="F513" s="867" t="s">
        <v>625</v>
      </c>
      <c r="G513" s="868">
        <v>1</v>
      </c>
      <c r="H513" s="869">
        <v>0.21</v>
      </c>
      <c r="I513" s="869">
        <v>0.3</v>
      </c>
      <c r="J513" s="869">
        <f t="shared" si="38"/>
        <v>6.3E-2</v>
      </c>
      <c r="K513" s="869">
        <f t="shared" si="39"/>
        <v>8.1899999999999994E-3</v>
      </c>
      <c r="L513" s="868">
        <v>64</v>
      </c>
      <c r="M513" s="867" t="s">
        <v>2598</v>
      </c>
      <c r="N513" s="866">
        <v>2021</v>
      </c>
      <c r="O513" s="867" t="s">
        <v>2674</v>
      </c>
      <c r="P513" s="870" t="s">
        <v>47</v>
      </c>
      <c r="Q513" s="867" t="s">
        <v>92</v>
      </c>
      <c r="R513" s="871">
        <v>0</v>
      </c>
      <c r="S513" s="871">
        <v>0</v>
      </c>
      <c r="T513" s="871">
        <v>0</v>
      </c>
      <c r="U513" s="871">
        <v>0</v>
      </c>
      <c r="V513" s="871">
        <v>0</v>
      </c>
      <c r="W513" s="871">
        <v>0</v>
      </c>
      <c r="X513" s="871">
        <v>0</v>
      </c>
      <c r="Y513" s="871">
        <v>0</v>
      </c>
      <c r="Z513" s="871">
        <v>0</v>
      </c>
      <c r="AA513" s="871">
        <v>0</v>
      </c>
      <c r="AB513" s="871">
        <v>0</v>
      </c>
      <c r="AC513" s="871">
        <v>0</v>
      </c>
      <c r="AD513" s="871">
        <v>2.5</v>
      </c>
      <c r="AE513" s="871">
        <v>0</v>
      </c>
      <c r="AF513" s="871">
        <v>0</v>
      </c>
      <c r="AG513" s="871">
        <v>0</v>
      </c>
      <c r="AH513" s="871">
        <f t="shared" si="40"/>
        <v>2.0661157024793391</v>
      </c>
      <c r="AI513" s="871">
        <v>0</v>
      </c>
      <c r="AJ513" s="871">
        <v>0</v>
      </c>
      <c r="AK513" s="871">
        <v>0</v>
      </c>
      <c r="AL513" s="871">
        <v>0</v>
      </c>
      <c r="AM513" s="871">
        <v>0</v>
      </c>
      <c r="AN513" s="871">
        <v>0</v>
      </c>
      <c r="AO513" s="871">
        <v>0</v>
      </c>
      <c r="AP513" s="871"/>
    </row>
    <row r="514" spans="1:42" s="868" customFormat="1" ht="14">
      <c r="A514" s="866">
        <v>513</v>
      </c>
      <c r="B514" s="867" t="s">
        <v>2971</v>
      </c>
      <c r="C514" s="867" t="s">
        <v>42</v>
      </c>
      <c r="D514" s="867" t="s">
        <v>2377</v>
      </c>
      <c r="E514" s="867" t="s">
        <v>2669</v>
      </c>
      <c r="F514" s="867" t="s">
        <v>627</v>
      </c>
      <c r="G514" s="868">
        <v>1</v>
      </c>
      <c r="H514" s="869">
        <v>0.21</v>
      </c>
      <c r="I514" s="869">
        <v>0.3</v>
      </c>
      <c r="J514" s="869">
        <f t="shared" si="38"/>
        <v>6.3E-2</v>
      </c>
      <c r="K514" s="869">
        <f t="shared" si="39"/>
        <v>8.1899999999999994E-3</v>
      </c>
      <c r="L514" s="868">
        <v>64</v>
      </c>
      <c r="M514" s="867" t="s">
        <v>2598</v>
      </c>
      <c r="N514" s="866">
        <v>2021</v>
      </c>
      <c r="O514" s="867" t="s">
        <v>2674</v>
      </c>
      <c r="P514" s="870" t="s">
        <v>47</v>
      </c>
      <c r="Q514" s="867" t="s">
        <v>92</v>
      </c>
      <c r="R514" s="871">
        <v>0</v>
      </c>
      <c r="S514" s="871">
        <v>0</v>
      </c>
      <c r="T514" s="871">
        <v>0</v>
      </c>
      <c r="U514" s="871">
        <v>0</v>
      </c>
      <c r="V514" s="871">
        <v>0</v>
      </c>
      <c r="W514" s="871">
        <v>0</v>
      </c>
      <c r="X514" s="871">
        <v>0</v>
      </c>
      <c r="Y514" s="871">
        <v>0</v>
      </c>
      <c r="Z514" s="871">
        <v>0</v>
      </c>
      <c r="AA514" s="871">
        <v>0</v>
      </c>
      <c r="AB514" s="871">
        <v>0</v>
      </c>
      <c r="AC514" s="871">
        <v>0</v>
      </c>
      <c r="AD514" s="871">
        <v>2.5</v>
      </c>
      <c r="AE514" s="871">
        <v>0</v>
      </c>
      <c r="AF514" s="871">
        <v>0</v>
      </c>
      <c r="AG514" s="871">
        <v>0</v>
      </c>
      <c r="AH514" s="871">
        <f t="shared" si="40"/>
        <v>2.0661157024793391</v>
      </c>
      <c r="AI514" s="871">
        <v>0</v>
      </c>
      <c r="AJ514" s="871">
        <v>0</v>
      </c>
      <c r="AK514" s="871">
        <v>0</v>
      </c>
      <c r="AL514" s="871">
        <v>0</v>
      </c>
      <c r="AM514" s="871">
        <v>0</v>
      </c>
      <c r="AN514" s="871">
        <v>0</v>
      </c>
      <c r="AO514" s="871">
        <v>0</v>
      </c>
      <c r="AP514" s="871"/>
    </row>
    <row r="515" spans="1:42" s="868" customFormat="1" ht="14">
      <c r="A515" s="866">
        <v>514</v>
      </c>
      <c r="B515" s="867" t="s">
        <v>2972</v>
      </c>
      <c r="C515" s="867" t="s">
        <v>42</v>
      </c>
      <c r="D515" s="867" t="s">
        <v>2377</v>
      </c>
      <c r="E515" s="867" t="s">
        <v>2669</v>
      </c>
      <c r="F515" s="867" t="s">
        <v>598</v>
      </c>
      <c r="G515" s="868">
        <v>1</v>
      </c>
      <c r="H515" s="869">
        <v>0.21</v>
      </c>
      <c r="I515" s="869">
        <v>0.3</v>
      </c>
      <c r="J515" s="869">
        <f t="shared" si="38"/>
        <v>6.3E-2</v>
      </c>
      <c r="K515" s="869">
        <f t="shared" si="39"/>
        <v>8.1899999999999994E-3</v>
      </c>
      <c r="L515" s="868">
        <v>64</v>
      </c>
      <c r="M515" s="867" t="s">
        <v>2598</v>
      </c>
      <c r="N515" s="866">
        <v>2021</v>
      </c>
      <c r="O515" s="867" t="s">
        <v>2674</v>
      </c>
      <c r="P515" s="870" t="s">
        <v>47</v>
      </c>
      <c r="Q515" s="867" t="s">
        <v>92</v>
      </c>
      <c r="R515" s="871">
        <v>0</v>
      </c>
      <c r="S515" s="871">
        <v>0</v>
      </c>
      <c r="T515" s="871">
        <v>0</v>
      </c>
      <c r="U515" s="871">
        <v>0</v>
      </c>
      <c r="V515" s="871">
        <v>0</v>
      </c>
      <c r="W515" s="871">
        <v>0</v>
      </c>
      <c r="X515" s="871">
        <v>0</v>
      </c>
      <c r="Y515" s="871">
        <v>0</v>
      </c>
      <c r="Z515" s="871">
        <v>0</v>
      </c>
      <c r="AA515" s="871">
        <v>0</v>
      </c>
      <c r="AB515" s="871">
        <v>0</v>
      </c>
      <c r="AC515" s="871">
        <v>0</v>
      </c>
      <c r="AD515" s="871">
        <v>2.5</v>
      </c>
      <c r="AE515" s="871">
        <v>0</v>
      </c>
      <c r="AF515" s="871">
        <v>0</v>
      </c>
      <c r="AG515" s="871">
        <v>0</v>
      </c>
      <c r="AH515" s="871">
        <f t="shared" si="40"/>
        <v>2.0661157024793391</v>
      </c>
      <c r="AI515" s="871">
        <v>0</v>
      </c>
      <c r="AJ515" s="871">
        <v>0</v>
      </c>
      <c r="AK515" s="871">
        <v>0</v>
      </c>
      <c r="AL515" s="871">
        <v>0</v>
      </c>
      <c r="AM515" s="871">
        <v>0</v>
      </c>
      <c r="AN515" s="871">
        <v>0</v>
      </c>
      <c r="AO515" s="871">
        <v>0</v>
      </c>
      <c r="AP515" s="871"/>
    </row>
    <row r="516" spans="1:42" s="868" customFormat="1" ht="14">
      <c r="A516" s="866">
        <v>515</v>
      </c>
      <c r="B516" s="867" t="s">
        <v>2973</v>
      </c>
      <c r="C516" s="867" t="s">
        <v>42</v>
      </c>
      <c r="D516" s="867" t="s">
        <v>2377</v>
      </c>
      <c r="E516" s="867" t="s">
        <v>2669</v>
      </c>
      <c r="F516" s="867" t="s">
        <v>594</v>
      </c>
      <c r="G516" s="868">
        <v>1</v>
      </c>
      <c r="H516" s="869">
        <v>0.21</v>
      </c>
      <c r="I516" s="869">
        <v>0.3</v>
      </c>
      <c r="J516" s="869">
        <f t="shared" si="38"/>
        <v>6.3E-2</v>
      </c>
      <c r="K516" s="869">
        <f t="shared" si="39"/>
        <v>8.1899999999999994E-3</v>
      </c>
      <c r="L516" s="868">
        <v>64</v>
      </c>
      <c r="M516" s="867" t="s">
        <v>2598</v>
      </c>
      <c r="N516" s="866">
        <v>2021</v>
      </c>
      <c r="O516" s="867" t="s">
        <v>2674</v>
      </c>
      <c r="P516" s="870" t="s">
        <v>47</v>
      </c>
      <c r="Q516" s="867" t="s">
        <v>92</v>
      </c>
      <c r="R516" s="871">
        <v>0</v>
      </c>
      <c r="S516" s="871">
        <v>0</v>
      </c>
      <c r="T516" s="871">
        <v>0</v>
      </c>
      <c r="U516" s="871">
        <v>0</v>
      </c>
      <c r="V516" s="871">
        <v>0</v>
      </c>
      <c r="W516" s="871">
        <v>0</v>
      </c>
      <c r="X516" s="871">
        <v>0</v>
      </c>
      <c r="Y516" s="871">
        <v>0</v>
      </c>
      <c r="Z516" s="871">
        <v>0</v>
      </c>
      <c r="AA516" s="871">
        <v>0</v>
      </c>
      <c r="AB516" s="871">
        <v>0</v>
      </c>
      <c r="AC516" s="871">
        <v>0</v>
      </c>
      <c r="AD516" s="871">
        <v>2.5</v>
      </c>
      <c r="AE516" s="871">
        <v>0</v>
      </c>
      <c r="AF516" s="871">
        <v>0</v>
      </c>
      <c r="AG516" s="871">
        <v>0</v>
      </c>
      <c r="AH516" s="871">
        <f t="shared" si="40"/>
        <v>2.0661157024793391</v>
      </c>
      <c r="AI516" s="871">
        <v>0</v>
      </c>
      <c r="AJ516" s="871">
        <v>0</v>
      </c>
      <c r="AK516" s="871">
        <v>0</v>
      </c>
      <c r="AL516" s="871">
        <v>0</v>
      </c>
      <c r="AM516" s="871">
        <v>0</v>
      </c>
      <c r="AN516" s="871">
        <v>0</v>
      </c>
      <c r="AO516" s="871">
        <v>0</v>
      </c>
      <c r="AP516" s="871"/>
    </row>
    <row r="517" spans="1:42" s="868" customFormat="1" ht="14">
      <c r="A517" s="866">
        <v>516</v>
      </c>
      <c r="B517" s="867" t="s">
        <v>2974</v>
      </c>
      <c r="C517" s="867" t="s">
        <v>42</v>
      </c>
      <c r="D517" s="867" t="s">
        <v>2377</v>
      </c>
      <c r="E517" s="867" t="s">
        <v>2669</v>
      </c>
      <c r="F517" s="867" t="s">
        <v>600</v>
      </c>
      <c r="G517" s="868">
        <v>1</v>
      </c>
      <c r="H517" s="869">
        <v>0.21</v>
      </c>
      <c r="I517" s="869">
        <v>0.3</v>
      </c>
      <c r="J517" s="869">
        <f t="shared" si="38"/>
        <v>6.3E-2</v>
      </c>
      <c r="K517" s="869">
        <f t="shared" si="39"/>
        <v>8.1899999999999994E-3</v>
      </c>
      <c r="L517" s="868">
        <v>64</v>
      </c>
      <c r="M517" s="867" t="s">
        <v>2598</v>
      </c>
      <c r="N517" s="866">
        <v>2021</v>
      </c>
      <c r="O517" s="867" t="s">
        <v>2674</v>
      </c>
      <c r="P517" s="870" t="s">
        <v>47</v>
      </c>
      <c r="Q517" s="867" t="s">
        <v>92</v>
      </c>
      <c r="R517" s="871">
        <v>0</v>
      </c>
      <c r="S517" s="871">
        <v>0</v>
      </c>
      <c r="T517" s="871">
        <v>0</v>
      </c>
      <c r="U517" s="871">
        <v>0</v>
      </c>
      <c r="V517" s="871">
        <v>0</v>
      </c>
      <c r="W517" s="871">
        <v>0</v>
      </c>
      <c r="X517" s="871">
        <v>0</v>
      </c>
      <c r="Y517" s="871">
        <v>0</v>
      </c>
      <c r="Z517" s="871">
        <v>0</v>
      </c>
      <c r="AA517" s="871">
        <v>0</v>
      </c>
      <c r="AB517" s="871">
        <v>0</v>
      </c>
      <c r="AC517" s="871">
        <v>0</v>
      </c>
      <c r="AD517" s="871">
        <v>2.5</v>
      </c>
      <c r="AE517" s="871">
        <v>0</v>
      </c>
      <c r="AF517" s="871">
        <v>0</v>
      </c>
      <c r="AG517" s="871">
        <v>0</v>
      </c>
      <c r="AH517" s="871">
        <f t="shared" si="40"/>
        <v>2.0661157024793391</v>
      </c>
      <c r="AI517" s="871">
        <v>0</v>
      </c>
      <c r="AJ517" s="871">
        <v>0</v>
      </c>
      <c r="AK517" s="871">
        <v>0</v>
      </c>
      <c r="AL517" s="871">
        <v>0</v>
      </c>
      <c r="AM517" s="871">
        <v>0</v>
      </c>
      <c r="AN517" s="871">
        <v>0</v>
      </c>
      <c r="AO517" s="871">
        <v>0</v>
      </c>
      <c r="AP517" s="871"/>
    </row>
    <row r="518" spans="1:42" s="868" customFormat="1" ht="14">
      <c r="A518" s="866">
        <v>517</v>
      </c>
      <c r="B518" s="867" t="s">
        <v>2975</v>
      </c>
      <c r="C518" s="867" t="s">
        <v>42</v>
      </c>
      <c r="D518" s="867" t="s">
        <v>2377</v>
      </c>
      <c r="E518" s="867" t="s">
        <v>2670</v>
      </c>
      <c r="F518" s="867" t="s">
        <v>633</v>
      </c>
      <c r="G518" s="868">
        <v>1</v>
      </c>
      <c r="H518" s="869">
        <v>0.21</v>
      </c>
      <c r="I518" s="869">
        <v>0.3</v>
      </c>
      <c r="J518" s="869">
        <f t="shared" si="38"/>
        <v>6.3E-2</v>
      </c>
      <c r="K518" s="869">
        <f t="shared" si="39"/>
        <v>8.1899999999999994E-3</v>
      </c>
      <c r="L518" s="868">
        <v>53</v>
      </c>
      <c r="M518" s="867" t="s">
        <v>2598</v>
      </c>
      <c r="N518" s="866">
        <v>2021</v>
      </c>
      <c r="O518" s="867" t="s">
        <v>2674</v>
      </c>
      <c r="P518" s="870" t="s">
        <v>47</v>
      </c>
      <c r="Q518" s="867" t="s">
        <v>92</v>
      </c>
      <c r="R518" s="871">
        <v>0</v>
      </c>
      <c r="S518" s="871">
        <v>0</v>
      </c>
      <c r="T518" s="871">
        <v>0</v>
      </c>
      <c r="U518" s="871">
        <v>0</v>
      </c>
      <c r="V518" s="871">
        <v>0</v>
      </c>
      <c r="W518" s="871">
        <v>0</v>
      </c>
      <c r="X518" s="871">
        <v>0</v>
      </c>
      <c r="Y518" s="871">
        <v>0</v>
      </c>
      <c r="Z518" s="871">
        <v>0</v>
      </c>
      <c r="AA518" s="871">
        <v>0</v>
      </c>
      <c r="AB518" s="871">
        <v>0</v>
      </c>
      <c r="AC518" s="871">
        <v>0</v>
      </c>
      <c r="AD518" s="871">
        <v>2.5</v>
      </c>
      <c r="AE518" s="871">
        <v>0</v>
      </c>
      <c r="AF518" s="871">
        <v>0</v>
      </c>
      <c r="AG518" s="871">
        <v>0</v>
      </c>
      <c r="AH518" s="871">
        <f t="shared" si="40"/>
        <v>2.0661157024793391</v>
      </c>
      <c r="AI518" s="871">
        <v>0</v>
      </c>
      <c r="AJ518" s="871">
        <v>0</v>
      </c>
      <c r="AK518" s="871">
        <v>0</v>
      </c>
      <c r="AL518" s="871">
        <v>0</v>
      </c>
      <c r="AM518" s="871">
        <v>0</v>
      </c>
      <c r="AN518" s="871">
        <v>0</v>
      </c>
      <c r="AO518" s="871">
        <v>0</v>
      </c>
      <c r="AP518" s="871"/>
    </row>
    <row r="519" spans="1:42" s="868" customFormat="1" ht="14">
      <c r="A519" s="866">
        <v>518</v>
      </c>
      <c r="B519" s="867" t="s">
        <v>2976</v>
      </c>
      <c r="C519" s="867" t="s">
        <v>42</v>
      </c>
      <c r="D519" s="867" t="s">
        <v>2377</v>
      </c>
      <c r="E519" s="867" t="s">
        <v>2670</v>
      </c>
      <c r="F519" s="867" t="s">
        <v>621</v>
      </c>
      <c r="G519" s="868">
        <v>1</v>
      </c>
      <c r="H519" s="869">
        <v>0.21</v>
      </c>
      <c r="I519" s="869">
        <v>0.3</v>
      </c>
      <c r="J519" s="869">
        <f t="shared" si="38"/>
        <v>6.3E-2</v>
      </c>
      <c r="K519" s="869">
        <f t="shared" si="39"/>
        <v>8.1899999999999994E-3</v>
      </c>
      <c r="L519" s="868">
        <v>53</v>
      </c>
      <c r="M519" s="867" t="s">
        <v>2598</v>
      </c>
      <c r="N519" s="866">
        <v>2021</v>
      </c>
      <c r="O519" s="867" t="s">
        <v>2674</v>
      </c>
      <c r="P519" s="870" t="s">
        <v>47</v>
      </c>
      <c r="Q519" s="867" t="s">
        <v>92</v>
      </c>
      <c r="R519" s="871">
        <v>0</v>
      </c>
      <c r="S519" s="871">
        <v>0</v>
      </c>
      <c r="T519" s="871">
        <v>0</v>
      </c>
      <c r="U519" s="871">
        <v>0</v>
      </c>
      <c r="V519" s="871">
        <v>0</v>
      </c>
      <c r="W519" s="871">
        <v>0</v>
      </c>
      <c r="X519" s="871">
        <v>0</v>
      </c>
      <c r="Y519" s="871">
        <v>0</v>
      </c>
      <c r="Z519" s="871">
        <v>0</v>
      </c>
      <c r="AA519" s="871">
        <v>0</v>
      </c>
      <c r="AB519" s="871">
        <v>0</v>
      </c>
      <c r="AC519" s="871">
        <v>0</v>
      </c>
      <c r="AD519" s="871">
        <v>2.5</v>
      </c>
      <c r="AE519" s="871">
        <v>0</v>
      </c>
      <c r="AF519" s="871">
        <v>0</v>
      </c>
      <c r="AG519" s="871">
        <v>0</v>
      </c>
      <c r="AH519" s="871">
        <f t="shared" si="40"/>
        <v>2.0661157024793391</v>
      </c>
      <c r="AI519" s="871">
        <v>0</v>
      </c>
      <c r="AJ519" s="871">
        <v>0</v>
      </c>
      <c r="AK519" s="871">
        <v>0</v>
      </c>
      <c r="AL519" s="871">
        <v>0</v>
      </c>
      <c r="AM519" s="871">
        <v>0</v>
      </c>
      <c r="AN519" s="871">
        <v>0</v>
      </c>
      <c r="AO519" s="871">
        <v>0</v>
      </c>
      <c r="AP519" s="871"/>
    </row>
    <row r="520" spans="1:42" s="868" customFormat="1" ht="14">
      <c r="A520" s="866">
        <v>519</v>
      </c>
      <c r="B520" s="867" t="s">
        <v>2977</v>
      </c>
      <c r="C520" s="867" t="s">
        <v>42</v>
      </c>
      <c r="D520" s="867" t="s">
        <v>2377</v>
      </c>
      <c r="E520" s="867" t="s">
        <v>2670</v>
      </c>
      <c r="F520" s="867" t="s">
        <v>604</v>
      </c>
      <c r="G520" s="868">
        <v>1</v>
      </c>
      <c r="H520" s="869">
        <v>0.21</v>
      </c>
      <c r="I520" s="869">
        <v>0.3</v>
      </c>
      <c r="J520" s="869">
        <f t="shared" si="38"/>
        <v>6.3E-2</v>
      </c>
      <c r="K520" s="869">
        <f t="shared" si="39"/>
        <v>8.1899999999999994E-3</v>
      </c>
      <c r="L520" s="868">
        <v>53</v>
      </c>
      <c r="M520" s="867" t="s">
        <v>2598</v>
      </c>
      <c r="N520" s="866">
        <v>2021</v>
      </c>
      <c r="O520" s="867" t="s">
        <v>2674</v>
      </c>
      <c r="P520" s="870" t="s">
        <v>47</v>
      </c>
      <c r="Q520" s="867" t="s">
        <v>92</v>
      </c>
      <c r="R520" s="871">
        <v>0</v>
      </c>
      <c r="S520" s="871">
        <v>0</v>
      </c>
      <c r="T520" s="871">
        <v>0</v>
      </c>
      <c r="U520" s="871">
        <v>0</v>
      </c>
      <c r="V520" s="871">
        <v>0</v>
      </c>
      <c r="W520" s="871">
        <v>0</v>
      </c>
      <c r="X520" s="871">
        <v>0</v>
      </c>
      <c r="Y520" s="871">
        <v>0</v>
      </c>
      <c r="Z520" s="871">
        <v>0</v>
      </c>
      <c r="AA520" s="871">
        <v>0</v>
      </c>
      <c r="AB520" s="871">
        <v>0</v>
      </c>
      <c r="AC520" s="871">
        <v>0</v>
      </c>
      <c r="AD520" s="871">
        <v>2.5</v>
      </c>
      <c r="AE520" s="871">
        <v>0</v>
      </c>
      <c r="AF520" s="871">
        <v>0</v>
      </c>
      <c r="AG520" s="871">
        <v>0</v>
      </c>
      <c r="AH520" s="871">
        <f t="shared" si="40"/>
        <v>2.0661157024793391</v>
      </c>
      <c r="AI520" s="871">
        <v>0</v>
      </c>
      <c r="AJ520" s="871">
        <v>0</v>
      </c>
      <c r="AK520" s="871">
        <v>0</v>
      </c>
      <c r="AL520" s="871">
        <v>0</v>
      </c>
      <c r="AM520" s="871">
        <v>0</v>
      </c>
      <c r="AN520" s="871">
        <v>0</v>
      </c>
      <c r="AO520" s="871">
        <v>0</v>
      </c>
      <c r="AP520" s="871"/>
    </row>
    <row r="521" spans="1:42" s="868" customFormat="1" ht="14">
      <c r="A521" s="866">
        <v>520</v>
      </c>
      <c r="B521" s="867" t="s">
        <v>2978</v>
      </c>
      <c r="C521" s="867" t="s">
        <v>42</v>
      </c>
      <c r="D521" s="867" t="s">
        <v>2377</v>
      </c>
      <c r="E521" s="867" t="s">
        <v>2670</v>
      </c>
      <c r="F521" s="867" t="s">
        <v>598</v>
      </c>
      <c r="G521" s="868">
        <v>1</v>
      </c>
      <c r="H521" s="869">
        <v>0.21</v>
      </c>
      <c r="I521" s="869">
        <v>0.3</v>
      </c>
      <c r="J521" s="869">
        <f t="shared" si="38"/>
        <v>6.3E-2</v>
      </c>
      <c r="K521" s="869">
        <f t="shared" si="39"/>
        <v>8.1899999999999994E-3</v>
      </c>
      <c r="L521" s="868">
        <v>53</v>
      </c>
      <c r="M521" s="867" t="s">
        <v>2598</v>
      </c>
      <c r="N521" s="866">
        <v>2021</v>
      </c>
      <c r="O521" s="867" t="s">
        <v>2674</v>
      </c>
      <c r="P521" s="870" t="s">
        <v>47</v>
      </c>
      <c r="Q521" s="867" t="s">
        <v>92</v>
      </c>
      <c r="R521" s="871">
        <v>0</v>
      </c>
      <c r="S521" s="871">
        <v>0</v>
      </c>
      <c r="T521" s="871">
        <v>0</v>
      </c>
      <c r="U521" s="871">
        <v>0</v>
      </c>
      <c r="V521" s="871">
        <v>0</v>
      </c>
      <c r="W521" s="871">
        <v>0</v>
      </c>
      <c r="X521" s="871">
        <v>0</v>
      </c>
      <c r="Y521" s="871">
        <v>0</v>
      </c>
      <c r="Z521" s="871">
        <v>0</v>
      </c>
      <c r="AA521" s="871">
        <v>0</v>
      </c>
      <c r="AB521" s="871">
        <v>0</v>
      </c>
      <c r="AC521" s="871">
        <v>0</v>
      </c>
      <c r="AD521" s="871">
        <v>2.5</v>
      </c>
      <c r="AE521" s="871">
        <v>0</v>
      </c>
      <c r="AF521" s="871">
        <v>0</v>
      </c>
      <c r="AG521" s="871">
        <v>0</v>
      </c>
      <c r="AH521" s="871">
        <f t="shared" si="40"/>
        <v>2.0661157024793391</v>
      </c>
      <c r="AI521" s="871">
        <v>0</v>
      </c>
      <c r="AJ521" s="871">
        <v>0</v>
      </c>
      <c r="AK521" s="871">
        <v>0</v>
      </c>
      <c r="AL521" s="871">
        <v>0</v>
      </c>
      <c r="AM521" s="871">
        <v>0</v>
      </c>
      <c r="AN521" s="871">
        <v>0</v>
      </c>
      <c r="AO521" s="871">
        <v>0</v>
      </c>
      <c r="AP521" s="871"/>
    </row>
    <row r="522" spans="1:42" s="868" customFormat="1" ht="14">
      <c r="A522" s="866">
        <v>521</v>
      </c>
      <c r="B522" s="867" t="s">
        <v>2979</v>
      </c>
      <c r="C522" s="867" t="s">
        <v>42</v>
      </c>
      <c r="D522" s="867" t="s">
        <v>2377</v>
      </c>
      <c r="E522" s="867" t="s">
        <v>2671</v>
      </c>
      <c r="F522" s="867" t="s">
        <v>621</v>
      </c>
      <c r="G522" s="868">
        <v>1</v>
      </c>
      <c r="H522" s="869">
        <v>0.21</v>
      </c>
      <c r="I522" s="869">
        <v>0.3</v>
      </c>
      <c r="J522" s="869">
        <f t="shared" si="38"/>
        <v>6.3E-2</v>
      </c>
      <c r="K522" s="869">
        <f t="shared" si="39"/>
        <v>8.1899999999999994E-3</v>
      </c>
      <c r="L522" s="868">
        <v>21.3</v>
      </c>
      <c r="M522" s="867" t="s">
        <v>2598</v>
      </c>
      <c r="N522" s="866">
        <v>2021</v>
      </c>
      <c r="O522" s="867" t="s">
        <v>2674</v>
      </c>
      <c r="P522" s="870" t="s">
        <v>47</v>
      </c>
      <c r="Q522" s="867" t="s">
        <v>92</v>
      </c>
      <c r="R522" s="871">
        <v>0</v>
      </c>
      <c r="S522" s="871">
        <v>0</v>
      </c>
      <c r="T522" s="871">
        <v>0</v>
      </c>
      <c r="U522" s="871">
        <v>0</v>
      </c>
      <c r="V522" s="871">
        <v>0</v>
      </c>
      <c r="W522" s="871">
        <v>0</v>
      </c>
      <c r="X522" s="871">
        <v>0</v>
      </c>
      <c r="Y522" s="871">
        <v>0</v>
      </c>
      <c r="Z522" s="871">
        <v>0</v>
      </c>
      <c r="AA522" s="871">
        <v>0</v>
      </c>
      <c r="AB522" s="871">
        <v>0</v>
      </c>
      <c r="AC522" s="871">
        <v>0</v>
      </c>
      <c r="AD522" s="871">
        <v>2.5</v>
      </c>
      <c r="AE522" s="871">
        <v>0</v>
      </c>
      <c r="AF522" s="871">
        <v>0</v>
      </c>
      <c r="AG522" s="871">
        <v>0</v>
      </c>
      <c r="AH522" s="871">
        <f t="shared" si="40"/>
        <v>2.0661157024793391</v>
      </c>
      <c r="AI522" s="871">
        <v>0</v>
      </c>
      <c r="AJ522" s="871">
        <v>0</v>
      </c>
      <c r="AK522" s="871">
        <v>0</v>
      </c>
      <c r="AL522" s="871">
        <v>0</v>
      </c>
      <c r="AM522" s="871">
        <v>0</v>
      </c>
      <c r="AN522" s="871">
        <v>0</v>
      </c>
      <c r="AO522" s="871">
        <v>0</v>
      </c>
      <c r="AP522" s="871"/>
    </row>
    <row r="523" spans="1:42" s="868" customFormat="1" ht="14">
      <c r="A523" s="866">
        <v>522</v>
      </c>
      <c r="B523" s="867" t="s">
        <v>2980</v>
      </c>
      <c r="C523" s="867" t="s">
        <v>42</v>
      </c>
      <c r="D523" s="867" t="s">
        <v>2377</v>
      </c>
      <c r="E523" s="867" t="s">
        <v>2671</v>
      </c>
      <c r="F523" s="867" t="s">
        <v>594</v>
      </c>
      <c r="G523" s="868">
        <v>1</v>
      </c>
      <c r="H523" s="869">
        <v>0.21</v>
      </c>
      <c r="I523" s="869">
        <v>0.3</v>
      </c>
      <c r="J523" s="869">
        <f t="shared" si="38"/>
        <v>6.3E-2</v>
      </c>
      <c r="K523" s="869">
        <f t="shared" si="39"/>
        <v>8.1899999999999994E-3</v>
      </c>
      <c r="L523" s="868">
        <v>21.3</v>
      </c>
      <c r="M523" s="867" t="s">
        <v>2598</v>
      </c>
      <c r="N523" s="866">
        <v>2021</v>
      </c>
      <c r="O523" s="867" t="s">
        <v>2674</v>
      </c>
      <c r="P523" s="870" t="s">
        <v>47</v>
      </c>
      <c r="Q523" s="867" t="s">
        <v>92</v>
      </c>
      <c r="R523" s="871">
        <v>0</v>
      </c>
      <c r="S523" s="871">
        <v>0</v>
      </c>
      <c r="T523" s="871">
        <v>0</v>
      </c>
      <c r="U523" s="871">
        <v>0</v>
      </c>
      <c r="V523" s="871">
        <v>0</v>
      </c>
      <c r="W523" s="871">
        <v>0</v>
      </c>
      <c r="X523" s="871">
        <v>0</v>
      </c>
      <c r="Y523" s="871">
        <v>0</v>
      </c>
      <c r="Z523" s="871">
        <v>0</v>
      </c>
      <c r="AA523" s="871">
        <v>0</v>
      </c>
      <c r="AB523" s="871">
        <v>0</v>
      </c>
      <c r="AC523" s="871">
        <v>0</v>
      </c>
      <c r="AD523" s="871">
        <v>2.5</v>
      </c>
      <c r="AE523" s="871">
        <v>0</v>
      </c>
      <c r="AF523" s="871">
        <v>0</v>
      </c>
      <c r="AG523" s="871">
        <v>0</v>
      </c>
      <c r="AH523" s="871">
        <f t="shared" si="40"/>
        <v>2.0661157024793391</v>
      </c>
      <c r="AI523" s="871">
        <v>0</v>
      </c>
      <c r="AJ523" s="871">
        <v>0</v>
      </c>
      <c r="AK523" s="871">
        <v>0</v>
      </c>
      <c r="AL523" s="871">
        <v>0</v>
      </c>
      <c r="AM523" s="871">
        <v>0</v>
      </c>
      <c r="AN523" s="871">
        <v>0</v>
      </c>
      <c r="AO523" s="871">
        <v>0</v>
      </c>
      <c r="AP523" s="871"/>
    </row>
    <row r="524" spans="1:42" s="868" customFormat="1" ht="14">
      <c r="A524" s="866">
        <v>523</v>
      </c>
      <c r="B524" s="867" t="s">
        <v>2981</v>
      </c>
      <c r="C524" s="867" t="s">
        <v>42</v>
      </c>
      <c r="D524" s="867" t="s">
        <v>2377</v>
      </c>
      <c r="E524" s="867" t="s">
        <v>2671</v>
      </c>
      <c r="F524" s="867" t="s">
        <v>600</v>
      </c>
      <c r="G524" s="868">
        <v>1</v>
      </c>
      <c r="H524" s="869">
        <v>0.21</v>
      </c>
      <c r="I524" s="869">
        <v>0.3</v>
      </c>
      <c r="J524" s="869">
        <f t="shared" si="38"/>
        <v>6.3E-2</v>
      </c>
      <c r="K524" s="869">
        <f t="shared" si="39"/>
        <v>8.1899999999999994E-3</v>
      </c>
      <c r="L524" s="868">
        <v>21.3</v>
      </c>
      <c r="M524" s="867" t="s">
        <v>2598</v>
      </c>
      <c r="N524" s="866">
        <v>2021</v>
      </c>
      <c r="O524" s="867" t="s">
        <v>2674</v>
      </c>
      <c r="P524" s="870" t="s">
        <v>47</v>
      </c>
      <c r="Q524" s="867" t="s">
        <v>92</v>
      </c>
      <c r="R524" s="871">
        <v>0</v>
      </c>
      <c r="S524" s="871">
        <v>0</v>
      </c>
      <c r="T524" s="871">
        <v>0</v>
      </c>
      <c r="U524" s="871">
        <v>0</v>
      </c>
      <c r="V524" s="871">
        <v>0</v>
      </c>
      <c r="W524" s="871">
        <v>0</v>
      </c>
      <c r="X524" s="871">
        <v>0</v>
      </c>
      <c r="Y524" s="871">
        <v>0</v>
      </c>
      <c r="Z524" s="871">
        <v>0</v>
      </c>
      <c r="AA524" s="871">
        <v>0</v>
      </c>
      <c r="AB524" s="871">
        <v>0</v>
      </c>
      <c r="AC524" s="871">
        <v>0</v>
      </c>
      <c r="AD524" s="871">
        <v>2.5</v>
      </c>
      <c r="AE524" s="871">
        <v>0</v>
      </c>
      <c r="AF524" s="871">
        <v>0</v>
      </c>
      <c r="AG524" s="871">
        <v>0</v>
      </c>
      <c r="AH524" s="871">
        <f t="shared" si="40"/>
        <v>2.0661157024793391</v>
      </c>
      <c r="AI524" s="871">
        <v>0</v>
      </c>
      <c r="AJ524" s="871">
        <v>0</v>
      </c>
      <c r="AK524" s="871">
        <v>0</v>
      </c>
      <c r="AL524" s="871">
        <v>0</v>
      </c>
      <c r="AM524" s="871">
        <v>0</v>
      </c>
      <c r="AN524" s="871">
        <v>0</v>
      </c>
      <c r="AO524" s="871">
        <v>0</v>
      </c>
      <c r="AP524" s="871"/>
    </row>
    <row r="525" spans="1:42" s="868" customFormat="1" ht="14">
      <c r="A525" s="866">
        <v>524</v>
      </c>
      <c r="B525" s="867" t="s">
        <v>2982</v>
      </c>
      <c r="C525" s="867" t="s">
        <v>42</v>
      </c>
      <c r="D525" s="867" t="s">
        <v>2377</v>
      </c>
      <c r="E525" s="867" t="s">
        <v>2671</v>
      </c>
      <c r="F525" s="867" t="s">
        <v>642</v>
      </c>
      <c r="G525" s="868">
        <v>1</v>
      </c>
      <c r="H525" s="869">
        <v>0.21</v>
      </c>
      <c r="I525" s="869">
        <v>0.3</v>
      </c>
      <c r="J525" s="869">
        <f t="shared" si="38"/>
        <v>6.3E-2</v>
      </c>
      <c r="K525" s="869">
        <f t="shared" si="39"/>
        <v>8.1899999999999994E-3</v>
      </c>
      <c r="L525" s="868">
        <v>21.3</v>
      </c>
      <c r="M525" s="867" t="s">
        <v>2598</v>
      </c>
      <c r="N525" s="866">
        <v>2021</v>
      </c>
      <c r="O525" s="867" t="s">
        <v>2674</v>
      </c>
      <c r="P525" s="870" t="s">
        <v>47</v>
      </c>
      <c r="Q525" s="867" t="s">
        <v>92</v>
      </c>
      <c r="R525" s="871">
        <v>0</v>
      </c>
      <c r="S525" s="871">
        <v>0</v>
      </c>
      <c r="T525" s="871">
        <v>0</v>
      </c>
      <c r="U525" s="871">
        <v>0</v>
      </c>
      <c r="V525" s="871">
        <v>0</v>
      </c>
      <c r="W525" s="871">
        <v>0</v>
      </c>
      <c r="X525" s="871">
        <v>0</v>
      </c>
      <c r="Y525" s="871">
        <v>0</v>
      </c>
      <c r="Z525" s="871">
        <v>0</v>
      </c>
      <c r="AA525" s="871">
        <v>0</v>
      </c>
      <c r="AB525" s="871">
        <v>0</v>
      </c>
      <c r="AC525" s="871">
        <v>0</v>
      </c>
      <c r="AD525" s="871">
        <v>2.5</v>
      </c>
      <c r="AE525" s="871">
        <v>0</v>
      </c>
      <c r="AF525" s="871">
        <v>0</v>
      </c>
      <c r="AG525" s="871">
        <v>0</v>
      </c>
      <c r="AH525" s="871">
        <f t="shared" si="40"/>
        <v>2.0661157024793391</v>
      </c>
      <c r="AI525" s="871">
        <v>0</v>
      </c>
      <c r="AJ525" s="871">
        <v>0</v>
      </c>
      <c r="AK525" s="871">
        <v>0</v>
      </c>
      <c r="AL525" s="871">
        <v>0</v>
      </c>
      <c r="AM525" s="871">
        <v>0</v>
      </c>
      <c r="AN525" s="871">
        <v>0</v>
      </c>
      <c r="AO525" s="871">
        <v>0</v>
      </c>
      <c r="AP525" s="871"/>
    </row>
    <row r="526" spans="1:42" s="868" customFormat="1" ht="14">
      <c r="A526" s="866">
        <v>525</v>
      </c>
      <c r="B526" s="867" t="s">
        <v>2983</v>
      </c>
      <c r="C526" s="867" t="s">
        <v>42</v>
      </c>
      <c r="D526" s="867" t="s">
        <v>2377</v>
      </c>
      <c r="E526" s="867" t="s">
        <v>2672</v>
      </c>
      <c r="F526" s="867" t="s">
        <v>642</v>
      </c>
      <c r="G526" s="868">
        <v>1</v>
      </c>
      <c r="H526" s="869">
        <v>0.21</v>
      </c>
      <c r="I526" s="869">
        <v>0.3</v>
      </c>
      <c r="J526" s="869">
        <f t="shared" si="38"/>
        <v>6.3E-2</v>
      </c>
      <c r="K526" s="869">
        <f t="shared" si="39"/>
        <v>8.1899999999999994E-3</v>
      </c>
      <c r="L526" s="868">
        <v>53</v>
      </c>
      <c r="M526" s="867" t="s">
        <v>2380</v>
      </c>
      <c r="N526" s="866">
        <v>2021</v>
      </c>
      <c r="O526" s="867" t="s">
        <v>2674</v>
      </c>
      <c r="P526" s="870" t="s">
        <v>47</v>
      </c>
      <c r="Q526" s="867" t="s">
        <v>92</v>
      </c>
      <c r="R526" s="871">
        <v>0</v>
      </c>
      <c r="S526" s="871">
        <v>0</v>
      </c>
      <c r="T526" s="871">
        <v>0</v>
      </c>
      <c r="U526" s="871">
        <v>0</v>
      </c>
      <c r="V526" s="871">
        <v>0</v>
      </c>
      <c r="W526" s="871">
        <v>0</v>
      </c>
      <c r="X526" s="871">
        <v>0</v>
      </c>
      <c r="Y526" s="871">
        <v>0</v>
      </c>
      <c r="Z526" s="871">
        <v>0</v>
      </c>
      <c r="AA526" s="871">
        <v>0</v>
      </c>
      <c r="AB526" s="871">
        <v>0</v>
      </c>
      <c r="AC526" s="871">
        <v>0</v>
      </c>
      <c r="AD526" s="871">
        <v>2.5</v>
      </c>
      <c r="AE526" s="871">
        <v>0</v>
      </c>
      <c r="AF526" s="871">
        <v>0</v>
      </c>
      <c r="AG526" s="871">
        <v>0</v>
      </c>
      <c r="AH526" s="871">
        <f t="shared" si="40"/>
        <v>2.0661157024793391</v>
      </c>
      <c r="AI526" s="871">
        <v>0</v>
      </c>
      <c r="AJ526" s="871">
        <v>0</v>
      </c>
      <c r="AK526" s="871">
        <v>0</v>
      </c>
      <c r="AL526" s="871">
        <v>0</v>
      </c>
      <c r="AM526" s="871">
        <v>0</v>
      </c>
      <c r="AN526" s="871">
        <v>0</v>
      </c>
      <c r="AO526" s="871">
        <v>0</v>
      </c>
      <c r="AP526" s="871"/>
    </row>
    <row r="527" spans="1:42" s="868" customFormat="1" ht="14">
      <c r="A527" s="866">
        <v>526</v>
      </c>
      <c r="B527" s="867" t="s">
        <v>2984</v>
      </c>
      <c r="C527" s="867" t="s">
        <v>42</v>
      </c>
      <c r="D527" s="867" t="s">
        <v>2377</v>
      </c>
      <c r="E527" s="867" t="s">
        <v>2673</v>
      </c>
      <c r="F527" s="867" t="s">
        <v>600</v>
      </c>
      <c r="G527" s="868">
        <v>1</v>
      </c>
      <c r="H527" s="869">
        <v>0.21</v>
      </c>
      <c r="I527" s="869">
        <v>0.3</v>
      </c>
      <c r="J527" s="869">
        <f t="shared" si="38"/>
        <v>6.3E-2</v>
      </c>
      <c r="K527" s="869">
        <f t="shared" si="39"/>
        <v>8.1899999999999994E-3</v>
      </c>
      <c r="L527" s="868">
        <v>53</v>
      </c>
      <c r="M527" s="867" t="s">
        <v>2380</v>
      </c>
      <c r="N527" s="866">
        <v>2021</v>
      </c>
      <c r="O527" s="867" t="s">
        <v>2674</v>
      </c>
      <c r="P527" s="870" t="s">
        <v>47</v>
      </c>
      <c r="Q527" s="867" t="s">
        <v>92</v>
      </c>
      <c r="R527" s="871">
        <v>0</v>
      </c>
      <c r="S527" s="871">
        <v>0</v>
      </c>
      <c r="T527" s="871">
        <v>0</v>
      </c>
      <c r="U527" s="871">
        <v>0</v>
      </c>
      <c r="V527" s="871">
        <v>0</v>
      </c>
      <c r="W527" s="871">
        <v>0</v>
      </c>
      <c r="X527" s="871">
        <v>0</v>
      </c>
      <c r="Y527" s="871">
        <v>0</v>
      </c>
      <c r="Z527" s="871">
        <v>0</v>
      </c>
      <c r="AA527" s="871">
        <v>0</v>
      </c>
      <c r="AB527" s="871">
        <v>0</v>
      </c>
      <c r="AC527" s="871">
        <v>0</v>
      </c>
      <c r="AD527" s="871">
        <v>2.5</v>
      </c>
      <c r="AE527" s="871">
        <v>0</v>
      </c>
      <c r="AF527" s="871">
        <v>0</v>
      </c>
      <c r="AG527" s="871">
        <v>0</v>
      </c>
      <c r="AH527" s="871">
        <f t="shared" si="40"/>
        <v>2.0661157024793391</v>
      </c>
      <c r="AI527" s="871">
        <v>0</v>
      </c>
      <c r="AJ527" s="871">
        <v>0</v>
      </c>
      <c r="AK527" s="871">
        <v>0</v>
      </c>
      <c r="AL527" s="871">
        <v>0</v>
      </c>
      <c r="AM527" s="871">
        <v>0</v>
      </c>
      <c r="AN527" s="871">
        <v>0</v>
      </c>
      <c r="AO527" s="871">
        <v>0</v>
      </c>
      <c r="AP527" s="871"/>
    </row>
    <row r="528" spans="1:42" s="868" customFormat="1" ht="14">
      <c r="A528" s="866">
        <v>527</v>
      </c>
      <c r="B528" s="867" t="s">
        <v>2985</v>
      </c>
      <c r="C528" s="867" t="s">
        <v>42</v>
      </c>
      <c r="D528" s="867" t="s">
        <v>2377</v>
      </c>
      <c r="E528" s="867" t="s">
        <v>2673</v>
      </c>
      <c r="F528" s="867" t="s">
        <v>642</v>
      </c>
      <c r="G528" s="868">
        <v>1</v>
      </c>
      <c r="H528" s="869">
        <v>0.21</v>
      </c>
      <c r="I528" s="869">
        <v>0.3</v>
      </c>
      <c r="J528" s="869">
        <f t="shared" si="38"/>
        <v>6.3E-2</v>
      </c>
      <c r="K528" s="869">
        <f t="shared" si="39"/>
        <v>8.1899999999999994E-3</v>
      </c>
      <c r="L528" s="868">
        <v>53</v>
      </c>
      <c r="M528" s="867" t="s">
        <v>2380</v>
      </c>
      <c r="N528" s="866">
        <v>2021</v>
      </c>
      <c r="O528" s="867" t="s">
        <v>2674</v>
      </c>
      <c r="P528" s="870" t="s">
        <v>47</v>
      </c>
      <c r="Q528" s="867" t="s">
        <v>92</v>
      </c>
      <c r="R528" s="871">
        <v>0</v>
      </c>
      <c r="S528" s="871">
        <v>0</v>
      </c>
      <c r="T528" s="871">
        <v>0</v>
      </c>
      <c r="U528" s="871">
        <v>0</v>
      </c>
      <c r="V528" s="871">
        <v>0</v>
      </c>
      <c r="W528" s="871">
        <v>0</v>
      </c>
      <c r="X528" s="871">
        <v>0</v>
      </c>
      <c r="Y528" s="871">
        <v>0</v>
      </c>
      <c r="Z528" s="871">
        <v>0</v>
      </c>
      <c r="AA528" s="871">
        <v>0</v>
      </c>
      <c r="AB528" s="871">
        <v>0</v>
      </c>
      <c r="AC528" s="871">
        <v>0</v>
      </c>
      <c r="AD528" s="871">
        <v>2.5</v>
      </c>
      <c r="AE528" s="871">
        <v>0</v>
      </c>
      <c r="AF528" s="871">
        <v>0</v>
      </c>
      <c r="AG528" s="871">
        <v>0</v>
      </c>
      <c r="AH528" s="871">
        <f t="shared" si="40"/>
        <v>2.0661157024793391</v>
      </c>
      <c r="AI528" s="871">
        <v>0</v>
      </c>
      <c r="AJ528" s="871">
        <v>0</v>
      </c>
      <c r="AK528" s="871">
        <v>0</v>
      </c>
      <c r="AL528" s="871">
        <v>0</v>
      </c>
      <c r="AM528" s="871">
        <v>0</v>
      </c>
      <c r="AN528" s="871">
        <v>0</v>
      </c>
      <c r="AO528" s="871">
        <v>0</v>
      </c>
      <c r="AP528" s="871"/>
    </row>
    <row r="529" spans="1:42" s="868" customFormat="1" ht="14">
      <c r="A529" s="866">
        <v>528</v>
      </c>
      <c r="B529" s="867" t="s">
        <v>2986</v>
      </c>
      <c r="C529" s="867" t="s">
        <v>42</v>
      </c>
      <c r="D529" s="867" t="s">
        <v>2377</v>
      </c>
      <c r="E529" s="867" t="s">
        <v>2673</v>
      </c>
      <c r="F529" s="867" t="s">
        <v>594</v>
      </c>
      <c r="G529" s="868">
        <v>1</v>
      </c>
      <c r="H529" s="869">
        <v>0.21</v>
      </c>
      <c r="I529" s="869">
        <v>0.3</v>
      </c>
      <c r="J529" s="869">
        <f t="shared" si="38"/>
        <v>6.3E-2</v>
      </c>
      <c r="K529" s="869">
        <f t="shared" si="39"/>
        <v>8.1899999999999994E-3</v>
      </c>
      <c r="L529" s="868">
        <v>53</v>
      </c>
      <c r="M529" s="867" t="s">
        <v>2380</v>
      </c>
      <c r="N529" s="866">
        <v>2021</v>
      </c>
      <c r="O529" s="867" t="s">
        <v>2674</v>
      </c>
      <c r="P529" s="870" t="s">
        <v>47</v>
      </c>
      <c r="Q529" s="867" t="s">
        <v>92</v>
      </c>
      <c r="R529" s="871">
        <v>0</v>
      </c>
      <c r="S529" s="871">
        <v>0</v>
      </c>
      <c r="T529" s="871">
        <v>0</v>
      </c>
      <c r="U529" s="871">
        <v>0</v>
      </c>
      <c r="V529" s="871">
        <v>0</v>
      </c>
      <c r="W529" s="871">
        <v>0</v>
      </c>
      <c r="X529" s="871">
        <v>0</v>
      </c>
      <c r="Y529" s="871">
        <v>0</v>
      </c>
      <c r="Z529" s="871">
        <v>0</v>
      </c>
      <c r="AA529" s="871">
        <v>0</v>
      </c>
      <c r="AB529" s="871">
        <v>0</v>
      </c>
      <c r="AC529" s="871">
        <v>0</v>
      </c>
      <c r="AD529" s="871">
        <v>2.5</v>
      </c>
      <c r="AE529" s="871">
        <v>0</v>
      </c>
      <c r="AF529" s="871">
        <v>0</v>
      </c>
      <c r="AG529" s="871">
        <v>0</v>
      </c>
      <c r="AH529" s="871">
        <f t="shared" si="40"/>
        <v>2.0661157024793391</v>
      </c>
      <c r="AI529" s="871">
        <v>0</v>
      </c>
      <c r="AJ529" s="871">
        <v>0</v>
      </c>
      <c r="AK529" s="871">
        <v>0</v>
      </c>
      <c r="AL529" s="871">
        <v>0</v>
      </c>
      <c r="AM529" s="871">
        <v>0</v>
      </c>
      <c r="AN529" s="871">
        <v>0</v>
      </c>
      <c r="AO529" s="871">
        <v>0</v>
      </c>
      <c r="AP529" s="871"/>
    </row>
    <row r="530" spans="1:42" s="868" customFormat="1" ht="14">
      <c r="A530" s="866">
        <v>529</v>
      </c>
      <c r="B530" s="867" t="s">
        <v>2987</v>
      </c>
      <c r="C530" s="867" t="s">
        <v>42</v>
      </c>
      <c r="D530" s="867" t="s">
        <v>2377</v>
      </c>
      <c r="E530" s="867" t="s">
        <v>2673</v>
      </c>
      <c r="F530" s="867" t="s">
        <v>650</v>
      </c>
      <c r="G530" s="868">
        <v>1</v>
      </c>
      <c r="H530" s="869">
        <v>0.21</v>
      </c>
      <c r="I530" s="869">
        <v>0.3</v>
      </c>
      <c r="J530" s="869">
        <f t="shared" si="38"/>
        <v>6.3E-2</v>
      </c>
      <c r="K530" s="869">
        <f t="shared" si="39"/>
        <v>8.1899999999999994E-3</v>
      </c>
      <c r="L530" s="868">
        <v>53</v>
      </c>
      <c r="M530" s="867" t="s">
        <v>2380</v>
      </c>
      <c r="N530" s="866">
        <v>2021</v>
      </c>
      <c r="O530" s="867" t="s">
        <v>2674</v>
      </c>
      <c r="P530" s="870" t="s">
        <v>47</v>
      </c>
      <c r="Q530" s="867" t="s">
        <v>92</v>
      </c>
      <c r="R530" s="871">
        <v>0</v>
      </c>
      <c r="S530" s="871">
        <v>0</v>
      </c>
      <c r="T530" s="871">
        <v>0</v>
      </c>
      <c r="U530" s="871">
        <v>0</v>
      </c>
      <c r="V530" s="871">
        <v>0</v>
      </c>
      <c r="W530" s="871">
        <v>0</v>
      </c>
      <c r="X530" s="871">
        <v>0</v>
      </c>
      <c r="Y530" s="871">
        <v>0</v>
      </c>
      <c r="Z530" s="871">
        <v>0</v>
      </c>
      <c r="AA530" s="871">
        <v>0</v>
      </c>
      <c r="AB530" s="871">
        <v>0</v>
      </c>
      <c r="AC530" s="871">
        <v>0</v>
      </c>
      <c r="AD530" s="871">
        <v>2.5</v>
      </c>
      <c r="AE530" s="871">
        <v>0</v>
      </c>
      <c r="AF530" s="871">
        <v>0</v>
      </c>
      <c r="AG530" s="871">
        <v>0</v>
      </c>
      <c r="AH530" s="871">
        <f t="shared" si="40"/>
        <v>2.0661157024793391</v>
      </c>
      <c r="AI530" s="871">
        <v>0</v>
      </c>
      <c r="AJ530" s="871">
        <v>0</v>
      </c>
      <c r="AK530" s="871">
        <v>0</v>
      </c>
      <c r="AL530" s="871">
        <v>0</v>
      </c>
      <c r="AM530" s="871">
        <v>0</v>
      </c>
      <c r="AN530" s="871">
        <v>0</v>
      </c>
      <c r="AO530" s="871">
        <v>0</v>
      </c>
      <c r="AP530" s="871"/>
    </row>
    <row r="531" spans="1:42" s="868" customFormat="1" ht="14">
      <c r="A531" s="866">
        <v>530</v>
      </c>
      <c r="B531" s="867" t="s">
        <v>2988</v>
      </c>
      <c r="C531" s="867" t="s">
        <v>42</v>
      </c>
      <c r="D531" s="867" t="s">
        <v>2377</v>
      </c>
      <c r="E531" s="867" t="s">
        <v>2673</v>
      </c>
      <c r="F531" s="867" t="s">
        <v>656</v>
      </c>
      <c r="G531" s="868">
        <v>1</v>
      </c>
      <c r="H531" s="869">
        <v>0.21</v>
      </c>
      <c r="I531" s="869">
        <v>0.3</v>
      </c>
      <c r="J531" s="869">
        <f t="shared" si="38"/>
        <v>6.3E-2</v>
      </c>
      <c r="K531" s="869">
        <f t="shared" si="39"/>
        <v>8.1899999999999994E-3</v>
      </c>
      <c r="L531" s="868">
        <v>53</v>
      </c>
      <c r="M531" s="867" t="s">
        <v>2380</v>
      </c>
      <c r="N531" s="866">
        <v>2021</v>
      </c>
      <c r="O531" s="867" t="s">
        <v>2674</v>
      </c>
      <c r="P531" s="870" t="s">
        <v>47</v>
      </c>
      <c r="Q531" s="867" t="s">
        <v>92</v>
      </c>
      <c r="R531" s="871">
        <v>0</v>
      </c>
      <c r="S531" s="871">
        <v>0</v>
      </c>
      <c r="T531" s="871">
        <v>0</v>
      </c>
      <c r="U531" s="871">
        <v>0</v>
      </c>
      <c r="V531" s="871">
        <v>0</v>
      </c>
      <c r="W531" s="871">
        <v>0</v>
      </c>
      <c r="X531" s="871">
        <v>0</v>
      </c>
      <c r="Y531" s="871">
        <v>0</v>
      </c>
      <c r="Z531" s="871">
        <v>0</v>
      </c>
      <c r="AA531" s="871">
        <v>0</v>
      </c>
      <c r="AB531" s="871">
        <v>0</v>
      </c>
      <c r="AC531" s="871">
        <v>0</v>
      </c>
      <c r="AD531" s="871">
        <v>2.5</v>
      </c>
      <c r="AE531" s="871">
        <v>0</v>
      </c>
      <c r="AF531" s="871">
        <v>0</v>
      </c>
      <c r="AG531" s="871">
        <v>0</v>
      </c>
      <c r="AH531" s="871">
        <f t="shared" si="40"/>
        <v>2.0661157024793391</v>
      </c>
      <c r="AI531" s="871">
        <v>0</v>
      </c>
      <c r="AJ531" s="871">
        <v>0</v>
      </c>
      <c r="AK531" s="871">
        <v>0</v>
      </c>
      <c r="AL531" s="871">
        <v>0</v>
      </c>
      <c r="AM531" s="871">
        <v>0</v>
      </c>
      <c r="AN531" s="871">
        <v>0</v>
      </c>
      <c r="AO531" s="871">
        <v>0</v>
      </c>
      <c r="AP531" s="871"/>
    </row>
    <row r="532" spans="1:42" s="868" customFormat="1" ht="14">
      <c r="A532" s="866">
        <v>531</v>
      </c>
      <c r="B532" s="867" t="s">
        <v>2989</v>
      </c>
      <c r="C532" s="867" t="s">
        <v>42</v>
      </c>
      <c r="D532" s="867" t="s">
        <v>2450</v>
      </c>
      <c r="E532" s="867" t="s">
        <v>2675</v>
      </c>
      <c r="F532" s="867" t="s">
        <v>625</v>
      </c>
      <c r="G532" s="868">
        <v>1</v>
      </c>
      <c r="H532" s="869">
        <v>0.2</v>
      </c>
      <c r="I532" s="869">
        <v>0.53</v>
      </c>
      <c r="J532" s="869">
        <f t="shared" si="38"/>
        <v>0.10600000000000001</v>
      </c>
      <c r="K532" s="869">
        <f t="shared" si="39"/>
        <v>1.3780000000000001E-2</v>
      </c>
      <c r="L532" s="868">
        <v>0</v>
      </c>
      <c r="M532" s="867" t="s">
        <v>47</v>
      </c>
      <c r="N532" s="866">
        <v>2050</v>
      </c>
      <c r="O532" s="867" t="s">
        <v>2674</v>
      </c>
      <c r="P532" s="870" t="s">
        <v>47</v>
      </c>
      <c r="Q532" s="867" t="s">
        <v>92</v>
      </c>
      <c r="R532" s="871">
        <v>0</v>
      </c>
      <c r="S532" s="871">
        <v>0</v>
      </c>
      <c r="T532" s="871">
        <v>0</v>
      </c>
      <c r="U532" s="871">
        <v>0</v>
      </c>
      <c r="V532" s="871">
        <v>0</v>
      </c>
      <c r="W532" s="871">
        <v>0</v>
      </c>
      <c r="X532" s="871">
        <v>0</v>
      </c>
      <c r="Y532" s="871">
        <v>0</v>
      </c>
      <c r="Z532" s="871">
        <v>0</v>
      </c>
      <c r="AA532" s="871">
        <v>0</v>
      </c>
      <c r="AB532" s="871">
        <v>0</v>
      </c>
      <c r="AC532" s="871">
        <v>0</v>
      </c>
      <c r="AD532" s="871">
        <v>2.5</v>
      </c>
      <c r="AE532" s="871">
        <v>0</v>
      </c>
      <c r="AF532" s="871">
        <v>0</v>
      </c>
      <c r="AG532" s="871">
        <v>0</v>
      </c>
      <c r="AH532" s="871">
        <f t="shared" si="40"/>
        <v>2.0661157024793391</v>
      </c>
      <c r="AI532" s="871">
        <v>0</v>
      </c>
      <c r="AJ532" s="871">
        <v>0</v>
      </c>
      <c r="AK532" s="871">
        <v>0</v>
      </c>
      <c r="AL532" s="871">
        <v>0</v>
      </c>
      <c r="AM532" s="871">
        <v>0</v>
      </c>
      <c r="AN532" s="871">
        <v>0</v>
      </c>
      <c r="AO532" s="871">
        <v>0</v>
      </c>
      <c r="AP532" s="871"/>
    </row>
    <row r="533" spans="1:42" s="868" customFormat="1" ht="14">
      <c r="A533" s="866">
        <v>532</v>
      </c>
      <c r="B533" s="867" t="s">
        <v>2990</v>
      </c>
      <c r="C533" s="867" t="s">
        <v>42</v>
      </c>
      <c r="D533" s="867" t="s">
        <v>2450</v>
      </c>
      <c r="E533" s="867" t="s">
        <v>2675</v>
      </c>
      <c r="F533" s="867" t="s">
        <v>656</v>
      </c>
      <c r="G533" s="868">
        <v>1</v>
      </c>
      <c r="H533" s="869">
        <v>0.2</v>
      </c>
      <c r="I533" s="869">
        <v>0.53</v>
      </c>
      <c r="J533" s="869">
        <f t="shared" si="38"/>
        <v>0.10600000000000001</v>
      </c>
      <c r="K533" s="869">
        <f t="shared" si="39"/>
        <v>1.3780000000000001E-2</v>
      </c>
      <c r="L533" s="868">
        <v>0</v>
      </c>
      <c r="M533" s="867" t="s">
        <v>47</v>
      </c>
      <c r="N533" s="866">
        <v>2050</v>
      </c>
      <c r="O533" s="867" t="s">
        <v>2674</v>
      </c>
      <c r="P533" s="870" t="s">
        <v>47</v>
      </c>
      <c r="Q533" s="867" t="s">
        <v>92</v>
      </c>
      <c r="R533" s="871">
        <v>0</v>
      </c>
      <c r="S533" s="871">
        <v>0</v>
      </c>
      <c r="T533" s="871">
        <v>0</v>
      </c>
      <c r="U533" s="871">
        <v>0</v>
      </c>
      <c r="V533" s="871">
        <v>0</v>
      </c>
      <c r="W533" s="871">
        <v>0</v>
      </c>
      <c r="X533" s="871">
        <v>0</v>
      </c>
      <c r="Y533" s="871">
        <v>0</v>
      </c>
      <c r="Z533" s="871">
        <v>0</v>
      </c>
      <c r="AA533" s="871">
        <v>0</v>
      </c>
      <c r="AB533" s="871">
        <v>0</v>
      </c>
      <c r="AC533" s="871">
        <v>0</v>
      </c>
      <c r="AD533" s="871">
        <v>2.5</v>
      </c>
      <c r="AE533" s="871">
        <v>0</v>
      </c>
      <c r="AF533" s="871">
        <v>0</v>
      </c>
      <c r="AG533" s="871">
        <v>0</v>
      </c>
      <c r="AH533" s="871">
        <f t="shared" si="40"/>
        <v>2.0661157024793391</v>
      </c>
      <c r="AI533" s="871">
        <v>0</v>
      </c>
      <c r="AJ533" s="871">
        <v>0</v>
      </c>
      <c r="AK533" s="871">
        <v>0</v>
      </c>
      <c r="AL533" s="871">
        <v>0</v>
      </c>
      <c r="AM533" s="871">
        <v>0</v>
      </c>
      <c r="AN533" s="871">
        <v>0</v>
      </c>
      <c r="AO533" s="871">
        <v>0</v>
      </c>
      <c r="AP533" s="871"/>
    </row>
    <row r="534" spans="1:42" s="868" customFormat="1" ht="14">
      <c r="A534" s="866">
        <v>533</v>
      </c>
      <c r="B534" s="867" t="s">
        <v>2993</v>
      </c>
      <c r="C534" s="867" t="s">
        <v>42</v>
      </c>
      <c r="D534" s="867" t="s">
        <v>2450</v>
      </c>
      <c r="E534" s="867" t="s">
        <v>2675</v>
      </c>
      <c r="F534" s="867" t="s">
        <v>650</v>
      </c>
      <c r="G534" s="868">
        <v>1</v>
      </c>
      <c r="H534" s="869">
        <v>0.2</v>
      </c>
      <c r="I534" s="869">
        <v>0.53</v>
      </c>
      <c r="J534" s="869">
        <f t="shared" si="38"/>
        <v>0.10600000000000001</v>
      </c>
      <c r="K534" s="869">
        <f t="shared" si="39"/>
        <v>1.3780000000000001E-2</v>
      </c>
      <c r="L534" s="868">
        <v>0</v>
      </c>
      <c r="M534" s="867" t="s">
        <v>47</v>
      </c>
      <c r="N534" s="866">
        <v>2050</v>
      </c>
      <c r="O534" s="867" t="s">
        <v>2674</v>
      </c>
      <c r="P534" s="870" t="s">
        <v>47</v>
      </c>
      <c r="Q534" s="867" t="s">
        <v>92</v>
      </c>
      <c r="R534" s="871">
        <v>0</v>
      </c>
      <c r="S534" s="871">
        <v>0</v>
      </c>
      <c r="T534" s="871">
        <v>0</v>
      </c>
      <c r="U534" s="871">
        <v>0</v>
      </c>
      <c r="V534" s="871">
        <v>0</v>
      </c>
      <c r="W534" s="871">
        <v>0</v>
      </c>
      <c r="X534" s="871">
        <v>0</v>
      </c>
      <c r="Y534" s="871">
        <v>0</v>
      </c>
      <c r="Z534" s="871">
        <v>0</v>
      </c>
      <c r="AA534" s="871">
        <v>0</v>
      </c>
      <c r="AB534" s="871">
        <v>0</v>
      </c>
      <c r="AC534" s="871">
        <v>0</v>
      </c>
      <c r="AD534" s="871">
        <v>2.5</v>
      </c>
      <c r="AE534" s="871">
        <v>0</v>
      </c>
      <c r="AF534" s="871">
        <v>0</v>
      </c>
      <c r="AG534" s="871">
        <v>0</v>
      </c>
      <c r="AH534" s="871">
        <f t="shared" si="40"/>
        <v>2.0661157024793391</v>
      </c>
      <c r="AI534" s="871">
        <v>0</v>
      </c>
      <c r="AJ534" s="871">
        <v>0</v>
      </c>
      <c r="AK534" s="871">
        <v>0</v>
      </c>
      <c r="AL534" s="871">
        <v>0</v>
      </c>
      <c r="AM534" s="871">
        <v>0</v>
      </c>
      <c r="AN534" s="871">
        <v>0</v>
      </c>
      <c r="AO534" s="871">
        <v>0</v>
      </c>
      <c r="AP534" s="871"/>
    </row>
    <row r="535" spans="1:42" s="868" customFormat="1" ht="14">
      <c r="A535" s="866">
        <v>534</v>
      </c>
      <c r="B535" s="867" t="s">
        <v>2991</v>
      </c>
      <c r="C535" s="867" t="s">
        <v>42</v>
      </c>
      <c r="D535" s="867" t="s">
        <v>2450</v>
      </c>
      <c r="E535" s="867" t="s">
        <v>2675</v>
      </c>
      <c r="F535" s="867" t="s">
        <v>659</v>
      </c>
      <c r="G535" s="868">
        <v>1</v>
      </c>
      <c r="H535" s="869">
        <v>0.2</v>
      </c>
      <c r="I535" s="869">
        <v>0.53</v>
      </c>
      <c r="J535" s="869">
        <f t="shared" si="38"/>
        <v>0.10600000000000001</v>
      </c>
      <c r="K535" s="869">
        <f t="shared" si="39"/>
        <v>1.3780000000000001E-2</v>
      </c>
      <c r="L535" s="868">
        <v>0</v>
      </c>
      <c r="M535" s="867" t="s">
        <v>47</v>
      </c>
      <c r="N535" s="866">
        <v>2050</v>
      </c>
      <c r="O535" s="867" t="s">
        <v>2674</v>
      </c>
      <c r="P535" s="870" t="s">
        <v>47</v>
      </c>
      <c r="Q535" s="867" t="s">
        <v>92</v>
      </c>
      <c r="R535" s="871">
        <v>0</v>
      </c>
      <c r="S535" s="871">
        <v>0</v>
      </c>
      <c r="T535" s="871">
        <v>0</v>
      </c>
      <c r="U535" s="871">
        <v>0</v>
      </c>
      <c r="V535" s="871">
        <v>0</v>
      </c>
      <c r="W535" s="871">
        <v>0</v>
      </c>
      <c r="X535" s="871">
        <v>0</v>
      </c>
      <c r="Y535" s="871">
        <v>0</v>
      </c>
      <c r="Z535" s="871">
        <v>0</v>
      </c>
      <c r="AA535" s="871">
        <v>0</v>
      </c>
      <c r="AB535" s="871">
        <v>0</v>
      </c>
      <c r="AC535" s="871">
        <v>0</v>
      </c>
      <c r="AD535" s="871">
        <v>2.5</v>
      </c>
      <c r="AE535" s="871">
        <v>0</v>
      </c>
      <c r="AF535" s="871">
        <v>0</v>
      </c>
      <c r="AG535" s="871">
        <v>0</v>
      </c>
      <c r="AH535" s="871">
        <f t="shared" si="40"/>
        <v>2.0661157024793391</v>
      </c>
      <c r="AI535" s="871">
        <v>0</v>
      </c>
      <c r="AJ535" s="871">
        <v>0</v>
      </c>
      <c r="AK535" s="871">
        <v>0</v>
      </c>
      <c r="AL535" s="871">
        <v>0</v>
      </c>
      <c r="AM535" s="871">
        <v>0</v>
      </c>
      <c r="AN535" s="871">
        <v>0</v>
      </c>
      <c r="AO535" s="871">
        <v>0</v>
      </c>
      <c r="AP535" s="871"/>
    </row>
    <row r="536" spans="1:42" s="868" customFormat="1" ht="14">
      <c r="A536" s="866">
        <v>535</v>
      </c>
      <c r="B536" s="867" t="s">
        <v>2992</v>
      </c>
      <c r="C536" s="867" t="s">
        <v>42</v>
      </c>
      <c r="D536" s="867" t="s">
        <v>2450</v>
      </c>
      <c r="E536" s="867" t="s">
        <v>2676</v>
      </c>
      <c r="F536" s="867" t="s">
        <v>650</v>
      </c>
      <c r="G536" s="868">
        <v>1</v>
      </c>
      <c r="H536" s="869">
        <v>0.2</v>
      </c>
      <c r="I536" s="869">
        <v>0.53</v>
      </c>
      <c r="J536" s="869">
        <f t="shared" si="38"/>
        <v>0.10600000000000001</v>
      </c>
      <c r="K536" s="869">
        <f t="shared" si="39"/>
        <v>1.3780000000000001E-2</v>
      </c>
      <c r="L536" s="868">
        <v>0</v>
      </c>
      <c r="M536" s="867" t="s">
        <v>47</v>
      </c>
      <c r="N536" s="866">
        <v>2050</v>
      </c>
      <c r="O536" s="867" t="s">
        <v>2674</v>
      </c>
      <c r="P536" s="870" t="s">
        <v>47</v>
      </c>
      <c r="Q536" s="867" t="s">
        <v>92</v>
      </c>
      <c r="R536" s="871">
        <v>0</v>
      </c>
      <c r="S536" s="871">
        <v>0</v>
      </c>
      <c r="T536" s="871">
        <v>0</v>
      </c>
      <c r="U536" s="871">
        <v>0</v>
      </c>
      <c r="V536" s="871">
        <v>0</v>
      </c>
      <c r="W536" s="871">
        <v>0</v>
      </c>
      <c r="X536" s="871">
        <v>0</v>
      </c>
      <c r="Y536" s="871">
        <v>0</v>
      </c>
      <c r="Z536" s="871">
        <v>0</v>
      </c>
      <c r="AA536" s="871">
        <v>0</v>
      </c>
      <c r="AB536" s="871">
        <v>0</v>
      </c>
      <c r="AC536" s="871">
        <v>0</v>
      </c>
      <c r="AD536" s="871">
        <v>2.5</v>
      </c>
      <c r="AE536" s="871">
        <v>0</v>
      </c>
      <c r="AF536" s="871">
        <v>0</v>
      </c>
      <c r="AG536" s="871">
        <v>0</v>
      </c>
      <c r="AH536" s="871">
        <f t="shared" si="40"/>
        <v>2.0661157024793391</v>
      </c>
      <c r="AI536" s="871">
        <v>0</v>
      </c>
      <c r="AJ536" s="871">
        <v>0</v>
      </c>
      <c r="AK536" s="871">
        <v>0</v>
      </c>
      <c r="AL536" s="871">
        <v>0</v>
      </c>
      <c r="AM536" s="871">
        <v>0</v>
      </c>
      <c r="AN536" s="871">
        <v>0</v>
      </c>
      <c r="AO536" s="871">
        <v>0</v>
      </c>
      <c r="AP536" s="871"/>
    </row>
    <row r="537" spans="1:42" s="868" customFormat="1" ht="14">
      <c r="A537" s="866">
        <v>536</v>
      </c>
      <c r="B537" s="867" t="s">
        <v>2994</v>
      </c>
      <c r="C537" s="867" t="s">
        <v>42</v>
      </c>
      <c r="D537" s="867" t="s">
        <v>2450</v>
      </c>
      <c r="E537" s="867" t="s">
        <v>2676</v>
      </c>
      <c r="F537" s="867" t="s">
        <v>625</v>
      </c>
      <c r="G537" s="868">
        <v>1</v>
      </c>
      <c r="H537" s="869">
        <v>0.2</v>
      </c>
      <c r="I537" s="869">
        <v>0.53</v>
      </c>
      <c r="J537" s="869">
        <f t="shared" si="38"/>
        <v>0.10600000000000001</v>
      </c>
      <c r="K537" s="869">
        <f t="shared" si="39"/>
        <v>1.3780000000000001E-2</v>
      </c>
      <c r="L537" s="868">
        <v>0</v>
      </c>
      <c r="M537" s="867" t="s">
        <v>47</v>
      </c>
      <c r="N537" s="866">
        <v>2050</v>
      </c>
      <c r="O537" s="867" t="s">
        <v>2674</v>
      </c>
      <c r="P537" s="870" t="s">
        <v>47</v>
      </c>
      <c r="Q537" s="867" t="s">
        <v>92</v>
      </c>
      <c r="R537" s="871">
        <v>0</v>
      </c>
      <c r="S537" s="871">
        <v>0</v>
      </c>
      <c r="T537" s="871">
        <v>0</v>
      </c>
      <c r="U537" s="871">
        <v>0</v>
      </c>
      <c r="V537" s="871">
        <v>0</v>
      </c>
      <c r="W537" s="871">
        <v>0</v>
      </c>
      <c r="X537" s="871">
        <v>0</v>
      </c>
      <c r="Y537" s="871">
        <v>0</v>
      </c>
      <c r="Z537" s="871">
        <v>0</v>
      </c>
      <c r="AA537" s="871">
        <v>0</v>
      </c>
      <c r="AB537" s="871">
        <v>0</v>
      </c>
      <c r="AC537" s="871">
        <v>0</v>
      </c>
      <c r="AD537" s="871">
        <v>2.5</v>
      </c>
      <c r="AE537" s="871">
        <v>0</v>
      </c>
      <c r="AF537" s="871">
        <v>0</v>
      </c>
      <c r="AG537" s="871">
        <v>0</v>
      </c>
      <c r="AH537" s="871">
        <f t="shared" si="40"/>
        <v>2.0661157024793391</v>
      </c>
      <c r="AI537" s="871">
        <v>0</v>
      </c>
      <c r="AJ537" s="871">
        <v>0</v>
      </c>
      <c r="AK537" s="871">
        <v>0</v>
      </c>
      <c r="AL537" s="871">
        <v>0</v>
      </c>
      <c r="AM537" s="871">
        <v>0</v>
      </c>
      <c r="AN537" s="871">
        <v>0</v>
      </c>
      <c r="AO537" s="871">
        <v>0</v>
      </c>
      <c r="AP537" s="871"/>
    </row>
    <row r="538" spans="1:42" s="868" customFormat="1" ht="14">
      <c r="A538" s="866">
        <v>537</v>
      </c>
      <c r="B538" s="867" t="s">
        <v>2995</v>
      </c>
      <c r="C538" s="867" t="s">
        <v>42</v>
      </c>
      <c r="D538" s="867" t="s">
        <v>2450</v>
      </c>
      <c r="E538" s="867" t="s">
        <v>2676</v>
      </c>
      <c r="F538" s="867" t="s">
        <v>664</v>
      </c>
      <c r="G538" s="868">
        <v>1</v>
      </c>
      <c r="H538" s="869">
        <v>0.2</v>
      </c>
      <c r="I538" s="869">
        <v>0.53</v>
      </c>
      <c r="J538" s="869">
        <f t="shared" si="38"/>
        <v>0.10600000000000001</v>
      </c>
      <c r="K538" s="869">
        <f t="shared" si="39"/>
        <v>1.3780000000000001E-2</v>
      </c>
      <c r="L538" s="868">
        <v>0</v>
      </c>
      <c r="M538" s="867" t="s">
        <v>47</v>
      </c>
      <c r="N538" s="866">
        <v>2050</v>
      </c>
      <c r="O538" s="867" t="s">
        <v>2674</v>
      </c>
      <c r="P538" s="870" t="s">
        <v>47</v>
      </c>
      <c r="Q538" s="867" t="s">
        <v>92</v>
      </c>
      <c r="R538" s="871">
        <v>0</v>
      </c>
      <c r="S538" s="871">
        <v>0</v>
      </c>
      <c r="T538" s="871">
        <v>0</v>
      </c>
      <c r="U538" s="871">
        <v>0</v>
      </c>
      <c r="V538" s="871">
        <v>0</v>
      </c>
      <c r="W538" s="871">
        <v>0</v>
      </c>
      <c r="X538" s="871">
        <v>0</v>
      </c>
      <c r="Y538" s="871">
        <v>0</v>
      </c>
      <c r="Z538" s="871">
        <v>0</v>
      </c>
      <c r="AA538" s="871">
        <v>0</v>
      </c>
      <c r="AB538" s="871">
        <v>0</v>
      </c>
      <c r="AC538" s="871">
        <v>0</v>
      </c>
      <c r="AD538" s="871">
        <v>2.5</v>
      </c>
      <c r="AE538" s="871">
        <v>0</v>
      </c>
      <c r="AF538" s="871">
        <v>0</v>
      </c>
      <c r="AG538" s="871">
        <v>0</v>
      </c>
      <c r="AH538" s="871">
        <f t="shared" si="40"/>
        <v>2.0661157024793391</v>
      </c>
      <c r="AI538" s="871">
        <v>0</v>
      </c>
      <c r="AJ538" s="871">
        <v>0</v>
      </c>
      <c r="AK538" s="871">
        <v>0</v>
      </c>
      <c r="AL538" s="871">
        <v>0</v>
      </c>
      <c r="AM538" s="871">
        <v>0</v>
      </c>
      <c r="AN538" s="871">
        <v>0</v>
      </c>
      <c r="AO538" s="871">
        <v>0</v>
      </c>
      <c r="AP538" s="871"/>
    </row>
    <row r="539" spans="1:42" s="868" customFormat="1" ht="14">
      <c r="A539" s="866">
        <v>538</v>
      </c>
      <c r="B539" s="867" t="s">
        <v>2996</v>
      </c>
      <c r="C539" s="867" t="s">
        <v>42</v>
      </c>
      <c r="D539" s="867" t="s">
        <v>2450</v>
      </c>
      <c r="E539" s="867" t="s">
        <v>2676</v>
      </c>
      <c r="F539" s="867" t="s">
        <v>600</v>
      </c>
      <c r="G539" s="868">
        <v>1</v>
      </c>
      <c r="H539" s="869">
        <v>0.2</v>
      </c>
      <c r="I539" s="869">
        <v>0.53</v>
      </c>
      <c r="J539" s="869">
        <f t="shared" si="38"/>
        <v>0.10600000000000001</v>
      </c>
      <c r="K539" s="869">
        <f t="shared" si="39"/>
        <v>1.3780000000000001E-2</v>
      </c>
      <c r="L539" s="868">
        <v>0</v>
      </c>
      <c r="M539" s="867" t="s">
        <v>47</v>
      </c>
      <c r="N539" s="866">
        <v>2050</v>
      </c>
      <c r="O539" s="867" t="s">
        <v>2674</v>
      </c>
      <c r="P539" s="870" t="s">
        <v>47</v>
      </c>
      <c r="Q539" s="867" t="s">
        <v>92</v>
      </c>
      <c r="R539" s="871">
        <v>0</v>
      </c>
      <c r="S539" s="871">
        <v>0</v>
      </c>
      <c r="T539" s="871">
        <v>0</v>
      </c>
      <c r="U539" s="871">
        <v>0</v>
      </c>
      <c r="V539" s="871">
        <v>0</v>
      </c>
      <c r="W539" s="871">
        <v>0</v>
      </c>
      <c r="X539" s="871">
        <v>0</v>
      </c>
      <c r="Y539" s="871">
        <v>0</v>
      </c>
      <c r="Z539" s="871">
        <v>0</v>
      </c>
      <c r="AA539" s="871">
        <v>0</v>
      </c>
      <c r="AB539" s="871">
        <v>0</v>
      </c>
      <c r="AC539" s="871">
        <v>0</v>
      </c>
      <c r="AD539" s="871">
        <v>2.5</v>
      </c>
      <c r="AE539" s="871">
        <v>0</v>
      </c>
      <c r="AF539" s="871">
        <v>0</v>
      </c>
      <c r="AG539" s="871">
        <v>0</v>
      </c>
      <c r="AH539" s="871">
        <f t="shared" si="40"/>
        <v>2.0661157024793391</v>
      </c>
      <c r="AI539" s="871">
        <v>0</v>
      </c>
      <c r="AJ539" s="871">
        <v>0</v>
      </c>
      <c r="AK539" s="871">
        <v>0</v>
      </c>
      <c r="AL539" s="871">
        <v>0</v>
      </c>
      <c r="AM539" s="871">
        <v>0</v>
      </c>
      <c r="AN539" s="871">
        <v>0</v>
      </c>
      <c r="AO539" s="871">
        <v>0</v>
      </c>
      <c r="AP539" s="871"/>
    </row>
    <row r="540" spans="1:42" s="868" customFormat="1" ht="14">
      <c r="A540" s="866">
        <v>539</v>
      </c>
      <c r="B540" s="867" t="s">
        <v>2997</v>
      </c>
      <c r="C540" s="867" t="s">
        <v>42</v>
      </c>
      <c r="D540" s="867" t="s">
        <v>2450</v>
      </c>
      <c r="E540" s="867" t="s">
        <v>2677</v>
      </c>
      <c r="F540" s="867" t="s">
        <v>664</v>
      </c>
      <c r="G540" s="868">
        <v>1</v>
      </c>
      <c r="H540" s="869">
        <v>0.2</v>
      </c>
      <c r="I540" s="869">
        <v>0.53</v>
      </c>
      <c r="J540" s="869">
        <f t="shared" si="38"/>
        <v>0.10600000000000001</v>
      </c>
      <c r="K540" s="869">
        <f t="shared" si="39"/>
        <v>1.3780000000000001E-2</v>
      </c>
      <c r="L540" s="868">
        <v>0</v>
      </c>
      <c r="M540" s="867" t="s">
        <v>47</v>
      </c>
      <c r="N540" s="866">
        <v>2050</v>
      </c>
      <c r="O540" s="867" t="s">
        <v>2674</v>
      </c>
      <c r="P540" s="870" t="s">
        <v>47</v>
      </c>
      <c r="Q540" s="867" t="s">
        <v>92</v>
      </c>
      <c r="R540" s="871">
        <v>0</v>
      </c>
      <c r="S540" s="871">
        <v>0</v>
      </c>
      <c r="T540" s="871">
        <v>0</v>
      </c>
      <c r="U540" s="871">
        <v>0</v>
      </c>
      <c r="V540" s="871">
        <v>0</v>
      </c>
      <c r="W540" s="871">
        <v>0</v>
      </c>
      <c r="X540" s="871">
        <v>0</v>
      </c>
      <c r="Y540" s="871">
        <v>0</v>
      </c>
      <c r="Z540" s="871">
        <v>0</v>
      </c>
      <c r="AA540" s="871">
        <v>0</v>
      </c>
      <c r="AB540" s="871">
        <v>0</v>
      </c>
      <c r="AC540" s="871">
        <v>0</v>
      </c>
      <c r="AD540" s="871">
        <v>2.5</v>
      </c>
      <c r="AE540" s="871">
        <v>0</v>
      </c>
      <c r="AF540" s="871">
        <v>0</v>
      </c>
      <c r="AG540" s="871">
        <v>0</v>
      </c>
      <c r="AH540" s="871">
        <f t="shared" si="40"/>
        <v>2.0661157024793391</v>
      </c>
      <c r="AI540" s="871">
        <v>0</v>
      </c>
      <c r="AJ540" s="871">
        <v>0</v>
      </c>
      <c r="AK540" s="871">
        <v>0</v>
      </c>
      <c r="AL540" s="871">
        <v>0</v>
      </c>
      <c r="AM540" s="871">
        <v>0</v>
      </c>
      <c r="AN540" s="871">
        <v>0</v>
      </c>
      <c r="AO540" s="871">
        <v>0</v>
      </c>
      <c r="AP540" s="871"/>
    </row>
    <row r="541" spans="1:42" s="868" customFormat="1" ht="14">
      <c r="A541" s="866">
        <v>540</v>
      </c>
      <c r="B541" s="867" t="s">
        <v>2998</v>
      </c>
      <c r="C541" s="867" t="s">
        <v>42</v>
      </c>
      <c r="D541" s="867" t="s">
        <v>2450</v>
      </c>
      <c r="E541" s="867" t="s">
        <v>2677</v>
      </c>
      <c r="F541" s="867" t="s">
        <v>656</v>
      </c>
      <c r="G541" s="868">
        <v>1</v>
      </c>
      <c r="H541" s="869">
        <v>0.2</v>
      </c>
      <c r="I541" s="869">
        <v>0.53</v>
      </c>
      <c r="J541" s="869">
        <f t="shared" si="38"/>
        <v>0.10600000000000001</v>
      </c>
      <c r="K541" s="869">
        <f t="shared" si="39"/>
        <v>1.3780000000000001E-2</v>
      </c>
      <c r="L541" s="868">
        <v>0</v>
      </c>
      <c r="M541" s="867" t="s">
        <v>47</v>
      </c>
      <c r="N541" s="866">
        <v>2050</v>
      </c>
      <c r="O541" s="867" t="s">
        <v>2674</v>
      </c>
      <c r="P541" s="870" t="s">
        <v>47</v>
      </c>
      <c r="Q541" s="867" t="s">
        <v>92</v>
      </c>
      <c r="R541" s="871">
        <v>0</v>
      </c>
      <c r="S541" s="871">
        <v>0</v>
      </c>
      <c r="T541" s="871">
        <v>0</v>
      </c>
      <c r="U541" s="871">
        <v>0</v>
      </c>
      <c r="V541" s="871">
        <v>0</v>
      </c>
      <c r="W541" s="871">
        <v>0</v>
      </c>
      <c r="X541" s="871">
        <v>0</v>
      </c>
      <c r="Y541" s="871">
        <v>0</v>
      </c>
      <c r="Z541" s="871">
        <v>0</v>
      </c>
      <c r="AA541" s="871">
        <v>0</v>
      </c>
      <c r="AB541" s="871">
        <v>0</v>
      </c>
      <c r="AC541" s="871">
        <v>0</v>
      </c>
      <c r="AD541" s="871">
        <v>2.5</v>
      </c>
      <c r="AE541" s="871">
        <v>0</v>
      </c>
      <c r="AF541" s="871">
        <v>0</v>
      </c>
      <c r="AG541" s="871">
        <v>0</v>
      </c>
      <c r="AH541" s="871">
        <f t="shared" si="40"/>
        <v>2.0661157024793391</v>
      </c>
      <c r="AI541" s="871">
        <v>0</v>
      </c>
      <c r="AJ541" s="871">
        <v>0</v>
      </c>
      <c r="AK541" s="871">
        <v>0</v>
      </c>
      <c r="AL541" s="871">
        <v>0</v>
      </c>
      <c r="AM541" s="871">
        <v>0</v>
      </c>
      <c r="AN541" s="871">
        <v>0</v>
      </c>
      <c r="AO541" s="871">
        <v>0</v>
      </c>
      <c r="AP541" s="871"/>
    </row>
    <row r="542" spans="1:42" s="868" customFormat="1" ht="14">
      <c r="A542" s="866">
        <v>541</v>
      </c>
      <c r="B542" s="867" t="s">
        <v>2999</v>
      </c>
      <c r="C542" s="867" t="s">
        <v>42</v>
      </c>
      <c r="D542" s="867" t="s">
        <v>2450</v>
      </c>
      <c r="E542" s="867" t="s">
        <v>2677</v>
      </c>
      <c r="F542" s="867" t="s">
        <v>650</v>
      </c>
      <c r="G542" s="868">
        <v>1</v>
      </c>
      <c r="H542" s="869">
        <v>0.2</v>
      </c>
      <c r="I542" s="869">
        <v>0.53</v>
      </c>
      <c r="J542" s="869">
        <f t="shared" si="38"/>
        <v>0.10600000000000001</v>
      </c>
      <c r="K542" s="869">
        <f t="shared" si="39"/>
        <v>1.3780000000000001E-2</v>
      </c>
      <c r="L542" s="868">
        <v>0</v>
      </c>
      <c r="M542" s="867" t="s">
        <v>47</v>
      </c>
      <c r="N542" s="866">
        <v>2050</v>
      </c>
      <c r="O542" s="867" t="s">
        <v>2674</v>
      </c>
      <c r="P542" s="870" t="s">
        <v>47</v>
      </c>
      <c r="Q542" s="867" t="s">
        <v>92</v>
      </c>
      <c r="R542" s="871">
        <v>0</v>
      </c>
      <c r="S542" s="871">
        <v>0</v>
      </c>
      <c r="T542" s="871">
        <v>0</v>
      </c>
      <c r="U542" s="871">
        <v>0</v>
      </c>
      <c r="V542" s="871">
        <v>0</v>
      </c>
      <c r="W542" s="871">
        <v>0</v>
      </c>
      <c r="X542" s="871">
        <v>0</v>
      </c>
      <c r="Y542" s="871">
        <v>0</v>
      </c>
      <c r="Z542" s="871">
        <v>0</v>
      </c>
      <c r="AA542" s="871">
        <v>0</v>
      </c>
      <c r="AB542" s="871">
        <v>0</v>
      </c>
      <c r="AC542" s="871">
        <v>0</v>
      </c>
      <c r="AD542" s="871">
        <v>2.5</v>
      </c>
      <c r="AE542" s="871">
        <v>0</v>
      </c>
      <c r="AF542" s="871">
        <v>0</v>
      </c>
      <c r="AG542" s="871">
        <v>0</v>
      </c>
      <c r="AH542" s="871">
        <f t="shared" si="40"/>
        <v>2.0661157024793391</v>
      </c>
      <c r="AI542" s="871">
        <v>0</v>
      </c>
      <c r="AJ542" s="871">
        <v>0</v>
      </c>
      <c r="AK542" s="871">
        <v>0</v>
      </c>
      <c r="AL542" s="871">
        <v>0</v>
      </c>
      <c r="AM542" s="871">
        <v>0</v>
      </c>
      <c r="AN542" s="871">
        <v>0</v>
      </c>
      <c r="AO542" s="871">
        <v>0</v>
      </c>
      <c r="AP542" s="871"/>
    </row>
    <row r="543" spans="1:42" s="868" customFormat="1" ht="14">
      <c r="A543" s="866">
        <v>542</v>
      </c>
      <c r="B543" s="867" t="s">
        <v>3000</v>
      </c>
      <c r="C543" s="867" t="s">
        <v>42</v>
      </c>
      <c r="D543" s="867" t="s">
        <v>2450</v>
      </c>
      <c r="E543" s="867" t="s">
        <v>2678</v>
      </c>
      <c r="F543" s="867" t="s">
        <v>656</v>
      </c>
      <c r="G543" s="868">
        <v>1</v>
      </c>
      <c r="H543" s="869">
        <v>0.2</v>
      </c>
      <c r="I543" s="869">
        <v>0.53</v>
      </c>
      <c r="J543" s="869">
        <f t="shared" si="38"/>
        <v>0.10600000000000001</v>
      </c>
      <c r="K543" s="869">
        <f t="shared" si="39"/>
        <v>1.3780000000000001E-2</v>
      </c>
      <c r="L543" s="868">
        <v>0</v>
      </c>
      <c r="M543" s="867" t="s">
        <v>47</v>
      </c>
      <c r="N543" s="866">
        <v>2050</v>
      </c>
      <c r="O543" s="867" t="s">
        <v>2674</v>
      </c>
      <c r="P543" s="870" t="s">
        <v>47</v>
      </c>
      <c r="Q543" s="867" t="s">
        <v>92</v>
      </c>
      <c r="R543" s="871">
        <v>0</v>
      </c>
      <c r="S543" s="871">
        <v>0</v>
      </c>
      <c r="T543" s="871">
        <v>0</v>
      </c>
      <c r="U543" s="871">
        <v>0</v>
      </c>
      <c r="V543" s="871">
        <v>0</v>
      </c>
      <c r="W543" s="871">
        <v>0</v>
      </c>
      <c r="X543" s="871">
        <v>0</v>
      </c>
      <c r="Y543" s="871">
        <v>0</v>
      </c>
      <c r="Z543" s="871">
        <v>0</v>
      </c>
      <c r="AA543" s="871">
        <v>0</v>
      </c>
      <c r="AB543" s="871">
        <v>0</v>
      </c>
      <c r="AC543" s="871">
        <v>0</v>
      </c>
      <c r="AD543" s="871">
        <v>2.5</v>
      </c>
      <c r="AE543" s="871">
        <v>0</v>
      </c>
      <c r="AF543" s="871">
        <v>0</v>
      </c>
      <c r="AG543" s="871">
        <v>0</v>
      </c>
      <c r="AH543" s="871">
        <f t="shared" si="40"/>
        <v>2.0661157024793391</v>
      </c>
      <c r="AI543" s="871">
        <v>0</v>
      </c>
      <c r="AJ543" s="871">
        <v>0</v>
      </c>
      <c r="AK543" s="871">
        <v>0</v>
      </c>
      <c r="AL543" s="871">
        <v>0</v>
      </c>
      <c r="AM543" s="871">
        <v>0</v>
      </c>
      <c r="AN543" s="871">
        <v>0</v>
      </c>
      <c r="AO543" s="871">
        <v>0</v>
      </c>
      <c r="AP543" s="871"/>
    </row>
    <row r="544" spans="1:42" s="868" customFormat="1" ht="14">
      <c r="A544" s="866">
        <v>543</v>
      </c>
      <c r="B544" s="867" t="s">
        <v>3001</v>
      </c>
      <c r="C544" s="867" t="s">
        <v>42</v>
      </c>
      <c r="D544" s="867" t="s">
        <v>2450</v>
      </c>
      <c r="E544" s="867" t="s">
        <v>2678</v>
      </c>
      <c r="F544" s="867" t="s">
        <v>650</v>
      </c>
      <c r="G544" s="868">
        <v>1</v>
      </c>
      <c r="H544" s="869">
        <v>0.2</v>
      </c>
      <c r="I544" s="869">
        <v>0.53</v>
      </c>
      <c r="J544" s="869">
        <f t="shared" ref="J544:J561" si="41">H544*I544*G544</f>
        <v>0.10600000000000001</v>
      </c>
      <c r="K544" s="869">
        <f t="shared" ref="K544:K561" si="42">J544*130/1000</f>
        <v>1.3780000000000001E-2</v>
      </c>
      <c r="L544" s="868">
        <v>0</v>
      </c>
      <c r="M544" s="867" t="s">
        <v>47</v>
      </c>
      <c r="N544" s="866">
        <v>2050</v>
      </c>
      <c r="O544" s="867" t="s">
        <v>2674</v>
      </c>
      <c r="P544" s="870" t="s">
        <v>47</v>
      </c>
      <c r="Q544" s="867" t="s">
        <v>92</v>
      </c>
      <c r="R544" s="871">
        <v>0</v>
      </c>
      <c r="S544" s="871">
        <v>0</v>
      </c>
      <c r="T544" s="871">
        <v>0</v>
      </c>
      <c r="U544" s="871">
        <v>0</v>
      </c>
      <c r="V544" s="871">
        <v>0</v>
      </c>
      <c r="W544" s="871">
        <v>0</v>
      </c>
      <c r="X544" s="871">
        <v>0</v>
      </c>
      <c r="Y544" s="871">
        <v>0</v>
      </c>
      <c r="Z544" s="871">
        <v>0</v>
      </c>
      <c r="AA544" s="871">
        <v>0</v>
      </c>
      <c r="AB544" s="871">
        <v>0</v>
      </c>
      <c r="AC544" s="871">
        <v>0</v>
      </c>
      <c r="AD544" s="871">
        <v>2.5</v>
      </c>
      <c r="AE544" s="871">
        <v>0</v>
      </c>
      <c r="AF544" s="871">
        <v>0</v>
      </c>
      <c r="AG544" s="871">
        <v>0</v>
      </c>
      <c r="AH544" s="871">
        <f t="shared" si="40"/>
        <v>2.0661157024793391</v>
      </c>
      <c r="AI544" s="871">
        <v>0</v>
      </c>
      <c r="AJ544" s="871">
        <v>0</v>
      </c>
      <c r="AK544" s="871">
        <v>0</v>
      </c>
      <c r="AL544" s="871">
        <v>0</v>
      </c>
      <c r="AM544" s="871">
        <v>0</v>
      </c>
      <c r="AN544" s="871">
        <v>0</v>
      </c>
      <c r="AO544" s="871">
        <v>0</v>
      </c>
      <c r="AP544" s="871"/>
    </row>
    <row r="545" spans="1:42" s="868" customFormat="1" ht="14">
      <c r="A545" s="866">
        <v>544</v>
      </c>
      <c r="B545" s="867" t="s">
        <v>3002</v>
      </c>
      <c r="C545" s="867" t="s">
        <v>42</v>
      </c>
      <c r="D545" s="867" t="s">
        <v>2450</v>
      </c>
      <c r="E545" s="867" t="s">
        <v>2678</v>
      </c>
      <c r="F545" s="867" t="s">
        <v>600</v>
      </c>
      <c r="G545" s="868">
        <v>1</v>
      </c>
      <c r="H545" s="869">
        <v>0.2</v>
      </c>
      <c r="I545" s="869">
        <v>0.53</v>
      </c>
      <c r="J545" s="869">
        <f t="shared" si="41"/>
        <v>0.10600000000000001</v>
      </c>
      <c r="K545" s="869">
        <f t="shared" si="42"/>
        <v>1.3780000000000001E-2</v>
      </c>
      <c r="L545" s="868">
        <v>0</v>
      </c>
      <c r="M545" s="867" t="s">
        <v>47</v>
      </c>
      <c r="N545" s="866">
        <v>2050</v>
      </c>
      <c r="O545" s="867" t="s">
        <v>2674</v>
      </c>
      <c r="P545" s="870" t="s">
        <v>47</v>
      </c>
      <c r="Q545" s="867" t="s">
        <v>92</v>
      </c>
      <c r="R545" s="871">
        <v>0</v>
      </c>
      <c r="S545" s="871">
        <v>0</v>
      </c>
      <c r="T545" s="871">
        <v>0</v>
      </c>
      <c r="U545" s="871">
        <v>0</v>
      </c>
      <c r="V545" s="871">
        <v>0</v>
      </c>
      <c r="W545" s="871">
        <v>0</v>
      </c>
      <c r="X545" s="871">
        <v>0</v>
      </c>
      <c r="Y545" s="871">
        <v>0</v>
      </c>
      <c r="Z545" s="871">
        <v>0</v>
      </c>
      <c r="AA545" s="871">
        <v>0</v>
      </c>
      <c r="AB545" s="871">
        <v>0</v>
      </c>
      <c r="AC545" s="871">
        <v>0</v>
      </c>
      <c r="AD545" s="871">
        <v>2.5</v>
      </c>
      <c r="AE545" s="871">
        <v>0</v>
      </c>
      <c r="AF545" s="871">
        <v>0</v>
      </c>
      <c r="AG545" s="871">
        <v>0</v>
      </c>
      <c r="AH545" s="871">
        <f t="shared" si="40"/>
        <v>2.0661157024793391</v>
      </c>
      <c r="AI545" s="871">
        <v>0</v>
      </c>
      <c r="AJ545" s="871">
        <v>0</v>
      </c>
      <c r="AK545" s="871">
        <v>0</v>
      </c>
      <c r="AL545" s="871">
        <v>0</v>
      </c>
      <c r="AM545" s="871">
        <v>0</v>
      </c>
      <c r="AN545" s="871">
        <v>0</v>
      </c>
      <c r="AO545" s="871">
        <v>0</v>
      </c>
      <c r="AP545" s="871"/>
    </row>
    <row r="546" spans="1:42" s="868" customFormat="1" ht="14">
      <c r="A546" s="866">
        <v>545</v>
      </c>
      <c r="B546" s="867" t="s">
        <v>3003</v>
      </c>
      <c r="C546" s="867" t="s">
        <v>42</v>
      </c>
      <c r="D546" s="867" t="s">
        <v>2450</v>
      </c>
      <c r="E546" s="867" t="s">
        <v>2678</v>
      </c>
      <c r="F546" s="867" t="s">
        <v>594</v>
      </c>
      <c r="G546" s="868">
        <v>1</v>
      </c>
      <c r="H546" s="869">
        <v>0.2</v>
      </c>
      <c r="I546" s="869">
        <v>0.53</v>
      </c>
      <c r="J546" s="869">
        <f t="shared" si="41"/>
        <v>0.10600000000000001</v>
      </c>
      <c r="K546" s="869">
        <f t="shared" si="42"/>
        <v>1.3780000000000001E-2</v>
      </c>
      <c r="L546" s="868">
        <v>0</v>
      </c>
      <c r="M546" s="867" t="s">
        <v>47</v>
      </c>
      <c r="N546" s="866">
        <v>2050</v>
      </c>
      <c r="O546" s="867" t="s">
        <v>2674</v>
      </c>
      <c r="P546" s="870" t="s">
        <v>47</v>
      </c>
      <c r="Q546" s="867" t="s">
        <v>92</v>
      </c>
      <c r="R546" s="871">
        <v>0</v>
      </c>
      <c r="S546" s="871">
        <v>0</v>
      </c>
      <c r="T546" s="871">
        <v>0</v>
      </c>
      <c r="U546" s="871">
        <v>0</v>
      </c>
      <c r="V546" s="871">
        <v>0</v>
      </c>
      <c r="W546" s="871">
        <v>0</v>
      </c>
      <c r="X546" s="871">
        <v>0</v>
      </c>
      <c r="Y546" s="871">
        <v>0</v>
      </c>
      <c r="Z546" s="871">
        <v>0</v>
      </c>
      <c r="AA546" s="871">
        <v>0</v>
      </c>
      <c r="AB546" s="871">
        <v>0</v>
      </c>
      <c r="AC546" s="871">
        <v>0</v>
      </c>
      <c r="AD546" s="871">
        <v>2.5</v>
      </c>
      <c r="AE546" s="871">
        <v>0</v>
      </c>
      <c r="AF546" s="871">
        <v>0</v>
      </c>
      <c r="AG546" s="871">
        <v>0</v>
      </c>
      <c r="AH546" s="871">
        <f t="shared" si="40"/>
        <v>2.0661157024793391</v>
      </c>
      <c r="AI546" s="871">
        <v>0</v>
      </c>
      <c r="AJ546" s="871">
        <v>0</v>
      </c>
      <c r="AK546" s="871">
        <v>0</v>
      </c>
      <c r="AL546" s="871">
        <v>0</v>
      </c>
      <c r="AM546" s="871">
        <v>0</v>
      </c>
      <c r="AN546" s="871">
        <v>0</v>
      </c>
      <c r="AO546" s="871">
        <v>0</v>
      </c>
      <c r="AP546" s="871"/>
    </row>
    <row r="547" spans="1:42" s="868" customFormat="1" ht="14">
      <c r="A547" s="866">
        <v>546</v>
      </c>
      <c r="B547" s="867" t="s">
        <v>3004</v>
      </c>
      <c r="C547" s="867" t="s">
        <v>42</v>
      </c>
      <c r="D547" s="867" t="s">
        <v>2450</v>
      </c>
      <c r="E547" s="867" t="s">
        <v>2679</v>
      </c>
      <c r="F547" s="867" t="s">
        <v>656</v>
      </c>
      <c r="G547" s="868">
        <v>1</v>
      </c>
      <c r="H547" s="869">
        <v>0.2</v>
      </c>
      <c r="I547" s="869">
        <v>0.53</v>
      </c>
      <c r="J547" s="869">
        <f t="shared" si="41"/>
        <v>0.10600000000000001</v>
      </c>
      <c r="K547" s="869">
        <f t="shared" si="42"/>
        <v>1.3780000000000001E-2</v>
      </c>
      <c r="L547" s="868">
        <v>0</v>
      </c>
      <c r="M547" s="867" t="s">
        <v>47</v>
      </c>
      <c r="N547" s="866">
        <v>2050</v>
      </c>
      <c r="O547" s="867" t="s">
        <v>2674</v>
      </c>
      <c r="P547" s="870" t="s">
        <v>47</v>
      </c>
      <c r="Q547" s="867" t="s">
        <v>92</v>
      </c>
      <c r="R547" s="871">
        <v>0</v>
      </c>
      <c r="S547" s="871">
        <v>0</v>
      </c>
      <c r="T547" s="871">
        <v>0</v>
      </c>
      <c r="U547" s="871">
        <v>0</v>
      </c>
      <c r="V547" s="871">
        <v>0</v>
      </c>
      <c r="W547" s="871">
        <v>0</v>
      </c>
      <c r="X547" s="871">
        <v>0</v>
      </c>
      <c r="Y547" s="871">
        <v>0</v>
      </c>
      <c r="Z547" s="871">
        <v>0</v>
      </c>
      <c r="AA547" s="871">
        <v>0</v>
      </c>
      <c r="AB547" s="871">
        <v>0</v>
      </c>
      <c r="AC547" s="871">
        <v>0</v>
      </c>
      <c r="AD547" s="871">
        <v>2.5</v>
      </c>
      <c r="AE547" s="871">
        <v>0</v>
      </c>
      <c r="AF547" s="871">
        <v>0</v>
      </c>
      <c r="AG547" s="871">
        <v>0</v>
      </c>
      <c r="AH547" s="871">
        <f t="shared" si="40"/>
        <v>2.0661157024793391</v>
      </c>
      <c r="AI547" s="871">
        <v>0</v>
      </c>
      <c r="AJ547" s="871">
        <v>0</v>
      </c>
      <c r="AK547" s="871">
        <v>0</v>
      </c>
      <c r="AL547" s="871">
        <v>0</v>
      </c>
      <c r="AM547" s="871">
        <v>0</v>
      </c>
      <c r="AN547" s="871">
        <v>0</v>
      </c>
      <c r="AO547" s="871">
        <v>0</v>
      </c>
      <c r="AP547" s="871"/>
    </row>
    <row r="548" spans="1:42" s="868" customFormat="1" ht="14">
      <c r="A548" s="866">
        <v>547</v>
      </c>
      <c r="B548" s="867" t="s">
        <v>3005</v>
      </c>
      <c r="C548" s="867" t="s">
        <v>42</v>
      </c>
      <c r="D548" s="867" t="s">
        <v>2450</v>
      </c>
      <c r="E548" s="867" t="s">
        <v>2679</v>
      </c>
      <c r="F548" s="867" t="s">
        <v>650</v>
      </c>
      <c r="G548" s="868">
        <v>1</v>
      </c>
      <c r="H548" s="869">
        <v>0.2</v>
      </c>
      <c r="I548" s="869">
        <v>0.53</v>
      </c>
      <c r="J548" s="869">
        <f t="shared" si="41"/>
        <v>0.10600000000000001</v>
      </c>
      <c r="K548" s="869">
        <f t="shared" si="42"/>
        <v>1.3780000000000001E-2</v>
      </c>
      <c r="L548" s="868">
        <v>0</v>
      </c>
      <c r="M548" s="867" t="s">
        <v>47</v>
      </c>
      <c r="N548" s="866">
        <v>2050</v>
      </c>
      <c r="O548" s="867" t="s">
        <v>2674</v>
      </c>
      <c r="P548" s="870" t="s">
        <v>47</v>
      </c>
      <c r="Q548" s="867" t="s">
        <v>92</v>
      </c>
      <c r="R548" s="871">
        <v>0</v>
      </c>
      <c r="S548" s="871">
        <v>0</v>
      </c>
      <c r="T548" s="871">
        <v>0</v>
      </c>
      <c r="U548" s="871">
        <v>0</v>
      </c>
      <c r="V548" s="871">
        <v>0</v>
      </c>
      <c r="W548" s="871">
        <v>0</v>
      </c>
      <c r="X548" s="871">
        <v>0</v>
      </c>
      <c r="Y548" s="871">
        <v>0</v>
      </c>
      <c r="Z548" s="871">
        <v>0</v>
      </c>
      <c r="AA548" s="871">
        <v>0</v>
      </c>
      <c r="AB548" s="871">
        <v>0</v>
      </c>
      <c r="AC548" s="871">
        <v>0</v>
      </c>
      <c r="AD548" s="871">
        <v>2.5</v>
      </c>
      <c r="AE548" s="871">
        <v>0</v>
      </c>
      <c r="AF548" s="871">
        <v>0</v>
      </c>
      <c r="AG548" s="871">
        <v>0</v>
      </c>
      <c r="AH548" s="871">
        <f t="shared" si="40"/>
        <v>2.0661157024793391</v>
      </c>
      <c r="AI548" s="871">
        <v>0</v>
      </c>
      <c r="AJ548" s="871">
        <v>0</v>
      </c>
      <c r="AK548" s="871">
        <v>0</v>
      </c>
      <c r="AL548" s="871">
        <v>0</v>
      </c>
      <c r="AM548" s="871">
        <v>0</v>
      </c>
      <c r="AN548" s="871">
        <v>0</v>
      </c>
      <c r="AO548" s="871">
        <v>0</v>
      </c>
      <c r="AP548" s="871"/>
    </row>
    <row r="549" spans="1:42" s="868" customFormat="1" ht="14">
      <c r="A549" s="866">
        <v>548</v>
      </c>
      <c r="B549" s="867" t="s">
        <v>3006</v>
      </c>
      <c r="C549" s="867" t="s">
        <v>42</v>
      </c>
      <c r="D549" s="867" t="s">
        <v>2450</v>
      </c>
      <c r="E549" s="867" t="s">
        <v>2679</v>
      </c>
      <c r="F549" s="867" t="s">
        <v>600</v>
      </c>
      <c r="G549" s="868">
        <v>1</v>
      </c>
      <c r="H549" s="869">
        <v>0.2</v>
      </c>
      <c r="I549" s="869">
        <v>0.53</v>
      </c>
      <c r="J549" s="869">
        <f t="shared" si="41"/>
        <v>0.10600000000000001</v>
      </c>
      <c r="K549" s="869">
        <f t="shared" si="42"/>
        <v>1.3780000000000001E-2</v>
      </c>
      <c r="L549" s="868">
        <v>0</v>
      </c>
      <c r="M549" s="867" t="s">
        <v>47</v>
      </c>
      <c r="N549" s="866">
        <v>2050</v>
      </c>
      <c r="O549" s="867" t="s">
        <v>2674</v>
      </c>
      <c r="P549" s="870" t="s">
        <v>47</v>
      </c>
      <c r="Q549" s="867" t="s">
        <v>92</v>
      </c>
      <c r="R549" s="871">
        <v>0</v>
      </c>
      <c r="S549" s="871">
        <v>0</v>
      </c>
      <c r="T549" s="871">
        <v>0</v>
      </c>
      <c r="U549" s="871">
        <v>0</v>
      </c>
      <c r="V549" s="871">
        <v>0</v>
      </c>
      <c r="W549" s="871">
        <v>0</v>
      </c>
      <c r="X549" s="871">
        <v>0</v>
      </c>
      <c r="Y549" s="871">
        <v>0</v>
      </c>
      <c r="Z549" s="871">
        <v>0</v>
      </c>
      <c r="AA549" s="871">
        <v>0</v>
      </c>
      <c r="AB549" s="871">
        <v>0</v>
      </c>
      <c r="AC549" s="871">
        <v>0</v>
      </c>
      <c r="AD549" s="871">
        <v>2.5</v>
      </c>
      <c r="AE549" s="871">
        <v>0</v>
      </c>
      <c r="AF549" s="871">
        <v>0</v>
      </c>
      <c r="AG549" s="871">
        <v>0</v>
      </c>
      <c r="AH549" s="871">
        <f t="shared" si="40"/>
        <v>2.0661157024793391</v>
      </c>
      <c r="AI549" s="871">
        <v>0</v>
      </c>
      <c r="AJ549" s="871">
        <v>0</v>
      </c>
      <c r="AK549" s="871">
        <v>0</v>
      </c>
      <c r="AL549" s="871">
        <v>0</v>
      </c>
      <c r="AM549" s="871">
        <v>0</v>
      </c>
      <c r="AN549" s="871">
        <v>0</v>
      </c>
      <c r="AO549" s="871">
        <v>0</v>
      </c>
      <c r="AP549" s="871"/>
    </row>
    <row r="550" spans="1:42" s="868" customFormat="1" ht="14">
      <c r="A550" s="866">
        <v>549</v>
      </c>
      <c r="B550" s="867" t="s">
        <v>3007</v>
      </c>
      <c r="C550" s="867" t="s">
        <v>42</v>
      </c>
      <c r="D550" s="867" t="s">
        <v>2450</v>
      </c>
      <c r="E550" s="867" t="s">
        <v>2679</v>
      </c>
      <c r="F550" s="867" t="s">
        <v>633</v>
      </c>
      <c r="G550" s="868">
        <v>1</v>
      </c>
      <c r="H550" s="869">
        <v>0.2</v>
      </c>
      <c r="I550" s="869">
        <v>0.53</v>
      </c>
      <c r="J550" s="869">
        <f t="shared" si="41"/>
        <v>0.10600000000000001</v>
      </c>
      <c r="K550" s="869">
        <f t="shared" si="42"/>
        <v>1.3780000000000001E-2</v>
      </c>
      <c r="L550" s="868">
        <v>0</v>
      </c>
      <c r="M550" s="867" t="s">
        <v>47</v>
      </c>
      <c r="N550" s="866">
        <v>2050</v>
      </c>
      <c r="O550" s="867" t="s">
        <v>2674</v>
      </c>
      <c r="P550" s="870" t="s">
        <v>47</v>
      </c>
      <c r="Q550" s="867" t="s">
        <v>92</v>
      </c>
      <c r="R550" s="871">
        <v>0</v>
      </c>
      <c r="S550" s="871">
        <v>0</v>
      </c>
      <c r="T550" s="871">
        <v>0</v>
      </c>
      <c r="U550" s="871">
        <v>0</v>
      </c>
      <c r="V550" s="871">
        <v>0</v>
      </c>
      <c r="W550" s="871">
        <v>0</v>
      </c>
      <c r="X550" s="871">
        <v>0</v>
      </c>
      <c r="Y550" s="871">
        <v>0</v>
      </c>
      <c r="Z550" s="871">
        <v>0</v>
      </c>
      <c r="AA550" s="871">
        <v>0</v>
      </c>
      <c r="AB550" s="871">
        <v>0</v>
      </c>
      <c r="AC550" s="871">
        <v>0</v>
      </c>
      <c r="AD550" s="871">
        <v>2.5</v>
      </c>
      <c r="AE550" s="871">
        <v>0</v>
      </c>
      <c r="AF550" s="871">
        <v>0</v>
      </c>
      <c r="AG550" s="871">
        <v>0</v>
      </c>
      <c r="AH550" s="871">
        <f t="shared" si="40"/>
        <v>2.0661157024793391</v>
      </c>
      <c r="AI550" s="871">
        <v>0</v>
      </c>
      <c r="AJ550" s="871">
        <v>0</v>
      </c>
      <c r="AK550" s="871">
        <v>0</v>
      </c>
      <c r="AL550" s="871">
        <v>0</v>
      </c>
      <c r="AM550" s="871">
        <v>0</v>
      </c>
      <c r="AN550" s="871">
        <v>0</v>
      </c>
      <c r="AO550" s="871">
        <v>0</v>
      </c>
      <c r="AP550" s="871"/>
    </row>
    <row r="551" spans="1:42" s="868" customFormat="1" ht="14">
      <c r="A551" s="866">
        <v>550</v>
      </c>
      <c r="B551" s="867" t="s">
        <v>3008</v>
      </c>
      <c r="C551" s="867" t="s">
        <v>42</v>
      </c>
      <c r="D551" s="867" t="s">
        <v>2450</v>
      </c>
      <c r="E551" s="867" t="s">
        <v>2680</v>
      </c>
      <c r="F551" s="867" t="s">
        <v>664</v>
      </c>
      <c r="G551" s="868">
        <v>1</v>
      </c>
      <c r="H551" s="869">
        <v>0.2</v>
      </c>
      <c r="I551" s="869">
        <v>0.53</v>
      </c>
      <c r="J551" s="869">
        <f t="shared" si="41"/>
        <v>0.10600000000000001</v>
      </c>
      <c r="K551" s="869">
        <f t="shared" si="42"/>
        <v>1.3780000000000001E-2</v>
      </c>
      <c r="L551" s="868">
        <v>0</v>
      </c>
      <c r="M551" s="867" t="s">
        <v>47</v>
      </c>
      <c r="N551" s="866">
        <v>2050</v>
      </c>
      <c r="O551" s="867" t="s">
        <v>2674</v>
      </c>
      <c r="P551" s="870" t="s">
        <v>47</v>
      </c>
      <c r="Q551" s="867" t="s">
        <v>92</v>
      </c>
      <c r="R551" s="871">
        <v>0</v>
      </c>
      <c r="S551" s="871">
        <v>0</v>
      </c>
      <c r="T551" s="871">
        <v>0</v>
      </c>
      <c r="U551" s="871">
        <v>0</v>
      </c>
      <c r="V551" s="871">
        <v>0</v>
      </c>
      <c r="W551" s="871">
        <v>0</v>
      </c>
      <c r="X551" s="871">
        <v>0</v>
      </c>
      <c r="Y551" s="871">
        <v>0</v>
      </c>
      <c r="Z551" s="871">
        <v>0</v>
      </c>
      <c r="AA551" s="871">
        <v>0</v>
      </c>
      <c r="AB551" s="871">
        <v>0</v>
      </c>
      <c r="AC551" s="871">
        <v>0</v>
      </c>
      <c r="AD551" s="871">
        <v>2.5</v>
      </c>
      <c r="AE551" s="871">
        <v>0</v>
      </c>
      <c r="AF551" s="871">
        <v>0</v>
      </c>
      <c r="AG551" s="871">
        <v>0</v>
      </c>
      <c r="AH551" s="871">
        <f t="shared" si="40"/>
        <v>2.0661157024793391</v>
      </c>
      <c r="AI551" s="871">
        <v>0</v>
      </c>
      <c r="AJ551" s="871">
        <v>0</v>
      </c>
      <c r="AK551" s="871">
        <v>0</v>
      </c>
      <c r="AL551" s="871">
        <v>0</v>
      </c>
      <c r="AM551" s="871">
        <v>0</v>
      </c>
      <c r="AN551" s="871">
        <v>0</v>
      </c>
      <c r="AO551" s="871">
        <v>0</v>
      </c>
      <c r="AP551" s="871"/>
    </row>
    <row r="552" spans="1:42" s="868" customFormat="1" ht="14">
      <c r="A552" s="866">
        <v>551</v>
      </c>
      <c r="B552" s="867" t="s">
        <v>3009</v>
      </c>
      <c r="C552" s="867" t="s">
        <v>42</v>
      </c>
      <c r="D552" s="867" t="s">
        <v>2450</v>
      </c>
      <c r="E552" s="867" t="s">
        <v>2680</v>
      </c>
      <c r="F552" s="867" t="s">
        <v>594</v>
      </c>
      <c r="G552" s="868">
        <v>1</v>
      </c>
      <c r="H552" s="869">
        <v>0.2</v>
      </c>
      <c r="I552" s="869">
        <v>0.53</v>
      </c>
      <c r="J552" s="869">
        <f t="shared" si="41"/>
        <v>0.10600000000000001</v>
      </c>
      <c r="K552" s="869">
        <f t="shared" si="42"/>
        <v>1.3780000000000001E-2</v>
      </c>
      <c r="L552" s="868">
        <v>0</v>
      </c>
      <c r="M552" s="867" t="s">
        <v>47</v>
      </c>
      <c r="N552" s="866">
        <v>2050</v>
      </c>
      <c r="O552" s="867" t="s">
        <v>2674</v>
      </c>
      <c r="P552" s="870" t="s">
        <v>47</v>
      </c>
      <c r="Q552" s="867" t="s">
        <v>92</v>
      </c>
      <c r="R552" s="871">
        <v>0</v>
      </c>
      <c r="S552" s="871">
        <v>0</v>
      </c>
      <c r="T552" s="871">
        <v>0</v>
      </c>
      <c r="U552" s="871">
        <v>0</v>
      </c>
      <c r="V552" s="871">
        <v>0</v>
      </c>
      <c r="W552" s="871">
        <v>0</v>
      </c>
      <c r="X552" s="871">
        <v>0</v>
      </c>
      <c r="Y552" s="871">
        <v>0</v>
      </c>
      <c r="Z552" s="871">
        <v>0</v>
      </c>
      <c r="AA552" s="871">
        <v>0</v>
      </c>
      <c r="AB552" s="871">
        <v>0</v>
      </c>
      <c r="AC552" s="871">
        <v>0</v>
      </c>
      <c r="AD552" s="871">
        <v>2.5</v>
      </c>
      <c r="AE552" s="871">
        <v>0</v>
      </c>
      <c r="AF552" s="871">
        <v>0</v>
      </c>
      <c r="AG552" s="871">
        <v>0</v>
      </c>
      <c r="AH552" s="871">
        <f t="shared" si="40"/>
        <v>2.0661157024793391</v>
      </c>
      <c r="AI552" s="871">
        <v>0</v>
      </c>
      <c r="AJ552" s="871">
        <v>0</v>
      </c>
      <c r="AK552" s="871">
        <v>0</v>
      </c>
      <c r="AL552" s="871">
        <v>0</v>
      </c>
      <c r="AM552" s="871">
        <v>0</v>
      </c>
      <c r="AN552" s="871">
        <v>0</v>
      </c>
      <c r="AO552" s="871">
        <v>0</v>
      </c>
      <c r="AP552" s="871"/>
    </row>
    <row r="553" spans="1:42" s="868" customFormat="1" ht="14">
      <c r="A553" s="866">
        <v>552</v>
      </c>
      <c r="B553" s="867" t="s">
        <v>3010</v>
      </c>
      <c r="C553" s="867" t="s">
        <v>42</v>
      </c>
      <c r="D553" s="867" t="s">
        <v>2450</v>
      </c>
      <c r="E553" s="867" t="s">
        <v>2681</v>
      </c>
      <c r="F553" s="867" t="s">
        <v>650</v>
      </c>
      <c r="G553" s="868">
        <v>1</v>
      </c>
      <c r="H553" s="869">
        <v>0.2</v>
      </c>
      <c r="I553" s="869">
        <v>0.53</v>
      </c>
      <c r="J553" s="869">
        <f t="shared" si="41"/>
        <v>0.10600000000000001</v>
      </c>
      <c r="K553" s="869">
        <f t="shared" si="42"/>
        <v>1.3780000000000001E-2</v>
      </c>
      <c r="L553" s="868">
        <v>0</v>
      </c>
      <c r="M553" s="867" t="s">
        <v>47</v>
      </c>
      <c r="N553" s="866">
        <v>2050</v>
      </c>
      <c r="O553" s="867" t="s">
        <v>2674</v>
      </c>
      <c r="P553" s="870" t="s">
        <v>47</v>
      </c>
      <c r="Q553" s="867" t="s">
        <v>92</v>
      </c>
      <c r="R553" s="871">
        <v>0</v>
      </c>
      <c r="S553" s="871">
        <v>0</v>
      </c>
      <c r="T553" s="871">
        <v>0</v>
      </c>
      <c r="U553" s="871">
        <v>0</v>
      </c>
      <c r="V553" s="871">
        <v>0</v>
      </c>
      <c r="W553" s="871">
        <v>0</v>
      </c>
      <c r="X553" s="871">
        <v>0</v>
      </c>
      <c r="Y553" s="871">
        <v>0</v>
      </c>
      <c r="Z553" s="871">
        <v>0</v>
      </c>
      <c r="AA553" s="871">
        <v>0</v>
      </c>
      <c r="AB553" s="871">
        <v>0</v>
      </c>
      <c r="AC553" s="871">
        <v>0</v>
      </c>
      <c r="AD553" s="871">
        <v>2.5</v>
      </c>
      <c r="AE553" s="871">
        <v>0</v>
      </c>
      <c r="AF553" s="871">
        <v>0</v>
      </c>
      <c r="AG553" s="871">
        <v>0</v>
      </c>
      <c r="AH553" s="871">
        <f t="shared" si="40"/>
        <v>2.0661157024793391</v>
      </c>
      <c r="AI553" s="871">
        <v>0</v>
      </c>
      <c r="AJ553" s="871">
        <v>0</v>
      </c>
      <c r="AK553" s="871">
        <v>0</v>
      </c>
      <c r="AL553" s="871">
        <v>0</v>
      </c>
      <c r="AM553" s="871">
        <v>0</v>
      </c>
      <c r="AN553" s="871">
        <v>0</v>
      </c>
      <c r="AO553" s="871">
        <v>0</v>
      </c>
      <c r="AP553" s="871"/>
    </row>
    <row r="554" spans="1:42" s="868" customFormat="1" ht="14">
      <c r="A554" s="866">
        <v>553</v>
      </c>
      <c r="B554" s="867" t="s">
        <v>3011</v>
      </c>
      <c r="C554" s="867" t="s">
        <v>42</v>
      </c>
      <c r="D554" s="867" t="s">
        <v>2450</v>
      </c>
      <c r="E554" s="867" t="s">
        <v>2681</v>
      </c>
      <c r="F554" s="867" t="s">
        <v>600</v>
      </c>
      <c r="G554" s="868">
        <v>1</v>
      </c>
      <c r="H554" s="869">
        <v>0.2</v>
      </c>
      <c r="I554" s="869">
        <v>0.53</v>
      </c>
      <c r="J554" s="869">
        <f t="shared" si="41"/>
        <v>0.10600000000000001</v>
      </c>
      <c r="K554" s="869">
        <f t="shared" si="42"/>
        <v>1.3780000000000001E-2</v>
      </c>
      <c r="L554" s="868">
        <v>0</v>
      </c>
      <c r="M554" s="867" t="s">
        <v>47</v>
      </c>
      <c r="N554" s="866">
        <v>2050</v>
      </c>
      <c r="O554" s="867" t="s">
        <v>2674</v>
      </c>
      <c r="P554" s="870" t="s">
        <v>47</v>
      </c>
      <c r="Q554" s="867" t="s">
        <v>92</v>
      </c>
      <c r="R554" s="871">
        <v>0</v>
      </c>
      <c r="S554" s="871">
        <v>0</v>
      </c>
      <c r="T554" s="871">
        <v>0</v>
      </c>
      <c r="U554" s="871">
        <v>0</v>
      </c>
      <c r="V554" s="871">
        <v>0</v>
      </c>
      <c r="W554" s="871">
        <v>0</v>
      </c>
      <c r="X554" s="871">
        <v>0</v>
      </c>
      <c r="Y554" s="871">
        <v>0</v>
      </c>
      <c r="Z554" s="871">
        <v>0</v>
      </c>
      <c r="AA554" s="871">
        <v>0</v>
      </c>
      <c r="AB554" s="871">
        <v>0</v>
      </c>
      <c r="AC554" s="871">
        <v>0</v>
      </c>
      <c r="AD554" s="871">
        <v>2.5</v>
      </c>
      <c r="AE554" s="871">
        <v>0</v>
      </c>
      <c r="AF554" s="871">
        <v>0</v>
      </c>
      <c r="AG554" s="871">
        <v>0</v>
      </c>
      <c r="AH554" s="871">
        <f t="shared" si="40"/>
        <v>2.0661157024793391</v>
      </c>
      <c r="AI554" s="871">
        <v>0</v>
      </c>
      <c r="AJ554" s="871">
        <v>0</v>
      </c>
      <c r="AK554" s="871">
        <v>0</v>
      </c>
      <c r="AL554" s="871">
        <v>0</v>
      </c>
      <c r="AM554" s="871">
        <v>0</v>
      </c>
      <c r="AN554" s="871">
        <v>0</v>
      </c>
      <c r="AO554" s="871">
        <v>0</v>
      </c>
      <c r="AP554" s="871"/>
    </row>
    <row r="555" spans="1:42" s="868" customFormat="1" ht="14">
      <c r="A555" s="866">
        <v>554</v>
      </c>
      <c r="B555" s="867" t="s">
        <v>3012</v>
      </c>
      <c r="C555" s="867" t="s">
        <v>42</v>
      </c>
      <c r="D555" s="867" t="s">
        <v>2450</v>
      </c>
      <c r="E555" s="867" t="s">
        <v>2681</v>
      </c>
      <c r="F555" s="867" t="s">
        <v>594</v>
      </c>
      <c r="G555" s="868">
        <v>1</v>
      </c>
      <c r="H555" s="869">
        <v>0.2</v>
      </c>
      <c r="I555" s="869">
        <v>0.53</v>
      </c>
      <c r="J555" s="869">
        <f t="shared" si="41"/>
        <v>0.10600000000000001</v>
      </c>
      <c r="K555" s="869">
        <f t="shared" si="42"/>
        <v>1.3780000000000001E-2</v>
      </c>
      <c r="L555" s="868">
        <v>0</v>
      </c>
      <c r="M555" s="867" t="s">
        <v>47</v>
      </c>
      <c r="N555" s="866">
        <v>2050</v>
      </c>
      <c r="O555" s="867" t="s">
        <v>2674</v>
      </c>
      <c r="P555" s="870" t="s">
        <v>47</v>
      </c>
      <c r="Q555" s="867" t="s">
        <v>92</v>
      </c>
      <c r="R555" s="871">
        <v>0</v>
      </c>
      <c r="S555" s="871">
        <v>0</v>
      </c>
      <c r="T555" s="871">
        <v>0</v>
      </c>
      <c r="U555" s="871">
        <v>0</v>
      </c>
      <c r="V555" s="871">
        <v>0</v>
      </c>
      <c r="W555" s="871">
        <v>0</v>
      </c>
      <c r="X555" s="871">
        <v>0</v>
      </c>
      <c r="Y555" s="871">
        <v>0</v>
      </c>
      <c r="Z555" s="871">
        <v>0</v>
      </c>
      <c r="AA555" s="871">
        <v>0</v>
      </c>
      <c r="AB555" s="871">
        <v>0</v>
      </c>
      <c r="AC555" s="871">
        <v>0</v>
      </c>
      <c r="AD555" s="871">
        <v>2.5</v>
      </c>
      <c r="AE555" s="871">
        <v>0</v>
      </c>
      <c r="AF555" s="871">
        <v>0</v>
      </c>
      <c r="AG555" s="871">
        <v>0</v>
      </c>
      <c r="AH555" s="871">
        <f t="shared" si="40"/>
        <v>2.0661157024793391</v>
      </c>
      <c r="AI555" s="871">
        <v>0</v>
      </c>
      <c r="AJ555" s="871">
        <v>0</v>
      </c>
      <c r="AK555" s="871">
        <v>0</v>
      </c>
      <c r="AL555" s="871">
        <v>0</v>
      </c>
      <c r="AM555" s="871">
        <v>0</v>
      </c>
      <c r="AN555" s="871">
        <v>0</v>
      </c>
      <c r="AO555" s="871">
        <v>0</v>
      </c>
      <c r="AP555" s="871"/>
    </row>
    <row r="556" spans="1:42" s="868" customFormat="1" ht="14">
      <c r="A556" s="866">
        <v>555</v>
      </c>
      <c r="B556" s="867" t="s">
        <v>3013</v>
      </c>
      <c r="C556" s="867" t="s">
        <v>42</v>
      </c>
      <c r="D556" s="867" t="s">
        <v>2450</v>
      </c>
      <c r="E556" s="867" t="s">
        <v>2681</v>
      </c>
      <c r="F556" s="867" t="s">
        <v>659</v>
      </c>
      <c r="G556" s="868">
        <v>1</v>
      </c>
      <c r="H556" s="869">
        <v>0.2</v>
      </c>
      <c r="I556" s="869">
        <v>0.53</v>
      </c>
      <c r="J556" s="869">
        <f t="shared" si="41"/>
        <v>0.10600000000000001</v>
      </c>
      <c r="K556" s="869">
        <f t="shared" si="42"/>
        <v>1.3780000000000001E-2</v>
      </c>
      <c r="L556" s="868">
        <v>0</v>
      </c>
      <c r="M556" s="867" t="s">
        <v>47</v>
      </c>
      <c r="N556" s="866">
        <v>2050</v>
      </c>
      <c r="O556" s="867" t="s">
        <v>2674</v>
      </c>
      <c r="P556" s="870" t="s">
        <v>47</v>
      </c>
      <c r="Q556" s="867" t="s">
        <v>92</v>
      </c>
      <c r="R556" s="871">
        <v>0</v>
      </c>
      <c r="S556" s="871">
        <v>0</v>
      </c>
      <c r="T556" s="871">
        <v>0</v>
      </c>
      <c r="U556" s="871">
        <v>0</v>
      </c>
      <c r="V556" s="871">
        <v>0</v>
      </c>
      <c r="W556" s="871">
        <v>0</v>
      </c>
      <c r="X556" s="871">
        <v>0</v>
      </c>
      <c r="Y556" s="871">
        <v>0</v>
      </c>
      <c r="Z556" s="871">
        <v>0</v>
      </c>
      <c r="AA556" s="871">
        <v>0</v>
      </c>
      <c r="AB556" s="871">
        <v>0</v>
      </c>
      <c r="AC556" s="871">
        <v>0</v>
      </c>
      <c r="AD556" s="871">
        <v>2.5</v>
      </c>
      <c r="AE556" s="871">
        <v>0</v>
      </c>
      <c r="AF556" s="871">
        <v>0</v>
      </c>
      <c r="AG556" s="871">
        <v>0</v>
      </c>
      <c r="AH556" s="871">
        <f t="shared" si="40"/>
        <v>2.0661157024793391</v>
      </c>
      <c r="AI556" s="871">
        <v>0</v>
      </c>
      <c r="AJ556" s="871">
        <v>0</v>
      </c>
      <c r="AK556" s="871">
        <v>0</v>
      </c>
      <c r="AL556" s="871">
        <v>0</v>
      </c>
      <c r="AM556" s="871">
        <v>0</v>
      </c>
      <c r="AN556" s="871">
        <v>0</v>
      </c>
      <c r="AO556" s="871">
        <v>0</v>
      </c>
      <c r="AP556" s="871"/>
    </row>
    <row r="557" spans="1:42" s="868" customFormat="1" ht="14">
      <c r="A557" s="866">
        <v>556</v>
      </c>
      <c r="B557" s="867" t="s">
        <v>3014</v>
      </c>
      <c r="C557" s="867" t="s">
        <v>42</v>
      </c>
      <c r="D557" s="867" t="s">
        <v>2450</v>
      </c>
      <c r="E557" s="867" t="s">
        <v>2681</v>
      </c>
      <c r="F557" s="867" t="s">
        <v>633</v>
      </c>
      <c r="G557" s="868">
        <v>1</v>
      </c>
      <c r="H557" s="869">
        <v>0.2</v>
      </c>
      <c r="I557" s="869">
        <v>0.53</v>
      </c>
      <c r="J557" s="869">
        <f t="shared" si="41"/>
        <v>0.10600000000000001</v>
      </c>
      <c r="K557" s="869">
        <f t="shared" si="42"/>
        <v>1.3780000000000001E-2</v>
      </c>
      <c r="L557" s="868">
        <v>0</v>
      </c>
      <c r="M557" s="867" t="s">
        <v>47</v>
      </c>
      <c r="N557" s="866">
        <v>2050</v>
      </c>
      <c r="O557" s="867" t="s">
        <v>2674</v>
      </c>
      <c r="P557" s="870" t="s">
        <v>47</v>
      </c>
      <c r="Q557" s="867" t="s">
        <v>92</v>
      </c>
      <c r="R557" s="871">
        <v>0</v>
      </c>
      <c r="S557" s="871">
        <v>0</v>
      </c>
      <c r="T557" s="871">
        <v>0</v>
      </c>
      <c r="U557" s="871">
        <v>0</v>
      </c>
      <c r="V557" s="871">
        <v>0</v>
      </c>
      <c r="W557" s="871">
        <v>0</v>
      </c>
      <c r="X557" s="871">
        <v>0</v>
      </c>
      <c r="Y557" s="871">
        <v>0</v>
      </c>
      <c r="Z557" s="871">
        <v>0</v>
      </c>
      <c r="AA557" s="871">
        <v>0</v>
      </c>
      <c r="AB557" s="871">
        <v>0</v>
      </c>
      <c r="AC557" s="871">
        <v>0</v>
      </c>
      <c r="AD557" s="871">
        <v>2.5</v>
      </c>
      <c r="AE557" s="871">
        <v>0</v>
      </c>
      <c r="AF557" s="871">
        <v>0</v>
      </c>
      <c r="AG557" s="871">
        <v>0</v>
      </c>
      <c r="AH557" s="871">
        <f t="shared" ref="AH557:AH560" si="43">2.5/1.21</f>
        <v>2.0661157024793391</v>
      </c>
      <c r="AI557" s="871">
        <v>0</v>
      </c>
      <c r="AJ557" s="871">
        <v>0</v>
      </c>
      <c r="AK557" s="871">
        <v>0</v>
      </c>
      <c r="AL557" s="871">
        <v>0</v>
      </c>
      <c r="AM557" s="871">
        <v>0</v>
      </c>
      <c r="AN557" s="871">
        <v>0</v>
      </c>
      <c r="AO557" s="871">
        <v>0</v>
      </c>
      <c r="AP557" s="871"/>
    </row>
    <row r="558" spans="1:42" s="868" customFormat="1" ht="14">
      <c r="A558" s="866">
        <v>557</v>
      </c>
      <c r="B558" s="867" t="s">
        <v>3015</v>
      </c>
      <c r="C558" s="867" t="s">
        <v>42</v>
      </c>
      <c r="D558" s="867" t="s">
        <v>2450</v>
      </c>
      <c r="E558" s="867" t="s">
        <v>2681</v>
      </c>
      <c r="F558" s="867" t="s">
        <v>2666</v>
      </c>
      <c r="G558" s="868">
        <v>1</v>
      </c>
      <c r="H558" s="869">
        <v>0.2</v>
      </c>
      <c r="I558" s="869">
        <v>0.53</v>
      </c>
      <c r="J558" s="869">
        <f t="shared" si="41"/>
        <v>0.10600000000000001</v>
      </c>
      <c r="K558" s="869">
        <f t="shared" si="42"/>
        <v>1.3780000000000001E-2</v>
      </c>
      <c r="L558" s="868">
        <v>0</v>
      </c>
      <c r="M558" s="867" t="s">
        <v>47</v>
      </c>
      <c r="N558" s="866">
        <v>2050</v>
      </c>
      <c r="O558" s="867" t="s">
        <v>2674</v>
      </c>
      <c r="P558" s="870" t="s">
        <v>47</v>
      </c>
      <c r="Q558" s="867" t="s">
        <v>92</v>
      </c>
      <c r="R558" s="871">
        <v>0</v>
      </c>
      <c r="S558" s="871">
        <v>0</v>
      </c>
      <c r="T558" s="871">
        <v>0</v>
      </c>
      <c r="U558" s="871">
        <v>0</v>
      </c>
      <c r="V558" s="871">
        <v>0</v>
      </c>
      <c r="W558" s="871">
        <v>0</v>
      </c>
      <c r="X558" s="871">
        <v>0</v>
      </c>
      <c r="Y558" s="871">
        <v>0</v>
      </c>
      <c r="Z558" s="871">
        <v>0</v>
      </c>
      <c r="AA558" s="871">
        <v>0</v>
      </c>
      <c r="AB558" s="871">
        <v>0</v>
      </c>
      <c r="AC558" s="871">
        <v>0</v>
      </c>
      <c r="AD558" s="871">
        <v>2.5</v>
      </c>
      <c r="AE558" s="871">
        <v>0</v>
      </c>
      <c r="AF558" s="871">
        <v>0</v>
      </c>
      <c r="AG558" s="871">
        <v>0</v>
      </c>
      <c r="AH558" s="871">
        <f t="shared" si="43"/>
        <v>2.0661157024793391</v>
      </c>
      <c r="AI558" s="871">
        <v>0</v>
      </c>
      <c r="AJ558" s="871">
        <v>0</v>
      </c>
      <c r="AK558" s="871">
        <v>0</v>
      </c>
      <c r="AL558" s="871">
        <v>0</v>
      </c>
      <c r="AM558" s="871">
        <v>0</v>
      </c>
      <c r="AN558" s="871">
        <v>0</v>
      </c>
      <c r="AO558" s="871">
        <v>0</v>
      </c>
      <c r="AP558" s="871"/>
    </row>
    <row r="559" spans="1:42" s="868" customFormat="1" ht="14">
      <c r="A559" s="866">
        <v>558</v>
      </c>
      <c r="B559" s="867" t="s">
        <v>3016</v>
      </c>
      <c r="C559" s="867" t="s">
        <v>42</v>
      </c>
      <c r="D559" s="867" t="s">
        <v>2450</v>
      </c>
      <c r="E559" s="867" t="s">
        <v>2681</v>
      </c>
      <c r="F559" s="867" t="s">
        <v>627</v>
      </c>
      <c r="G559" s="868">
        <v>1</v>
      </c>
      <c r="H559" s="869">
        <v>0.2</v>
      </c>
      <c r="I559" s="869">
        <v>0.53</v>
      </c>
      <c r="J559" s="869">
        <f t="shared" si="41"/>
        <v>0.10600000000000001</v>
      </c>
      <c r="K559" s="869">
        <f t="shared" si="42"/>
        <v>1.3780000000000001E-2</v>
      </c>
      <c r="L559" s="868">
        <v>0</v>
      </c>
      <c r="M559" s="867" t="s">
        <v>47</v>
      </c>
      <c r="N559" s="866">
        <v>2050</v>
      </c>
      <c r="O559" s="867" t="s">
        <v>2674</v>
      </c>
      <c r="P559" s="870" t="s">
        <v>47</v>
      </c>
      <c r="Q559" s="867" t="s">
        <v>92</v>
      </c>
      <c r="R559" s="871">
        <v>0</v>
      </c>
      <c r="S559" s="871">
        <v>0</v>
      </c>
      <c r="T559" s="871">
        <v>0</v>
      </c>
      <c r="U559" s="871">
        <v>0</v>
      </c>
      <c r="V559" s="871">
        <v>0</v>
      </c>
      <c r="W559" s="871">
        <v>0</v>
      </c>
      <c r="X559" s="871">
        <v>0</v>
      </c>
      <c r="Y559" s="871">
        <v>0</v>
      </c>
      <c r="Z559" s="871">
        <v>0</v>
      </c>
      <c r="AA559" s="871">
        <v>0</v>
      </c>
      <c r="AB559" s="871">
        <v>0</v>
      </c>
      <c r="AC559" s="871">
        <v>0</v>
      </c>
      <c r="AD559" s="871">
        <v>2.5</v>
      </c>
      <c r="AE559" s="871">
        <v>0</v>
      </c>
      <c r="AF559" s="871">
        <v>0</v>
      </c>
      <c r="AG559" s="871">
        <v>0</v>
      </c>
      <c r="AH559" s="871">
        <f t="shared" si="43"/>
        <v>2.0661157024793391</v>
      </c>
      <c r="AI559" s="871">
        <v>0</v>
      </c>
      <c r="AJ559" s="871">
        <v>0</v>
      </c>
      <c r="AK559" s="871">
        <v>0</v>
      </c>
      <c r="AL559" s="871">
        <v>0</v>
      </c>
      <c r="AM559" s="871">
        <v>0</v>
      </c>
      <c r="AN559" s="871">
        <v>0</v>
      </c>
      <c r="AO559" s="871">
        <v>0</v>
      </c>
      <c r="AP559" s="871"/>
    </row>
    <row r="560" spans="1:42" s="868" customFormat="1" ht="14">
      <c r="A560" s="866">
        <v>559</v>
      </c>
      <c r="B560" s="867" t="s">
        <v>3017</v>
      </c>
      <c r="C560" s="867" t="s">
        <v>42</v>
      </c>
      <c r="D560" s="867" t="s">
        <v>2450</v>
      </c>
      <c r="E560" s="867" t="s">
        <v>2681</v>
      </c>
      <c r="F560" s="867" t="s">
        <v>613</v>
      </c>
      <c r="G560" s="868">
        <v>1</v>
      </c>
      <c r="H560" s="869">
        <v>0.2</v>
      </c>
      <c r="I560" s="869">
        <v>0.53</v>
      </c>
      <c r="J560" s="869">
        <f t="shared" si="41"/>
        <v>0.10600000000000001</v>
      </c>
      <c r="K560" s="869">
        <f t="shared" si="42"/>
        <v>1.3780000000000001E-2</v>
      </c>
      <c r="L560" s="868">
        <v>0</v>
      </c>
      <c r="M560" s="867" t="s">
        <v>47</v>
      </c>
      <c r="N560" s="866">
        <v>2050</v>
      </c>
      <c r="O560" s="867" t="s">
        <v>2674</v>
      </c>
      <c r="P560" s="870" t="s">
        <v>47</v>
      </c>
      <c r="Q560" s="867" t="s">
        <v>92</v>
      </c>
      <c r="R560" s="871">
        <v>0</v>
      </c>
      <c r="S560" s="871">
        <v>0</v>
      </c>
      <c r="T560" s="871">
        <v>0</v>
      </c>
      <c r="U560" s="871">
        <v>0</v>
      </c>
      <c r="V560" s="871">
        <v>0</v>
      </c>
      <c r="W560" s="871">
        <v>0</v>
      </c>
      <c r="X560" s="871">
        <v>0</v>
      </c>
      <c r="Y560" s="871">
        <v>0</v>
      </c>
      <c r="Z560" s="871">
        <v>0</v>
      </c>
      <c r="AA560" s="871">
        <v>0</v>
      </c>
      <c r="AB560" s="871">
        <v>0</v>
      </c>
      <c r="AC560" s="871">
        <v>0</v>
      </c>
      <c r="AD560" s="871">
        <v>2.5</v>
      </c>
      <c r="AE560" s="871">
        <v>0</v>
      </c>
      <c r="AF560" s="871">
        <v>0</v>
      </c>
      <c r="AG560" s="871">
        <v>0</v>
      </c>
      <c r="AH560" s="871">
        <f t="shared" si="43"/>
        <v>2.0661157024793391</v>
      </c>
      <c r="AI560" s="871">
        <v>0</v>
      </c>
      <c r="AJ560" s="871">
        <v>0</v>
      </c>
      <c r="AK560" s="871">
        <v>0</v>
      </c>
      <c r="AL560" s="871">
        <v>0</v>
      </c>
      <c r="AM560" s="871">
        <v>0</v>
      </c>
      <c r="AN560" s="871">
        <v>0</v>
      </c>
      <c r="AO560" s="871">
        <v>0</v>
      </c>
      <c r="AP560" s="871"/>
    </row>
    <row r="561" spans="1:42" ht="14">
      <c r="A561" s="856">
        <v>560</v>
      </c>
      <c r="B561" s="425" t="s">
        <v>2682</v>
      </c>
      <c r="C561" s="425" t="s">
        <v>43</v>
      </c>
      <c r="D561" s="425" t="s">
        <v>2377</v>
      </c>
      <c r="E561" s="425" t="s">
        <v>2683</v>
      </c>
      <c r="F561" s="425" t="s">
        <v>2684</v>
      </c>
      <c r="G561">
        <v>1</v>
      </c>
      <c r="H561" s="852">
        <v>0.53</v>
      </c>
      <c r="I561" s="852">
        <v>10.050000000000001</v>
      </c>
      <c r="J561" s="852">
        <f t="shared" si="41"/>
        <v>5.3265000000000002</v>
      </c>
      <c r="K561" s="852">
        <f t="shared" si="42"/>
        <v>0.69244500000000009</v>
      </c>
      <c r="L561">
        <v>64</v>
      </c>
      <c r="M561" s="425" t="s">
        <v>2380</v>
      </c>
      <c r="N561" s="370">
        <v>2022</v>
      </c>
      <c r="O561" s="425" t="s">
        <v>2685</v>
      </c>
      <c r="P561" s="854">
        <v>5415058048921</v>
      </c>
      <c r="Q561" s="425" t="s">
        <v>2385</v>
      </c>
      <c r="R561" s="851">
        <v>21.9</v>
      </c>
      <c r="S561" s="851">
        <v>0</v>
      </c>
      <c r="T561" s="851">
        <v>27.3</v>
      </c>
      <c r="U561" s="851">
        <v>0</v>
      </c>
      <c r="V561" s="851">
        <v>24</v>
      </c>
      <c r="W561" s="851">
        <v>0</v>
      </c>
      <c r="X561" s="851">
        <v>30.1</v>
      </c>
      <c r="Y561" s="851">
        <v>0</v>
      </c>
      <c r="Z561" s="851">
        <v>54.7</v>
      </c>
      <c r="AA561" s="851">
        <v>0</v>
      </c>
      <c r="AB561" s="851">
        <v>62.5</v>
      </c>
      <c r="AC561" s="851">
        <v>0</v>
      </c>
      <c r="AD561" s="851">
        <v>98.4</v>
      </c>
      <c r="AE561" s="851">
        <v>0</v>
      </c>
      <c r="AF561" s="851">
        <v>44.7</v>
      </c>
      <c r="AG561" s="851">
        <v>0</v>
      </c>
      <c r="AH561" s="851">
        <v>81.3</v>
      </c>
      <c r="AI561" s="851">
        <v>0</v>
      </c>
      <c r="AJ561" s="851">
        <v>19.7</v>
      </c>
      <c r="AK561" s="851">
        <v>0</v>
      </c>
      <c r="AL561" s="851"/>
      <c r="AM561" s="851"/>
      <c r="AN561" s="851"/>
      <c r="AO561" s="851"/>
      <c r="AP561" s="851"/>
    </row>
    <row r="562" spans="1:42" ht="14">
      <c r="A562" s="856">
        <v>561</v>
      </c>
      <c r="B562" s="425" t="s">
        <v>2692</v>
      </c>
      <c r="C562" s="425" t="s">
        <v>43</v>
      </c>
      <c r="D562" s="425" t="s">
        <v>2377</v>
      </c>
      <c r="E562" s="425" t="s">
        <v>2683</v>
      </c>
      <c r="F562" s="425" t="s">
        <v>2686</v>
      </c>
      <c r="G562">
        <v>1</v>
      </c>
      <c r="H562" s="852">
        <v>0.53</v>
      </c>
      <c r="I562" s="852">
        <v>10.050000000000001</v>
      </c>
      <c r="J562" s="852">
        <f t="shared" ref="J562:J587" si="44">H562*I562*G562</f>
        <v>5.3265000000000002</v>
      </c>
      <c r="K562" s="852">
        <f t="shared" ref="K562:K587" si="45">J562*130/1000</f>
        <v>0.69244500000000009</v>
      </c>
      <c r="L562">
        <v>64</v>
      </c>
      <c r="M562" s="425" t="s">
        <v>2380</v>
      </c>
      <c r="N562" s="370">
        <v>2022</v>
      </c>
      <c r="O562" s="425" t="s">
        <v>2685</v>
      </c>
      <c r="P562" s="854">
        <v>5415058048938</v>
      </c>
      <c r="Q562" s="425" t="s">
        <v>2385</v>
      </c>
      <c r="R562" s="851">
        <v>21.9</v>
      </c>
      <c r="S562" s="851">
        <v>0</v>
      </c>
      <c r="T562" s="851">
        <v>27.3</v>
      </c>
      <c r="U562" s="851">
        <v>0</v>
      </c>
      <c r="V562" s="851">
        <v>24</v>
      </c>
      <c r="W562" s="851">
        <v>0</v>
      </c>
      <c r="X562" s="851">
        <v>30.1</v>
      </c>
      <c r="Y562" s="851">
        <v>0</v>
      </c>
      <c r="Z562" s="851">
        <v>54.7</v>
      </c>
      <c r="AA562" s="851">
        <v>0</v>
      </c>
      <c r="AB562" s="851">
        <v>62.5</v>
      </c>
      <c r="AC562" s="851">
        <v>0</v>
      </c>
      <c r="AD562" s="851">
        <v>98.4</v>
      </c>
      <c r="AE562" s="851">
        <v>0</v>
      </c>
      <c r="AF562" s="851">
        <v>44.7</v>
      </c>
      <c r="AG562" s="851">
        <v>0</v>
      </c>
      <c r="AH562" s="851">
        <v>81.3</v>
      </c>
      <c r="AI562" s="851">
        <v>0</v>
      </c>
      <c r="AJ562" s="851">
        <v>19.7</v>
      </c>
      <c r="AK562" s="851">
        <v>0</v>
      </c>
      <c r="AL562" s="851"/>
      <c r="AM562" s="851"/>
      <c r="AN562" s="851"/>
      <c r="AO562" s="851"/>
      <c r="AP562" s="851"/>
    </row>
    <row r="563" spans="1:42" ht="14">
      <c r="A563" s="856">
        <v>562</v>
      </c>
      <c r="B563" s="425" t="s">
        <v>2693</v>
      </c>
      <c r="C563" s="425" t="s">
        <v>43</v>
      </c>
      <c r="D563" s="425" t="s">
        <v>2377</v>
      </c>
      <c r="E563" s="425" t="s">
        <v>2683</v>
      </c>
      <c r="F563" s="425" t="s">
        <v>2687</v>
      </c>
      <c r="G563">
        <v>1</v>
      </c>
      <c r="H563" s="852">
        <v>0.53</v>
      </c>
      <c r="I563" s="852">
        <v>10.050000000000001</v>
      </c>
      <c r="J563" s="852">
        <f t="shared" si="44"/>
        <v>5.3265000000000002</v>
      </c>
      <c r="K563" s="852">
        <f t="shared" si="45"/>
        <v>0.69244500000000009</v>
      </c>
      <c r="L563">
        <v>64</v>
      </c>
      <c r="M563" s="425" t="s">
        <v>2380</v>
      </c>
      <c r="N563" s="370">
        <v>2022</v>
      </c>
      <c r="O563" s="425" t="s">
        <v>2685</v>
      </c>
      <c r="P563" s="854">
        <v>5415058048945</v>
      </c>
      <c r="Q563" s="425" t="s">
        <v>2385</v>
      </c>
      <c r="R563" s="851">
        <v>21.9</v>
      </c>
      <c r="S563" s="851">
        <v>0</v>
      </c>
      <c r="T563" s="851">
        <v>27.3</v>
      </c>
      <c r="U563" s="851">
        <v>0</v>
      </c>
      <c r="V563" s="851">
        <v>24</v>
      </c>
      <c r="W563" s="851">
        <v>0</v>
      </c>
      <c r="X563" s="851">
        <v>30.1</v>
      </c>
      <c r="Y563" s="851">
        <v>0</v>
      </c>
      <c r="Z563" s="851">
        <v>54.7</v>
      </c>
      <c r="AA563" s="851">
        <v>0</v>
      </c>
      <c r="AB563" s="851">
        <v>62.5</v>
      </c>
      <c r="AC563" s="851">
        <v>0</v>
      </c>
      <c r="AD563" s="851">
        <v>98.4</v>
      </c>
      <c r="AE563" s="851">
        <v>0</v>
      </c>
      <c r="AF563" s="851">
        <v>44.7</v>
      </c>
      <c r="AG563" s="851">
        <v>0</v>
      </c>
      <c r="AH563" s="851">
        <v>81.3</v>
      </c>
      <c r="AI563" s="851">
        <v>0</v>
      </c>
      <c r="AJ563" s="851">
        <v>19.7</v>
      </c>
      <c r="AK563" s="851">
        <v>0</v>
      </c>
      <c r="AL563" s="851"/>
      <c r="AM563" s="851"/>
      <c r="AN563" s="851"/>
      <c r="AO563" s="851"/>
      <c r="AP563" s="851"/>
    </row>
    <row r="564" spans="1:42" ht="14">
      <c r="A564" s="856">
        <v>563</v>
      </c>
      <c r="B564" s="425" t="s">
        <v>2694</v>
      </c>
      <c r="C564" s="425" t="s">
        <v>43</v>
      </c>
      <c r="D564" s="425" t="s">
        <v>2377</v>
      </c>
      <c r="E564" s="425" t="s">
        <v>2683</v>
      </c>
      <c r="F564" s="425" t="s">
        <v>2688</v>
      </c>
      <c r="G564">
        <v>1</v>
      </c>
      <c r="H564" s="852">
        <v>0.53</v>
      </c>
      <c r="I564" s="852">
        <v>10.050000000000001</v>
      </c>
      <c r="J564" s="852">
        <f t="shared" si="44"/>
        <v>5.3265000000000002</v>
      </c>
      <c r="K564" s="852">
        <f t="shared" si="45"/>
        <v>0.69244500000000009</v>
      </c>
      <c r="L564">
        <v>64</v>
      </c>
      <c r="M564" s="425" t="s">
        <v>2380</v>
      </c>
      <c r="N564" s="370">
        <v>2022</v>
      </c>
      <c r="O564" s="425" t="s">
        <v>2685</v>
      </c>
      <c r="P564" s="854">
        <v>5415058048952</v>
      </c>
      <c r="Q564" s="425" t="s">
        <v>2385</v>
      </c>
      <c r="R564" s="851">
        <v>21.9</v>
      </c>
      <c r="S564" s="851">
        <v>0</v>
      </c>
      <c r="T564" s="851">
        <v>27.3</v>
      </c>
      <c r="U564" s="851">
        <v>0</v>
      </c>
      <c r="V564" s="851">
        <v>24</v>
      </c>
      <c r="W564" s="851">
        <v>0</v>
      </c>
      <c r="X564" s="851">
        <v>30.1</v>
      </c>
      <c r="Y564" s="851">
        <v>0</v>
      </c>
      <c r="Z564" s="851">
        <v>54.7</v>
      </c>
      <c r="AA564" s="851">
        <v>0</v>
      </c>
      <c r="AB564" s="851">
        <v>62.5</v>
      </c>
      <c r="AC564" s="851">
        <v>0</v>
      </c>
      <c r="AD564" s="851">
        <v>98.4</v>
      </c>
      <c r="AE564" s="851">
        <v>0</v>
      </c>
      <c r="AF564" s="851">
        <v>44.7</v>
      </c>
      <c r="AG564" s="851">
        <v>0</v>
      </c>
      <c r="AH564" s="851">
        <v>81.3</v>
      </c>
      <c r="AI564" s="851">
        <v>0</v>
      </c>
      <c r="AJ564" s="851">
        <v>19.7</v>
      </c>
      <c r="AK564" s="851">
        <v>0</v>
      </c>
      <c r="AL564" s="851"/>
      <c r="AM564" s="851"/>
      <c r="AN564" s="851"/>
      <c r="AO564" s="851"/>
      <c r="AP564" s="851"/>
    </row>
    <row r="565" spans="1:42" ht="14">
      <c r="A565" s="856">
        <v>564</v>
      </c>
      <c r="B565" s="425" t="s">
        <v>2695</v>
      </c>
      <c r="C565" s="425" t="s">
        <v>43</v>
      </c>
      <c r="D565" s="425" t="s">
        <v>2377</v>
      </c>
      <c r="E565" s="425" t="s">
        <v>2683</v>
      </c>
      <c r="F565" s="425" t="s">
        <v>2689</v>
      </c>
      <c r="G565">
        <v>1</v>
      </c>
      <c r="H565" s="852">
        <v>0.53</v>
      </c>
      <c r="I565" s="852">
        <v>10.050000000000001</v>
      </c>
      <c r="J565" s="852">
        <f t="shared" si="44"/>
        <v>5.3265000000000002</v>
      </c>
      <c r="K565" s="852">
        <f t="shared" si="45"/>
        <v>0.69244500000000009</v>
      </c>
      <c r="L565">
        <v>64</v>
      </c>
      <c r="M565" s="425" t="s">
        <v>2380</v>
      </c>
      <c r="N565" s="370">
        <v>2022</v>
      </c>
      <c r="O565" s="425" t="s">
        <v>2685</v>
      </c>
      <c r="P565" s="854">
        <v>5415058048969</v>
      </c>
      <c r="Q565" s="425" t="s">
        <v>2385</v>
      </c>
      <c r="R565" s="851">
        <v>21.9</v>
      </c>
      <c r="S565" s="851">
        <v>0</v>
      </c>
      <c r="T565" s="851">
        <v>27.3</v>
      </c>
      <c r="U565" s="851">
        <v>0</v>
      </c>
      <c r="V565" s="851">
        <v>24</v>
      </c>
      <c r="W565" s="851">
        <v>0</v>
      </c>
      <c r="X565" s="851">
        <v>30.1</v>
      </c>
      <c r="Y565" s="851">
        <v>0</v>
      </c>
      <c r="Z565" s="851">
        <v>54.7</v>
      </c>
      <c r="AA565" s="851">
        <v>0</v>
      </c>
      <c r="AB565" s="851">
        <v>62.5</v>
      </c>
      <c r="AC565" s="851">
        <v>0</v>
      </c>
      <c r="AD565" s="851">
        <v>98.4</v>
      </c>
      <c r="AE565" s="851">
        <v>0</v>
      </c>
      <c r="AF565" s="851">
        <v>44.7</v>
      </c>
      <c r="AG565" s="851">
        <v>0</v>
      </c>
      <c r="AH565" s="851">
        <v>81.3</v>
      </c>
      <c r="AI565" s="851">
        <v>0</v>
      </c>
      <c r="AJ565" s="851">
        <v>19.7</v>
      </c>
      <c r="AK565" s="851">
        <v>0</v>
      </c>
      <c r="AL565" s="851"/>
      <c r="AM565" s="851"/>
      <c r="AN565" s="851"/>
      <c r="AO565" s="851"/>
      <c r="AP565" s="851"/>
    </row>
    <row r="566" spans="1:42" ht="14">
      <c r="A566" s="856">
        <v>565</v>
      </c>
      <c r="B566" s="425" t="s">
        <v>2696</v>
      </c>
      <c r="C566" s="425" t="s">
        <v>43</v>
      </c>
      <c r="D566" s="425" t="s">
        <v>2377</v>
      </c>
      <c r="E566" s="425" t="s">
        <v>2683</v>
      </c>
      <c r="F566" s="425" t="s">
        <v>2690</v>
      </c>
      <c r="G566">
        <v>1</v>
      </c>
      <c r="H566" s="852">
        <v>0.53</v>
      </c>
      <c r="I566" s="852">
        <v>10.050000000000001</v>
      </c>
      <c r="J566" s="852">
        <f t="shared" si="44"/>
        <v>5.3265000000000002</v>
      </c>
      <c r="K566" s="852">
        <f t="shared" si="45"/>
        <v>0.69244500000000009</v>
      </c>
      <c r="L566">
        <v>64</v>
      </c>
      <c r="M566" s="425" t="s">
        <v>2380</v>
      </c>
      <c r="N566" s="370">
        <v>2022</v>
      </c>
      <c r="O566" s="425" t="s">
        <v>2685</v>
      </c>
      <c r="P566" s="854">
        <v>5415058048976</v>
      </c>
      <c r="Q566" s="425" t="s">
        <v>2385</v>
      </c>
      <c r="R566" s="851">
        <v>21.9</v>
      </c>
      <c r="S566" s="851">
        <v>0</v>
      </c>
      <c r="T566" s="851">
        <v>27.3</v>
      </c>
      <c r="U566" s="851">
        <v>0</v>
      </c>
      <c r="V566" s="851">
        <v>24</v>
      </c>
      <c r="W566" s="851">
        <v>0</v>
      </c>
      <c r="X566" s="851">
        <v>30.1</v>
      </c>
      <c r="Y566" s="851">
        <v>0</v>
      </c>
      <c r="Z566" s="851">
        <v>54.7</v>
      </c>
      <c r="AA566" s="851">
        <v>0</v>
      </c>
      <c r="AB566" s="851">
        <v>62.5</v>
      </c>
      <c r="AC566" s="851">
        <v>0</v>
      </c>
      <c r="AD566" s="851">
        <v>98.4</v>
      </c>
      <c r="AE566" s="851">
        <v>0</v>
      </c>
      <c r="AF566" s="851">
        <v>44.7</v>
      </c>
      <c r="AG566" s="851">
        <v>0</v>
      </c>
      <c r="AH566" s="851">
        <v>81.3</v>
      </c>
      <c r="AI566" s="851">
        <v>0</v>
      </c>
      <c r="AJ566" s="851">
        <v>19.7</v>
      </c>
      <c r="AK566" s="851">
        <v>0</v>
      </c>
      <c r="AL566" s="851"/>
      <c r="AM566" s="851"/>
      <c r="AN566" s="851"/>
      <c r="AO566" s="851"/>
      <c r="AP566" s="851"/>
    </row>
    <row r="567" spans="1:42" ht="14">
      <c r="A567" s="856">
        <v>566</v>
      </c>
      <c r="B567" s="425" t="s">
        <v>2697</v>
      </c>
      <c r="C567" s="425" t="s">
        <v>43</v>
      </c>
      <c r="D567" s="425" t="s">
        <v>2377</v>
      </c>
      <c r="E567" s="425" t="s">
        <v>2683</v>
      </c>
      <c r="F567" s="425" t="s">
        <v>2691</v>
      </c>
      <c r="G567">
        <v>1</v>
      </c>
      <c r="H567" s="852">
        <v>0.53</v>
      </c>
      <c r="I567" s="852">
        <v>10.050000000000001</v>
      </c>
      <c r="J567" s="852">
        <f t="shared" si="44"/>
        <v>5.3265000000000002</v>
      </c>
      <c r="K567" s="852">
        <f t="shared" si="45"/>
        <v>0.69244500000000009</v>
      </c>
      <c r="L567">
        <v>64</v>
      </c>
      <c r="M567" s="425" t="s">
        <v>2380</v>
      </c>
      <c r="N567" s="370">
        <v>2022</v>
      </c>
      <c r="O567" s="425" t="s">
        <v>2685</v>
      </c>
      <c r="P567" s="854">
        <v>5415058048983</v>
      </c>
      <c r="Q567" s="425" t="s">
        <v>2385</v>
      </c>
      <c r="R567" s="851">
        <v>21.9</v>
      </c>
      <c r="S567" s="851">
        <v>0</v>
      </c>
      <c r="T567" s="851">
        <v>27.3</v>
      </c>
      <c r="U567" s="851">
        <v>0</v>
      </c>
      <c r="V567" s="851">
        <v>24</v>
      </c>
      <c r="W567" s="851">
        <v>0</v>
      </c>
      <c r="X567" s="851">
        <v>30.1</v>
      </c>
      <c r="Y567" s="851">
        <v>0</v>
      </c>
      <c r="Z567" s="851">
        <v>54.7</v>
      </c>
      <c r="AA567" s="851">
        <v>0</v>
      </c>
      <c r="AB567" s="851">
        <v>62.5</v>
      </c>
      <c r="AC567" s="851">
        <v>0</v>
      </c>
      <c r="AD567" s="851">
        <v>98.4</v>
      </c>
      <c r="AE567" s="851">
        <v>0</v>
      </c>
      <c r="AF567" s="851">
        <v>44.7</v>
      </c>
      <c r="AG567" s="851">
        <v>0</v>
      </c>
      <c r="AH567" s="851">
        <v>81.3</v>
      </c>
      <c r="AI567" s="851">
        <v>0</v>
      </c>
      <c r="AJ567" s="851">
        <v>19.7</v>
      </c>
      <c r="AK567" s="851">
        <v>0</v>
      </c>
      <c r="AL567" s="851"/>
      <c r="AM567" s="851"/>
      <c r="AN567" s="851"/>
      <c r="AO567" s="851"/>
      <c r="AP567" s="851"/>
    </row>
    <row r="568" spans="1:42" ht="14">
      <c r="A568" s="856">
        <v>567</v>
      </c>
      <c r="B568" s="425" t="s">
        <v>2699</v>
      </c>
      <c r="C568" s="425" t="s">
        <v>43</v>
      </c>
      <c r="D568" s="425" t="s">
        <v>2377</v>
      </c>
      <c r="E568" s="425" t="s">
        <v>2698</v>
      </c>
      <c r="F568" s="425" t="s">
        <v>1006</v>
      </c>
      <c r="G568">
        <v>1</v>
      </c>
      <c r="H568" s="852">
        <v>0.53</v>
      </c>
      <c r="I568" s="852">
        <v>10.050000000000001</v>
      </c>
      <c r="J568" s="852">
        <f t="shared" si="44"/>
        <v>5.3265000000000002</v>
      </c>
      <c r="K568" s="852">
        <f t="shared" si="45"/>
        <v>0.69244500000000009</v>
      </c>
      <c r="L568">
        <v>64</v>
      </c>
      <c r="M568" s="425" t="s">
        <v>2380</v>
      </c>
      <c r="N568" s="370">
        <v>2022</v>
      </c>
      <c r="O568" s="425" t="s">
        <v>2685</v>
      </c>
      <c r="P568" s="854">
        <v>5415058048990</v>
      </c>
      <c r="Q568" s="425" t="s">
        <v>2385</v>
      </c>
      <c r="R568" s="851">
        <v>21.9</v>
      </c>
      <c r="S568" s="851">
        <v>0</v>
      </c>
      <c r="T568" s="851">
        <v>27.3</v>
      </c>
      <c r="U568" s="851">
        <v>0</v>
      </c>
      <c r="V568" s="851">
        <v>24</v>
      </c>
      <c r="W568" s="851">
        <v>0</v>
      </c>
      <c r="X568" s="851">
        <v>30.1</v>
      </c>
      <c r="Y568" s="851">
        <v>0</v>
      </c>
      <c r="Z568" s="851">
        <v>54.7</v>
      </c>
      <c r="AA568" s="851">
        <v>0</v>
      </c>
      <c r="AB568" s="851">
        <v>62.5</v>
      </c>
      <c r="AC568" s="851">
        <v>0</v>
      </c>
      <c r="AD568" s="851">
        <v>98.4</v>
      </c>
      <c r="AE568" s="851">
        <v>0</v>
      </c>
      <c r="AF568" s="851">
        <v>44.7</v>
      </c>
      <c r="AG568" s="851">
        <v>0</v>
      </c>
      <c r="AH568" s="851">
        <v>81.3</v>
      </c>
      <c r="AI568" s="851">
        <v>0</v>
      </c>
      <c r="AJ568" s="851">
        <v>19.7</v>
      </c>
      <c r="AK568" s="851">
        <v>0</v>
      </c>
      <c r="AL568" s="851"/>
      <c r="AM568" s="851"/>
      <c r="AN568" s="851"/>
      <c r="AO568" s="851"/>
      <c r="AP568" s="851"/>
    </row>
    <row r="569" spans="1:42" ht="14">
      <c r="A569" s="856">
        <v>568</v>
      </c>
      <c r="B569" s="425" t="s">
        <v>2700</v>
      </c>
      <c r="C569" s="425" t="s">
        <v>43</v>
      </c>
      <c r="D569" s="425" t="s">
        <v>2377</v>
      </c>
      <c r="E569" s="425" t="s">
        <v>2698</v>
      </c>
      <c r="F569" s="425" t="s">
        <v>1018</v>
      </c>
      <c r="G569">
        <v>1</v>
      </c>
      <c r="H569" s="852">
        <v>0.53</v>
      </c>
      <c r="I569" s="852">
        <v>10.050000000000001</v>
      </c>
      <c r="J569" s="852">
        <f t="shared" si="44"/>
        <v>5.3265000000000002</v>
      </c>
      <c r="K569" s="852">
        <f t="shared" si="45"/>
        <v>0.69244500000000009</v>
      </c>
      <c r="L569">
        <v>64</v>
      </c>
      <c r="M569" s="425" t="s">
        <v>2380</v>
      </c>
      <c r="N569" s="370">
        <v>2022</v>
      </c>
      <c r="O569" s="425" t="s">
        <v>2685</v>
      </c>
      <c r="P569" s="854">
        <v>5415058049003</v>
      </c>
      <c r="Q569" s="425" t="s">
        <v>2385</v>
      </c>
      <c r="R569" s="851">
        <v>21.9</v>
      </c>
      <c r="S569" s="851">
        <v>0</v>
      </c>
      <c r="T569" s="851">
        <v>27.3</v>
      </c>
      <c r="U569" s="851">
        <v>0</v>
      </c>
      <c r="V569" s="851">
        <v>24</v>
      </c>
      <c r="W569" s="851">
        <v>0</v>
      </c>
      <c r="X569" s="851">
        <v>30.1</v>
      </c>
      <c r="Y569" s="851">
        <v>0</v>
      </c>
      <c r="Z569" s="851">
        <v>54.7</v>
      </c>
      <c r="AA569" s="851">
        <v>0</v>
      </c>
      <c r="AB569" s="851">
        <v>62.5</v>
      </c>
      <c r="AC569" s="851">
        <v>0</v>
      </c>
      <c r="AD569" s="851">
        <v>98.4</v>
      </c>
      <c r="AE569" s="851">
        <v>0</v>
      </c>
      <c r="AF569" s="851">
        <v>44.7</v>
      </c>
      <c r="AG569" s="851">
        <v>0</v>
      </c>
      <c r="AH569" s="851">
        <v>81.3</v>
      </c>
      <c r="AI569" s="851">
        <v>0</v>
      </c>
      <c r="AJ569" s="851">
        <v>19.7</v>
      </c>
      <c r="AK569" s="851">
        <v>0</v>
      </c>
      <c r="AL569" s="851"/>
      <c r="AM569" s="851"/>
      <c r="AN569" s="851"/>
      <c r="AO569" s="851"/>
      <c r="AP569" s="851"/>
    </row>
    <row r="570" spans="1:42" ht="14">
      <c r="A570" s="856">
        <v>569</v>
      </c>
      <c r="B570" s="425" t="s">
        <v>2701</v>
      </c>
      <c r="C570" s="425" t="s">
        <v>43</v>
      </c>
      <c r="D570" s="425" t="s">
        <v>2377</v>
      </c>
      <c r="E570" s="425" t="s">
        <v>2698</v>
      </c>
      <c r="F570" s="425" t="s">
        <v>2690</v>
      </c>
      <c r="G570">
        <v>1</v>
      </c>
      <c r="H570" s="852">
        <v>0.53</v>
      </c>
      <c r="I570" s="852">
        <v>10.050000000000001</v>
      </c>
      <c r="J570" s="852">
        <f t="shared" si="44"/>
        <v>5.3265000000000002</v>
      </c>
      <c r="K570" s="852">
        <f t="shared" si="45"/>
        <v>0.69244500000000009</v>
      </c>
      <c r="L570">
        <v>64</v>
      </c>
      <c r="M570" s="425" t="s">
        <v>2380</v>
      </c>
      <c r="N570" s="370">
        <v>2022</v>
      </c>
      <c r="O570" s="425" t="s">
        <v>2685</v>
      </c>
      <c r="P570" s="854">
        <v>5415058049010</v>
      </c>
      <c r="Q570" s="425" t="s">
        <v>2385</v>
      </c>
      <c r="R570" s="851">
        <v>21.9</v>
      </c>
      <c r="S570" s="851">
        <v>0</v>
      </c>
      <c r="T570" s="851">
        <v>27.3</v>
      </c>
      <c r="U570" s="851">
        <v>0</v>
      </c>
      <c r="V570" s="851">
        <v>24</v>
      </c>
      <c r="W570" s="851">
        <v>0</v>
      </c>
      <c r="X570" s="851">
        <v>30.1</v>
      </c>
      <c r="Y570" s="851">
        <v>0</v>
      </c>
      <c r="Z570" s="851">
        <v>54.7</v>
      </c>
      <c r="AA570" s="851">
        <v>0</v>
      </c>
      <c r="AB570" s="851">
        <v>62.5</v>
      </c>
      <c r="AC570" s="851">
        <v>0</v>
      </c>
      <c r="AD570" s="851">
        <v>98.4</v>
      </c>
      <c r="AE570" s="851">
        <v>0</v>
      </c>
      <c r="AF570" s="851">
        <v>44.7</v>
      </c>
      <c r="AG570" s="851">
        <v>0</v>
      </c>
      <c r="AH570" s="851">
        <v>81.3</v>
      </c>
      <c r="AI570" s="851">
        <v>0</v>
      </c>
      <c r="AJ570" s="851">
        <v>19.7</v>
      </c>
      <c r="AK570" s="851">
        <v>0</v>
      </c>
      <c r="AL570" s="851"/>
      <c r="AM570" s="851"/>
      <c r="AN570" s="851"/>
      <c r="AO570" s="851"/>
      <c r="AP570" s="851"/>
    </row>
    <row r="571" spans="1:42" ht="14">
      <c r="A571" s="856">
        <v>570</v>
      </c>
      <c r="B571" s="425" t="s">
        <v>2702</v>
      </c>
      <c r="C571" s="425" t="s">
        <v>43</v>
      </c>
      <c r="D571" s="425" t="s">
        <v>2377</v>
      </c>
      <c r="E571" s="425" t="s">
        <v>2698</v>
      </c>
      <c r="F571" s="425" t="s">
        <v>2684</v>
      </c>
      <c r="G571">
        <v>1</v>
      </c>
      <c r="H571" s="852">
        <v>0.53</v>
      </c>
      <c r="I571" s="852">
        <v>10.050000000000001</v>
      </c>
      <c r="J571" s="852">
        <f t="shared" si="44"/>
        <v>5.3265000000000002</v>
      </c>
      <c r="K571" s="852">
        <f t="shared" si="45"/>
        <v>0.69244500000000009</v>
      </c>
      <c r="L571">
        <v>64</v>
      </c>
      <c r="M571" s="425" t="s">
        <v>2380</v>
      </c>
      <c r="N571" s="370">
        <v>2022</v>
      </c>
      <c r="O571" s="425" t="s">
        <v>2685</v>
      </c>
      <c r="P571" s="854">
        <v>5415058049027</v>
      </c>
      <c r="Q571" s="425" t="s">
        <v>2385</v>
      </c>
      <c r="R571" s="851">
        <v>21.9</v>
      </c>
      <c r="S571" s="851">
        <v>0</v>
      </c>
      <c r="T571" s="851">
        <v>27.3</v>
      </c>
      <c r="U571" s="851">
        <v>0</v>
      </c>
      <c r="V571" s="851">
        <v>24</v>
      </c>
      <c r="W571" s="851">
        <v>0</v>
      </c>
      <c r="X571" s="851">
        <v>30.1</v>
      </c>
      <c r="Y571" s="851">
        <v>0</v>
      </c>
      <c r="Z571" s="851">
        <v>54.7</v>
      </c>
      <c r="AA571" s="851">
        <v>0</v>
      </c>
      <c r="AB571" s="851">
        <v>62.5</v>
      </c>
      <c r="AC571" s="851">
        <v>0</v>
      </c>
      <c r="AD571" s="851">
        <v>98.4</v>
      </c>
      <c r="AE571" s="851">
        <v>0</v>
      </c>
      <c r="AF571" s="851">
        <v>44.7</v>
      </c>
      <c r="AG571" s="851">
        <v>0</v>
      </c>
      <c r="AH571" s="851">
        <v>81.3</v>
      </c>
      <c r="AI571" s="851">
        <v>0</v>
      </c>
      <c r="AJ571" s="851">
        <v>19.7</v>
      </c>
      <c r="AK571" s="851">
        <v>0</v>
      </c>
      <c r="AL571" s="851"/>
      <c r="AM571" s="851"/>
      <c r="AN571" s="851"/>
      <c r="AO571" s="851"/>
      <c r="AP571" s="851"/>
    </row>
    <row r="572" spans="1:42" ht="14">
      <c r="A572" s="856">
        <v>571</v>
      </c>
      <c r="B572" s="425" t="s">
        <v>2703</v>
      </c>
      <c r="C572" s="425" t="s">
        <v>43</v>
      </c>
      <c r="D572" s="425" t="s">
        <v>2377</v>
      </c>
      <c r="E572" s="425" t="s">
        <v>2718</v>
      </c>
      <c r="F572" s="425" t="s">
        <v>2719</v>
      </c>
      <c r="G572">
        <v>1</v>
      </c>
      <c r="H572" s="852">
        <v>0.53</v>
      </c>
      <c r="I572" s="852">
        <v>10.050000000000001</v>
      </c>
      <c r="J572" s="852">
        <f t="shared" si="44"/>
        <v>5.3265000000000002</v>
      </c>
      <c r="K572" s="852">
        <f t="shared" si="45"/>
        <v>0.69244500000000009</v>
      </c>
      <c r="L572">
        <v>64</v>
      </c>
      <c r="M572" s="425" t="s">
        <v>2380</v>
      </c>
      <c r="N572" s="370">
        <v>2022</v>
      </c>
      <c r="O572" s="425" t="s">
        <v>2685</v>
      </c>
      <c r="P572" s="854">
        <v>5415058049034</v>
      </c>
      <c r="Q572" s="425" t="s">
        <v>2385</v>
      </c>
      <c r="R572" s="851">
        <v>21.9</v>
      </c>
      <c r="S572" s="851">
        <v>0</v>
      </c>
      <c r="T572" s="851">
        <v>27.3</v>
      </c>
      <c r="U572" s="851">
        <v>0</v>
      </c>
      <c r="V572" s="851">
        <v>24</v>
      </c>
      <c r="W572" s="851">
        <v>0</v>
      </c>
      <c r="X572" s="851">
        <v>30.1</v>
      </c>
      <c r="Y572" s="851">
        <v>0</v>
      </c>
      <c r="Z572" s="851">
        <v>54.7</v>
      </c>
      <c r="AA572" s="851">
        <v>0</v>
      </c>
      <c r="AB572" s="851">
        <v>62.5</v>
      </c>
      <c r="AC572" s="851">
        <v>0</v>
      </c>
      <c r="AD572" s="851">
        <v>98.4</v>
      </c>
      <c r="AE572" s="851">
        <v>0</v>
      </c>
      <c r="AF572" s="851">
        <v>44.7</v>
      </c>
      <c r="AG572" s="851">
        <v>0</v>
      </c>
      <c r="AH572" s="851">
        <v>81.3</v>
      </c>
      <c r="AI572" s="851">
        <v>0</v>
      </c>
      <c r="AJ572" s="851">
        <v>19.7</v>
      </c>
      <c r="AK572" s="851">
        <v>0</v>
      </c>
      <c r="AL572" s="851"/>
      <c r="AM572" s="851"/>
      <c r="AN572" s="851"/>
      <c r="AO572" s="851"/>
      <c r="AP572" s="851"/>
    </row>
    <row r="573" spans="1:42" ht="14">
      <c r="A573" s="856">
        <v>572</v>
      </c>
      <c r="B573" s="425" t="s">
        <v>2704</v>
      </c>
      <c r="C573" s="425" t="s">
        <v>43</v>
      </c>
      <c r="D573" s="425" t="s">
        <v>2377</v>
      </c>
      <c r="E573" s="425" t="s">
        <v>2718</v>
      </c>
      <c r="F573" s="425" t="s">
        <v>2720</v>
      </c>
      <c r="G573">
        <v>1</v>
      </c>
      <c r="H573" s="852">
        <v>0.53</v>
      </c>
      <c r="I573" s="852">
        <v>10.050000000000001</v>
      </c>
      <c r="J573" s="852">
        <f t="shared" si="44"/>
        <v>5.3265000000000002</v>
      </c>
      <c r="K573" s="852">
        <f t="shared" si="45"/>
        <v>0.69244500000000009</v>
      </c>
      <c r="L573">
        <v>64</v>
      </c>
      <c r="M573" s="425" t="s">
        <v>2380</v>
      </c>
      <c r="N573" s="370">
        <v>2022</v>
      </c>
      <c r="O573" s="425" t="s">
        <v>2685</v>
      </c>
      <c r="P573" s="854">
        <v>5415058049041</v>
      </c>
      <c r="Q573" s="425" t="s">
        <v>2385</v>
      </c>
      <c r="R573" s="851">
        <v>21.9</v>
      </c>
      <c r="S573" s="851">
        <v>0</v>
      </c>
      <c r="T573" s="851">
        <v>27.3</v>
      </c>
      <c r="U573" s="851">
        <v>0</v>
      </c>
      <c r="V573" s="851">
        <v>24</v>
      </c>
      <c r="W573" s="851">
        <v>0</v>
      </c>
      <c r="X573" s="851">
        <v>30.1</v>
      </c>
      <c r="Y573" s="851">
        <v>0</v>
      </c>
      <c r="Z573" s="851">
        <v>54.7</v>
      </c>
      <c r="AA573" s="851">
        <v>0</v>
      </c>
      <c r="AB573" s="851">
        <v>62.5</v>
      </c>
      <c r="AC573" s="851">
        <v>0</v>
      </c>
      <c r="AD573" s="851">
        <v>98.4</v>
      </c>
      <c r="AE573" s="851">
        <v>0</v>
      </c>
      <c r="AF573" s="851">
        <v>44.7</v>
      </c>
      <c r="AG573" s="851">
        <v>0</v>
      </c>
      <c r="AH573" s="851">
        <v>81.3</v>
      </c>
      <c r="AI573" s="851">
        <v>0</v>
      </c>
      <c r="AJ573" s="851">
        <v>19.7</v>
      </c>
      <c r="AK573" s="851">
        <v>0</v>
      </c>
      <c r="AL573" s="851"/>
      <c r="AM573" s="851"/>
      <c r="AN573" s="851"/>
      <c r="AO573" s="851"/>
      <c r="AP573" s="851"/>
    </row>
    <row r="574" spans="1:42" ht="14">
      <c r="A574" s="856">
        <v>573</v>
      </c>
      <c r="B574" s="425" t="s">
        <v>2705</v>
      </c>
      <c r="C574" s="425" t="s">
        <v>43</v>
      </c>
      <c r="D574" s="425" t="s">
        <v>2377</v>
      </c>
      <c r="E574" s="425" t="s">
        <v>2718</v>
      </c>
      <c r="F574" s="425" t="s">
        <v>2689</v>
      </c>
      <c r="G574">
        <v>1</v>
      </c>
      <c r="H574" s="852">
        <v>0.53</v>
      </c>
      <c r="I574" s="852">
        <v>10.050000000000001</v>
      </c>
      <c r="J574" s="852">
        <f t="shared" si="44"/>
        <v>5.3265000000000002</v>
      </c>
      <c r="K574" s="852">
        <f t="shared" si="45"/>
        <v>0.69244500000000009</v>
      </c>
      <c r="L574">
        <v>64</v>
      </c>
      <c r="M574" s="425" t="s">
        <v>2380</v>
      </c>
      <c r="N574" s="370">
        <v>2022</v>
      </c>
      <c r="O574" s="425" t="s">
        <v>2685</v>
      </c>
      <c r="P574" s="854">
        <v>5415058049058</v>
      </c>
      <c r="Q574" s="425" t="s">
        <v>2385</v>
      </c>
      <c r="R574" s="851">
        <v>21.9</v>
      </c>
      <c r="S574" s="851">
        <v>0</v>
      </c>
      <c r="T574" s="851">
        <v>27.3</v>
      </c>
      <c r="U574" s="851">
        <v>0</v>
      </c>
      <c r="V574" s="851">
        <v>24</v>
      </c>
      <c r="W574" s="851">
        <v>0</v>
      </c>
      <c r="X574" s="851">
        <v>30.1</v>
      </c>
      <c r="Y574" s="851">
        <v>0</v>
      </c>
      <c r="Z574" s="851">
        <v>54.7</v>
      </c>
      <c r="AA574" s="851">
        <v>0</v>
      </c>
      <c r="AB574" s="851">
        <v>62.5</v>
      </c>
      <c r="AC574" s="851">
        <v>0</v>
      </c>
      <c r="AD574" s="851">
        <v>98.4</v>
      </c>
      <c r="AE574" s="851">
        <v>0</v>
      </c>
      <c r="AF574" s="851">
        <v>44.7</v>
      </c>
      <c r="AG574" s="851">
        <v>0</v>
      </c>
      <c r="AH574" s="851">
        <v>81.3</v>
      </c>
      <c r="AI574" s="851">
        <v>0</v>
      </c>
      <c r="AJ574" s="851">
        <v>19.7</v>
      </c>
      <c r="AK574" s="851">
        <v>0</v>
      </c>
      <c r="AL574" s="851"/>
      <c r="AM574" s="851"/>
      <c r="AN574" s="851"/>
      <c r="AO574" s="851"/>
      <c r="AP574" s="851"/>
    </row>
    <row r="575" spans="1:42" ht="14">
      <c r="A575" s="856">
        <v>574</v>
      </c>
      <c r="B575" s="425" t="s">
        <v>2706</v>
      </c>
      <c r="C575" s="425" t="s">
        <v>43</v>
      </c>
      <c r="D575" s="425" t="s">
        <v>2377</v>
      </c>
      <c r="E575" s="425" t="s">
        <v>2718</v>
      </c>
      <c r="F575" s="425" t="s">
        <v>2690</v>
      </c>
      <c r="G575">
        <v>1</v>
      </c>
      <c r="H575" s="852">
        <v>0.53</v>
      </c>
      <c r="I575" s="852">
        <v>10.050000000000001</v>
      </c>
      <c r="J575" s="852">
        <f t="shared" si="44"/>
        <v>5.3265000000000002</v>
      </c>
      <c r="K575" s="852">
        <f t="shared" si="45"/>
        <v>0.69244500000000009</v>
      </c>
      <c r="L575">
        <v>64</v>
      </c>
      <c r="M575" s="425" t="s">
        <v>2380</v>
      </c>
      <c r="N575" s="370">
        <v>2022</v>
      </c>
      <c r="O575" s="425" t="s">
        <v>2685</v>
      </c>
      <c r="P575" s="854">
        <v>5415058049065</v>
      </c>
      <c r="Q575" s="425" t="s">
        <v>2385</v>
      </c>
      <c r="R575" s="851">
        <v>21.9</v>
      </c>
      <c r="S575" s="851">
        <v>0</v>
      </c>
      <c r="T575" s="851">
        <v>27.3</v>
      </c>
      <c r="U575" s="851">
        <v>0</v>
      </c>
      <c r="V575" s="851">
        <v>24</v>
      </c>
      <c r="W575" s="851">
        <v>0</v>
      </c>
      <c r="X575" s="851">
        <v>30.1</v>
      </c>
      <c r="Y575" s="851">
        <v>0</v>
      </c>
      <c r="Z575" s="851">
        <v>54.7</v>
      </c>
      <c r="AA575" s="851">
        <v>0</v>
      </c>
      <c r="AB575" s="851">
        <v>62.5</v>
      </c>
      <c r="AC575" s="851">
        <v>0</v>
      </c>
      <c r="AD575" s="851">
        <v>98.4</v>
      </c>
      <c r="AE575" s="851">
        <v>0</v>
      </c>
      <c r="AF575" s="851">
        <v>44.7</v>
      </c>
      <c r="AG575" s="851">
        <v>0</v>
      </c>
      <c r="AH575" s="851">
        <v>81.3</v>
      </c>
      <c r="AI575" s="851">
        <v>0</v>
      </c>
      <c r="AJ575" s="851">
        <v>19.7</v>
      </c>
      <c r="AK575" s="851">
        <v>0</v>
      </c>
      <c r="AL575" s="851"/>
      <c r="AM575" s="851"/>
      <c r="AN575" s="851"/>
      <c r="AO575" s="851"/>
      <c r="AP575" s="851"/>
    </row>
    <row r="576" spans="1:42" ht="14">
      <c r="A576" s="856">
        <v>575</v>
      </c>
      <c r="B576" s="425" t="s">
        <v>2707</v>
      </c>
      <c r="C576" s="425" t="s">
        <v>43</v>
      </c>
      <c r="D576" s="425" t="s">
        <v>2377</v>
      </c>
      <c r="E576" s="425" t="s">
        <v>2721</v>
      </c>
      <c r="F576" s="425" t="s">
        <v>1010</v>
      </c>
      <c r="G576">
        <v>1</v>
      </c>
      <c r="H576" s="852">
        <v>0.53</v>
      </c>
      <c r="I576" s="852">
        <v>10.050000000000001</v>
      </c>
      <c r="J576" s="852">
        <f t="shared" si="44"/>
        <v>5.3265000000000002</v>
      </c>
      <c r="K576" s="852">
        <f t="shared" si="45"/>
        <v>0.69244500000000009</v>
      </c>
      <c r="L576">
        <v>0</v>
      </c>
      <c r="M576" s="425" t="s">
        <v>2739</v>
      </c>
      <c r="N576" s="370">
        <v>2022</v>
      </c>
      <c r="O576" s="425" t="s">
        <v>2685</v>
      </c>
      <c r="P576" s="854">
        <v>5415058049072</v>
      </c>
      <c r="Q576" s="425" t="s">
        <v>2385</v>
      </c>
      <c r="R576" s="851">
        <v>14.6</v>
      </c>
      <c r="S576" s="851">
        <v>0</v>
      </c>
      <c r="T576" s="851">
        <v>18.899999999999999</v>
      </c>
      <c r="U576" s="851">
        <v>0</v>
      </c>
      <c r="V576" s="851">
        <v>16.100000000000001</v>
      </c>
      <c r="W576" s="851">
        <v>0</v>
      </c>
      <c r="X576" s="851">
        <v>20.100000000000001</v>
      </c>
      <c r="Y576" s="851">
        <v>0</v>
      </c>
      <c r="Z576" s="851">
        <v>36.6</v>
      </c>
      <c r="AA576" s="851">
        <v>0</v>
      </c>
      <c r="AB576" s="851">
        <v>41.8</v>
      </c>
      <c r="AC576" s="851">
        <v>0</v>
      </c>
      <c r="AD576" s="851">
        <v>65.8</v>
      </c>
      <c r="AE576" s="851">
        <v>0</v>
      </c>
      <c r="AF576" s="851">
        <v>29.9</v>
      </c>
      <c r="AG576" s="851">
        <v>0</v>
      </c>
      <c r="AH576" s="851">
        <v>54.4</v>
      </c>
      <c r="AI576" s="851">
        <v>0</v>
      </c>
      <c r="AJ576" s="851">
        <v>13.8</v>
      </c>
      <c r="AK576" s="851">
        <v>0</v>
      </c>
      <c r="AL576" s="851"/>
      <c r="AM576" s="851"/>
      <c r="AN576" s="851"/>
      <c r="AO576" s="851"/>
      <c r="AP576" s="851"/>
    </row>
    <row r="577" spans="1:42" ht="14">
      <c r="A577" s="856">
        <v>576</v>
      </c>
      <c r="B577" s="425" t="s">
        <v>2708</v>
      </c>
      <c r="C577" s="425" t="s">
        <v>43</v>
      </c>
      <c r="D577" s="425" t="s">
        <v>2377</v>
      </c>
      <c r="E577" s="425" t="s">
        <v>2721</v>
      </c>
      <c r="F577" s="425" t="s">
        <v>1012</v>
      </c>
      <c r="G577">
        <v>1</v>
      </c>
      <c r="H577" s="852">
        <v>0.53</v>
      </c>
      <c r="I577" s="852">
        <v>10.050000000000001</v>
      </c>
      <c r="J577" s="852">
        <f t="shared" si="44"/>
        <v>5.3265000000000002</v>
      </c>
      <c r="K577" s="852">
        <f t="shared" si="45"/>
        <v>0.69244500000000009</v>
      </c>
      <c r="L577">
        <v>0</v>
      </c>
      <c r="M577" s="425" t="s">
        <v>2739</v>
      </c>
      <c r="N577" s="370">
        <v>2022</v>
      </c>
      <c r="O577" s="425" t="s">
        <v>2685</v>
      </c>
      <c r="P577" s="854">
        <v>5415058049089</v>
      </c>
      <c r="Q577" s="425" t="s">
        <v>2385</v>
      </c>
      <c r="R577" s="851">
        <v>14.6</v>
      </c>
      <c r="S577" s="851">
        <v>0</v>
      </c>
      <c r="T577" s="851">
        <v>18.899999999999999</v>
      </c>
      <c r="U577" s="851">
        <v>0</v>
      </c>
      <c r="V577" s="851">
        <v>16.100000000000001</v>
      </c>
      <c r="W577" s="851">
        <v>0</v>
      </c>
      <c r="X577" s="851">
        <v>20.100000000000001</v>
      </c>
      <c r="Y577" s="851">
        <v>0</v>
      </c>
      <c r="Z577" s="851">
        <v>36.6</v>
      </c>
      <c r="AA577" s="851">
        <v>0</v>
      </c>
      <c r="AB577" s="851">
        <v>41.8</v>
      </c>
      <c r="AC577" s="851">
        <v>0</v>
      </c>
      <c r="AD577" s="851">
        <v>65.8</v>
      </c>
      <c r="AE577" s="851">
        <v>0</v>
      </c>
      <c r="AF577" s="851">
        <v>29.9</v>
      </c>
      <c r="AG577" s="851">
        <v>0</v>
      </c>
      <c r="AH577" s="851">
        <v>54.4</v>
      </c>
      <c r="AI577" s="851">
        <v>0</v>
      </c>
      <c r="AJ577" s="851">
        <v>13.8</v>
      </c>
      <c r="AK577" s="851">
        <v>0</v>
      </c>
      <c r="AL577" s="851"/>
      <c r="AM577" s="851"/>
      <c r="AN577" s="851"/>
      <c r="AO577" s="851"/>
      <c r="AP577" s="851"/>
    </row>
    <row r="578" spans="1:42" ht="14">
      <c r="A578" s="856">
        <v>577</v>
      </c>
      <c r="B578" s="425" t="s">
        <v>2709</v>
      </c>
      <c r="C578" s="425" t="s">
        <v>43</v>
      </c>
      <c r="D578" s="425" t="s">
        <v>2377</v>
      </c>
      <c r="E578" s="425" t="s">
        <v>2721</v>
      </c>
      <c r="F578" s="425" t="s">
        <v>1033</v>
      </c>
      <c r="G578">
        <v>1</v>
      </c>
      <c r="H578" s="852">
        <v>0.53</v>
      </c>
      <c r="I578" s="852">
        <v>10.050000000000001</v>
      </c>
      <c r="J578" s="852">
        <f t="shared" si="44"/>
        <v>5.3265000000000002</v>
      </c>
      <c r="K578" s="852">
        <f t="shared" si="45"/>
        <v>0.69244500000000009</v>
      </c>
      <c r="L578">
        <v>0</v>
      </c>
      <c r="M578" s="425" t="s">
        <v>2739</v>
      </c>
      <c r="N578" s="370">
        <v>2022</v>
      </c>
      <c r="O578" s="425" t="s">
        <v>2685</v>
      </c>
      <c r="P578" s="854">
        <v>5415058049096</v>
      </c>
      <c r="Q578" s="425" t="s">
        <v>2385</v>
      </c>
      <c r="R578" s="851">
        <v>14.6</v>
      </c>
      <c r="S578" s="851">
        <v>0</v>
      </c>
      <c r="T578" s="851">
        <v>18.899999999999999</v>
      </c>
      <c r="U578" s="851">
        <v>0</v>
      </c>
      <c r="V578" s="851">
        <v>16.100000000000001</v>
      </c>
      <c r="W578" s="851">
        <v>0</v>
      </c>
      <c r="X578" s="851">
        <v>20.100000000000001</v>
      </c>
      <c r="Y578" s="851">
        <v>0</v>
      </c>
      <c r="Z578" s="851">
        <v>36.6</v>
      </c>
      <c r="AA578" s="851">
        <v>0</v>
      </c>
      <c r="AB578" s="851">
        <v>41.8</v>
      </c>
      <c r="AC578" s="851">
        <v>0</v>
      </c>
      <c r="AD578" s="851">
        <v>65.8</v>
      </c>
      <c r="AE578" s="851">
        <v>0</v>
      </c>
      <c r="AF578" s="851">
        <v>29.9</v>
      </c>
      <c r="AG578" s="851">
        <v>0</v>
      </c>
      <c r="AH578" s="851">
        <v>54.4</v>
      </c>
      <c r="AI578" s="851">
        <v>0</v>
      </c>
      <c r="AJ578" s="851">
        <v>13.8</v>
      </c>
      <c r="AK578" s="851">
        <v>0</v>
      </c>
      <c r="AL578" s="851"/>
      <c r="AM578" s="851"/>
      <c r="AN578" s="851"/>
      <c r="AO578" s="851"/>
      <c r="AP578" s="851"/>
    </row>
    <row r="579" spans="1:42" ht="14">
      <c r="A579" s="856">
        <v>578</v>
      </c>
      <c r="B579" s="425" t="s">
        <v>2710</v>
      </c>
      <c r="C579" s="425" t="s">
        <v>43</v>
      </c>
      <c r="D579" s="425" t="s">
        <v>2377</v>
      </c>
      <c r="E579" s="425" t="s">
        <v>2721</v>
      </c>
      <c r="F579" s="425" t="s">
        <v>1026</v>
      </c>
      <c r="G579">
        <v>1</v>
      </c>
      <c r="H579" s="852">
        <v>0.53</v>
      </c>
      <c r="I579" s="852">
        <v>10.050000000000001</v>
      </c>
      <c r="J579" s="852">
        <f t="shared" si="44"/>
        <v>5.3265000000000002</v>
      </c>
      <c r="K579" s="852">
        <f t="shared" si="45"/>
        <v>0.69244500000000009</v>
      </c>
      <c r="L579">
        <v>0</v>
      </c>
      <c r="M579" s="425" t="s">
        <v>2739</v>
      </c>
      <c r="N579" s="370">
        <v>2022</v>
      </c>
      <c r="O579" s="425" t="s">
        <v>2685</v>
      </c>
      <c r="P579" s="854">
        <v>5415058049102</v>
      </c>
      <c r="Q579" s="425" t="s">
        <v>2385</v>
      </c>
      <c r="R579" s="851">
        <v>14.6</v>
      </c>
      <c r="S579" s="851">
        <v>0</v>
      </c>
      <c r="T579" s="851">
        <v>18.899999999999999</v>
      </c>
      <c r="U579" s="851">
        <v>0</v>
      </c>
      <c r="V579" s="851">
        <v>16.100000000000001</v>
      </c>
      <c r="W579" s="851">
        <v>0</v>
      </c>
      <c r="X579" s="851">
        <v>20.100000000000001</v>
      </c>
      <c r="Y579" s="851">
        <v>0</v>
      </c>
      <c r="Z579" s="851">
        <v>36.6</v>
      </c>
      <c r="AA579" s="851">
        <v>0</v>
      </c>
      <c r="AB579" s="851">
        <v>41.8</v>
      </c>
      <c r="AC579" s="851">
        <v>0</v>
      </c>
      <c r="AD579" s="851">
        <v>65.8</v>
      </c>
      <c r="AE579" s="851">
        <v>0</v>
      </c>
      <c r="AF579" s="851">
        <v>29.9</v>
      </c>
      <c r="AG579" s="851">
        <v>0</v>
      </c>
      <c r="AH579" s="851">
        <v>54.4</v>
      </c>
      <c r="AI579" s="851">
        <v>0</v>
      </c>
      <c r="AJ579" s="851">
        <v>13.8</v>
      </c>
      <c r="AK579" s="851">
        <v>0</v>
      </c>
      <c r="AL579" s="851"/>
      <c r="AM579" s="851"/>
      <c r="AN579" s="851"/>
      <c r="AO579" s="851"/>
      <c r="AP579" s="851"/>
    </row>
    <row r="580" spans="1:42" ht="14">
      <c r="A580" s="856">
        <v>579</v>
      </c>
      <c r="B580" s="425" t="s">
        <v>2711</v>
      </c>
      <c r="C580" s="425" t="s">
        <v>43</v>
      </c>
      <c r="D580" s="425" t="s">
        <v>2377</v>
      </c>
      <c r="E580" s="425" t="s">
        <v>2721</v>
      </c>
      <c r="F580" s="425" t="s">
        <v>1018</v>
      </c>
      <c r="G580">
        <v>1</v>
      </c>
      <c r="H580" s="852">
        <v>0.53</v>
      </c>
      <c r="I580" s="852">
        <v>10.050000000000001</v>
      </c>
      <c r="J580" s="852">
        <f t="shared" si="44"/>
        <v>5.3265000000000002</v>
      </c>
      <c r="K580" s="852">
        <f t="shared" si="45"/>
        <v>0.69244500000000009</v>
      </c>
      <c r="L580">
        <v>0</v>
      </c>
      <c r="M580" s="425" t="s">
        <v>2739</v>
      </c>
      <c r="N580" s="370">
        <v>2022</v>
      </c>
      <c r="O580" s="425" t="s">
        <v>2685</v>
      </c>
      <c r="P580" s="854">
        <v>5415058049119</v>
      </c>
      <c r="Q580" s="425" t="s">
        <v>2385</v>
      </c>
      <c r="R580" s="851">
        <v>14.6</v>
      </c>
      <c r="S580" s="851">
        <v>0</v>
      </c>
      <c r="T580" s="851">
        <v>18.899999999999999</v>
      </c>
      <c r="U580" s="851">
        <v>0</v>
      </c>
      <c r="V580" s="851">
        <v>16.100000000000001</v>
      </c>
      <c r="W580" s="851">
        <v>0</v>
      </c>
      <c r="X580" s="851">
        <v>20.100000000000001</v>
      </c>
      <c r="Y580" s="851">
        <v>0</v>
      </c>
      <c r="Z580" s="851">
        <v>36.6</v>
      </c>
      <c r="AA580" s="851">
        <v>0</v>
      </c>
      <c r="AB580" s="851">
        <v>41.8</v>
      </c>
      <c r="AC580" s="851">
        <v>0</v>
      </c>
      <c r="AD580" s="851">
        <v>65.8</v>
      </c>
      <c r="AE580" s="851">
        <v>0</v>
      </c>
      <c r="AF580" s="851">
        <v>29.9</v>
      </c>
      <c r="AG580" s="851">
        <v>0</v>
      </c>
      <c r="AH580" s="851">
        <v>54.4</v>
      </c>
      <c r="AI580" s="851">
        <v>0</v>
      </c>
      <c r="AJ580" s="851">
        <v>13.8</v>
      </c>
      <c r="AK580" s="851">
        <v>0</v>
      </c>
      <c r="AL580" s="851"/>
      <c r="AM580" s="851"/>
      <c r="AN580" s="851"/>
      <c r="AO580" s="851"/>
      <c r="AP580" s="851"/>
    </row>
    <row r="581" spans="1:42" ht="14">
      <c r="A581" s="856">
        <v>580</v>
      </c>
      <c r="B581" s="425" t="s">
        <v>2712</v>
      </c>
      <c r="C581" s="425" t="s">
        <v>43</v>
      </c>
      <c r="D581" s="425" t="s">
        <v>2377</v>
      </c>
      <c r="E581" s="425" t="s">
        <v>2721</v>
      </c>
      <c r="F581" s="425" t="s">
        <v>1008</v>
      </c>
      <c r="G581">
        <v>1</v>
      </c>
      <c r="H581" s="852">
        <v>0.53</v>
      </c>
      <c r="I581" s="852">
        <v>10.050000000000001</v>
      </c>
      <c r="J581" s="852">
        <f t="shared" si="44"/>
        <v>5.3265000000000002</v>
      </c>
      <c r="K581" s="852">
        <f t="shared" si="45"/>
        <v>0.69244500000000009</v>
      </c>
      <c r="L581">
        <v>0</v>
      </c>
      <c r="M581" s="425" t="s">
        <v>2739</v>
      </c>
      <c r="N581" s="370">
        <v>2022</v>
      </c>
      <c r="O581" s="425" t="s">
        <v>2685</v>
      </c>
      <c r="P581" s="854">
        <v>5415058049126</v>
      </c>
      <c r="Q581" s="425" t="s">
        <v>2385</v>
      </c>
      <c r="R581" s="851">
        <v>14.6</v>
      </c>
      <c r="S581" s="851">
        <v>0</v>
      </c>
      <c r="T581" s="851">
        <v>18.899999999999999</v>
      </c>
      <c r="U581" s="851">
        <v>0</v>
      </c>
      <c r="V581" s="851">
        <v>16.100000000000001</v>
      </c>
      <c r="W581" s="851">
        <v>0</v>
      </c>
      <c r="X581" s="851">
        <v>20.100000000000001</v>
      </c>
      <c r="Y581" s="851">
        <v>0</v>
      </c>
      <c r="Z581" s="851">
        <v>36.6</v>
      </c>
      <c r="AA581" s="851">
        <v>0</v>
      </c>
      <c r="AB581" s="851">
        <v>41.8</v>
      </c>
      <c r="AC581" s="851">
        <v>0</v>
      </c>
      <c r="AD581" s="851">
        <v>65.8</v>
      </c>
      <c r="AE581" s="851">
        <v>0</v>
      </c>
      <c r="AF581" s="851">
        <v>29.9</v>
      </c>
      <c r="AG581" s="851">
        <v>0</v>
      </c>
      <c r="AH581" s="851">
        <v>54.4</v>
      </c>
      <c r="AI581" s="851">
        <v>0</v>
      </c>
      <c r="AJ581" s="851">
        <v>13.8</v>
      </c>
      <c r="AK581" s="851">
        <v>0</v>
      </c>
      <c r="AL581" s="851"/>
      <c r="AM581" s="851"/>
      <c r="AN581" s="851"/>
      <c r="AO581" s="851"/>
      <c r="AP581" s="851"/>
    </row>
    <row r="582" spans="1:42" ht="14">
      <c r="A582" s="856">
        <v>581</v>
      </c>
      <c r="B582" s="425" t="s">
        <v>2713</v>
      </c>
      <c r="C582" s="425" t="s">
        <v>43</v>
      </c>
      <c r="D582" s="425" t="s">
        <v>2377</v>
      </c>
      <c r="E582" s="425" t="s">
        <v>2721</v>
      </c>
      <c r="F582" s="425" t="s">
        <v>1024</v>
      </c>
      <c r="G582">
        <v>1</v>
      </c>
      <c r="H582" s="852">
        <v>0.53</v>
      </c>
      <c r="I582" s="852">
        <v>10.050000000000001</v>
      </c>
      <c r="J582" s="852">
        <f t="shared" si="44"/>
        <v>5.3265000000000002</v>
      </c>
      <c r="K582" s="852">
        <f t="shared" si="45"/>
        <v>0.69244500000000009</v>
      </c>
      <c r="L582">
        <v>0</v>
      </c>
      <c r="M582" s="425" t="s">
        <v>2739</v>
      </c>
      <c r="N582" s="370">
        <v>2022</v>
      </c>
      <c r="O582" s="425" t="s">
        <v>2685</v>
      </c>
      <c r="P582" s="854">
        <v>5415058049133</v>
      </c>
      <c r="Q582" s="425" t="s">
        <v>2385</v>
      </c>
      <c r="R582" s="851">
        <v>14.6</v>
      </c>
      <c r="S582" s="851">
        <v>0</v>
      </c>
      <c r="T582" s="851">
        <v>18.899999999999999</v>
      </c>
      <c r="U582" s="851">
        <v>0</v>
      </c>
      <c r="V582" s="851">
        <v>16.100000000000001</v>
      </c>
      <c r="W582" s="851">
        <v>0</v>
      </c>
      <c r="X582" s="851">
        <v>20.100000000000001</v>
      </c>
      <c r="Y582" s="851">
        <v>0</v>
      </c>
      <c r="Z582" s="851">
        <v>36.6</v>
      </c>
      <c r="AA582" s="851">
        <v>0</v>
      </c>
      <c r="AB582" s="851">
        <v>41.8</v>
      </c>
      <c r="AC582" s="851">
        <v>0</v>
      </c>
      <c r="AD582" s="851">
        <v>65.8</v>
      </c>
      <c r="AE582" s="851">
        <v>0</v>
      </c>
      <c r="AF582" s="851">
        <v>29.9</v>
      </c>
      <c r="AG582" s="851">
        <v>0</v>
      </c>
      <c r="AH582" s="851">
        <v>54.4</v>
      </c>
      <c r="AI582" s="851">
        <v>0</v>
      </c>
      <c r="AJ582" s="851">
        <v>13.8</v>
      </c>
      <c r="AK582" s="851">
        <v>0</v>
      </c>
      <c r="AL582" s="851"/>
      <c r="AM582" s="851"/>
      <c r="AN582" s="851"/>
      <c r="AO582" s="851"/>
      <c r="AP582" s="851"/>
    </row>
    <row r="583" spans="1:42" ht="14">
      <c r="A583" s="856">
        <v>582</v>
      </c>
      <c r="B583" s="425" t="s">
        <v>2714</v>
      </c>
      <c r="C583" s="425" t="s">
        <v>43</v>
      </c>
      <c r="D583" s="425" t="s">
        <v>2377</v>
      </c>
      <c r="E583" s="425" t="s">
        <v>2721</v>
      </c>
      <c r="F583" s="425" t="s">
        <v>1004</v>
      </c>
      <c r="G583">
        <v>1</v>
      </c>
      <c r="H583" s="852">
        <v>0.53</v>
      </c>
      <c r="I583" s="852">
        <v>10.050000000000001</v>
      </c>
      <c r="J583" s="852">
        <f t="shared" si="44"/>
        <v>5.3265000000000002</v>
      </c>
      <c r="K583" s="852">
        <f t="shared" si="45"/>
        <v>0.69244500000000009</v>
      </c>
      <c r="L583">
        <v>0</v>
      </c>
      <c r="M583" s="425" t="s">
        <v>2739</v>
      </c>
      <c r="N583" s="370">
        <v>2022</v>
      </c>
      <c r="O583" s="425" t="s">
        <v>2685</v>
      </c>
      <c r="P583" s="854">
        <v>5415058049140</v>
      </c>
      <c r="Q583" s="425" t="s">
        <v>2385</v>
      </c>
      <c r="R583" s="851">
        <v>14.6</v>
      </c>
      <c r="S583" s="851">
        <v>0</v>
      </c>
      <c r="T583" s="851">
        <v>18.899999999999999</v>
      </c>
      <c r="U583" s="851">
        <v>0</v>
      </c>
      <c r="V583" s="851">
        <v>16.100000000000001</v>
      </c>
      <c r="W583" s="851">
        <v>0</v>
      </c>
      <c r="X583" s="851">
        <v>20.100000000000001</v>
      </c>
      <c r="Y583" s="851">
        <v>0</v>
      </c>
      <c r="Z583" s="851">
        <v>36.6</v>
      </c>
      <c r="AA583" s="851">
        <v>0</v>
      </c>
      <c r="AB583" s="851">
        <v>41.8</v>
      </c>
      <c r="AC583" s="851">
        <v>0</v>
      </c>
      <c r="AD583" s="851">
        <v>65.8</v>
      </c>
      <c r="AE583" s="851">
        <v>0</v>
      </c>
      <c r="AF583" s="851">
        <v>29.9</v>
      </c>
      <c r="AG583" s="851">
        <v>0</v>
      </c>
      <c r="AH583" s="851">
        <v>54.4</v>
      </c>
      <c r="AI583" s="851">
        <v>0</v>
      </c>
      <c r="AJ583" s="851">
        <v>13.8</v>
      </c>
      <c r="AK583" s="851">
        <v>0</v>
      </c>
      <c r="AL583" s="851"/>
      <c r="AM583" s="851"/>
      <c r="AN583" s="851"/>
      <c r="AO583" s="851"/>
      <c r="AP583" s="851"/>
    </row>
    <row r="584" spans="1:42" ht="14">
      <c r="A584" s="856">
        <v>583</v>
      </c>
      <c r="B584" s="425" t="s">
        <v>2715</v>
      </c>
      <c r="C584" s="425" t="s">
        <v>43</v>
      </c>
      <c r="D584" s="425" t="s">
        <v>2377</v>
      </c>
      <c r="E584" s="425" t="s">
        <v>2721</v>
      </c>
      <c r="F584" s="425" t="s">
        <v>1006</v>
      </c>
      <c r="G584">
        <v>1</v>
      </c>
      <c r="H584" s="852">
        <v>0.53</v>
      </c>
      <c r="I584" s="852">
        <v>10.050000000000001</v>
      </c>
      <c r="J584" s="852">
        <f t="shared" si="44"/>
        <v>5.3265000000000002</v>
      </c>
      <c r="K584" s="852">
        <f t="shared" si="45"/>
        <v>0.69244500000000009</v>
      </c>
      <c r="L584">
        <v>0</v>
      </c>
      <c r="M584" s="425" t="s">
        <v>2739</v>
      </c>
      <c r="N584" s="370">
        <v>2022</v>
      </c>
      <c r="O584" s="425" t="s">
        <v>2685</v>
      </c>
      <c r="P584" s="854">
        <v>5415058049157</v>
      </c>
      <c r="Q584" s="425" t="s">
        <v>2385</v>
      </c>
      <c r="R584" s="851">
        <v>14.6</v>
      </c>
      <c r="S584" s="851">
        <v>0</v>
      </c>
      <c r="T584" s="851">
        <v>18.899999999999999</v>
      </c>
      <c r="U584" s="851">
        <v>0</v>
      </c>
      <c r="V584" s="851">
        <v>16.100000000000001</v>
      </c>
      <c r="W584" s="851">
        <v>0</v>
      </c>
      <c r="X584" s="851">
        <v>20.100000000000001</v>
      </c>
      <c r="Y584" s="851">
        <v>0</v>
      </c>
      <c r="Z584" s="851">
        <v>36.6</v>
      </c>
      <c r="AA584" s="851">
        <v>0</v>
      </c>
      <c r="AB584" s="851">
        <v>41.8</v>
      </c>
      <c r="AC584" s="851">
        <v>0</v>
      </c>
      <c r="AD584" s="851">
        <v>65.8</v>
      </c>
      <c r="AE584" s="851">
        <v>0</v>
      </c>
      <c r="AF584" s="851">
        <v>29.9</v>
      </c>
      <c r="AG584" s="851">
        <v>0</v>
      </c>
      <c r="AH584" s="851">
        <v>54.4</v>
      </c>
      <c r="AI584" s="851">
        <v>0</v>
      </c>
      <c r="AJ584" s="851">
        <v>13.8</v>
      </c>
      <c r="AK584" s="851">
        <v>0</v>
      </c>
      <c r="AL584" s="851"/>
      <c r="AM584" s="851"/>
      <c r="AN584" s="851"/>
      <c r="AO584" s="851"/>
      <c r="AP584" s="851"/>
    </row>
    <row r="585" spans="1:42" ht="14">
      <c r="A585" s="856">
        <v>584</v>
      </c>
      <c r="B585" s="425" t="s">
        <v>2716</v>
      </c>
      <c r="C585" s="425" t="s">
        <v>43</v>
      </c>
      <c r="D585" s="425" t="s">
        <v>2377</v>
      </c>
      <c r="E585" s="425" t="s">
        <v>2721</v>
      </c>
      <c r="F585" s="425" t="s">
        <v>1014</v>
      </c>
      <c r="G585">
        <v>1</v>
      </c>
      <c r="H585" s="852">
        <v>0.53</v>
      </c>
      <c r="I585" s="852">
        <v>10.050000000000001</v>
      </c>
      <c r="J585" s="852">
        <f t="shared" si="44"/>
        <v>5.3265000000000002</v>
      </c>
      <c r="K585" s="852">
        <f t="shared" si="45"/>
        <v>0.69244500000000009</v>
      </c>
      <c r="L585">
        <v>0</v>
      </c>
      <c r="M585" s="425" t="s">
        <v>2739</v>
      </c>
      <c r="N585" s="370">
        <v>2022</v>
      </c>
      <c r="O585" s="425" t="s">
        <v>2685</v>
      </c>
      <c r="P585" s="854">
        <v>5415058049164</v>
      </c>
      <c r="Q585" s="425" t="s">
        <v>2385</v>
      </c>
      <c r="R585" s="851">
        <v>14.6</v>
      </c>
      <c r="S585" s="851">
        <v>0</v>
      </c>
      <c r="T585" s="851">
        <v>18.899999999999999</v>
      </c>
      <c r="U585" s="851">
        <v>0</v>
      </c>
      <c r="V585" s="851">
        <v>16.100000000000001</v>
      </c>
      <c r="W585" s="851">
        <v>0</v>
      </c>
      <c r="X585" s="851">
        <v>20.100000000000001</v>
      </c>
      <c r="Y585" s="851">
        <v>0</v>
      </c>
      <c r="Z585" s="851">
        <v>36.6</v>
      </c>
      <c r="AA585" s="851">
        <v>0</v>
      </c>
      <c r="AB585" s="851">
        <v>41.8</v>
      </c>
      <c r="AC585" s="851">
        <v>0</v>
      </c>
      <c r="AD585" s="851">
        <v>65.8</v>
      </c>
      <c r="AE585" s="851">
        <v>0</v>
      </c>
      <c r="AF585" s="851">
        <v>29.9</v>
      </c>
      <c r="AG585" s="851">
        <v>0</v>
      </c>
      <c r="AH585" s="851">
        <v>54.4</v>
      </c>
      <c r="AI585" s="851">
        <v>0</v>
      </c>
      <c r="AJ585" s="851">
        <v>13.8</v>
      </c>
      <c r="AK585" s="851">
        <v>0</v>
      </c>
      <c r="AL585" s="851"/>
      <c r="AM585" s="851"/>
      <c r="AN585" s="851"/>
      <c r="AO585" s="851"/>
      <c r="AP585" s="851"/>
    </row>
    <row r="586" spans="1:42" ht="14">
      <c r="A586" s="856">
        <v>585</v>
      </c>
      <c r="B586" s="425" t="s">
        <v>2717</v>
      </c>
      <c r="C586" s="425" t="s">
        <v>43</v>
      </c>
      <c r="D586" s="425" t="s">
        <v>2377</v>
      </c>
      <c r="E586" s="425" t="s">
        <v>2721</v>
      </c>
      <c r="F586" s="425" t="s">
        <v>1002</v>
      </c>
      <c r="G586">
        <v>1</v>
      </c>
      <c r="H586" s="852">
        <v>0.53</v>
      </c>
      <c r="I586" s="852">
        <v>10.050000000000001</v>
      </c>
      <c r="J586" s="852">
        <f t="shared" si="44"/>
        <v>5.3265000000000002</v>
      </c>
      <c r="K586" s="852">
        <f t="shared" si="45"/>
        <v>0.69244500000000009</v>
      </c>
      <c r="L586">
        <v>0</v>
      </c>
      <c r="M586" s="425" t="s">
        <v>2739</v>
      </c>
      <c r="N586" s="370">
        <v>2022</v>
      </c>
      <c r="O586" s="425" t="s">
        <v>2685</v>
      </c>
      <c r="P586" s="854">
        <v>5415058049171</v>
      </c>
      <c r="Q586" s="425" t="s">
        <v>2385</v>
      </c>
      <c r="R586" s="851">
        <v>14.6</v>
      </c>
      <c r="S586" s="851">
        <v>0</v>
      </c>
      <c r="T586" s="851">
        <v>18.899999999999999</v>
      </c>
      <c r="U586" s="851">
        <v>0</v>
      </c>
      <c r="V586" s="851">
        <v>16.100000000000001</v>
      </c>
      <c r="W586" s="851">
        <v>0</v>
      </c>
      <c r="X586" s="851">
        <v>20.100000000000001</v>
      </c>
      <c r="Y586" s="851">
        <v>0</v>
      </c>
      <c r="Z586" s="851">
        <v>36.6</v>
      </c>
      <c r="AA586" s="851">
        <v>0</v>
      </c>
      <c r="AB586" s="851">
        <v>41.8</v>
      </c>
      <c r="AC586" s="851">
        <v>0</v>
      </c>
      <c r="AD586" s="851">
        <v>65.8</v>
      </c>
      <c r="AE586" s="851">
        <v>0</v>
      </c>
      <c r="AF586" s="851">
        <v>29.9</v>
      </c>
      <c r="AG586" s="851">
        <v>0</v>
      </c>
      <c r="AH586" s="851">
        <v>54.4</v>
      </c>
      <c r="AI586" s="851">
        <v>0</v>
      </c>
      <c r="AJ586" s="851">
        <v>13.8</v>
      </c>
      <c r="AK586" s="851">
        <v>0</v>
      </c>
      <c r="AL586" s="851"/>
      <c r="AM586" s="851"/>
      <c r="AN586" s="851"/>
      <c r="AO586" s="851"/>
      <c r="AP586" s="851"/>
    </row>
    <row r="587" spans="1:42" ht="14">
      <c r="A587" s="856">
        <v>586</v>
      </c>
      <c r="B587" s="425" t="s">
        <v>2722</v>
      </c>
      <c r="C587" s="425" t="s">
        <v>43</v>
      </c>
      <c r="D587" s="425" t="s">
        <v>2450</v>
      </c>
      <c r="E587" s="425" t="s">
        <v>2733</v>
      </c>
      <c r="F587" s="425" t="s">
        <v>2689</v>
      </c>
      <c r="G587">
        <v>4</v>
      </c>
      <c r="H587" s="852">
        <v>0.53</v>
      </c>
      <c r="I587" s="852">
        <v>3</v>
      </c>
      <c r="J587" s="852">
        <f t="shared" si="44"/>
        <v>6.36</v>
      </c>
      <c r="K587" s="852">
        <f t="shared" si="45"/>
        <v>0.82680000000000009</v>
      </c>
      <c r="L587">
        <v>0</v>
      </c>
      <c r="M587" s="425" t="s">
        <v>47</v>
      </c>
      <c r="N587" s="370">
        <v>2050</v>
      </c>
      <c r="O587" s="425" t="s">
        <v>2685</v>
      </c>
      <c r="P587" s="854">
        <v>5415058049195</v>
      </c>
      <c r="Q587" s="425" t="s">
        <v>2474</v>
      </c>
      <c r="R587" s="851">
        <v>15.75</v>
      </c>
      <c r="S587" s="851">
        <v>18.899999999999999</v>
      </c>
      <c r="T587" s="851">
        <v>15.75</v>
      </c>
      <c r="U587" s="851">
        <v>18.899999999999999</v>
      </c>
      <c r="V587" s="851">
        <v>17.3</v>
      </c>
      <c r="W587" s="851">
        <v>20.8</v>
      </c>
      <c r="X587" s="851">
        <v>17.3</v>
      </c>
      <c r="Y587" s="851">
        <v>20.8</v>
      </c>
      <c r="Z587" s="851">
        <v>31.5</v>
      </c>
      <c r="AA587" s="851">
        <v>37.799999999999997</v>
      </c>
      <c r="AB587" s="851">
        <v>35</v>
      </c>
      <c r="AC587" s="851">
        <v>42.1</v>
      </c>
      <c r="AD587" s="851">
        <v>55</v>
      </c>
      <c r="AE587" s="851">
        <v>60.5</v>
      </c>
      <c r="AF587" s="851">
        <v>25</v>
      </c>
      <c r="AG587" s="851">
        <v>30</v>
      </c>
      <c r="AH587" s="851">
        <v>45.45</v>
      </c>
      <c r="AI587" s="851">
        <v>50</v>
      </c>
      <c r="AJ587" s="851">
        <v>17.3</v>
      </c>
      <c r="AK587" s="851">
        <v>20.8</v>
      </c>
      <c r="AL587" s="851"/>
      <c r="AM587" s="851"/>
      <c r="AN587" s="851"/>
      <c r="AO587" s="851"/>
      <c r="AP587" s="851"/>
    </row>
    <row r="588" spans="1:42" ht="14">
      <c r="A588" s="856">
        <v>587</v>
      </c>
      <c r="B588" s="425" t="s">
        <v>2723</v>
      </c>
      <c r="C588" s="425" t="s">
        <v>43</v>
      </c>
      <c r="D588" s="425" t="s">
        <v>2450</v>
      </c>
      <c r="E588" s="425" t="s">
        <v>2733</v>
      </c>
      <c r="F588" s="425" t="s">
        <v>2684</v>
      </c>
      <c r="G588">
        <v>4</v>
      </c>
      <c r="H588" s="852">
        <v>0.53</v>
      </c>
      <c r="I588" s="852">
        <v>3</v>
      </c>
      <c r="J588" s="852">
        <f t="shared" ref="J588:J624" si="46">H588*I588*G588</f>
        <v>6.36</v>
      </c>
      <c r="K588" s="852">
        <f t="shared" ref="K588:K624" si="47">J588*130/1000</f>
        <v>0.82680000000000009</v>
      </c>
      <c r="L588">
        <v>1</v>
      </c>
      <c r="M588" s="425" t="s">
        <v>47</v>
      </c>
      <c r="N588" s="370">
        <v>2051</v>
      </c>
      <c r="O588" s="425" t="s">
        <v>2685</v>
      </c>
      <c r="P588" s="854">
        <v>5415058049201</v>
      </c>
      <c r="Q588" s="425" t="s">
        <v>2474</v>
      </c>
      <c r="R588" s="851">
        <v>15.75</v>
      </c>
      <c r="S588" s="851">
        <v>18.899999999999999</v>
      </c>
      <c r="T588" s="851">
        <v>15.75</v>
      </c>
      <c r="U588" s="851">
        <v>18.899999999999999</v>
      </c>
      <c r="V588" s="851">
        <v>17.3</v>
      </c>
      <c r="W588" s="851">
        <v>20.8</v>
      </c>
      <c r="X588" s="851">
        <v>17.3</v>
      </c>
      <c r="Y588" s="851">
        <v>20.8</v>
      </c>
      <c r="Z588" s="851">
        <v>31.5</v>
      </c>
      <c r="AA588" s="851">
        <v>37.799999999999997</v>
      </c>
      <c r="AB588" s="851">
        <v>35</v>
      </c>
      <c r="AC588" s="851">
        <v>42.1</v>
      </c>
      <c r="AD588" s="851">
        <v>55</v>
      </c>
      <c r="AE588" s="851">
        <v>60.5</v>
      </c>
      <c r="AF588" s="851">
        <v>25</v>
      </c>
      <c r="AG588" s="851">
        <v>30</v>
      </c>
      <c r="AH588" s="851">
        <v>45.45</v>
      </c>
      <c r="AI588" s="851">
        <v>50</v>
      </c>
      <c r="AJ588" s="851">
        <v>17.3</v>
      </c>
      <c r="AK588" s="851">
        <v>20.8</v>
      </c>
      <c r="AL588" s="851"/>
      <c r="AM588" s="851"/>
      <c r="AN588" s="851"/>
      <c r="AO588" s="851"/>
      <c r="AP588" s="851"/>
    </row>
    <row r="589" spans="1:42" ht="14">
      <c r="A589" s="856">
        <v>588</v>
      </c>
      <c r="B589" s="425" t="s">
        <v>2724</v>
      </c>
      <c r="C589" s="425" t="s">
        <v>43</v>
      </c>
      <c r="D589" s="425" t="s">
        <v>2450</v>
      </c>
      <c r="E589" s="425" t="s">
        <v>2734</v>
      </c>
      <c r="F589" s="425" t="s">
        <v>2737</v>
      </c>
      <c r="G589">
        <v>3</v>
      </c>
      <c r="H589" s="852">
        <v>0.53</v>
      </c>
      <c r="I589" s="852">
        <v>3</v>
      </c>
      <c r="J589" s="852">
        <f t="shared" si="46"/>
        <v>4.7700000000000005</v>
      </c>
      <c r="K589" s="852">
        <f t="shared" si="47"/>
        <v>0.62009999999999998</v>
      </c>
      <c r="L589">
        <v>2</v>
      </c>
      <c r="M589" s="425" t="s">
        <v>47</v>
      </c>
      <c r="N589" s="370">
        <v>2052</v>
      </c>
      <c r="O589" s="425" t="s">
        <v>2740</v>
      </c>
      <c r="P589" s="854">
        <v>5415058049225</v>
      </c>
      <c r="Q589" s="425" t="s">
        <v>2474</v>
      </c>
      <c r="R589" s="851">
        <v>15.75</v>
      </c>
      <c r="S589" s="851">
        <v>18.899999999999999</v>
      </c>
      <c r="T589" s="851">
        <v>15.75</v>
      </c>
      <c r="U589" s="851">
        <v>18.899999999999999</v>
      </c>
      <c r="V589" s="851">
        <v>17.3</v>
      </c>
      <c r="W589" s="851">
        <v>20.8</v>
      </c>
      <c r="X589" s="851">
        <v>17.3</v>
      </c>
      <c r="Y589" s="851">
        <v>20.8</v>
      </c>
      <c r="Z589" s="851">
        <v>31.5</v>
      </c>
      <c r="AA589" s="851">
        <v>37.799999999999997</v>
      </c>
      <c r="AB589" s="851">
        <v>35</v>
      </c>
      <c r="AC589" s="851">
        <v>42.1</v>
      </c>
      <c r="AD589" s="851">
        <v>55</v>
      </c>
      <c r="AE589" s="851">
        <v>60.5</v>
      </c>
      <c r="AF589" s="851">
        <v>25</v>
      </c>
      <c r="AG589" s="851">
        <v>30</v>
      </c>
      <c r="AH589" s="851">
        <v>45.45</v>
      </c>
      <c r="AI589" s="851">
        <v>50</v>
      </c>
      <c r="AJ589" s="851">
        <v>17.3</v>
      </c>
      <c r="AK589" s="851">
        <v>20.8</v>
      </c>
      <c r="AL589" s="851"/>
      <c r="AM589" s="851"/>
      <c r="AN589" s="851"/>
      <c r="AO589" s="851"/>
      <c r="AP589" s="851"/>
    </row>
    <row r="590" spans="1:42" ht="14">
      <c r="A590" s="856">
        <v>589</v>
      </c>
      <c r="B590" s="425" t="s">
        <v>2725</v>
      </c>
      <c r="C590" s="425" t="s">
        <v>43</v>
      </c>
      <c r="D590" s="425" t="s">
        <v>2450</v>
      </c>
      <c r="E590" s="425" t="s">
        <v>2734</v>
      </c>
      <c r="F590" s="425" t="s">
        <v>2691</v>
      </c>
      <c r="G590">
        <v>3</v>
      </c>
      <c r="H590" s="852">
        <v>0.53</v>
      </c>
      <c r="I590" s="852">
        <v>3</v>
      </c>
      <c r="J590" s="852">
        <f t="shared" si="46"/>
        <v>4.7700000000000005</v>
      </c>
      <c r="K590" s="852">
        <f t="shared" si="47"/>
        <v>0.62009999999999998</v>
      </c>
      <c r="L590">
        <v>3</v>
      </c>
      <c r="M590" s="425" t="s">
        <v>47</v>
      </c>
      <c r="N590" s="370">
        <v>2053</v>
      </c>
      <c r="O590" s="425" t="s">
        <v>2740</v>
      </c>
      <c r="P590" s="854">
        <v>5415058049232</v>
      </c>
      <c r="Q590" s="425" t="s">
        <v>2474</v>
      </c>
      <c r="R590" s="851">
        <v>15.75</v>
      </c>
      <c r="S590" s="851">
        <v>18.899999999999999</v>
      </c>
      <c r="T590" s="851">
        <v>15.75</v>
      </c>
      <c r="U590" s="851">
        <v>18.899999999999999</v>
      </c>
      <c r="V590" s="851">
        <v>17.3</v>
      </c>
      <c r="W590" s="851">
        <v>20.8</v>
      </c>
      <c r="X590" s="851">
        <v>17.3</v>
      </c>
      <c r="Y590" s="851">
        <v>20.8</v>
      </c>
      <c r="Z590" s="851">
        <v>31.5</v>
      </c>
      <c r="AA590" s="851">
        <v>37.799999999999997</v>
      </c>
      <c r="AB590" s="851">
        <v>35</v>
      </c>
      <c r="AC590" s="851">
        <v>42.1</v>
      </c>
      <c r="AD590" s="851">
        <v>55</v>
      </c>
      <c r="AE590" s="851">
        <v>60.5</v>
      </c>
      <c r="AF590" s="851">
        <v>25</v>
      </c>
      <c r="AG590" s="851">
        <v>30</v>
      </c>
      <c r="AH590" s="851">
        <v>45.45</v>
      </c>
      <c r="AI590" s="851">
        <v>50</v>
      </c>
      <c r="AJ590" s="851">
        <v>17.3</v>
      </c>
      <c r="AK590" s="851">
        <v>20.8</v>
      </c>
      <c r="AL590" s="851"/>
      <c r="AM590" s="851"/>
      <c r="AN590" s="851"/>
      <c r="AO590" s="851"/>
      <c r="AP590" s="851"/>
    </row>
    <row r="591" spans="1:42" ht="14">
      <c r="A591" s="856">
        <v>590</v>
      </c>
      <c r="B591" s="425" t="s">
        <v>2726</v>
      </c>
      <c r="C591" s="425" t="s">
        <v>43</v>
      </c>
      <c r="D591" s="425" t="s">
        <v>2450</v>
      </c>
      <c r="E591" s="425" t="s">
        <v>2734</v>
      </c>
      <c r="F591" s="425" t="s">
        <v>2688</v>
      </c>
      <c r="G591">
        <v>3</v>
      </c>
      <c r="H591" s="852">
        <v>0.53</v>
      </c>
      <c r="I591" s="852">
        <v>3</v>
      </c>
      <c r="J591" s="852">
        <f t="shared" si="46"/>
        <v>4.7700000000000005</v>
      </c>
      <c r="K591" s="852">
        <f t="shared" si="47"/>
        <v>0.62009999999999998</v>
      </c>
      <c r="L591">
        <v>4</v>
      </c>
      <c r="M591" s="425" t="s">
        <v>47</v>
      </c>
      <c r="N591" s="370">
        <v>2054</v>
      </c>
      <c r="O591" s="425" t="s">
        <v>2740</v>
      </c>
      <c r="P591" s="854">
        <v>5415058049249</v>
      </c>
      <c r="Q591" s="425" t="s">
        <v>2474</v>
      </c>
      <c r="R591" s="851">
        <v>15.75</v>
      </c>
      <c r="S591" s="851">
        <v>18.899999999999999</v>
      </c>
      <c r="T591" s="851">
        <v>15.75</v>
      </c>
      <c r="U591" s="851">
        <v>18.899999999999999</v>
      </c>
      <c r="V591" s="851">
        <v>17.3</v>
      </c>
      <c r="W591" s="851">
        <v>20.8</v>
      </c>
      <c r="X591" s="851">
        <v>17.3</v>
      </c>
      <c r="Y591" s="851">
        <v>20.8</v>
      </c>
      <c r="Z591" s="851">
        <v>31.5</v>
      </c>
      <c r="AA591" s="851">
        <v>37.799999999999997</v>
      </c>
      <c r="AB591" s="851">
        <v>35</v>
      </c>
      <c r="AC591" s="851">
        <v>42.1</v>
      </c>
      <c r="AD591" s="851">
        <v>55</v>
      </c>
      <c r="AE591" s="851">
        <v>60.5</v>
      </c>
      <c r="AF591" s="851">
        <v>25</v>
      </c>
      <c r="AG591" s="851">
        <v>30</v>
      </c>
      <c r="AH591" s="851">
        <v>45.45</v>
      </c>
      <c r="AI591" s="851">
        <v>50</v>
      </c>
      <c r="AJ591" s="851">
        <v>17.3</v>
      </c>
      <c r="AK591" s="851">
        <v>20.8</v>
      </c>
      <c r="AL591" s="851"/>
      <c r="AM591" s="851"/>
      <c r="AN591" s="851"/>
      <c r="AO591" s="851"/>
      <c r="AP591" s="851"/>
    </row>
    <row r="592" spans="1:42" ht="14">
      <c r="A592" s="856">
        <v>591</v>
      </c>
      <c r="B592" s="425" t="s">
        <v>2727</v>
      </c>
      <c r="C592" s="425" t="s">
        <v>43</v>
      </c>
      <c r="D592" s="425" t="s">
        <v>2450</v>
      </c>
      <c r="E592" s="425" t="s">
        <v>2735</v>
      </c>
      <c r="F592" s="425" t="s">
        <v>2689</v>
      </c>
      <c r="G592">
        <v>4</v>
      </c>
      <c r="H592" s="852">
        <v>0.53</v>
      </c>
      <c r="I592" s="852">
        <v>3</v>
      </c>
      <c r="J592" s="852">
        <f t="shared" si="46"/>
        <v>6.36</v>
      </c>
      <c r="K592" s="852">
        <f t="shared" si="47"/>
        <v>0.82680000000000009</v>
      </c>
      <c r="L592">
        <v>5</v>
      </c>
      <c r="M592" s="425" t="s">
        <v>47</v>
      </c>
      <c r="N592" s="370">
        <v>2055</v>
      </c>
      <c r="O592" s="425" t="s">
        <v>2685</v>
      </c>
      <c r="P592" s="854">
        <v>5415058049256</v>
      </c>
      <c r="Q592" s="425" t="s">
        <v>2474</v>
      </c>
      <c r="R592" s="851">
        <v>15.75</v>
      </c>
      <c r="S592" s="851">
        <v>18.899999999999999</v>
      </c>
      <c r="T592" s="851">
        <v>15.75</v>
      </c>
      <c r="U592" s="851">
        <v>18.899999999999999</v>
      </c>
      <c r="V592" s="851">
        <v>17.3</v>
      </c>
      <c r="W592" s="851">
        <v>20.8</v>
      </c>
      <c r="X592" s="851">
        <v>17.3</v>
      </c>
      <c r="Y592" s="851">
        <v>20.8</v>
      </c>
      <c r="Z592" s="851">
        <v>31.5</v>
      </c>
      <c r="AA592" s="851">
        <v>37.799999999999997</v>
      </c>
      <c r="AB592" s="851">
        <v>35</v>
      </c>
      <c r="AC592" s="851">
        <v>42.1</v>
      </c>
      <c r="AD592" s="851">
        <v>55</v>
      </c>
      <c r="AE592" s="851">
        <v>60.5</v>
      </c>
      <c r="AF592" s="851">
        <v>25</v>
      </c>
      <c r="AG592" s="851">
        <v>30</v>
      </c>
      <c r="AH592" s="851">
        <v>45.45</v>
      </c>
      <c r="AI592" s="851">
        <v>50</v>
      </c>
      <c r="AJ592" s="851">
        <v>17.3</v>
      </c>
      <c r="AK592" s="851">
        <v>20.8</v>
      </c>
      <c r="AL592" s="851"/>
      <c r="AM592" s="851"/>
      <c r="AN592" s="851"/>
      <c r="AO592" s="851"/>
      <c r="AP592" s="851"/>
    </row>
    <row r="593" spans="1:42" ht="14">
      <c r="A593" s="856">
        <v>592</v>
      </c>
      <c r="B593" s="425" t="s">
        <v>2728</v>
      </c>
      <c r="C593" s="425" t="s">
        <v>43</v>
      </c>
      <c r="D593" s="425" t="s">
        <v>2450</v>
      </c>
      <c r="E593" s="425" t="s">
        <v>2735</v>
      </c>
      <c r="F593" s="425" t="s">
        <v>2684</v>
      </c>
      <c r="G593">
        <v>4</v>
      </c>
      <c r="H593" s="852">
        <v>0.53</v>
      </c>
      <c r="I593" s="852">
        <v>3</v>
      </c>
      <c r="J593" s="852">
        <f t="shared" si="46"/>
        <v>6.36</v>
      </c>
      <c r="K593" s="852">
        <f t="shared" si="47"/>
        <v>0.82680000000000009</v>
      </c>
      <c r="L593">
        <v>6</v>
      </c>
      <c r="M593" s="425" t="s">
        <v>47</v>
      </c>
      <c r="N593" s="370">
        <v>2056</v>
      </c>
      <c r="O593" s="425" t="s">
        <v>2685</v>
      </c>
      <c r="P593" s="854">
        <v>5415058049263</v>
      </c>
      <c r="Q593" s="425" t="s">
        <v>2474</v>
      </c>
      <c r="R593" s="851">
        <v>15.75</v>
      </c>
      <c r="S593" s="851">
        <v>18.899999999999999</v>
      </c>
      <c r="T593" s="851">
        <v>15.75</v>
      </c>
      <c r="U593" s="851">
        <v>18.899999999999999</v>
      </c>
      <c r="V593" s="851">
        <v>17.3</v>
      </c>
      <c r="W593" s="851">
        <v>20.8</v>
      </c>
      <c r="X593" s="851">
        <v>17.3</v>
      </c>
      <c r="Y593" s="851">
        <v>20.8</v>
      </c>
      <c r="Z593" s="851">
        <v>31.5</v>
      </c>
      <c r="AA593" s="851">
        <v>37.799999999999997</v>
      </c>
      <c r="AB593" s="851">
        <v>35</v>
      </c>
      <c r="AC593" s="851">
        <v>42.1</v>
      </c>
      <c r="AD593" s="851">
        <v>55</v>
      </c>
      <c r="AE593" s="851">
        <v>60.5</v>
      </c>
      <c r="AF593" s="851">
        <v>25</v>
      </c>
      <c r="AG593" s="851">
        <v>30</v>
      </c>
      <c r="AH593" s="851">
        <v>45.45</v>
      </c>
      <c r="AI593" s="851">
        <v>50</v>
      </c>
      <c r="AJ593" s="851">
        <v>17.3</v>
      </c>
      <c r="AK593" s="851">
        <v>20.8</v>
      </c>
      <c r="AL593" s="851"/>
      <c r="AM593" s="851"/>
      <c r="AN593" s="851"/>
      <c r="AO593" s="851"/>
      <c r="AP593" s="851"/>
    </row>
    <row r="594" spans="1:42" ht="14">
      <c r="A594" s="856">
        <v>593</v>
      </c>
      <c r="B594" s="425" t="s">
        <v>2729</v>
      </c>
      <c r="C594" s="425" t="s">
        <v>43</v>
      </c>
      <c r="D594" s="425" t="s">
        <v>2450</v>
      </c>
      <c r="E594" s="425" t="s">
        <v>2735</v>
      </c>
      <c r="F594" s="425" t="s">
        <v>2738</v>
      </c>
      <c r="G594">
        <v>4</v>
      </c>
      <c r="H594" s="852">
        <v>0.53</v>
      </c>
      <c r="I594" s="852">
        <v>3</v>
      </c>
      <c r="J594" s="852">
        <f t="shared" si="46"/>
        <v>6.36</v>
      </c>
      <c r="K594" s="852">
        <f t="shared" si="47"/>
        <v>0.82680000000000009</v>
      </c>
      <c r="L594">
        <v>7</v>
      </c>
      <c r="M594" s="425" t="s">
        <v>47</v>
      </c>
      <c r="N594" s="370">
        <v>2057</v>
      </c>
      <c r="O594" s="425" t="s">
        <v>2685</v>
      </c>
      <c r="P594" s="854">
        <v>5415058049270</v>
      </c>
      <c r="Q594" s="425" t="s">
        <v>2474</v>
      </c>
      <c r="R594" s="851">
        <v>15.75</v>
      </c>
      <c r="S594" s="851">
        <v>18.899999999999999</v>
      </c>
      <c r="T594" s="851">
        <v>15.75</v>
      </c>
      <c r="U594" s="851">
        <v>18.899999999999999</v>
      </c>
      <c r="V594" s="851">
        <v>17.3</v>
      </c>
      <c r="W594" s="851">
        <v>20.8</v>
      </c>
      <c r="X594" s="851">
        <v>17.3</v>
      </c>
      <c r="Y594" s="851">
        <v>20.8</v>
      </c>
      <c r="Z594" s="851">
        <v>31.5</v>
      </c>
      <c r="AA594" s="851">
        <v>37.799999999999997</v>
      </c>
      <c r="AB594" s="851">
        <v>35</v>
      </c>
      <c r="AC594" s="851">
        <v>42.1</v>
      </c>
      <c r="AD594" s="851">
        <v>55</v>
      </c>
      <c r="AE594" s="851">
        <v>60.5</v>
      </c>
      <c r="AF594" s="851">
        <v>25</v>
      </c>
      <c r="AG594" s="851">
        <v>30</v>
      </c>
      <c r="AH594" s="851">
        <v>45.45</v>
      </c>
      <c r="AI594" s="851">
        <v>50</v>
      </c>
      <c r="AJ594" s="851">
        <v>17.3</v>
      </c>
      <c r="AK594" s="851">
        <v>20.8</v>
      </c>
      <c r="AL594" s="851"/>
      <c r="AM594" s="851"/>
      <c r="AN594" s="851"/>
      <c r="AO594" s="851"/>
      <c r="AP594" s="851"/>
    </row>
    <row r="595" spans="1:42" ht="14">
      <c r="A595" s="856">
        <v>594</v>
      </c>
      <c r="B595" s="425" t="s">
        <v>2730</v>
      </c>
      <c r="C595" s="425" t="s">
        <v>43</v>
      </c>
      <c r="D595" s="425" t="s">
        <v>2450</v>
      </c>
      <c r="E595" s="425" t="s">
        <v>2735</v>
      </c>
      <c r="F595" s="425" t="s">
        <v>2688</v>
      </c>
      <c r="G595">
        <v>4</v>
      </c>
      <c r="H595" s="852">
        <v>0.53</v>
      </c>
      <c r="I595" s="852">
        <v>3</v>
      </c>
      <c r="J595" s="852">
        <f t="shared" si="46"/>
        <v>6.36</v>
      </c>
      <c r="K595" s="852">
        <f t="shared" si="47"/>
        <v>0.82680000000000009</v>
      </c>
      <c r="L595">
        <v>8</v>
      </c>
      <c r="M595" s="425" t="s">
        <v>47</v>
      </c>
      <c r="N595" s="370">
        <v>2058</v>
      </c>
      <c r="O595" s="425" t="s">
        <v>2685</v>
      </c>
      <c r="P595" s="854">
        <v>5415058049287</v>
      </c>
      <c r="Q595" s="425" t="s">
        <v>2474</v>
      </c>
      <c r="R595" s="851">
        <v>15.75</v>
      </c>
      <c r="S595" s="851">
        <v>18.899999999999999</v>
      </c>
      <c r="T595" s="851">
        <v>15.75</v>
      </c>
      <c r="U595" s="851">
        <v>18.899999999999999</v>
      </c>
      <c r="V595" s="851">
        <v>17.3</v>
      </c>
      <c r="W595" s="851">
        <v>20.8</v>
      </c>
      <c r="X595" s="851">
        <v>17.3</v>
      </c>
      <c r="Y595" s="851">
        <v>20.8</v>
      </c>
      <c r="Z595" s="851">
        <v>31.5</v>
      </c>
      <c r="AA595" s="851">
        <v>37.799999999999997</v>
      </c>
      <c r="AB595" s="851">
        <v>35</v>
      </c>
      <c r="AC595" s="851">
        <v>42.1</v>
      </c>
      <c r="AD595" s="851">
        <v>55</v>
      </c>
      <c r="AE595" s="851">
        <v>60.5</v>
      </c>
      <c r="AF595" s="851">
        <v>25</v>
      </c>
      <c r="AG595" s="851">
        <v>30</v>
      </c>
      <c r="AH595" s="851">
        <v>45.45</v>
      </c>
      <c r="AI595" s="851">
        <v>50</v>
      </c>
      <c r="AJ595" s="851">
        <v>17.3</v>
      </c>
      <c r="AK595" s="851">
        <v>20.8</v>
      </c>
      <c r="AL595" s="851"/>
      <c r="AM595" s="851"/>
      <c r="AN595" s="851"/>
      <c r="AO595" s="851"/>
      <c r="AP595" s="851"/>
    </row>
    <row r="596" spans="1:42" ht="14">
      <c r="A596" s="856">
        <v>595</v>
      </c>
      <c r="B596" s="425" t="s">
        <v>2731</v>
      </c>
      <c r="C596" s="425" t="s">
        <v>43</v>
      </c>
      <c r="D596" s="425" t="s">
        <v>2450</v>
      </c>
      <c r="E596" s="425" t="s">
        <v>2736</v>
      </c>
      <c r="F596" s="425" t="s">
        <v>2690</v>
      </c>
      <c r="G596">
        <v>4</v>
      </c>
      <c r="H596" s="852">
        <v>0.53</v>
      </c>
      <c r="I596" s="852">
        <v>3</v>
      </c>
      <c r="J596" s="852">
        <f t="shared" si="46"/>
        <v>6.36</v>
      </c>
      <c r="K596" s="852">
        <f t="shared" si="47"/>
        <v>0.82680000000000009</v>
      </c>
      <c r="L596">
        <v>9</v>
      </c>
      <c r="M596" s="425" t="s">
        <v>47</v>
      </c>
      <c r="N596" s="370">
        <v>2059</v>
      </c>
      <c r="O596" s="425" t="s">
        <v>2685</v>
      </c>
      <c r="P596" s="854">
        <v>5415058049294</v>
      </c>
      <c r="Q596" s="425" t="s">
        <v>2474</v>
      </c>
      <c r="R596" s="851">
        <v>15.75</v>
      </c>
      <c r="S596" s="851">
        <v>18.899999999999999</v>
      </c>
      <c r="T596" s="851">
        <v>15.75</v>
      </c>
      <c r="U596" s="851">
        <v>18.899999999999999</v>
      </c>
      <c r="V596" s="851">
        <v>17.3</v>
      </c>
      <c r="W596" s="851">
        <v>20.8</v>
      </c>
      <c r="X596" s="851">
        <v>17.3</v>
      </c>
      <c r="Y596" s="851">
        <v>20.8</v>
      </c>
      <c r="Z596" s="851">
        <v>31.5</v>
      </c>
      <c r="AA596" s="851">
        <v>37.799999999999997</v>
      </c>
      <c r="AB596" s="851">
        <v>35</v>
      </c>
      <c r="AC596" s="851">
        <v>42.1</v>
      </c>
      <c r="AD596" s="851">
        <v>55</v>
      </c>
      <c r="AE596" s="851">
        <v>60.5</v>
      </c>
      <c r="AF596" s="851">
        <v>25</v>
      </c>
      <c r="AG596" s="851">
        <v>30</v>
      </c>
      <c r="AH596" s="851">
        <v>45.45</v>
      </c>
      <c r="AI596" s="851">
        <v>50</v>
      </c>
      <c r="AJ596" s="851">
        <v>17.3</v>
      </c>
      <c r="AK596" s="851">
        <v>20.8</v>
      </c>
      <c r="AL596" s="851"/>
      <c r="AM596" s="851"/>
      <c r="AN596" s="851"/>
      <c r="AO596" s="851"/>
      <c r="AP596" s="851"/>
    </row>
    <row r="597" spans="1:42" ht="14">
      <c r="A597" s="856">
        <v>596</v>
      </c>
      <c r="B597" s="425" t="s">
        <v>2732</v>
      </c>
      <c r="C597" s="425" t="s">
        <v>43</v>
      </c>
      <c r="D597" s="425" t="s">
        <v>2450</v>
      </c>
      <c r="E597" s="425" t="s">
        <v>2736</v>
      </c>
      <c r="F597" s="425" t="s">
        <v>2687</v>
      </c>
      <c r="G597">
        <v>4</v>
      </c>
      <c r="H597" s="852">
        <v>0.53</v>
      </c>
      <c r="I597" s="852">
        <v>3</v>
      </c>
      <c r="J597" s="852">
        <f t="shared" si="46"/>
        <v>6.36</v>
      </c>
      <c r="K597" s="852">
        <f t="shared" si="47"/>
        <v>0.82680000000000009</v>
      </c>
      <c r="L597">
        <v>10</v>
      </c>
      <c r="M597" s="425" t="s">
        <v>47</v>
      </c>
      <c r="N597" s="370">
        <v>2060</v>
      </c>
      <c r="O597" s="425" t="s">
        <v>2685</v>
      </c>
      <c r="P597" s="854">
        <v>5415058049300</v>
      </c>
      <c r="Q597" s="425" t="s">
        <v>2474</v>
      </c>
      <c r="R597" s="851">
        <v>15.75</v>
      </c>
      <c r="S597" s="851">
        <v>18.899999999999999</v>
      </c>
      <c r="T597" s="851">
        <v>15.75</v>
      </c>
      <c r="U597" s="851">
        <v>18.899999999999999</v>
      </c>
      <c r="V597" s="851">
        <v>17.3</v>
      </c>
      <c r="W597" s="851">
        <v>20.8</v>
      </c>
      <c r="X597" s="851">
        <v>17.3</v>
      </c>
      <c r="Y597" s="851">
        <v>20.8</v>
      </c>
      <c r="Z597" s="851">
        <v>31.5</v>
      </c>
      <c r="AA597" s="851">
        <v>37.799999999999997</v>
      </c>
      <c r="AB597" s="851">
        <v>35</v>
      </c>
      <c r="AC597" s="851">
        <v>42.1</v>
      </c>
      <c r="AD597" s="851">
        <v>55</v>
      </c>
      <c r="AE597" s="851">
        <v>60.5</v>
      </c>
      <c r="AF597" s="851">
        <v>25</v>
      </c>
      <c r="AG597" s="851">
        <v>30</v>
      </c>
      <c r="AH597" s="851">
        <v>45.45</v>
      </c>
      <c r="AI597" s="851">
        <v>50</v>
      </c>
      <c r="AJ597" s="851">
        <v>17.3</v>
      </c>
      <c r="AK597" s="851">
        <v>20.8</v>
      </c>
      <c r="AL597" s="851"/>
      <c r="AM597" s="851"/>
      <c r="AN597" s="851"/>
      <c r="AO597" s="851"/>
      <c r="AP597" s="851"/>
    </row>
    <row r="598" spans="1:42" ht="14">
      <c r="A598" s="856">
        <v>597</v>
      </c>
      <c r="B598" s="425" t="s">
        <v>3018</v>
      </c>
      <c r="C598" s="425" t="s">
        <v>43</v>
      </c>
      <c r="D598" s="425" t="s">
        <v>2377</v>
      </c>
      <c r="E598" s="425" t="s">
        <v>2683</v>
      </c>
      <c r="F598" s="425" t="s">
        <v>2684</v>
      </c>
      <c r="G598">
        <v>1</v>
      </c>
      <c r="H598" s="852">
        <v>0.21</v>
      </c>
      <c r="I598" s="852">
        <v>0.3</v>
      </c>
      <c r="J598" s="852">
        <f t="shared" si="46"/>
        <v>6.3E-2</v>
      </c>
      <c r="K598" s="852">
        <f t="shared" si="47"/>
        <v>8.1899999999999994E-3</v>
      </c>
      <c r="L598">
        <v>64</v>
      </c>
      <c r="M598" s="425" t="s">
        <v>2380</v>
      </c>
      <c r="N598" s="370">
        <v>2022</v>
      </c>
      <c r="O598" s="425" t="s">
        <v>2685</v>
      </c>
      <c r="P598" s="854" t="s">
        <v>47</v>
      </c>
      <c r="Q598" s="425" t="s">
        <v>92</v>
      </c>
      <c r="R598" s="851">
        <v>0</v>
      </c>
      <c r="S598" s="851">
        <v>0</v>
      </c>
      <c r="T598" s="851">
        <v>0</v>
      </c>
      <c r="U598" s="851">
        <v>0</v>
      </c>
      <c r="V598" s="851">
        <v>0</v>
      </c>
      <c r="W598" s="851">
        <v>0</v>
      </c>
      <c r="X598" s="851">
        <v>0</v>
      </c>
      <c r="Y598" s="851">
        <v>0</v>
      </c>
      <c r="Z598" s="851">
        <v>0</v>
      </c>
      <c r="AA598" s="851">
        <v>0</v>
      </c>
      <c r="AB598" s="851">
        <v>0</v>
      </c>
      <c r="AC598" s="851">
        <v>0</v>
      </c>
      <c r="AD598" s="851">
        <v>2.5</v>
      </c>
      <c r="AE598" s="851">
        <v>0</v>
      </c>
      <c r="AF598" s="851">
        <v>0</v>
      </c>
      <c r="AG598" s="851">
        <v>0</v>
      </c>
      <c r="AH598" s="851">
        <f t="shared" ref="AH598:AH634" si="48">2.5/1.21</f>
        <v>2.0661157024793391</v>
      </c>
      <c r="AI598" s="851">
        <v>0</v>
      </c>
      <c r="AJ598" s="851">
        <v>0</v>
      </c>
      <c r="AK598" s="851">
        <v>0</v>
      </c>
      <c r="AL598" s="851">
        <v>0</v>
      </c>
      <c r="AM598" s="851">
        <v>0</v>
      </c>
      <c r="AN598" s="851">
        <v>0</v>
      </c>
      <c r="AO598" s="851">
        <v>0</v>
      </c>
      <c r="AP598" s="851"/>
    </row>
    <row r="599" spans="1:42" ht="14">
      <c r="A599" s="856">
        <v>598</v>
      </c>
      <c r="B599" s="425" t="s">
        <v>3019</v>
      </c>
      <c r="C599" s="425" t="s">
        <v>43</v>
      </c>
      <c r="D599" s="425" t="s">
        <v>2377</v>
      </c>
      <c r="E599" s="425" t="s">
        <v>2683</v>
      </c>
      <c r="F599" s="425" t="s">
        <v>2686</v>
      </c>
      <c r="G599">
        <v>1</v>
      </c>
      <c r="H599" s="852">
        <v>0.21</v>
      </c>
      <c r="I599" s="852">
        <v>0.3</v>
      </c>
      <c r="J599" s="852">
        <f t="shared" si="46"/>
        <v>6.3E-2</v>
      </c>
      <c r="K599" s="852">
        <f t="shared" si="47"/>
        <v>8.1899999999999994E-3</v>
      </c>
      <c r="L599">
        <v>64</v>
      </c>
      <c r="M599" s="425" t="s">
        <v>2380</v>
      </c>
      <c r="N599" s="370">
        <v>2022</v>
      </c>
      <c r="O599" s="425" t="s">
        <v>2685</v>
      </c>
      <c r="P599" s="854" t="s">
        <v>47</v>
      </c>
      <c r="Q599" s="425" t="s">
        <v>92</v>
      </c>
      <c r="R599" s="851">
        <v>0</v>
      </c>
      <c r="S599" s="851">
        <v>0</v>
      </c>
      <c r="T599" s="851">
        <v>0</v>
      </c>
      <c r="U599" s="851">
        <v>0</v>
      </c>
      <c r="V599" s="851">
        <v>0</v>
      </c>
      <c r="W599" s="851">
        <v>0</v>
      </c>
      <c r="X599" s="851">
        <v>0</v>
      </c>
      <c r="Y599" s="851">
        <v>0</v>
      </c>
      <c r="Z599" s="851">
        <v>0</v>
      </c>
      <c r="AA599" s="851">
        <v>0</v>
      </c>
      <c r="AB599" s="851">
        <v>0</v>
      </c>
      <c r="AC599" s="851">
        <v>0</v>
      </c>
      <c r="AD599" s="851">
        <v>2.5</v>
      </c>
      <c r="AE599" s="851">
        <v>0</v>
      </c>
      <c r="AF599" s="851">
        <v>0</v>
      </c>
      <c r="AG599" s="851">
        <v>0</v>
      </c>
      <c r="AH599" s="851">
        <f t="shared" si="48"/>
        <v>2.0661157024793391</v>
      </c>
      <c r="AI599" s="851">
        <v>0</v>
      </c>
      <c r="AJ599" s="851">
        <v>0</v>
      </c>
      <c r="AK599" s="851">
        <v>0</v>
      </c>
      <c r="AL599" s="851">
        <v>0</v>
      </c>
      <c r="AM599" s="851">
        <v>0</v>
      </c>
      <c r="AN599" s="851">
        <v>0</v>
      </c>
      <c r="AO599" s="851">
        <v>0</v>
      </c>
      <c r="AP599" s="851"/>
    </row>
    <row r="600" spans="1:42" ht="14">
      <c r="A600" s="856">
        <v>599</v>
      </c>
      <c r="B600" s="425" t="s">
        <v>3020</v>
      </c>
      <c r="C600" s="425" t="s">
        <v>43</v>
      </c>
      <c r="D600" s="425" t="s">
        <v>2377</v>
      </c>
      <c r="E600" s="425" t="s">
        <v>2683</v>
      </c>
      <c r="F600" s="425" t="s">
        <v>2687</v>
      </c>
      <c r="G600">
        <v>1</v>
      </c>
      <c r="H600" s="852">
        <v>0.21</v>
      </c>
      <c r="I600" s="852">
        <v>0.3</v>
      </c>
      <c r="J600" s="852">
        <f t="shared" si="46"/>
        <v>6.3E-2</v>
      </c>
      <c r="K600" s="852">
        <f t="shared" si="47"/>
        <v>8.1899999999999994E-3</v>
      </c>
      <c r="L600">
        <v>64</v>
      </c>
      <c r="M600" s="425" t="s">
        <v>2380</v>
      </c>
      <c r="N600" s="370">
        <v>2022</v>
      </c>
      <c r="O600" s="425" t="s">
        <v>2685</v>
      </c>
      <c r="P600" s="854" t="s">
        <v>47</v>
      </c>
      <c r="Q600" s="425" t="s">
        <v>92</v>
      </c>
      <c r="R600" s="851">
        <v>0</v>
      </c>
      <c r="S600" s="851">
        <v>0</v>
      </c>
      <c r="T600" s="851">
        <v>0</v>
      </c>
      <c r="U600" s="851">
        <v>0</v>
      </c>
      <c r="V600" s="851">
        <v>0</v>
      </c>
      <c r="W600" s="851">
        <v>0</v>
      </c>
      <c r="X600" s="851">
        <v>0</v>
      </c>
      <c r="Y600" s="851">
        <v>0</v>
      </c>
      <c r="Z600" s="851">
        <v>0</v>
      </c>
      <c r="AA600" s="851">
        <v>0</v>
      </c>
      <c r="AB600" s="851">
        <v>0</v>
      </c>
      <c r="AC600" s="851">
        <v>0</v>
      </c>
      <c r="AD600" s="851">
        <v>2.5</v>
      </c>
      <c r="AE600" s="851">
        <v>0</v>
      </c>
      <c r="AF600" s="851">
        <v>0</v>
      </c>
      <c r="AG600" s="851">
        <v>0</v>
      </c>
      <c r="AH600" s="851">
        <f t="shared" si="48"/>
        <v>2.0661157024793391</v>
      </c>
      <c r="AI600" s="851">
        <v>0</v>
      </c>
      <c r="AJ600" s="851">
        <v>0</v>
      </c>
      <c r="AK600" s="851">
        <v>0</v>
      </c>
      <c r="AL600" s="851">
        <v>0</v>
      </c>
      <c r="AM600" s="851">
        <v>0</v>
      </c>
      <c r="AN600" s="851">
        <v>0</v>
      </c>
      <c r="AO600" s="851">
        <v>0</v>
      </c>
      <c r="AP600" s="851"/>
    </row>
    <row r="601" spans="1:42" ht="14">
      <c r="A601" s="856">
        <v>600</v>
      </c>
      <c r="B601" s="425" t="s">
        <v>3021</v>
      </c>
      <c r="C601" s="425" t="s">
        <v>43</v>
      </c>
      <c r="D601" s="425" t="s">
        <v>2377</v>
      </c>
      <c r="E601" s="425" t="s">
        <v>2683</v>
      </c>
      <c r="F601" s="425" t="s">
        <v>2688</v>
      </c>
      <c r="G601">
        <v>1</v>
      </c>
      <c r="H601" s="852">
        <v>0.21</v>
      </c>
      <c r="I601" s="852">
        <v>0.3</v>
      </c>
      <c r="J601" s="852">
        <f t="shared" si="46"/>
        <v>6.3E-2</v>
      </c>
      <c r="K601" s="852">
        <f t="shared" si="47"/>
        <v>8.1899999999999994E-3</v>
      </c>
      <c r="L601">
        <v>64</v>
      </c>
      <c r="M601" s="425" t="s">
        <v>2380</v>
      </c>
      <c r="N601" s="370">
        <v>2022</v>
      </c>
      <c r="O601" s="425" t="s">
        <v>2685</v>
      </c>
      <c r="P601" s="854" t="s">
        <v>47</v>
      </c>
      <c r="Q601" s="425" t="s">
        <v>92</v>
      </c>
      <c r="R601" s="851">
        <v>0</v>
      </c>
      <c r="S601" s="851">
        <v>0</v>
      </c>
      <c r="T601" s="851">
        <v>0</v>
      </c>
      <c r="U601" s="851">
        <v>0</v>
      </c>
      <c r="V601" s="851">
        <v>0</v>
      </c>
      <c r="W601" s="851">
        <v>0</v>
      </c>
      <c r="X601" s="851">
        <v>0</v>
      </c>
      <c r="Y601" s="851">
        <v>0</v>
      </c>
      <c r="Z601" s="851">
        <v>0</v>
      </c>
      <c r="AA601" s="851">
        <v>0</v>
      </c>
      <c r="AB601" s="851">
        <v>0</v>
      </c>
      <c r="AC601" s="851">
        <v>0</v>
      </c>
      <c r="AD601" s="851">
        <v>2.5</v>
      </c>
      <c r="AE601" s="851">
        <v>0</v>
      </c>
      <c r="AF601" s="851">
        <v>0</v>
      </c>
      <c r="AG601" s="851">
        <v>0</v>
      </c>
      <c r="AH601" s="851">
        <f t="shared" si="48"/>
        <v>2.0661157024793391</v>
      </c>
      <c r="AI601" s="851">
        <v>0</v>
      </c>
      <c r="AJ601" s="851">
        <v>0</v>
      </c>
      <c r="AK601" s="851">
        <v>0</v>
      </c>
      <c r="AL601" s="851">
        <v>0</v>
      </c>
      <c r="AM601" s="851">
        <v>0</v>
      </c>
      <c r="AN601" s="851">
        <v>0</v>
      </c>
      <c r="AO601" s="851">
        <v>0</v>
      </c>
      <c r="AP601" s="851"/>
    </row>
    <row r="602" spans="1:42" ht="14">
      <c r="A602" s="856">
        <v>601</v>
      </c>
      <c r="B602" s="425" t="s">
        <v>3022</v>
      </c>
      <c r="C602" s="425" t="s">
        <v>43</v>
      </c>
      <c r="D602" s="425" t="s">
        <v>2377</v>
      </c>
      <c r="E602" s="425" t="s">
        <v>2683</v>
      </c>
      <c r="F602" s="425" t="s">
        <v>2689</v>
      </c>
      <c r="G602">
        <v>1</v>
      </c>
      <c r="H602" s="852">
        <v>0.21</v>
      </c>
      <c r="I602" s="852">
        <v>0.3</v>
      </c>
      <c r="J602" s="852">
        <f t="shared" si="46"/>
        <v>6.3E-2</v>
      </c>
      <c r="K602" s="852">
        <f t="shared" si="47"/>
        <v>8.1899999999999994E-3</v>
      </c>
      <c r="L602">
        <v>64</v>
      </c>
      <c r="M602" s="425" t="s">
        <v>2380</v>
      </c>
      <c r="N602" s="370">
        <v>2022</v>
      </c>
      <c r="O602" s="425" t="s">
        <v>2685</v>
      </c>
      <c r="P602" s="854" t="s">
        <v>47</v>
      </c>
      <c r="Q602" s="425" t="s">
        <v>92</v>
      </c>
      <c r="R602" s="851">
        <v>0</v>
      </c>
      <c r="S602" s="851">
        <v>0</v>
      </c>
      <c r="T602" s="851">
        <v>0</v>
      </c>
      <c r="U602" s="851">
        <v>0</v>
      </c>
      <c r="V602" s="851">
        <v>0</v>
      </c>
      <c r="W602" s="851">
        <v>0</v>
      </c>
      <c r="X602" s="851">
        <v>0</v>
      </c>
      <c r="Y602" s="851">
        <v>0</v>
      </c>
      <c r="Z602" s="851">
        <v>0</v>
      </c>
      <c r="AA602" s="851">
        <v>0</v>
      </c>
      <c r="AB602" s="851">
        <v>0</v>
      </c>
      <c r="AC602" s="851">
        <v>0</v>
      </c>
      <c r="AD602" s="851">
        <v>2.5</v>
      </c>
      <c r="AE602" s="851">
        <v>0</v>
      </c>
      <c r="AF602" s="851">
        <v>0</v>
      </c>
      <c r="AG602" s="851">
        <v>0</v>
      </c>
      <c r="AH602" s="851">
        <f t="shared" si="48"/>
        <v>2.0661157024793391</v>
      </c>
      <c r="AI602" s="851">
        <v>0</v>
      </c>
      <c r="AJ602" s="851">
        <v>0</v>
      </c>
      <c r="AK602" s="851">
        <v>0</v>
      </c>
      <c r="AL602" s="851">
        <v>0</v>
      </c>
      <c r="AM602" s="851">
        <v>0</v>
      </c>
      <c r="AN602" s="851">
        <v>0</v>
      </c>
      <c r="AO602" s="851">
        <v>0</v>
      </c>
      <c r="AP602" s="851"/>
    </row>
    <row r="603" spans="1:42" ht="14">
      <c r="A603" s="856">
        <v>602</v>
      </c>
      <c r="B603" s="425" t="s">
        <v>3023</v>
      </c>
      <c r="C603" s="425" t="s">
        <v>43</v>
      </c>
      <c r="D603" s="425" t="s">
        <v>2377</v>
      </c>
      <c r="E603" s="425" t="s">
        <v>2683</v>
      </c>
      <c r="F603" s="425" t="s">
        <v>2690</v>
      </c>
      <c r="G603">
        <v>1</v>
      </c>
      <c r="H603" s="852">
        <v>0.21</v>
      </c>
      <c r="I603" s="852">
        <v>0.3</v>
      </c>
      <c r="J603" s="852">
        <f t="shared" si="46"/>
        <v>6.3E-2</v>
      </c>
      <c r="K603" s="852">
        <f t="shared" si="47"/>
        <v>8.1899999999999994E-3</v>
      </c>
      <c r="L603">
        <v>64</v>
      </c>
      <c r="M603" s="425" t="s">
        <v>2380</v>
      </c>
      <c r="N603" s="370">
        <v>2022</v>
      </c>
      <c r="O603" s="425" t="s">
        <v>2685</v>
      </c>
      <c r="P603" s="854" t="s">
        <v>47</v>
      </c>
      <c r="Q603" s="425" t="s">
        <v>92</v>
      </c>
      <c r="R603" s="851">
        <v>0</v>
      </c>
      <c r="S603" s="851">
        <v>0</v>
      </c>
      <c r="T603" s="851">
        <v>0</v>
      </c>
      <c r="U603" s="851">
        <v>0</v>
      </c>
      <c r="V603" s="851">
        <v>0</v>
      </c>
      <c r="W603" s="851">
        <v>0</v>
      </c>
      <c r="X603" s="851">
        <v>0</v>
      </c>
      <c r="Y603" s="851">
        <v>0</v>
      </c>
      <c r="Z603" s="851">
        <v>0</v>
      </c>
      <c r="AA603" s="851">
        <v>0</v>
      </c>
      <c r="AB603" s="851">
        <v>0</v>
      </c>
      <c r="AC603" s="851">
        <v>0</v>
      </c>
      <c r="AD603" s="851">
        <v>2.5</v>
      </c>
      <c r="AE603" s="851">
        <v>0</v>
      </c>
      <c r="AF603" s="851">
        <v>0</v>
      </c>
      <c r="AG603" s="851">
        <v>0</v>
      </c>
      <c r="AH603" s="851">
        <f t="shared" si="48"/>
        <v>2.0661157024793391</v>
      </c>
      <c r="AI603" s="851">
        <v>0</v>
      </c>
      <c r="AJ603" s="851">
        <v>0</v>
      </c>
      <c r="AK603" s="851">
        <v>0</v>
      </c>
      <c r="AL603" s="851">
        <v>0</v>
      </c>
      <c r="AM603" s="851">
        <v>0</v>
      </c>
      <c r="AN603" s="851">
        <v>0</v>
      </c>
      <c r="AO603" s="851">
        <v>0</v>
      </c>
      <c r="AP603" s="851"/>
    </row>
    <row r="604" spans="1:42" ht="14">
      <c r="A604" s="856">
        <v>603</v>
      </c>
      <c r="B604" s="425" t="s">
        <v>3024</v>
      </c>
      <c r="C604" s="425" t="s">
        <v>43</v>
      </c>
      <c r="D604" s="425" t="s">
        <v>2377</v>
      </c>
      <c r="E604" s="425" t="s">
        <v>2683</v>
      </c>
      <c r="F604" s="425" t="s">
        <v>2691</v>
      </c>
      <c r="G604">
        <v>1</v>
      </c>
      <c r="H604" s="852">
        <v>0.21</v>
      </c>
      <c r="I604" s="852">
        <v>0.3</v>
      </c>
      <c r="J604" s="852">
        <f t="shared" si="46"/>
        <v>6.3E-2</v>
      </c>
      <c r="K604" s="852">
        <f t="shared" si="47"/>
        <v>8.1899999999999994E-3</v>
      </c>
      <c r="L604">
        <v>64</v>
      </c>
      <c r="M604" s="425" t="s">
        <v>2380</v>
      </c>
      <c r="N604" s="370">
        <v>2022</v>
      </c>
      <c r="O604" s="425" t="s">
        <v>2685</v>
      </c>
      <c r="P604" s="854" t="s">
        <v>47</v>
      </c>
      <c r="Q604" s="425" t="s">
        <v>92</v>
      </c>
      <c r="R604" s="851">
        <v>0</v>
      </c>
      <c r="S604" s="851">
        <v>0</v>
      </c>
      <c r="T604" s="851">
        <v>0</v>
      </c>
      <c r="U604" s="851">
        <v>0</v>
      </c>
      <c r="V604" s="851">
        <v>0</v>
      </c>
      <c r="W604" s="851">
        <v>0</v>
      </c>
      <c r="X604" s="851">
        <v>0</v>
      </c>
      <c r="Y604" s="851">
        <v>0</v>
      </c>
      <c r="Z604" s="851">
        <v>0</v>
      </c>
      <c r="AA604" s="851">
        <v>0</v>
      </c>
      <c r="AB604" s="851">
        <v>0</v>
      </c>
      <c r="AC604" s="851">
        <v>0</v>
      </c>
      <c r="AD604" s="851">
        <v>2.5</v>
      </c>
      <c r="AE604" s="851">
        <v>0</v>
      </c>
      <c r="AF604" s="851">
        <v>0</v>
      </c>
      <c r="AG604" s="851">
        <v>0</v>
      </c>
      <c r="AH604" s="851">
        <f t="shared" si="48"/>
        <v>2.0661157024793391</v>
      </c>
      <c r="AI604" s="851">
        <v>0</v>
      </c>
      <c r="AJ604" s="851">
        <v>0</v>
      </c>
      <c r="AK604" s="851">
        <v>0</v>
      </c>
      <c r="AL604" s="851">
        <v>0</v>
      </c>
      <c r="AM604" s="851">
        <v>0</v>
      </c>
      <c r="AN604" s="851">
        <v>0</v>
      </c>
      <c r="AO604" s="851">
        <v>0</v>
      </c>
      <c r="AP604" s="851"/>
    </row>
    <row r="605" spans="1:42" ht="14">
      <c r="A605" s="856">
        <v>604</v>
      </c>
      <c r="B605" s="425" t="s">
        <v>3025</v>
      </c>
      <c r="C605" s="425" t="s">
        <v>43</v>
      </c>
      <c r="D605" s="425" t="s">
        <v>2377</v>
      </c>
      <c r="E605" s="425" t="s">
        <v>2698</v>
      </c>
      <c r="F605" s="425" t="s">
        <v>1006</v>
      </c>
      <c r="G605">
        <v>1</v>
      </c>
      <c r="H605" s="852">
        <v>0.21</v>
      </c>
      <c r="I605" s="852">
        <v>0.3</v>
      </c>
      <c r="J605" s="852">
        <f t="shared" si="46"/>
        <v>6.3E-2</v>
      </c>
      <c r="K605" s="852">
        <f t="shared" si="47"/>
        <v>8.1899999999999994E-3</v>
      </c>
      <c r="L605">
        <v>64</v>
      </c>
      <c r="M605" s="425" t="s">
        <v>2380</v>
      </c>
      <c r="N605" s="370">
        <v>2022</v>
      </c>
      <c r="O605" s="425" t="s">
        <v>2685</v>
      </c>
      <c r="P605" s="854" t="s">
        <v>47</v>
      </c>
      <c r="Q605" s="425" t="s">
        <v>92</v>
      </c>
      <c r="R605" s="851">
        <v>0</v>
      </c>
      <c r="S605" s="851">
        <v>0</v>
      </c>
      <c r="T605" s="851">
        <v>0</v>
      </c>
      <c r="U605" s="851">
        <v>0</v>
      </c>
      <c r="V605" s="851">
        <v>0</v>
      </c>
      <c r="W605" s="851">
        <v>0</v>
      </c>
      <c r="X605" s="851">
        <v>0</v>
      </c>
      <c r="Y605" s="851">
        <v>0</v>
      </c>
      <c r="Z605" s="851">
        <v>0</v>
      </c>
      <c r="AA605" s="851">
        <v>0</v>
      </c>
      <c r="AB605" s="851">
        <v>0</v>
      </c>
      <c r="AC605" s="851">
        <v>0</v>
      </c>
      <c r="AD605" s="851">
        <v>2.5</v>
      </c>
      <c r="AE605" s="851">
        <v>0</v>
      </c>
      <c r="AF605" s="851">
        <v>0</v>
      </c>
      <c r="AG605" s="851">
        <v>0</v>
      </c>
      <c r="AH605" s="851">
        <f t="shared" si="48"/>
        <v>2.0661157024793391</v>
      </c>
      <c r="AI605" s="851">
        <v>0</v>
      </c>
      <c r="AJ605" s="851">
        <v>0</v>
      </c>
      <c r="AK605" s="851">
        <v>0</v>
      </c>
      <c r="AL605" s="851">
        <v>0</v>
      </c>
      <c r="AM605" s="851">
        <v>0</v>
      </c>
      <c r="AN605" s="851">
        <v>0</v>
      </c>
      <c r="AO605" s="851">
        <v>0</v>
      </c>
      <c r="AP605" s="851"/>
    </row>
    <row r="606" spans="1:42" ht="14">
      <c r="A606" s="856">
        <v>605</v>
      </c>
      <c r="B606" s="425" t="s">
        <v>3026</v>
      </c>
      <c r="C606" s="425" t="s">
        <v>43</v>
      </c>
      <c r="D606" s="425" t="s">
        <v>2377</v>
      </c>
      <c r="E606" s="425" t="s">
        <v>2698</v>
      </c>
      <c r="F606" s="425" t="s">
        <v>1018</v>
      </c>
      <c r="G606">
        <v>1</v>
      </c>
      <c r="H606" s="852">
        <v>0.21</v>
      </c>
      <c r="I606" s="852">
        <v>0.3</v>
      </c>
      <c r="J606" s="852">
        <f t="shared" si="46"/>
        <v>6.3E-2</v>
      </c>
      <c r="K606" s="852">
        <f t="shared" si="47"/>
        <v>8.1899999999999994E-3</v>
      </c>
      <c r="L606">
        <v>64</v>
      </c>
      <c r="M606" s="425" t="s">
        <v>2380</v>
      </c>
      <c r="N606" s="370">
        <v>2022</v>
      </c>
      <c r="O606" s="425" t="s">
        <v>2685</v>
      </c>
      <c r="P606" s="854" t="s">
        <v>47</v>
      </c>
      <c r="Q606" s="425" t="s">
        <v>92</v>
      </c>
      <c r="R606" s="851">
        <v>0</v>
      </c>
      <c r="S606" s="851">
        <v>0</v>
      </c>
      <c r="T606" s="851">
        <v>0</v>
      </c>
      <c r="U606" s="851">
        <v>0</v>
      </c>
      <c r="V606" s="851">
        <v>0</v>
      </c>
      <c r="W606" s="851">
        <v>0</v>
      </c>
      <c r="X606" s="851">
        <v>0</v>
      </c>
      <c r="Y606" s="851">
        <v>0</v>
      </c>
      <c r="Z606" s="851">
        <v>0</v>
      </c>
      <c r="AA606" s="851">
        <v>0</v>
      </c>
      <c r="AB606" s="851">
        <v>0</v>
      </c>
      <c r="AC606" s="851">
        <v>0</v>
      </c>
      <c r="AD606" s="851">
        <v>2.5</v>
      </c>
      <c r="AE606" s="851">
        <v>0</v>
      </c>
      <c r="AF606" s="851">
        <v>0</v>
      </c>
      <c r="AG606" s="851">
        <v>0</v>
      </c>
      <c r="AH606" s="851">
        <f t="shared" si="48"/>
        <v>2.0661157024793391</v>
      </c>
      <c r="AI606" s="851">
        <v>0</v>
      </c>
      <c r="AJ606" s="851">
        <v>0</v>
      </c>
      <c r="AK606" s="851">
        <v>0</v>
      </c>
      <c r="AL606" s="851">
        <v>0</v>
      </c>
      <c r="AM606" s="851">
        <v>0</v>
      </c>
      <c r="AN606" s="851">
        <v>0</v>
      </c>
      <c r="AO606" s="851">
        <v>0</v>
      </c>
      <c r="AP606" s="851"/>
    </row>
    <row r="607" spans="1:42" ht="14">
      <c r="A607" s="856">
        <v>606</v>
      </c>
      <c r="B607" s="425" t="s">
        <v>3027</v>
      </c>
      <c r="C607" s="425" t="s">
        <v>43</v>
      </c>
      <c r="D607" s="425" t="s">
        <v>2377</v>
      </c>
      <c r="E607" s="425" t="s">
        <v>2698</v>
      </c>
      <c r="F607" s="425" t="s">
        <v>2690</v>
      </c>
      <c r="G607">
        <v>1</v>
      </c>
      <c r="H607" s="852">
        <v>0.21</v>
      </c>
      <c r="I607" s="852">
        <v>0.3</v>
      </c>
      <c r="J607" s="852">
        <f t="shared" si="46"/>
        <v>6.3E-2</v>
      </c>
      <c r="K607" s="852">
        <f t="shared" si="47"/>
        <v>8.1899999999999994E-3</v>
      </c>
      <c r="L607">
        <v>64</v>
      </c>
      <c r="M607" s="425" t="s">
        <v>2380</v>
      </c>
      <c r="N607" s="370">
        <v>2022</v>
      </c>
      <c r="O607" s="425" t="s">
        <v>2685</v>
      </c>
      <c r="P607" s="854" t="s">
        <v>47</v>
      </c>
      <c r="Q607" s="425" t="s">
        <v>92</v>
      </c>
      <c r="R607" s="851">
        <v>0</v>
      </c>
      <c r="S607" s="851">
        <v>0</v>
      </c>
      <c r="T607" s="851">
        <v>0</v>
      </c>
      <c r="U607" s="851">
        <v>0</v>
      </c>
      <c r="V607" s="851">
        <v>0</v>
      </c>
      <c r="W607" s="851">
        <v>0</v>
      </c>
      <c r="X607" s="851">
        <v>0</v>
      </c>
      <c r="Y607" s="851">
        <v>0</v>
      </c>
      <c r="Z607" s="851">
        <v>0</v>
      </c>
      <c r="AA607" s="851">
        <v>0</v>
      </c>
      <c r="AB607" s="851">
        <v>0</v>
      </c>
      <c r="AC607" s="851">
        <v>0</v>
      </c>
      <c r="AD607" s="851">
        <v>2.5</v>
      </c>
      <c r="AE607" s="851">
        <v>0</v>
      </c>
      <c r="AF607" s="851">
        <v>0</v>
      </c>
      <c r="AG607" s="851">
        <v>0</v>
      </c>
      <c r="AH607" s="851">
        <f t="shared" si="48"/>
        <v>2.0661157024793391</v>
      </c>
      <c r="AI607" s="851">
        <v>0</v>
      </c>
      <c r="AJ607" s="851">
        <v>0</v>
      </c>
      <c r="AK607" s="851">
        <v>0</v>
      </c>
      <c r="AL607" s="851">
        <v>0</v>
      </c>
      <c r="AM607" s="851">
        <v>0</v>
      </c>
      <c r="AN607" s="851">
        <v>0</v>
      </c>
      <c r="AO607" s="851">
        <v>0</v>
      </c>
      <c r="AP607" s="851"/>
    </row>
    <row r="608" spans="1:42" ht="14">
      <c r="A608" s="856">
        <v>607</v>
      </c>
      <c r="B608" s="425" t="s">
        <v>3028</v>
      </c>
      <c r="C608" s="425" t="s">
        <v>43</v>
      </c>
      <c r="D608" s="425" t="s">
        <v>2377</v>
      </c>
      <c r="E608" s="425" t="s">
        <v>2698</v>
      </c>
      <c r="F608" s="425" t="s">
        <v>2684</v>
      </c>
      <c r="G608">
        <v>1</v>
      </c>
      <c r="H608" s="852">
        <v>0.21</v>
      </c>
      <c r="I608" s="852">
        <v>0.3</v>
      </c>
      <c r="J608" s="852">
        <f t="shared" si="46"/>
        <v>6.3E-2</v>
      </c>
      <c r="K608" s="852">
        <f t="shared" si="47"/>
        <v>8.1899999999999994E-3</v>
      </c>
      <c r="L608">
        <v>64</v>
      </c>
      <c r="M608" s="425" t="s">
        <v>2380</v>
      </c>
      <c r="N608" s="370">
        <v>2022</v>
      </c>
      <c r="O608" s="425" t="s">
        <v>2685</v>
      </c>
      <c r="P608" s="854" t="s">
        <v>47</v>
      </c>
      <c r="Q608" s="425" t="s">
        <v>92</v>
      </c>
      <c r="R608" s="851">
        <v>0</v>
      </c>
      <c r="S608" s="851">
        <v>0</v>
      </c>
      <c r="T608" s="851">
        <v>0</v>
      </c>
      <c r="U608" s="851">
        <v>0</v>
      </c>
      <c r="V608" s="851">
        <v>0</v>
      </c>
      <c r="W608" s="851">
        <v>0</v>
      </c>
      <c r="X608" s="851">
        <v>0</v>
      </c>
      <c r="Y608" s="851">
        <v>0</v>
      </c>
      <c r="Z608" s="851">
        <v>0</v>
      </c>
      <c r="AA608" s="851">
        <v>0</v>
      </c>
      <c r="AB608" s="851">
        <v>0</v>
      </c>
      <c r="AC608" s="851">
        <v>0</v>
      </c>
      <c r="AD608" s="851">
        <v>2.5</v>
      </c>
      <c r="AE608" s="851">
        <v>0</v>
      </c>
      <c r="AF608" s="851">
        <v>0</v>
      </c>
      <c r="AG608" s="851">
        <v>0</v>
      </c>
      <c r="AH608" s="851">
        <f t="shared" si="48"/>
        <v>2.0661157024793391</v>
      </c>
      <c r="AI608" s="851">
        <v>0</v>
      </c>
      <c r="AJ608" s="851">
        <v>0</v>
      </c>
      <c r="AK608" s="851">
        <v>0</v>
      </c>
      <c r="AL608" s="851">
        <v>0</v>
      </c>
      <c r="AM608" s="851">
        <v>0</v>
      </c>
      <c r="AN608" s="851">
        <v>0</v>
      </c>
      <c r="AO608" s="851">
        <v>0</v>
      </c>
      <c r="AP608" s="851"/>
    </row>
    <row r="609" spans="1:42" ht="14">
      <c r="A609" s="856">
        <v>608</v>
      </c>
      <c r="B609" s="425" t="s">
        <v>3029</v>
      </c>
      <c r="C609" s="425" t="s">
        <v>43</v>
      </c>
      <c r="D609" s="425" t="s">
        <v>2377</v>
      </c>
      <c r="E609" s="425" t="s">
        <v>2718</v>
      </c>
      <c r="F609" s="425" t="s">
        <v>2719</v>
      </c>
      <c r="G609">
        <v>1</v>
      </c>
      <c r="H609" s="852">
        <v>0.21</v>
      </c>
      <c r="I609" s="852">
        <v>0.3</v>
      </c>
      <c r="J609" s="852">
        <f t="shared" si="46"/>
        <v>6.3E-2</v>
      </c>
      <c r="K609" s="852">
        <f t="shared" si="47"/>
        <v>8.1899999999999994E-3</v>
      </c>
      <c r="L609">
        <v>64</v>
      </c>
      <c r="M609" s="425" t="s">
        <v>2380</v>
      </c>
      <c r="N609" s="370">
        <v>2022</v>
      </c>
      <c r="O609" s="425" t="s">
        <v>2685</v>
      </c>
      <c r="P609" s="854" t="s">
        <v>47</v>
      </c>
      <c r="Q609" s="425" t="s">
        <v>92</v>
      </c>
      <c r="R609" s="851">
        <v>0</v>
      </c>
      <c r="S609" s="851">
        <v>0</v>
      </c>
      <c r="T609" s="851">
        <v>0</v>
      </c>
      <c r="U609" s="851">
        <v>0</v>
      </c>
      <c r="V609" s="851">
        <v>0</v>
      </c>
      <c r="W609" s="851">
        <v>0</v>
      </c>
      <c r="X609" s="851">
        <v>0</v>
      </c>
      <c r="Y609" s="851">
        <v>0</v>
      </c>
      <c r="Z609" s="851">
        <v>0</v>
      </c>
      <c r="AA609" s="851">
        <v>0</v>
      </c>
      <c r="AB609" s="851">
        <v>0</v>
      </c>
      <c r="AC609" s="851">
        <v>0</v>
      </c>
      <c r="AD609" s="851">
        <v>2.5</v>
      </c>
      <c r="AE609" s="851">
        <v>0</v>
      </c>
      <c r="AF609" s="851">
        <v>0</v>
      </c>
      <c r="AG609" s="851">
        <v>0</v>
      </c>
      <c r="AH609" s="851">
        <f t="shared" si="48"/>
        <v>2.0661157024793391</v>
      </c>
      <c r="AI609" s="851">
        <v>0</v>
      </c>
      <c r="AJ609" s="851">
        <v>0</v>
      </c>
      <c r="AK609" s="851">
        <v>0</v>
      </c>
      <c r="AL609" s="851">
        <v>0</v>
      </c>
      <c r="AM609" s="851">
        <v>0</v>
      </c>
      <c r="AN609" s="851">
        <v>0</v>
      </c>
      <c r="AO609" s="851">
        <v>0</v>
      </c>
      <c r="AP609" s="851"/>
    </row>
    <row r="610" spans="1:42" ht="14">
      <c r="A610" s="856">
        <v>609</v>
      </c>
      <c r="B610" s="425" t="s">
        <v>3030</v>
      </c>
      <c r="C610" s="425" t="s">
        <v>43</v>
      </c>
      <c r="D610" s="425" t="s">
        <v>2377</v>
      </c>
      <c r="E610" s="425" t="s">
        <v>2718</v>
      </c>
      <c r="F610" s="425" t="s">
        <v>2720</v>
      </c>
      <c r="G610">
        <v>1</v>
      </c>
      <c r="H610" s="852">
        <v>0.21</v>
      </c>
      <c r="I610" s="852">
        <v>0.3</v>
      </c>
      <c r="J610" s="852">
        <f t="shared" si="46"/>
        <v>6.3E-2</v>
      </c>
      <c r="K610" s="852">
        <f t="shared" si="47"/>
        <v>8.1899999999999994E-3</v>
      </c>
      <c r="L610">
        <v>64</v>
      </c>
      <c r="M610" s="425" t="s">
        <v>2380</v>
      </c>
      <c r="N610" s="370">
        <v>2022</v>
      </c>
      <c r="O610" s="425" t="s">
        <v>2685</v>
      </c>
      <c r="P610" s="854" t="s">
        <v>47</v>
      </c>
      <c r="Q610" s="425" t="s">
        <v>92</v>
      </c>
      <c r="R610" s="851">
        <v>0</v>
      </c>
      <c r="S610" s="851">
        <v>0</v>
      </c>
      <c r="T610" s="851">
        <v>0</v>
      </c>
      <c r="U610" s="851">
        <v>0</v>
      </c>
      <c r="V610" s="851">
        <v>0</v>
      </c>
      <c r="W610" s="851">
        <v>0</v>
      </c>
      <c r="X610" s="851">
        <v>0</v>
      </c>
      <c r="Y610" s="851">
        <v>0</v>
      </c>
      <c r="Z610" s="851">
        <v>0</v>
      </c>
      <c r="AA610" s="851">
        <v>0</v>
      </c>
      <c r="AB610" s="851">
        <v>0</v>
      </c>
      <c r="AC610" s="851">
        <v>0</v>
      </c>
      <c r="AD610" s="851">
        <v>2.5</v>
      </c>
      <c r="AE610" s="851">
        <v>0</v>
      </c>
      <c r="AF610" s="851">
        <v>0</v>
      </c>
      <c r="AG610" s="851">
        <v>0</v>
      </c>
      <c r="AH610" s="851">
        <f t="shared" si="48"/>
        <v>2.0661157024793391</v>
      </c>
      <c r="AI610" s="851">
        <v>0</v>
      </c>
      <c r="AJ610" s="851">
        <v>0</v>
      </c>
      <c r="AK610" s="851">
        <v>0</v>
      </c>
      <c r="AL610" s="851">
        <v>0</v>
      </c>
      <c r="AM610" s="851">
        <v>0</v>
      </c>
      <c r="AN610" s="851">
        <v>0</v>
      </c>
      <c r="AO610" s="851">
        <v>0</v>
      </c>
      <c r="AP610" s="851"/>
    </row>
    <row r="611" spans="1:42" ht="14">
      <c r="A611" s="856">
        <v>610</v>
      </c>
      <c r="B611" s="425" t="s">
        <v>3031</v>
      </c>
      <c r="C611" s="425" t="s">
        <v>43</v>
      </c>
      <c r="D611" s="425" t="s">
        <v>2377</v>
      </c>
      <c r="E611" s="425" t="s">
        <v>2718</v>
      </c>
      <c r="F611" s="425" t="s">
        <v>2689</v>
      </c>
      <c r="G611">
        <v>1</v>
      </c>
      <c r="H611" s="852">
        <v>0.21</v>
      </c>
      <c r="I611" s="852">
        <v>0.3</v>
      </c>
      <c r="J611" s="852">
        <f t="shared" si="46"/>
        <v>6.3E-2</v>
      </c>
      <c r="K611" s="852">
        <f t="shared" si="47"/>
        <v>8.1899999999999994E-3</v>
      </c>
      <c r="L611">
        <v>64</v>
      </c>
      <c r="M611" s="425" t="s">
        <v>2380</v>
      </c>
      <c r="N611" s="370">
        <v>2022</v>
      </c>
      <c r="O611" s="425" t="s">
        <v>2685</v>
      </c>
      <c r="P611" s="854" t="s">
        <v>47</v>
      </c>
      <c r="Q611" s="425" t="s">
        <v>92</v>
      </c>
      <c r="R611" s="851">
        <v>0</v>
      </c>
      <c r="S611" s="851">
        <v>0</v>
      </c>
      <c r="T611" s="851">
        <v>0</v>
      </c>
      <c r="U611" s="851">
        <v>0</v>
      </c>
      <c r="V611" s="851">
        <v>0</v>
      </c>
      <c r="W611" s="851">
        <v>0</v>
      </c>
      <c r="X611" s="851">
        <v>0</v>
      </c>
      <c r="Y611" s="851">
        <v>0</v>
      </c>
      <c r="Z611" s="851">
        <v>0</v>
      </c>
      <c r="AA611" s="851">
        <v>0</v>
      </c>
      <c r="AB611" s="851">
        <v>0</v>
      </c>
      <c r="AC611" s="851">
        <v>0</v>
      </c>
      <c r="AD611" s="851">
        <v>2.5</v>
      </c>
      <c r="AE611" s="851">
        <v>0</v>
      </c>
      <c r="AF611" s="851">
        <v>0</v>
      </c>
      <c r="AG611" s="851">
        <v>0</v>
      </c>
      <c r="AH611" s="851">
        <f t="shared" si="48"/>
        <v>2.0661157024793391</v>
      </c>
      <c r="AI611" s="851">
        <v>0</v>
      </c>
      <c r="AJ611" s="851">
        <v>0</v>
      </c>
      <c r="AK611" s="851">
        <v>0</v>
      </c>
      <c r="AL611" s="851">
        <v>0</v>
      </c>
      <c r="AM611" s="851">
        <v>0</v>
      </c>
      <c r="AN611" s="851">
        <v>0</v>
      </c>
      <c r="AO611" s="851">
        <v>0</v>
      </c>
      <c r="AP611" s="851"/>
    </row>
    <row r="612" spans="1:42" ht="14">
      <c r="A612" s="856">
        <v>611</v>
      </c>
      <c r="B612" s="425" t="s">
        <v>3032</v>
      </c>
      <c r="C612" s="425" t="s">
        <v>43</v>
      </c>
      <c r="D612" s="425" t="s">
        <v>2377</v>
      </c>
      <c r="E612" s="425" t="s">
        <v>2718</v>
      </c>
      <c r="F612" s="425" t="s">
        <v>2690</v>
      </c>
      <c r="G612">
        <v>1</v>
      </c>
      <c r="H612" s="852">
        <v>0.21</v>
      </c>
      <c r="I612" s="852">
        <v>0.3</v>
      </c>
      <c r="J612" s="852">
        <f t="shared" si="46"/>
        <v>6.3E-2</v>
      </c>
      <c r="K612" s="852">
        <f t="shared" si="47"/>
        <v>8.1899999999999994E-3</v>
      </c>
      <c r="L612">
        <v>64</v>
      </c>
      <c r="M612" s="425" t="s">
        <v>2380</v>
      </c>
      <c r="N612" s="370">
        <v>2022</v>
      </c>
      <c r="O612" s="425" t="s">
        <v>2685</v>
      </c>
      <c r="P612" s="854" t="s">
        <v>47</v>
      </c>
      <c r="Q612" s="425" t="s">
        <v>92</v>
      </c>
      <c r="R612" s="851">
        <v>0</v>
      </c>
      <c r="S612" s="851">
        <v>0</v>
      </c>
      <c r="T612" s="851">
        <v>0</v>
      </c>
      <c r="U612" s="851">
        <v>0</v>
      </c>
      <c r="V612" s="851">
        <v>0</v>
      </c>
      <c r="W612" s="851">
        <v>0</v>
      </c>
      <c r="X612" s="851">
        <v>0</v>
      </c>
      <c r="Y612" s="851">
        <v>0</v>
      </c>
      <c r="Z612" s="851">
        <v>0</v>
      </c>
      <c r="AA612" s="851">
        <v>0</v>
      </c>
      <c r="AB612" s="851">
        <v>0</v>
      </c>
      <c r="AC612" s="851">
        <v>0</v>
      </c>
      <c r="AD612" s="851">
        <v>2.5</v>
      </c>
      <c r="AE612" s="851">
        <v>0</v>
      </c>
      <c r="AF612" s="851">
        <v>0</v>
      </c>
      <c r="AG612" s="851">
        <v>0</v>
      </c>
      <c r="AH612" s="851">
        <f t="shared" si="48"/>
        <v>2.0661157024793391</v>
      </c>
      <c r="AI612" s="851">
        <v>0</v>
      </c>
      <c r="AJ612" s="851">
        <v>0</v>
      </c>
      <c r="AK612" s="851">
        <v>0</v>
      </c>
      <c r="AL612" s="851">
        <v>0</v>
      </c>
      <c r="AM612" s="851">
        <v>0</v>
      </c>
      <c r="AN612" s="851">
        <v>0</v>
      </c>
      <c r="AO612" s="851">
        <v>0</v>
      </c>
      <c r="AP612" s="851"/>
    </row>
    <row r="613" spans="1:42" ht="14">
      <c r="A613" s="856">
        <v>612</v>
      </c>
      <c r="B613" s="425" t="s">
        <v>3033</v>
      </c>
      <c r="C613" s="425" t="s">
        <v>43</v>
      </c>
      <c r="D613" s="425" t="s">
        <v>2377</v>
      </c>
      <c r="E613" s="425" t="s">
        <v>2721</v>
      </c>
      <c r="F613" s="425" t="s">
        <v>1010</v>
      </c>
      <c r="G613">
        <v>1</v>
      </c>
      <c r="H613" s="852">
        <v>0.21</v>
      </c>
      <c r="I613" s="852">
        <v>0.3</v>
      </c>
      <c r="J613" s="852">
        <f t="shared" si="46"/>
        <v>6.3E-2</v>
      </c>
      <c r="K613" s="852">
        <f t="shared" si="47"/>
        <v>8.1899999999999994E-3</v>
      </c>
      <c r="L613">
        <v>0</v>
      </c>
      <c r="M613" s="425" t="s">
        <v>2739</v>
      </c>
      <c r="N613" s="370">
        <v>2022</v>
      </c>
      <c r="O613" s="425" t="s">
        <v>2685</v>
      </c>
      <c r="P613" s="854" t="s">
        <v>47</v>
      </c>
      <c r="Q613" s="425" t="s">
        <v>92</v>
      </c>
      <c r="R613" s="851">
        <v>0</v>
      </c>
      <c r="S613" s="851">
        <v>0</v>
      </c>
      <c r="T613" s="851">
        <v>0</v>
      </c>
      <c r="U613" s="851">
        <v>0</v>
      </c>
      <c r="V613" s="851">
        <v>0</v>
      </c>
      <c r="W613" s="851">
        <v>0</v>
      </c>
      <c r="X613" s="851">
        <v>0</v>
      </c>
      <c r="Y613" s="851">
        <v>0</v>
      </c>
      <c r="Z613" s="851">
        <v>0</v>
      </c>
      <c r="AA613" s="851">
        <v>0</v>
      </c>
      <c r="AB613" s="851">
        <v>0</v>
      </c>
      <c r="AC613" s="851">
        <v>0</v>
      </c>
      <c r="AD613" s="851">
        <v>2.5</v>
      </c>
      <c r="AE613" s="851">
        <v>0</v>
      </c>
      <c r="AF613" s="851">
        <v>0</v>
      </c>
      <c r="AG613" s="851">
        <v>0</v>
      </c>
      <c r="AH613" s="851">
        <f t="shared" si="48"/>
        <v>2.0661157024793391</v>
      </c>
      <c r="AI613" s="851">
        <v>0</v>
      </c>
      <c r="AJ613" s="851">
        <v>0</v>
      </c>
      <c r="AK613" s="851">
        <v>0</v>
      </c>
      <c r="AL613" s="851">
        <v>0</v>
      </c>
      <c r="AM613" s="851">
        <v>0</v>
      </c>
      <c r="AN613" s="851">
        <v>0</v>
      </c>
      <c r="AO613" s="851">
        <v>0</v>
      </c>
      <c r="AP613" s="851"/>
    </row>
    <row r="614" spans="1:42" ht="14">
      <c r="A614" s="856">
        <v>613</v>
      </c>
      <c r="B614" s="425" t="s">
        <v>3034</v>
      </c>
      <c r="C614" s="425" t="s">
        <v>43</v>
      </c>
      <c r="D614" s="425" t="s">
        <v>2377</v>
      </c>
      <c r="E614" s="425" t="s">
        <v>2721</v>
      </c>
      <c r="F614" s="425" t="s">
        <v>1012</v>
      </c>
      <c r="G614">
        <v>1</v>
      </c>
      <c r="H614" s="852">
        <v>0.21</v>
      </c>
      <c r="I614" s="852">
        <v>0.3</v>
      </c>
      <c r="J614" s="852">
        <f t="shared" si="46"/>
        <v>6.3E-2</v>
      </c>
      <c r="K614" s="852">
        <f t="shared" si="47"/>
        <v>8.1899999999999994E-3</v>
      </c>
      <c r="L614">
        <v>0</v>
      </c>
      <c r="M614" s="425" t="s">
        <v>2739</v>
      </c>
      <c r="N614" s="370">
        <v>2022</v>
      </c>
      <c r="O614" s="425" t="s">
        <v>2685</v>
      </c>
      <c r="P614" s="854" t="s">
        <v>47</v>
      </c>
      <c r="Q614" s="425" t="s">
        <v>92</v>
      </c>
      <c r="R614" s="851">
        <v>0</v>
      </c>
      <c r="S614" s="851">
        <v>0</v>
      </c>
      <c r="T614" s="851">
        <v>0</v>
      </c>
      <c r="U614" s="851">
        <v>0</v>
      </c>
      <c r="V614" s="851">
        <v>0</v>
      </c>
      <c r="W614" s="851">
        <v>0</v>
      </c>
      <c r="X614" s="851">
        <v>0</v>
      </c>
      <c r="Y614" s="851">
        <v>0</v>
      </c>
      <c r="Z614" s="851">
        <v>0</v>
      </c>
      <c r="AA614" s="851">
        <v>0</v>
      </c>
      <c r="AB614" s="851">
        <v>0</v>
      </c>
      <c r="AC614" s="851">
        <v>0</v>
      </c>
      <c r="AD614" s="851">
        <v>2.5</v>
      </c>
      <c r="AE614" s="851">
        <v>0</v>
      </c>
      <c r="AF614" s="851">
        <v>0</v>
      </c>
      <c r="AG614" s="851">
        <v>0</v>
      </c>
      <c r="AH614" s="851">
        <f t="shared" si="48"/>
        <v>2.0661157024793391</v>
      </c>
      <c r="AI614" s="851">
        <v>0</v>
      </c>
      <c r="AJ614" s="851">
        <v>0</v>
      </c>
      <c r="AK614" s="851">
        <v>0</v>
      </c>
      <c r="AL614" s="851">
        <v>0</v>
      </c>
      <c r="AM614" s="851">
        <v>0</v>
      </c>
      <c r="AN614" s="851">
        <v>0</v>
      </c>
      <c r="AO614" s="851">
        <v>0</v>
      </c>
      <c r="AP614" s="851"/>
    </row>
    <row r="615" spans="1:42" ht="14">
      <c r="A615" s="856">
        <v>614</v>
      </c>
      <c r="B615" s="425" t="s">
        <v>3035</v>
      </c>
      <c r="C615" s="425" t="s">
        <v>43</v>
      </c>
      <c r="D615" s="425" t="s">
        <v>2377</v>
      </c>
      <c r="E615" s="425" t="s">
        <v>2721</v>
      </c>
      <c r="F615" s="425" t="s">
        <v>1033</v>
      </c>
      <c r="G615">
        <v>1</v>
      </c>
      <c r="H615" s="852">
        <v>0.21</v>
      </c>
      <c r="I615" s="852">
        <v>0.3</v>
      </c>
      <c r="J615" s="852">
        <f t="shared" si="46"/>
        <v>6.3E-2</v>
      </c>
      <c r="K615" s="852">
        <f t="shared" si="47"/>
        <v>8.1899999999999994E-3</v>
      </c>
      <c r="L615">
        <v>0</v>
      </c>
      <c r="M615" s="425" t="s">
        <v>2739</v>
      </c>
      <c r="N615" s="370">
        <v>2022</v>
      </c>
      <c r="O615" s="425" t="s">
        <v>2685</v>
      </c>
      <c r="P615" s="854" t="s">
        <v>47</v>
      </c>
      <c r="Q615" s="425" t="s">
        <v>92</v>
      </c>
      <c r="R615" s="851">
        <v>0</v>
      </c>
      <c r="S615" s="851">
        <v>0</v>
      </c>
      <c r="T615" s="851">
        <v>0</v>
      </c>
      <c r="U615" s="851">
        <v>0</v>
      </c>
      <c r="V615" s="851">
        <v>0</v>
      </c>
      <c r="W615" s="851">
        <v>0</v>
      </c>
      <c r="X615" s="851">
        <v>0</v>
      </c>
      <c r="Y615" s="851">
        <v>0</v>
      </c>
      <c r="Z615" s="851">
        <v>0</v>
      </c>
      <c r="AA615" s="851">
        <v>0</v>
      </c>
      <c r="AB615" s="851">
        <v>0</v>
      </c>
      <c r="AC615" s="851">
        <v>0</v>
      </c>
      <c r="AD615" s="851">
        <v>2.5</v>
      </c>
      <c r="AE615" s="851">
        <v>0</v>
      </c>
      <c r="AF615" s="851">
        <v>0</v>
      </c>
      <c r="AG615" s="851">
        <v>0</v>
      </c>
      <c r="AH615" s="851">
        <f t="shared" si="48"/>
        <v>2.0661157024793391</v>
      </c>
      <c r="AI615" s="851">
        <v>0</v>
      </c>
      <c r="AJ615" s="851">
        <v>0</v>
      </c>
      <c r="AK615" s="851">
        <v>0</v>
      </c>
      <c r="AL615" s="851">
        <v>0</v>
      </c>
      <c r="AM615" s="851">
        <v>0</v>
      </c>
      <c r="AN615" s="851">
        <v>0</v>
      </c>
      <c r="AO615" s="851">
        <v>0</v>
      </c>
      <c r="AP615" s="851"/>
    </row>
    <row r="616" spans="1:42" ht="14">
      <c r="A616" s="856">
        <v>615</v>
      </c>
      <c r="B616" s="425" t="s">
        <v>3036</v>
      </c>
      <c r="C616" s="425" t="s">
        <v>43</v>
      </c>
      <c r="D616" s="425" t="s">
        <v>2377</v>
      </c>
      <c r="E616" s="425" t="s">
        <v>2721</v>
      </c>
      <c r="F616" s="425" t="s">
        <v>1026</v>
      </c>
      <c r="G616">
        <v>1</v>
      </c>
      <c r="H616" s="852">
        <v>0.21</v>
      </c>
      <c r="I616" s="852">
        <v>0.3</v>
      </c>
      <c r="J616" s="852">
        <f t="shared" si="46"/>
        <v>6.3E-2</v>
      </c>
      <c r="K616" s="852">
        <f t="shared" si="47"/>
        <v>8.1899999999999994E-3</v>
      </c>
      <c r="L616">
        <v>0</v>
      </c>
      <c r="M616" s="425" t="s">
        <v>2739</v>
      </c>
      <c r="N616" s="370">
        <v>2022</v>
      </c>
      <c r="O616" s="425" t="s">
        <v>2685</v>
      </c>
      <c r="P616" s="854" t="s">
        <v>47</v>
      </c>
      <c r="Q616" s="425" t="s">
        <v>92</v>
      </c>
      <c r="R616" s="851">
        <v>0</v>
      </c>
      <c r="S616" s="851">
        <v>0</v>
      </c>
      <c r="T616" s="851">
        <v>0</v>
      </c>
      <c r="U616" s="851">
        <v>0</v>
      </c>
      <c r="V616" s="851">
        <v>0</v>
      </c>
      <c r="W616" s="851">
        <v>0</v>
      </c>
      <c r="X616" s="851">
        <v>0</v>
      </c>
      <c r="Y616" s="851">
        <v>0</v>
      </c>
      <c r="Z616" s="851">
        <v>0</v>
      </c>
      <c r="AA616" s="851">
        <v>0</v>
      </c>
      <c r="AB616" s="851">
        <v>0</v>
      </c>
      <c r="AC616" s="851">
        <v>0</v>
      </c>
      <c r="AD616" s="851">
        <v>2.5</v>
      </c>
      <c r="AE616" s="851">
        <v>0</v>
      </c>
      <c r="AF616" s="851">
        <v>0</v>
      </c>
      <c r="AG616" s="851">
        <v>0</v>
      </c>
      <c r="AH616" s="851">
        <f t="shared" si="48"/>
        <v>2.0661157024793391</v>
      </c>
      <c r="AI616" s="851">
        <v>0</v>
      </c>
      <c r="AJ616" s="851">
        <v>0</v>
      </c>
      <c r="AK616" s="851">
        <v>0</v>
      </c>
      <c r="AL616" s="851">
        <v>0</v>
      </c>
      <c r="AM616" s="851">
        <v>0</v>
      </c>
      <c r="AN616" s="851">
        <v>0</v>
      </c>
      <c r="AO616" s="851">
        <v>0</v>
      </c>
      <c r="AP616" s="851"/>
    </row>
    <row r="617" spans="1:42" ht="14">
      <c r="A617" s="856">
        <v>616</v>
      </c>
      <c r="B617" s="425" t="s">
        <v>3037</v>
      </c>
      <c r="C617" s="425" t="s">
        <v>43</v>
      </c>
      <c r="D617" s="425" t="s">
        <v>2377</v>
      </c>
      <c r="E617" s="425" t="s">
        <v>2721</v>
      </c>
      <c r="F617" s="425" t="s">
        <v>1018</v>
      </c>
      <c r="G617">
        <v>1</v>
      </c>
      <c r="H617" s="852">
        <v>0.21</v>
      </c>
      <c r="I617" s="852">
        <v>0.3</v>
      </c>
      <c r="J617" s="852">
        <f t="shared" si="46"/>
        <v>6.3E-2</v>
      </c>
      <c r="K617" s="852">
        <f t="shared" si="47"/>
        <v>8.1899999999999994E-3</v>
      </c>
      <c r="L617">
        <v>0</v>
      </c>
      <c r="M617" s="425" t="s">
        <v>2739</v>
      </c>
      <c r="N617" s="370">
        <v>2022</v>
      </c>
      <c r="O617" s="425" t="s">
        <v>2685</v>
      </c>
      <c r="P617" s="854" t="s">
        <v>47</v>
      </c>
      <c r="Q617" s="425" t="s">
        <v>92</v>
      </c>
      <c r="R617" s="851">
        <v>0</v>
      </c>
      <c r="S617" s="851">
        <v>0</v>
      </c>
      <c r="T617" s="851">
        <v>0</v>
      </c>
      <c r="U617" s="851">
        <v>0</v>
      </c>
      <c r="V617" s="851">
        <v>0</v>
      </c>
      <c r="W617" s="851">
        <v>0</v>
      </c>
      <c r="X617" s="851">
        <v>0</v>
      </c>
      <c r="Y617" s="851">
        <v>0</v>
      </c>
      <c r="Z617" s="851">
        <v>0</v>
      </c>
      <c r="AA617" s="851">
        <v>0</v>
      </c>
      <c r="AB617" s="851">
        <v>0</v>
      </c>
      <c r="AC617" s="851">
        <v>0</v>
      </c>
      <c r="AD617" s="851">
        <v>2.5</v>
      </c>
      <c r="AE617" s="851">
        <v>0</v>
      </c>
      <c r="AF617" s="851">
        <v>0</v>
      </c>
      <c r="AG617" s="851">
        <v>0</v>
      </c>
      <c r="AH617" s="851">
        <f t="shared" si="48"/>
        <v>2.0661157024793391</v>
      </c>
      <c r="AI617" s="851">
        <v>0</v>
      </c>
      <c r="AJ617" s="851">
        <v>0</v>
      </c>
      <c r="AK617" s="851">
        <v>0</v>
      </c>
      <c r="AL617" s="851">
        <v>0</v>
      </c>
      <c r="AM617" s="851">
        <v>0</v>
      </c>
      <c r="AN617" s="851">
        <v>0</v>
      </c>
      <c r="AO617" s="851">
        <v>0</v>
      </c>
      <c r="AP617" s="851"/>
    </row>
    <row r="618" spans="1:42" ht="14">
      <c r="A618" s="856">
        <v>617</v>
      </c>
      <c r="B618" s="425" t="s">
        <v>3038</v>
      </c>
      <c r="C618" s="425" t="s">
        <v>43</v>
      </c>
      <c r="D618" s="425" t="s">
        <v>2377</v>
      </c>
      <c r="E618" s="425" t="s">
        <v>2721</v>
      </c>
      <c r="F618" s="425" t="s">
        <v>1008</v>
      </c>
      <c r="G618">
        <v>1</v>
      </c>
      <c r="H618" s="852">
        <v>0.21</v>
      </c>
      <c r="I618" s="852">
        <v>0.3</v>
      </c>
      <c r="J618" s="852">
        <f t="shared" si="46"/>
        <v>6.3E-2</v>
      </c>
      <c r="K618" s="852">
        <f t="shared" si="47"/>
        <v>8.1899999999999994E-3</v>
      </c>
      <c r="L618">
        <v>0</v>
      </c>
      <c r="M618" s="425" t="s">
        <v>2739</v>
      </c>
      <c r="N618" s="370">
        <v>2022</v>
      </c>
      <c r="O618" s="425" t="s">
        <v>2685</v>
      </c>
      <c r="P618" s="854" t="s">
        <v>47</v>
      </c>
      <c r="Q618" s="425" t="s">
        <v>92</v>
      </c>
      <c r="R618" s="851">
        <v>0</v>
      </c>
      <c r="S618" s="851">
        <v>0</v>
      </c>
      <c r="T618" s="851">
        <v>0</v>
      </c>
      <c r="U618" s="851">
        <v>0</v>
      </c>
      <c r="V618" s="851">
        <v>0</v>
      </c>
      <c r="W618" s="851">
        <v>0</v>
      </c>
      <c r="X618" s="851">
        <v>0</v>
      </c>
      <c r="Y618" s="851">
        <v>0</v>
      </c>
      <c r="Z618" s="851">
        <v>0</v>
      </c>
      <c r="AA618" s="851">
        <v>0</v>
      </c>
      <c r="AB618" s="851">
        <v>0</v>
      </c>
      <c r="AC618" s="851">
        <v>0</v>
      </c>
      <c r="AD618" s="851">
        <v>2.5</v>
      </c>
      <c r="AE618" s="851">
        <v>0</v>
      </c>
      <c r="AF618" s="851">
        <v>0</v>
      </c>
      <c r="AG618" s="851">
        <v>0</v>
      </c>
      <c r="AH618" s="851">
        <f t="shared" si="48"/>
        <v>2.0661157024793391</v>
      </c>
      <c r="AI618" s="851">
        <v>0</v>
      </c>
      <c r="AJ618" s="851">
        <v>0</v>
      </c>
      <c r="AK618" s="851">
        <v>0</v>
      </c>
      <c r="AL618" s="851">
        <v>0</v>
      </c>
      <c r="AM618" s="851">
        <v>0</v>
      </c>
      <c r="AN618" s="851">
        <v>0</v>
      </c>
      <c r="AO618" s="851">
        <v>0</v>
      </c>
      <c r="AP618" s="851"/>
    </row>
    <row r="619" spans="1:42" ht="14">
      <c r="A619" s="856">
        <v>618</v>
      </c>
      <c r="B619" s="425" t="s">
        <v>3039</v>
      </c>
      <c r="C619" s="425" t="s">
        <v>43</v>
      </c>
      <c r="D619" s="425" t="s">
        <v>2377</v>
      </c>
      <c r="E619" s="425" t="s">
        <v>2721</v>
      </c>
      <c r="F619" s="425" t="s">
        <v>1024</v>
      </c>
      <c r="G619">
        <v>1</v>
      </c>
      <c r="H619" s="852">
        <v>0.21</v>
      </c>
      <c r="I619" s="852">
        <v>0.3</v>
      </c>
      <c r="J619" s="852">
        <f t="shared" si="46"/>
        <v>6.3E-2</v>
      </c>
      <c r="K619" s="852">
        <f t="shared" si="47"/>
        <v>8.1899999999999994E-3</v>
      </c>
      <c r="L619">
        <v>0</v>
      </c>
      <c r="M619" s="425" t="s">
        <v>2739</v>
      </c>
      <c r="N619" s="370">
        <v>2022</v>
      </c>
      <c r="O619" s="425" t="s">
        <v>2685</v>
      </c>
      <c r="P619" s="854" t="s">
        <v>47</v>
      </c>
      <c r="Q619" s="425" t="s">
        <v>92</v>
      </c>
      <c r="R619" s="851">
        <v>0</v>
      </c>
      <c r="S619" s="851">
        <v>0</v>
      </c>
      <c r="T619" s="851">
        <v>0</v>
      </c>
      <c r="U619" s="851">
        <v>0</v>
      </c>
      <c r="V619" s="851">
        <v>0</v>
      </c>
      <c r="W619" s="851">
        <v>0</v>
      </c>
      <c r="X619" s="851">
        <v>0</v>
      </c>
      <c r="Y619" s="851">
        <v>0</v>
      </c>
      <c r="Z619" s="851">
        <v>0</v>
      </c>
      <c r="AA619" s="851">
        <v>0</v>
      </c>
      <c r="AB619" s="851">
        <v>0</v>
      </c>
      <c r="AC619" s="851">
        <v>0</v>
      </c>
      <c r="AD619" s="851">
        <v>2.5</v>
      </c>
      <c r="AE619" s="851">
        <v>0</v>
      </c>
      <c r="AF619" s="851">
        <v>0</v>
      </c>
      <c r="AG619" s="851">
        <v>0</v>
      </c>
      <c r="AH619" s="851">
        <f t="shared" si="48"/>
        <v>2.0661157024793391</v>
      </c>
      <c r="AI619" s="851">
        <v>0</v>
      </c>
      <c r="AJ619" s="851">
        <v>0</v>
      </c>
      <c r="AK619" s="851">
        <v>0</v>
      </c>
      <c r="AL619" s="851">
        <v>0</v>
      </c>
      <c r="AM619" s="851">
        <v>0</v>
      </c>
      <c r="AN619" s="851">
        <v>0</v>
      </c>
      <c r="AO619" s="851">
        <v>0</v>
      </c>
      <c r="AP619" s="851"/>
    </row>
    <row r="620" spans="1:42" ht="14">
      <c r="A620" s="856">
        <v>619</v>
      </c>
      <c r="B620" s="425" t="s">
        <v>3040</v>
      </c>
      <c r="C620" s="425" t="s">
        <v>43</v>
      </c>
      <c r="D620" s="425" t="s">
        <v>2377</v>
      </c>
      <c r="E620" s="425" t="s">
        <v>2721</v>
      </c>
      <c r="F620" s="425" t="s">
        <v>1004</v>
      </c>
      <c r="G620">
        <v>1</v>
      </c>
      <c r="H620" s="852">
        <v>0.21</v>
      </c>
      <c r="I620" s="852">
        <v>0.3</v>
      </c>
      <c r="J620" s="852">
        <f t="shared" si="46"/>
        <v>6.3E-2</v>
      </c>
      <c r="K620" s="852">
        <f t="shared" si="47"/>
        <v>8.1899999999999994E-3</v>
      </c>
      <c r="L620">
        <v>0</v>
      </c>
      <c r="M620" s="425" t="s">
        <v>2739</v>
      </c>
      <c r="N620" s="370">
        <v>2022</v>
      </c>
      <c r="O620" s="425" t="s">
        <v>2685</v>
      </c>
      <c r="P620" s="854" t="s">
        <v>47</v>
      </c>
      <c r="Q620" s="425" t="s">
        <v>92</v>
      </c>
      <c r="R620" s="851">
        <v>0</v>
      </c>
      <c r="S620" s="851">
        <v>0</v>
      </c>
      <c r="T620" s="851">
        <v>0</v>
      </c>
      <c r="U620" s="851">
        <v>0</v>
      </c>
      <c r="V620" s="851">
        <v>0</v>
      </c>
      <c r="W620" s="851">
        <v>0</v>
      </c>
      <c r="X620" s="851">
        <v>0</v>
      </c>
      <c r="Y620" s="851">
        <v>0</v>
      </c>
      <c r="Z620" s="851">
        <v>0</v>
      </c>
      <c r="AA620" s="851">
        <v>0</v>
      </c>
      <c r="AB620" s="851">
        <v>0</v>
      </c>
      <c r="AC620" s="851">
        <v>0</v>
      </c>
      <c r="AD620" s="851">
        <v>2.5</v>
      </c>
      <c r="AE620" s="851">
        <v>0</v>
      </c>
      <c r="AF620" s="851">
        <v>0</v>
      </c>
      <c r="AG620" s="851">
        <v>0</v>
      </c>
      <c r="AH620" s="851">
        <f t="shared" si="48"/>
        <v>2.0661157024793391</v>
      </c>
      <c r="AI620" s="851">
        <v>0</v>
      </c>
      <c r="AJ620" s="851">
        <v>0</v>
      </c>
      <c r="AK620" s="851">
        <v>0</v>
      </c>
      <c r="AL620" s="851">
        <v>0</v>
      </c>
      <c r="AM620" s="851">
        <v>0</v>
      </c>
      <c r="AN620" s="851">
        <v>0</v>
      </c>
      <c r="AO620" s="851">
        <v>0</v>
      </c>
      <c r="AP620" s="851"/>
    </row>
    <row r="621" spans="1:42" ht="14">
      <c r="A621" s="856">
        <v>620</v>
      </c>
      <c r="B621" s="425" t="s">
        <v>3041</v>
      </c>
      <c r="C621" s="425" t="s">
        <v>43</v>
      </c>
      <c r="D621" s="425" t="s">
        <v>2377</v>
      </c>
      <c r="E621" s="425" t="s">
        <v>2721</v>
      </c>
      <c r="F621" s="425" t="s">
        <v>1006</v>
      </c>
      <c r="G621">
        <v>1</v>
      </c>
      <c r="H621" s="852">
        <v>0.21</v>
      </c>
      <c r="I621" s="852">
        <v>0.3</v>
      </c>
      <c r="J621" s="852">
        <f t="shared" si="46"/>
        <v>6.3E-2</v>
      </c>
      <c r="K621" s="852">
        <f t="shared" si="47"/>
        <v>8.1899999999999994E-3</v>
      </c>
      <c r="L621">
        <v>0</v>
      </c>
      <c r="M621" s="425" t="s">
        <v>2739</v>
      </c>
      <c r="N621" s="370">
        <v>2022</v>
      </c>
      <c r="O621" s="425" t="s">
        <v>2685</v>
      </c>
      <c r="P621" s="854" t="s">
        <v>47</v>
      </c>
      <c r="Q621" s="425" t="s">
        <v>92</v>
      </c>
      <c r="R621" s="851">
        <v>0</v>
      </c>
      <c r="S621" s="851">
        <v>0</v>
      </c>
      <c r="T621" s="851">
        <v>0</v>
      </c>
      <c r="U621" s="851">
        <v>0</v>
      </c>
      <c r="V621" s="851">
        <v>0</v>
      </c>
      <c r="W621" s="851">
        <v>0</v>
      </c>
      <c r="X621" s="851">
        <v>0</v>
      </c>
      <c r="Y621" s="851">
        <v>0</v>
      </c>
      <c r="Z621" s="851">
        <v>0</v>
      </c>
      <c r="AA621" s="851">
        <v>0</v>
      </c>
      <c r="AB621" s="851">
        <v>0</v>
      </c>
      <c r="AC621" s="851">
        <v>0</v>
      </c>
      <c r="AD621" s="851">
        <v>2.5</v>
      </c>
      <c r="AE621" s="851">
        <v>0</v>
      </c>
      <c r="AF621" s="851">
        <v>0</v>
      </c>
      <c r="AG621" s="851">
        <v>0</v>
      </c>
      <c r="AH621" s="851">
        <f t="shared" si="48"/>
        <v>2.0661157024793391</v>
      </c>
      <c r="AI621" s="851">
        <v>0</v>
      </c>
      <c r="AJ621" s="851">
        <v>0</v>
      </c>
      <c r="AK621" s="851">
        <v>0</v>
      </c>
      <c r="AL621" s="851">
        <v>0</v>
      </c>
      <c r="AM621" s="851">
        <v>0</v>
      </c>
      <c r="AN621" s="851">
        <v>0</v>
      </c>
      <c r="AO621" s="851">
        <v>0</v>
      </c>
      <c r="AP621" s="851"/>
    </row>
    <row r="622" spans="1:42" ht="14">
      <c r="A622" s="856">
        <v>621</v>
      </c>
      <c r="B622" s="425" t="s">
        <v>3042</v>
      </c>
      <c r="C622" s="425" t="s">
        <v>43</v>
      </c>
      <c r="D622" s="425" t="s">
        <v>2377</v>
      </c>
      <c r="E622" s="425" t="s">
        <v>2721</v>
      </c>
      <c r="F622" s="425" t="s">
        <v>1014</v>
      </c>
      <c r="G622">
        <v>1</v>
      </c>
      <c r="H622" s="852">
        <v>0.21</v>
      </c>
      <c r="I622" s="852">
        <v>0.3</v>
      </c>
      <c r="J622" s="852">
        <f t="shared" si="46"/>
        <v>6.3E-2</v>
      </c>
      <c r="K622" s="852">
        <f t="shared" si="47"/>
        <v>8.1899999999999994E-3</v>
      </c>
      <c r="L622">
        <v>0</v>
      </c>
      <c r="M622" s="425" t="s">
        <v>2739</v>
      </c>
      <c r="N622" s="370">
        <v>2022</v>
      </c>
      <c r="O622" s="425" t="s">
        <v>2685</v>
      </c>
      <c r="P622" s="854" t="s">
        <v>47</v>
      </c>
      <c r="Q622" s="425" t="s">
        <v>92</v>
      </c>
      <c r="R622" s="851">
        <v>0</v>
      </c>
      <c r="S622" s="851">
        <v>0</v>
      </c>
      <c r="T622" s="851">
        <v>0</v>
      </c>
      <c r="U622" s="851">
        <v>0</v>
      </c>
      <c r="V622" s="851">
        <v>0</v>
      </c>
      <c r="W622" s="851">
        <v>0</v>
      </c>
      <c r="X622" s="851">
        <v>0</v>
      </c>
      <c r="Y622" s="851">
        <v>0</v>
      </c>
      <c r="Z622" s="851">
        <v>0</v>
      </c>
      <c r="AA622" s="851">
        <v>0</v>
      </c>
      <c r="AB622" s="851">
        <v>0</v>
      </c>
      <c r="AC622" s="851">
        <v>0</v>
      </c>
      <c r="AD622" s="851">
        <v>2.5</v>
      </c>
      <c r="AE622" s="851">
        <v>0</v>
      </c>
      <c r="AF622" s="851">
        <v>0</v>
      </c>
      <c r="AG622" s="851">
        <v>0</v>
      </c>
      <c r="AH622" s="851">
        <f t="shared" si="48"/>
        <v>2.0661157024793391</v>
      </c>
      <c r="AI622" s="851">
        <v>0</v>
      </c>
      <c r="AJ622" s="851">
        <v>0</v>
      </c>
      <c r="AK622" s="851">
        <v>0</v>
      </c>
      <c r="AL622" s="851">
        <v>0</v>
      </c>
      <c r="AM622" s="851">
        <v>0</v>
      </c>
      <c r="AN622" s="851">
        <v>0</v>
      </c>
      <c r="AO622" s="851">
        <v>0</v>
      </c>
      <c r="AP622" s="851"/>
    </row>
    <row r="623" spans="1:42" ht="14">
      <c r="A623" s="856">
        <v>622</v>
      </c>
      <c r="B623" s="425" t="s">
        <v>3043</v>
      </c>
      <c r="C623" s="425" t="s">
        <v>43</v>
      </c>
      <c r="D623" s="425" t="s">
        <v>2377</v>
      </c>
      <c r="E623" s="425" t="s">
        <v>2721</v>
      </c>
      <c r="F623" s="425" t="s">
        <v>1002</v>
      </c>
      <c r="G623">
        <v>1</v>
      </c>
      <c r="H623" s="852">
        <v>0.21</v>
      </c>
      <c r="I623" s="852">
        <v>0.3</v>
      </c>
      <c r="J623" s="852">
        <f t="shared" si="46"/>
        <v>6.3E-2</v>
      </c>
      <c r="K623" s="852">
        <f t="shared" si="47"/>
        <v>8.1899999999999994E-3</v>
      </c>
      <c r="L623">
        <v>0</v>
      </c>
      <c r="M623" s="425" t="s">
        <v>2739</v>
      </c>
      <c r="N623" s="370">
        <v>2022</v>
      </c>
      <c r="O623" s="425" t="s">
        <v>2685</v>
      </c>
      <c r="P623" s="854" t="s">
        <v>47</v>
      </c>
      <c r="Q623" s="425" t="s">
        <v>92</v>
      </c>
      <c r="R623" s="851">
        <v>0</v>
      </c>
      <c r="S623" s="851">
        <v>0</v>
      </c>
      <c r="T623" s="851">
        <v>0</v>
      </c>
      <c r="U623" s="851">
        <v>0</v>
      </c>
      <c r="V623" s="851">
        <v>0</v>
      </c>
      <c r="W623" s="851">
        <v>0</v>
      </c>
      <c r="X623" s="851">
        <v>0</v>
      </c>
      <c r="Y623" s="851">
        <v>0</v>
      </c>
      <c r="Z623" s="851">
        <v>0</v>
      </c>
      <c r="AA623" s="851">
        <v>0</v>
      </c>
      <c r="AB623" s="851">
        <v>0</v>
      </c>
      <c r="AC623" s="851">
        <v>0</v>
      </c>
      <c r="AD623" s="851">
        <v>2.5</v>
      </c>
      <c r="AE623" s="851">
        <v>0</v>
      </c>
      <c r="AF623" s="851">
        <v>0</v>
      </c>
      <c r="AG623" s="851">
        <v>0</v>
      </c>
      <c r="AH623" s="851">
        <f t="shared" si="48"/>
        <v>2.0661157024793391</v>
      </c>
      <c r="AI623" s="851">
        <v>0</v>
      </c>
      <c r="AJ623" s="851">
        <v>0</v>
      </c>
      <c r="AK623" s="851">
        <v>0</v>
      </c>
      <c r="AL623" s="851">
        <v>0</v>
      </c>
      <c r="AM623" s="851">
        <v>0</v>
      </c>
      <c r="AN623" s="851">
        <v>0</v>
      </c>
      <c r="AO623" s="851">
        <v>0</v>
      </c>
      <c r="AP623" s="851"/>
    </row>
    <row r="624" spans="1:42" ht="14">
      <c r="A624" s="856">
        <v>623</v>
      </c>
      <c r="B624" s="425" t="s">
        <v>3044</v>
      </c>
      <c r="C624" s="425" t="s">
        <v>43</v>
      </c>
      <c r="D624" s="425" t="s">
        <v>2450</v>
      </c>
      <c r="E624" s="425" t="s">
        <v>2733</v>
      </c>
      <c r="F624" s="425" t="s">
        <v>2689</v>
      </c>
      <c r="G624">
        <v>1</v>
      </c>
      <c r="H624" s="852">
        <v>0.2</v>
      </c>
      <c r="I624" s="852">
        <v>0.53</v>
      </c>
      <c r="J624" s="852">
        <f t="shared" si="46"/>
        <v>0.10600000000000001</v>
      </c>
      <c r="K624" s="852">
        <f t="shared" si="47"/>
        <v>1.3780000000000001E-2</v>
      </c>
      <c r="L624">
        <v>0</v>
      </c>
      <c r="M624" s="425" t="s">
        <v>47</v>
      </c>
      <c r="N624" s="370">
        <v>2050</v>
      </c>
      <c r="O624" s="425" t="s">
        <v>2685</v>
      </c>
      <c r="P624" s="854" t="s">
        <v>47</v>
      </c>
      <c r="Q624" s="425" t="s">
        <v>92</v>
      </c>
      <c r="R624" s="851">
        <v>0</v>
      </c>
      <c r="S624" s="851">
        <v>0</v>
      </c>
      <c r="T624" s="851">
        <v>0</v>
      </c>
      <c r="U624" s="851">
        <v>0</v>
      </c>
      <c r="V624" s="851">
        <v>0</v>
      </c>
      <c r="W624" s="851">
        <v>0</v>
      </c>
      <c r="X624" s="851">
        <v>0</v>
      </c>
      <c r="Y624" s="851">
        <v>0</v>
      </c>
      <c r="Z624" s="851">
        <v>0</v>
      </c>
      <c r="AA624" s="851">
        <v>0</v>
      </c>
      <c r="AB624" s="851">
        <v>0</v>
      </c>
      <c r="AC624" s="851">
        <v>0</v>
      </c>
      <c r="AD624" s="851">
        <v>2.5</v>
      </c>
      <c r="AE624" s="851">
        <v>0</v>
      </c>
      <c r="AF624" s="851">
        <v>0</v>
      </c>
      <c r="AG624" s="851">
        <v>0</v>
      </c>
      <c r="AH624" s="851">
        <f t="shared" si="48"/>
        <v>2.0661157024793391</v>
      </c>
      <c r="AI624" s="851">
        <v>0</v>
      </c>
      <c r="AJ624" s="851">
        <v>0</v>
      </c>
      <c r="AK624" s="851">
        <v>0</v>
      </c>
      <c r="AL624" s="851">
        <v>0</v>
      </c>
      <c r="AM624" s="851">
        <v>0</v>
      </c>
      <c r="AN624" s="851">
        <v>0</v>
      </c>
      <c r="AO624" s="851">
        <v>0</v>
      </c>
      <c r="AP624" s="851"/>
    </row>
    <row r="625" spans="1:42" ht="14">
      <c r="A625" s="856">
        <v>624</v>
      </c>
      <c r="B625" s="425" t="s">
        <v>3045</v>
      </c>
      <c r="C625" s="425" t="s">
        <v>43</v>
      </c>
      <c r="D625" s="425" t="s">
        <v>2450</v>
      </c>
      <c r="E625" s="425" t="s">
        <v>2733</v>
      </c>
      <c r="F625" s="425" t="s">
        <v>2684</v>
      </c>
      <c r="G625">
        <v>1</v>
      </c>
      <c r="H625" s="852">
        <v>0.2</v>
      </c>
      <c r="I625" s="852">
        <v>0.53</v>
      </c>
      <c r="J625" s="852">
        <f t="shared" ref="J625:J634" si="49">H625*I625*G625</f>
        <v>0.10600000000000001</v>
      </c>
      <c r="K625" s="852">
        <f t="shared" ref="K625:K634" si="50">J625*130/1000</f>
        <v>1.3780000000000001E-2</v>
      </c>
      <c r="L625">
        <v>0</v>
      </c>
      <c r="M625" s="425" t="s">
        <v>47</v>
      </c>
      <c r="N625" s="370">
        <v>2050</v>
      </c>
      <c r="O625" s="425" t="s">
        <v>2685</v>
      </c>
      <c r="P625" s="854" t="s">
        <v>47</v>
      </c>
      <c r="Q625" s="425" t="s">
        <v>92</v>
      </c>
      <c r="R625" s="851">
        <v>0</v>
      </c>
      <c r="S625" s="851">
        <v>0</v>
      </c>
      <c r="T625" s="851">
        <v>0</v>
      </c>
      <c r="U625" s="851">
        <v>0</v>
      </c>
      <c r="V625" s="851">
        <v>0</v>
      </c>
      <c r="W625" s="851">
        <v>0</v>
      </c>
      <c r="X625" s="851">
        <v>0</v>
      </c>
      <c r="Y625" s="851">
        <v>0</v>
      </c>
      <c r="Z625" s="851">
        <v>0</v>
      </c>
      <c r="AA625" s="851">
        <v>0</v>
      </c>
      <c r="AB625" s="851">
        <v>0</v>
      </c>
      <c r="AC625" s="851">
        <v>0</v>
      </c>
      <c r="AD625" s="851">
        <v>2.5</v>
      </c>
      <c r="AE625" s="851">
        <v>0</v>
      </c>
      <c r="AF625" s="851">
        <v>0</v>
      </c>
      <c r="AG625" s="851">
        <v>0</v>
      </c>
      <c r="AH625" s="851">
        <f t="shared" si="48"/>
        <v>2.0661157024793391</v>
      </c>
      <c r="AI625" s="851">
        <v>0</v>
      </c>
      <c r="AJ625" s="851">
        <v>0</v>
      </c>
      <c r="AK625" s="851">
        <v>0</v>
      </c>
      <c r="AL625" s="851">
        <v>0</v>
      </c>
      <c r="AM625" s="851">
        <v>0</v>
      </c>
      <c r="AN625" s="851">
        <v>0</v>
      </c>
      <c r="AO625" s="851">
        <v>0</v>
      </c>
      <c r="AP625" s="851"/>
    </row>
    <row r="626" spans="1:42" ht="14">
      <c r="A626" s="856">
        <v>625</v>
      </c>
      <c r="B626" s="425" t="s">
        <v>3046</v>
      </c>
      <c r="C626" s="425" t="s">
        <v>43</v>
      </c>
      <c r="D626" s="425" t="s">
        <v>2450</v>
      </c>
      <c r="E626" s="425" t="s">
        <v>2734</v>
      </c>
      <c r="F626" s="425" t="s">
        <v>2737</v>
      </c>
      <c r="G626">
        <v>1</v>
      </c>
      <c r="H626" s="852">
        <v>0.2</v>
      </c>
      <c r="I626" s="852">
        <v>0.53</v>
      </c>
      <c r="J626" s="852">
        <f t="shared" si="49"/>
        <v>0.10600000000000001</v>
      </c>
      <c r="K626" s="852">
        <f t="shared" si="50"/>
        <v>1.3780000000000001E-2</v>
      </c>
      <c r="L626">
        <v>0</v>
      </c>
      <c r="M626" s="425" t="s">
        <v>47</v>
      </c>
      <c r="N626" s="370">
        <v>2050</v>
      </c>
      <c r="O626" s="425" t="s">
        <v>2740</v>
      </c>
      <c r="P626" s="854" t="s">
        <v>47</v>
      </c>
      <c r="Q626" s="425" t="s">
        <v>92</v>
      </c>
      <c r="R626" s="851">
        <v>0</v>
      </c>
      <c r="S626" s="851">
        <v>0</v>
      </c>
      <c r="T626" s="851">
        <v>0</v>
      </c>
      <c r="U626" s="851">
        <v>0</v>
      </c>
      <c r="V626" s="851">
        <v>0</v>
      </c>
      <c r="W626" s="851">
        <v>0</v>
      </c>
      <c r="X626" s="851">
        <v>0</v>
      </c>
      <c r="Y626" s="851">
        <v>0</v>
      </c>
      <c r="Z626" s="851">
        <v>0</v>
      </c>
      <c r="AA626" s="851">
        <v>0</v>
      </c>
      <c r="AB626" s="851">
        <v>0</v>
      </c>
      <c r="AC626" s="851">
        <v>0</v>
      </c>
      <c r="AD626" s="851">
        <v>2.5</v>
      </c>
      <c r="AE626" s="851">
        <v>0</v>
      </c>
      <c r="AF626" s="851">
        <v>0</v>
      </c>
      <c r="AG626" s="851">
        <v>0</v>
      </c>
      <c r="AH626" s="851">
        <f t="shared" si="48"/>
        <v>2.0661157024793391</v>
      </c>
      <c r="AI626" s="851">
        <v>0</v>
      </c>
      <c r="AJ626" s="851">
        <v>0</v>
      </c>
      <c r="AK626" s="851">
        <v>0</v>
      </c>
      <c r="AL626" s="851">
        <v>0</v>
      </c>
      <c r="AM626" s="851">
        <v>0</v>
      </c>
      <c r="AN626" s="851">
        <v>0</v>
      </c>
      <c r="AO626" s="851">
        <v>0</v>
      </c>
      <c r="AP626" s="851"/>
    </row>
    <row r="627" spans="1:42" ht="14">
      <c r="A627" s="856">
        <v>626</v>
      </c>
      <c r="B627" s="425" t="s">
        <v>3047</v>
      </c>
      <c r="C627" s="425" t="s">
        <v>43</v>
      </c>
      <c r="D627" s="425" t="s">
        <v>2450</v>
      </c>
      <c r="E627" s="425" t="s">
        <v>2734</v>
      </c>
      <c r="F627" s="425" t="s">
        <v>2691</v>
      </c>
      <c r="G627">
        <v>1</v>
      </c>
      <c r="H627" s="852">
        <v>0.2</v>
      </c>
      <c r="I627" s="852">
        <v>0.53</v>
      </c>
      <c r="J627" s="852">
        <f t="shared" si="49"/>
        <v>0.10600000000000001</v>
      </c>
      <c r="K627" s="852">
        <f t="shared" si="50"/>
        <v>1.3780000000000001E-2</v>
      </c>
      <c r="L627">
        <v>0</v>
      </c>
      <c r="M627" s="425" t="s">
        <v>47</v>
      </c>
      <c r="N627" s="370">
        <v>2050</v>
      </c>
      <c r="O627" s="425" t="s">
        <v>2740</v>
      </c>
      <c r="P627" s="854" t="s">
        <v>47</v>
      </c>
      <c r="Q627" s="425" t="s">
        <v>92</v>
      </c>
      <c r="R627" s="851">
        <v>0</v>
      </c>
      <c r="S627" s="851">
        <v>0</v>
      </c>
      <c r="T627" s="851">
        <v>0</v>
      </c>
      <c r="U627" s="851">
        <v>0</v>
      </c>
      <c r="V627" s="851">
        <v>0</v>
      </c>
      <c r="W627" s="851">
        <v>0</v>
      </c>
      <c r="X627" s="851">
        <v>0</v>
      </c>
      <c r="Y627" s="851">
        <v>0</v>
      </c>
      <c r="Z627" s="851">
        <v>0</v>
      </c>
      <c r="AA627" s="851">
        <v>0</v>
      </c>
      <c r="AB627" s="851">
        <v>0</v>
      </c>
      <c r="AC627" s="851">
        <v>0</v>
      </c>
      <c r="AD627" s="851">
        <v>2.5</v>
      </c>
      <c r="AE627" s="851">
        <v>0</v>
      </c>
      <c r="AF627" s="851">
        <v>0</v>
      </c>
      <c r="AG627" s="851">
        <v>0</v>
      </c>
      <c r="AH627" s="851">
        <f t="shared" si="48"/>
        <v>2.0661157024793391</v>
      </c>
      <c r="AI627" s="851">
        <v>0</v>
      </c>
      <c r="AJ627" s="851">
        <v>0</v>
      </c>
      <c r="AK627" s="851">
        <v>0</v>
      </c>
      <c r="AL627" s="851">
        <v>0</v>
      </c>
      <c r="AM627" s="851">
        <v>0</v>
      </c>
      <c r="AN627" s="851">
        <v>0</v>
      </c>
      <c r="AO627" s="851">
        <v>0</v>
      </c>
      <c r="AP627" s="851"/>
    </row>
    <row r="628" spans="1:42" ht="14">
      <c r="A628" s="856">
        <v>627</v>
      </c>
      <c r="B628" s="425" t="s">
        <v>3048</v>
      </c>
      <c r="C628" s="425" t="s">
        <v>43</v>
      </c>
      <c r="D628" s="425" t="s">
        <v>2450</v>
      </c>
      <c r="E628" s="425" t="s">
        <v>2734</v>
      </c>
      <c r="F628" s="425" t="s">
        <v>2688</v>
      </c>
      <c r="G628">
        <v>1</v>
      </c>
      <c r="H628" s="852">
        <v>0.2</v>
      </c>
      <c r="I628" s="852">
        <v>0.53</v>
      </c>
      <c r="J628" s="852">
        <f t="shared" si="49"/>
        <v>0.10600000000000001</v>
      </c>
      <c r="K628" s="852">
        <f t="shared" si="50"/>
        <v>1.3780000000000001E-2</v>
      </c>
      <c r="L628">
        <v>0</v>
      </c>
      <c r="M628" s="425" t="s">
        <v>47</v>
      </c>
      <c r="N628" s="370">
        <v>2050</v>
      </c>
      <c r="O628" s="425" t="s">
        <v>2740</v>
      </c>
      <c r="P628" s="854" t="s">
        <v>47</v>
      </c>
      <c r="Q628" s="425" t="s">
        <v>92</v>
      </c>
      <c r="R628" s="851">
        <v>0</v>
      </c>
      <c r="S628" s="851">
        <v>0</v>
      </c>
      <c r="T628" s="851">
        <v>0</v>
      </c>
      <c r="U628" s="851">
        <v>0</v>
      </c>
      <c r="V628" s="851">
        <v>0</v>
      </c>
      <c r="W628" s="851">
        <v>0</v>
      </c>
      <c r="X628" s="851">
        <v>0</v>
      </c>
      <c r="Y628" s="851">
        <v>0</v>
      </c>
      <c r="Z628" s="851">
        <v>0</v>
      </c>
      <c r="AA628" s="851">
        <v>0</v>
      </c>
      <c r="AB628" s="851">
        <v>0</v>
      </c>
      <c r="AC628" s="851">
        <v>0</v>
      </c>
      <c r="AD628" s="851">
        <v>2.5</v>
      </c>
      <c r="AE628" s="851">
        <v>0</v>
      </c>
      <c r="AF628" s="851">
        <v>0</v>
      </c>
      <c r="AG628" s="851">
        <v>0</v>
      </c>
      <c r="AH628" s="851">
        <f t="shared" si="48"/>
        <v>2.0661157024793391</v>
      </c>
      <c r="AI628" s="851">
        <v>0</v>
      </c>
      <c r="AJ628" s="851">
        <v>0</v>
      </c>
      <c r="AK628" s="851">
        <v>0</v>
      </c>
      <c r="AL628" s="851">
        <v>0</v>
      </c>
      <c r="AM628" s="851">
        <v>0</v>
      </c>
      <c r="AN628" s="851">
        <v>0</v>
      </c>
      <c r="AO628" s="851">
        <v>0</v>
      </c>
      <c r="AP628" s="851"/>
    </row>
    <row r="629" spans="1:42" ht="14">
      <c r="A629" s="856">
        <v>628</v>
      </c>
      <c r="B629" s="425" t="s">
        <v>3049</v>
      </c>
      <c r="C629" s="425" t="s">
        <v>43</v>
      </c>
      <c r="D629" s="425" t="s">
        <v>2450</v>
      </c>
      <c r="E629" s="425" t="s">
        <v>2735</v>
      </c>
      <c r="F629" s="425" t="s">
        <v>2689</v>
      </c>
      <c r="G629">
        <v>1</v>
      </c>
      <c r="H629" s="852">
        <v>0.2</v>
      </c>
      <c r="I629" s="852">
        <v>0.53</v>
      </c>
      <c r="J629" s="852">
        <f t="shared" si="49"/>
        <v>0.10600000000000001</v>
      </c>
      <c r="K629" s="852">
        <f t="shared" si="50"/>
        <v>1.3780000000000001E-2</v>
      </c>
      <c r="L629">
        <v>0</v>
      </c>
      <c r="M629" s="425" t="s">
        <v>47</v>
      </c>
      <c r="N629" s="370">
        <v>2050</v>
      </c>
      <c r="O629" s="425" t="s">
        <v>2685</v>
      </c>
      <c r="P629" s="854" t="s">
        <v>47</v>
      </c>
      <c r="Q629" s="425" t="s">
        <v>92</v>
      </c>
      <c r="R629" s="851">
        <v>0</v>
      </c>
      <c r="S629" s="851">
        <v>0</v>
      </c>
      <c r="T629" s="851">
        <v>0</v>
      </c>
      <c r="U629" s="851">
        <v>0</v>
      </c>
      <c r="V629" s="851">
        <v>0</v>
      </c>
      <c r="W629" s="851">
        <v>0</v>
      </c>
      <c r="X629" s="851">
        <v>0</v>
      </c>
      <c r="Y629" s="851">
        <v>0</v>
      </c>
      <c r="Z629" s="851">
        <v>0</v>
      </c>
      <c r="AA629" s="851">
        <v>0</v>
      </c>
      <c r="AB629" s="851">
        <v>0</v>
      </c>
      <c r="AC629" s="851">
        <v>0</v>
      </c>
      <c r="AD629" s="851">
        <v>2.5</v>
      </c>
      <c r="AE629" s="851">
        <v>0</v>
      </c>
      <c r="AF629" s="851">
        <v>0</v>
      </c>
      <c r="AG629" s="851">
        <v>0</v>
      </c>
      <c r="AH629" s="851">
        <f t="shared" si="48"/>
        <v>2.0661157024793391</v>
      </c>
      <c r="AI629" s="851">
        <v>0</v>
      </c>
      <c r="AJ629" s="851">
        <v>0</v>
      </c>
      <c r="AK629" s="851">
        <v>0</v>
      </c>
      <c r="AL629" s="851">
        <v>0</v>
      </c>
      <c r="AM629" s="851">
        <v>0</v>
      </c>
      <c r="AN629" s="851">
        <v>0</v>
      </c>
      <c r="AO629" s="851">
        <v>0</v>
      </c>
      <c r="AP629" s="851"/>
    </row>
    <row r="630" spans="1:42" ht="14">
      <c r="A630" s="856">
        <v>629</v>
      </c>
      <c r="B630" s="425" t="s">
        <v>3050</v>
      </c>
      <c r="C630" s="425" t="s">
        <v>43</v>
      </c>
      <c r="D630" s="425" t="s">
        <v>2450</v>
      </c>
      <c r="E630" s="425" t="s">
        <v>2735</v>
      </c>
      <c r="F630" s="425" t="s">
        <v>2684</v>
      </c>
      <c r="G630">
        <v>1</v>
      </c>
      <c r="H630" s="852">
        <v>0.2</v>
      </c>
      <c r="I630" s="852">
        <v>0.53</v>
      </c>
      <c r="J630" s="852">
        <f t="shared" si="49"/>
        <v>0.10600000000000001</v>
      </c>
      <c r="K630" s="852">
        <f t="shared" si="50"/>
        <v>1.3780000000000001E-2</v>
      </c>
      <c r="L630">
        <v>0</v>
      </c>
      <c r="M630" s="425" t="s">
        <v>47</v>
      </c>
      <c r="N630" s="370">
        <v>2050</v>
      </c>
      <c r="O630" s="425" t="s">
        <v>2685</v>
      </c>
      <c r="P630" s="854" t="s">
        <v>47</v>
      </c>
      <c r="Q630" s="425" t="s">
        <v>92</v>
      </c>
      <c r="R630" s="851">
        <v>0</v>
      </c>
      <c r="S630" s="851">
        <v>0</v>
      </c>
      <c r="T630" s="851">
        <v>0</v>
      </c>
      <c r="U630" s="851">
        <v>0</v>
      </c>
      <c r="V630" s="851">
        <v>0</v>
      </c>
      <c r="W630" s="851">
        <v>0</v>
      </c>
      <c r="X630" s="851">
        <v>0</v>
      </c>
      <c r="Y630" s="851">
        <v>0</v>
      </c>
      <c r="Z630" s="851">
        <v>0</v>
      </c>
      <c r="AA630" s="851">
        <v>0</v>
      </c>
      <c r="AB630" s="851">
        <v>0</v>
      </c>
      <c r="AC630" s="851">
        <v>0</v>
      </c>
      <c r="AD630" s="851">
        <v>2.5</v>
      </c>
      <c r="AE630" s="851">
        <v>0</v>
      </c>
      <c r="AF630" s="851">
        <v>0</v>
      </c>
      <c r="AG630" s="851">
        <v>0</v>
      </c>
      <c r="AH630" s="851">
        <f t="shared" si="48"/>
        <v>2.0661157024793391</v>
      </c>
      <c r="AI630" s="851">
        <v>0</v>
      </c>
      <c r="AJ630" s="851">
        <v>0</v>
      </c>
      <c r="AK630" s="851">
        <v>0</v>
      </c>
      <c r="AL630" s="851">
        <v>0</v>
      </c>
      <c r="AM630" s="851">
        <v>0</v>
      </c>
      <c r="AN630" s="851">
        <v>0</v>
      </c>
      <c r="AO630" s="851">
        <v>0</v>
      </c>
      <c r="AP630" s="851"/>
    </row>
    <row r="631" spans="1:42" ht="14">
      <c r="A631" s="856">
        <v>630</v>
      </c>
      <c r="B631" s="425" t="s">
        <v>3051</v>
      </c>
      <c r="C631" s="425" t="s">
        <v>43</v>
      </c>
      <c r="D631" s="425" t="s">
        <v>2450</v>
      </c>
      <c r="E631" s="425" t="s">
        <v>2735</v>
      </c>
      <c r="F631" s="425" t="s">
        <v>2738</v>
      </c>
      <c r="G631">
        <v>1</v>
      </c>
      <c r="H631" s="852">
        <v>0.2</v>
      </c>
      <c r="I631" s="852">
        <v>0.53</v>
      </c>
      <c r="J631" s="852">
        <f t="shared" si="49"/>
        <v>0.10600000000000001</v>
      </c>
      <c r="K631" s="852">
        <f t="shared" si="50"/>
        <v>1.3780000000000001E-2</v>
      </c>
      <c r="L631">
        <v>0</v>
      </c>
      <c r="M631" s="425" t="s">
        <v>47</v>
      </c>
      <c r="N631" s="370">
        <v>2050</v>
      </c>
      <c r="O631" s="425" t="s">
        <v>2685</v>
      </c>
      <c r="P631" s="854" t="s">
        <v>47</v>
      </c>
      <c r="Q631" s="425" t="s">
        <v>92</v>
      </c>
      <c r="R631" s="851">
        <v>0</v>
      </c>
      <c r="S631" s="851">
        <v>0</v>
      </c>
      <c r="T631" s="851">
        <v>0</v>
      </c>
      <c r="U631" s="851">
        <v>0</v>
      </c>
      <c r="V631" s="851">
        <v>0</v>
      </c>
      <c r="W631" s="851">
        <v>0</v>
      </c>
      <c r="X631" s="851">
        <v>0</v>
      </c>
      <c r="Y631" s="851">
        <v>0</v>
      </c>
      <c r="Z631" s="851">
        <v>0</v>
      </c>
      <c r="AA631" s="851">
        <v>0</v>
      </c>
      <c r="AB631" s="851">
        <v>0</v>
      </c>
      <c r="AC631" s="851">
        <v>0</v>
      </c>
      <c r="AD631" s="851">
        <v>2.5</v>
      </c>
      <c r="AE631" s="851">
        <v>0</v>
      </c>
      <c r="AF631" s="851">
        <v>0</v>
      </c>
      <c r="AG631" s="851">
        <v>0</v>
      </c>
      <c r="AH631" s="851">
        <f t="shared" si="48"/>
        <v>2.0661157024793391</v>
      </c>
      <c r="AI631" s="851">
        <v>0</v>
      </c>
      <c r="AJ631" s="851">
        <v>0</v>
      </c>
      <c r="AK631" s="851">
        <v>0</v>
      </c>
      <c r="AL631" s="851">
        <v>0</v>
      </c>
      <c r="AM631" s="851">
        <v>0</v>
      </c>
      <c r="AN631" s="851">
        <v>0</v>
      </c>
      <c r="AO631" s="851">
        <v>0</v>
      </c>
      <c r="AP631" s="851"/>
    </row>
    <row r="632" spans="1:42" ht="14">
      <c r="A632" s="856">
        <v>631</v>
      </c>
      <c r="B632" s="425" t="s">
        <v>3052</v>
      </c>
      <c r="C632" s="425" t="s">
        <v>43</v>
      </c>
      <c r="D632" s="425" t="s">
        <v>2450</v>
      </c>
      <c r="E632" s="425" t="s">
        <v>2735</v>
      </c>
      <c r="F632" s="425" t="s">
        <v>2688</v>
      </c>
      <c r="G632">
        <v>1</v>
      </c>
      <c r="H632" s="852">
        <v>0.2</v>
      </c>
      <c r="I632" s="852">
        <v>0.53</v>
      </c>
      <c r="J632" s="852">
        <f t="shared" si="49"/>
        <v>0.10600000000000001</v>
      </c>
      <c r="K632" s="852">
        <f t="shared" si="50"/>
        <v>1.3780000000000001E-2</v>
      </c>
      <c r="L632">
        <v>0</v>
      </c>
      <c r="M632" s="425" t="s">
        <v>47</v>
      </c>
      <c r="N632" s="370">
        <v>2050</v>
      </c>
      <c r="O632" s="425" t="s">
        <v>2685</v>
      </c>
      <c r="P632" s="854" t="s">
        <v>47</v>
      </c>
      <c r="Q632" s="425" t="s">
        <v>92</v>
      </c>
      <c r="R632" s="851">
        <v>0</v>
      </c>
      <c r="S632" s="851">
        <v>0</v>
      </c>
      <c r="T632" s="851">
        <v>0</v>
      </c>
      <c r="U632" s="851">
        <v>0</v>
      </c>
      <c r="V632" s="851">
        <v>0</v>
      </c>
      <c r="W632" s="851">
        <v>0</v>
      </c>
      <c r="X632" s="851">
        <v>0</v>
      </c>
      <c r="Y632" s="851">
        <v>0</v>
      </c>
      <c r="Z632" s="851">
        <v>0</v>
      </c>
      <c r="AA632" s="851">
        <v>0</v>
      </c>
      <c r="AB632" s="851">
        <v>0</v>
      </c>
      <c r="AC632" s="851">
        <v>0</v>
      </c>
      <c r="AD632" s="851">
        <v>2.5</v>
      </c>
      <c r="AE632" s="851">
        <v>0</v>
      </c>
      <c r="AF632" s="851">
        <v>0</v>
      </c>
      <c r="AG632" s="851">
        <v>0</v>
      </c>
      <c r="AH632" s="851">
        <f t="shared" si="48"/>
        <v>2.0661157024793391</v>
      </c>
      <c r="AI632" s="851">
        <v>0</v>
      </c>
      <c r="AJ632" s="851">
        <v>0</v>
      </c>
      <c r="AK632" s="851">
        <v>0</v>
      </c>
      <c r="AL632" s="851">
        <v>0</v>
      </c>
      <c r="AM632" s="851">
        <v>0</v>
      </c>
      <c r="AN632" s="851">
        <v>0</v>
      </c>
      <c r="AO632" s="851">
        <v>0</v>
      </c>
      <c r="AP632" s="851"/>
    </row>
    <row r="633" spans="1:42" ht="14">
      <c r="A633" s="856">
        <v>632</v>
      </c>
      <c r="B633" s="425" t="s">
        <v>3053</v>
      </c>
      <c r="C633" s="425" t="s">
        <v>43</v>
      </c>
      <c r="D633" s="425" t="s">
        <v>2450</v>
      </c>
      <c r="E633" s="425" t="s">
        <v>2736</v>
      </c>
      <c r="F633" s="425" t="s">
        <v>2690</v>
      </c>
      <c r="G633">
        <v>1</v>
      </c>
      <c r="H633" s="852">
        <v>0.2</v>
      </c>
      <c r="I633" s="852">
        <v>0.53</v>
      </c>
      <c r="J633" s="852">
        <f t="shared" si="49"/>
        <v>0.10600000000000001</v>
      </c>
      <c r="K633" s="852">
        <f t="shared" si="50"/>
        <v>1.3780000000000001E-2</v>
      </c>
      <c r="L633">
        <v>0</v>
      </c>
      <c r="M633" s="425" t="s">
        <v>47</v>
      </c>
      <c r="N633" s="370">
        <v>2050</v>
      </c>
      <c r="O633" s="425" t="s">
        <v>2685</v>
      </c>
      <c r="P633" s="854" t="s">
        <v>47</v>
      </c>
      <c r="Q633" s="425" t="s">
        <v>92</v>
      </c>
      <c r="R633" s="851">
        <v>0</v>
      </c>
      <c r="S633" s="851">
        <v>0</v>
      </c>
      <c r="T633" s="851">
        <v>0</v>
      </c>
      <c r="U633" s="851">
        <v>0</v>
      </c>
      <c r="V633" s="851">
        <v>0</v>
      </c>
      <c r="W633" s="851">
        <v>0</v>
      </c>
      <c r="X633" s="851">
        <v>0</v>
      </c>
      <c r="Y633" s="851">
        <v>0</v>
      </c>
      <c r="Z633" s="851">
        <v>0</v>
      </c>
      <c r="AA633" s="851">
        <v>0</v>
      </c>
      <c r="AB633" s="851">
        <v>0</v>
      </c>
      <c r="AC633" s="851">
        <v>0</v>
      </c>
      <c r="AD633" s="851">
        <v>2.5</v>
      </c>
      <c r="AE633" s="851">
        <v>0</v>
      </c>
      <c r="AF633" s="851">
        <v>0</v>
      </c>
      <c r="AG633" s="851">
        <v>0</v>
      </c>
      <c r="AH633" s="851">
        <f t="shared" si="48"/>
        <v>2.0661157024793391</v>
      </c>
      <c r="AI633" s="851">
        <v>0</v>
      </c>
      <c r="AJ633" s="851">
        <v>0</v>
      </c>
      <c r="AK633" s="851">
        <v>0</v>
      </c>
      <c r="AL633" s="851">
        <v>0</v>
      </c>
      <c r="AM633" s="851">
        <v>0</v>
      </c>
      <c r="AN633" s="851">
        <v>0</v>
      </c>
      <c r="AO633" s="851">
        <v>0</v>
      </c>
      <c r="AP633" s="851"/>
    </row>
    <row r="634" spans="1:42" ht="14">
      <c r="A634" s="856">
        <v>633</v>
      </c>
      <c r="B634" s="425" t="s">
        <v>3054</v>
      </c>
      <c r="C634" s="425" t="s">
        <v>43</v>
      </c>
      <c r="D634" s="425" t="s">
        <v>2450</v>
      </c>
      <c r="E634" s="425" t="s">
        <v>2736</v>
      </c>
      <c r="F634" s="425" t="s">
        <v>2687</v>
      </c>
      <c r="G634">
        <v>1</v>
      </c>
      <c r="H634" s="852">
        <v>0.2</v>
      </c>
      <c r="I634" s="852">
        <v>0.53</v>
      </c>
      <c r="J634" s="852">
        <f t="shared" si="49"/>
        <v>0.10600000000000001</v>
      </c>
      <c r="K634" s="852">
        <f t="shared" si="50"/>
        <v>1.3780000000000001E-2</v>
      </c>
      <c r="L634">
        <v>0</v>
      </c>
      <c r="M634" s="425" t="s">
        <v>47</v>
      </c>
      <c r="N634" s="370">
        <v>2050</v>
      </c>
      <c r="O634" s="425" t="s">
        <v>2685</v>
      </c>
      <c r="P634" s="854" t="s">
        <v>47</v>
      </c>
      <c r="Q634" s="425" t="s">
        <v>92</v>
      </c>
      <c r="R634" s="851">
        <v>0</v>
      </c>
      <c r="S634" s="851">
        <v>0</v>
      </c>
      <c r="T634" s="851">
        <v>0</v>
      </c>
      <c r="U634" s="851">
        <v>0</v>
      </c>
      <c r="V634" s="851">
        <v>0</v>
      </c>
      <c r="W634" s="851">
        <v>0</v>
      </c>
      <c r="X634" s="851">
        <v>0</v>
      </c>
      <c r="Y634" s="851">
        <v>0</v>
      </c>
      <c r="Z634" s="851">
        <v>0</v>
      </c>
      <c r="AA634" s="851">
        <v>0</v>
      </c>
      <c r="AB634" s="851">
        <v>0</v>
      </c>
      <c r="AC634" s="851">
        <v>0</v>
      </c>
      <c r="AD634" s="851">
        <v>2.5</v>
      </c>
      <c r="AE634" s="851">
        <v>0</v>
      </c>
      <c r="AF634" s="851">
        <v>0</v>
      </c>
      <c r="AG634" s="851">
        <v>0</v>
      </c>
      <c r="AH634" s="851">
        <f t="shared" si="48"/>
        <v>2.0661157024793391</v>
      </c>
      <c r="AI634" s="851">
        <v>0</v>
      </c>
      <c r="AJ634" s="851">
        <v>0</v>
      </c>
      <c r="AK634" s="851">
        <v>0</v>
      </c>
      <c r="AL634" s="851">
        <v>0</v>
      </c>
      <c r="AM634" s="851">
        <v>0</v>
      </c>
      <c r="AN634" s="851">
        <v>0</v>
      </c>
      <c r="AO634" s="851">
        <v>0</v>
      </c>
      <c r="AP634" s="851"/>
    </row>
    <row r="635" spans="1:42">
      <c r="R635" s="851"/>
      <c r="S635" s="851"/>
      <c r="T635" s="851"/>
      <c r="U635" s="851"/>
      <c r="V635" s="851"/>
      <c r="W635" s="851"/>
      <c r="X635" s="851"/>
      <c r="Y635" s="851"/>
      <c r="Z635" s="851"/>
      <c r="AA635" s="851"/>
      <c r="AB635" s="851"/>
      <c r="AC635" s="851"/>
      <c r="AD635" s="851"/>
      <c r="AE635" s="851"/>
      <c r="AF635" s="851"/>
      <c r="AG635" s="851"/>
      <c r="AH635" s="851"/>
      <c r="AI635" s="851"/>
      <c r="AJ635" s="851"/>
      <c r="AK635" s="851"/>
      <c r="AL635" s="851"/>
      <c r="AM635" s="851"/>
      <c r="AN635" s="851"/>
      <c r="AO635" s="851"/>
      <c r="AP635" s="851"/>
    </row>
    <row r="636" spans="1:42">
      <c r="R636" s="851"/>
      <c r="S636" s="851"/>
      <c r="T636" s="851"/>
      <c r="U636" s="851"/>
      <c r="V636" s="851"/>
      <c r="W636" s="851"/>
      <c r="X636" s="851"/>
      <c r="Y636" s="851"/>
      <c r="Z636" s="851"/>
      <c r="AA636" s="851"/>
      <c r="AB636" s="851"/>
      <c r="AC636" s="851"/>
      <c r="AD636" s="851"/>
      <c r="AE636" s="851"/>
      <c r="AF636" s="851"/>
      <c r="AG636" s="851"/>
      <c r="AH636" s="851"/>
      <c r="AI636" s="851"/>
      <c r="AJ636" s="851"/>
      <c r="AK636" s="851"/>
      <c r="AL636" s="851"/>
      <c r="AM636" s="851"/>
      <c r="AN636" s="851"/>
      <c r="AO636" s="851"/>
      <c r="AP636" s="851"/>
    </row>
    <row r="637" spans="1:42">
      <c r="R637" s="851"/>
      <c r="S637" s="851"/>
      <c r="T637" s="851"/>
      <c r="U637" s="851"/>
      <c r="V637" s="851"/>
      <c r="W637" s="851"/>
      <c r="X637" s="851"/>
      <c r="Y637" s="851"/>
      <c r="Z637" s="851"/>
      <c r="AA637" s="851"/>
      <c r="AB637" s="851"/>
      <c r="AC637" s="851"/>
      <c r="AD637" s="851"/>
      <c r="AE637" s="851"/>
      <c r="AF637" s="851"/>
      <c r="AG637" s="851"/>
      <c r="AH637" s="851"/>
      <c r="AI637" s="851"/>
      <c r="AJ637" s="851"/>
      <c r="AK637" s="851"/>
      <c r="AL637" s="851"/>
      <c r="AM637" s="851"/>
      <c r="AN637" s="851"/>
      <c r="AO637" s="851"/>
      <c r="AP637" s="851"/>
    </row>
    <row r="638" spans="1:42">
      <c r="R638" s="851"/>
      <c r="S638" s="851"/>
      <c r="T638" s="851"/>
      <c r="U638" s="851"/>
      <c r="V638" s="851"/>
      <c r="W638" s="851"/>
      <c r="X638" s="851"/>
      <c r="Y638" s="851"/>
      <c r="Z638" s="851"/>
      <c r="AA638" s="851"/>
      <c r="AB638" s="851"/>
      <c r="AC638" s="851"/>
      <c r="AD638" s="851"/>
      <c r="AE638" s="851"/>
      <c r="AF638" s="851"/>
      <c r="AG638" s="851"/>
      <c r="AH638" s="851"/>
      <c r="AI638" s="851"/>
      <c r="AJ638" s="851"/>
      <c r="AK638" s="851"/>
      <c r="AL638" s="851"/>
      <c r="AM638" s="851"/>
      <c r="AN638" s="851"/>
      <c r="AO638" s="851"/>
      <c r="AP638" s="851"/>
    </row>
    <row r="639" spans="1:42">
      <c r="R639" s="851"/>
      <c r="S639" s="851"/>
      <c r="T639" s="851"/>
      <c r="U639" s="851"/>
      <c r="V639" s="851"/>
      <c r="W639" s="851"/>
      <c r="X639" s="851"/>
      <c r="Y639" s="851"/>
      <c r="Z639" s="851"/>
      <c r="AA639" s="851"/>
      <c r="AB639" s="851"/>
      <c r="AC639" s="851"/>
      <c r="AD639" s="851"/>
      <c r="AE639" s="851"/>
      <c r="AF639" s="851"/>
      <c r="AG639" s="851"/>
      <c r="AH639" s="851"/>
      <c r="AI639" s="851"/>
      <c r="AJ639" s="851"/>
      <c r="AK639" s="851"/>
      <c r="AL639" s="851"/>
      <c r="AM639" s="851"/>
      <c r="AN639" s="851"/>
      <c r="AO639" s="851"/>
      <c r="AP639" s="851"/>
    </row>
    <row r="640" spans="1:42">
      <c r="R640" s="851"/>
      <c r="S640" s="851"/>
      <c r="T640" s="851"/>
      <c r="U640" s="851"/>
      <c r="V640" s="851"/>
      <c r="W640" s="851"/>
      <c r="X640" s="851"/>
      <c r="Y640" s="851"/>
      <c r="Z640" s="851"/>
      <c r="AA640" s="851"/>
      <c r="AB640" s="851"/>
      <c r="AC640" s="851"/>
      <c r="AD640" s="851"/>
      <c r="AE640" s="851"/>
      <c r="AF640" s="851"/>
      <c r="AG640" s="851"/>
      <c r="AH640" s="851"/>
      <c r="AI640" s="851"/>
      <c r="AJ640" s="851"/>
      <c r="AK640" s="851"/>
      <c r="AL640" s="851"/>
      <c r="AM640" s="851"/>
      <c r="AN640" s="851"/>
      <c r="AO640" s="851"/>
      <c r="AP640" s="851"/>
    </row>
    <row r="641" spans="18:42">
      <c r="R641" s="851"/>
      <c r="S641" s="851"/>
      <c r="T641" s="851"/>
      <c r="U641" s="851"/>
      <c r="V641" s="851"/>
      <c r="W641" s="851"/>
      <c r="X641" s="851"/>
      <c r="Y641" s="851"/>
      <c r="Z641" s="851"/>
      <c r="AA641" s="851"/>
      <c r="AB641" s="851"/>
      <c r="AC641" s="851"/>
      <c r="AD641" s="851"/>
      <c r="AE641" s="851"/>
      <c r="AF641" s="851"/>
      <c r="AG641" s="851"/>
      <c r="AH641" s="851"/>
      <c r="AI641" s="851"/>
      <c r="AJ641" s="851"/>
      <c r="AK641" s="851"/>
      <c r="AL641" s="851"/>
      <c r="AM641" s="851"/>
      <c r="AN641" s="851"/>
      <c r="AO641" s="851"/>
      <c r="AP641" s="851"/>
    </row>
    <row r="642" spans="18:42">
      <c r="R642" s="851"/>
      <c r="S642" s="851"/>
      <c r="T642" s="851"/>
      <c r="U642" s="851"/>
      <c r="V642" s="851"/>
      <c r="W642" s="851"/>
      <c r="X642" s="851"/>
      <c r="Y642" s="851"/>
      <c r="Z642" s="851"/>
      <c r="AA642" s="851"/>
      <c r="AB642" s="851"/>
      <c r="AC642" s="851"/>
      <c r="AD642" s="851"/>
      <c r="AE642" s="851"/>
      <c r="AF642" s="851"/>
      <c r="AG642" s="851"/>
      <c r="AH642" s="851"/>
      <c r="AI642" s="851"/>
      <c r="AJ642" s="851"/>
      <c r="AK642" s="851"/>
      <c r="AL642" s="851"/>
      <c r="AM642" s="851"/>
      <c r="AN642" s="851"/>
      <c r="AO642" s="851"/>
      <c r="AP642" s="851"/>
    </row>
    <row r="643" spans="18:42">
      <c r="R643" s="851"/>
      <c r="S643" s="851"/>
      <c r="T643" s="851"/>
      <c r="U643" s="851"/>
      <c r="V643" s="851"/>
      <c r="W643" s="851"/>
      <c r="X643" s="851"/>
      <c r="Y643" s="851"/>
      <c r="Z643" s="851"/>
      <c r="AA643" s="851"/>
      <c r="AB643" s="851"/>
      <c r="AC643" s="851"/>
      <c r="AD643" s="851"/>
      <c r="AE643" s="851"/>
      <c r="AF643" s="851"/>
      <c r="AG643" s="851"/>
      <c r="AH643" s="851"/>
      <c r="AI643" s="851"/>
      <c r="AJ643" s="851"/>
      <c r="AK643" s="851"/>
      <c r="AL643" s="851"/>
      <c r="AM643" s="851"/>
      <c r="AN643" s="851"/>
      <c r="AO643" s="851"/>
      <c r="AP643" s="851"/>
    </row>
    <row r="644" spans="18:42">
      <c r="R644" s="851"/>
      <c r="S644" s="851"/>
      <c r="T644" s="851"/>
      <c r="U644" s="851"/>
      <c r="V644" s="851"/>
      <c r="W644" s="851"/>
      <c r="X644" s="851"/>
      <c r="Y644" s="851"/>
      <c r="Z644" s="851"/>
      <c r="AA644" s="851"/>
      <c r="AB644" s="851"/>
      <c r="AC644" s="851"/>
      <c r="AD644" s="851"/>
      <c r="AE644" s="851"/>
      <c r="AF644" s="851"/>
      <c r="AG644" s="851"/>
      <c r="AH644" s="851"/>
      <c r="AI644" s="851"/>
      <c r="AJ644" s="851"/>
      <c r="AK644" s="851"/>
      <c r="AL644" s="851"/>
      <c r="AM644" s="851"/>
      <c r="AN644" s="851"/>
      <c r="AO644" s="851"/>
      <c r="AP644" s="851"/>
    </row>
    <row r="645" spans="18:42">
      <c r="R645" s="851"/>
      <c r="S645" s="851"/>
      <c r="T645" s="851"/>
      <c r="U645" s="851"/>
      <c r="V645" s="851"/>
      <c r="W645" s="851"/>
      <c r="X645" s="851"/>
      <c r="Y645" s="851"/>
      <c r="Z645" s="851"/>
      <c r="AA645" s="851"/>
      <c r="AB645" s="851"/>
      <c r="AC645" s="851"/>
      <c r="AD645" s="851"/>
      <c r="AE645" s="851"/>
      <c r="AF645" s="851"/>
      <c r="AG645" s="851"/>
      <c r="AH645" s="851"/>
      <c r="AI645" s="851"/>
      <c r="AJ645" s="851"/>
      <c r="AK645" s="851"/>
      <c r="AL645" s="851"/>
      <c r="AM645" s="851"/>
      <c r="AN645" s="851"/>
      <c r="AO645" s="851"/>
      <c r="AP645" s="851"/>
    </row>
    <row r="646" spans="18:42">
      <c r="R646" s="851"/>
      <c r="S646" s="851"/>
      <c r="T646" s="851"/>
      <c r="U646" s="851"/>
      <c r="V646" s="851"/>
      <c r="W646" s="851"/>
      <c r="X646" s="851"/>
      <c r="Y646" s="851"/>
      <c r="Z646" s="851"/>
      <c r="AA646" s="851"/>
      <c r="AB646" s="851"/>
      <c r="AC646" s="851"/>
      <c r="AD646" s="851"/>
      <c r="AE646" s="851"/>
      <c r="AF646" s="851"/>
      <c r="AG646" s="851"/>
      <c r="AH646" s="851"/>
      <c r="AI646" s="851"/>
      <c r="AJ646" s="851"/>
      <c r="AK646" s="851"/>
      <c r="AL646" s="851"/>
      <c r="AM646" s="851"/>
      <c r="AN646" s="851"/>
      <c r="AO646" s="851"/>
      <c r="AP646" s="851"/>
    </row>
    <row r="647" spans="18:42">
      <c r="R647" s="851"/>
      <c r="S647" s="851"/>
      <c r="T647" s="851"/>
      <c r="U647" s="851"/>
      <c r="V647" s="851"/>
      <c r="W647" s="851"/>
      <c r="X647" s="851"/>
      <c r="Y647" s="851"/>
      <c r="Z647" s="851"/>
      <c r="AA647" s="851"/>
      <c r="AB647" s="851"/>
      <c r="AC647" s="851"/>
      <c r="AD647" s="851"/>
      <c r="AE647" s="851"/>
      <c r="AF647" s="851"/>
      <c r="AG647" s="851"/>
      <c r="AH647" s="851"/>
      <c r="AI647" s="851"/>
      <c r="AJ647" s="851"/>
      <c r="AK647" s="851"/>
      <c r="AL647" s="851"/>
      <c r="AM647" s="851"/>
      <c r="AN647" s="851"/>
      <c r="AO647" s="851"/>
      <c r="AP647" s="851"/>
    </row>
    <row r="648" spans="18:42">
      <c r="R648" s="851"/>
      <c r="S648" s="851"/>
      <c r="T648" s="851"/>
      <c r="U648" s="851"/>
      <c r="V648" s="851"/>
      <c r="W648" s="851"/>
      <c r="X648" s="851"/>
      <c r="Y648" s="851"/>
      <c r="Z648" s="851"/>
      <c r="AA648" s="851"/>
      <c r="AB648" s="851"/>
      <c r="AC648" s="851"/>
      <c r="AD648" s="851"/>
      <c r="AE648" s="851"/>
      <c r="AF648" s="851"/>
      <c r="AG648" s="851"/>
      <c r="AH648" s="851"/>
      <c r="AI648" s="851"/>
      <c r="AJ648" s="851"/>
      <c r="AK648" s="851"/>
      <c r="AL648" s="851"/>
      <c r="AM648" s="851"/>
      <c r="AN648" s="851"/>
      <c r="AO648" s="851"/>
      <c r="AP648" s="851"/>
    </row>
    <row r="649" spans="18:42">
      <c r="R649" s="851"/>
      <c r="S649" s="851"/>
      <c r="T649" s="851"/>
      <c r="U649" s="851"/>
      <c r="V649" s="851"/>
      <c r="W649" s="851"/>
      <c r="X649" s="851"/>
      <c r="Y649" s="851"/>
      <c r="Z649" s="851"/>
      <c r="AA649" s="851"/>
      <c r="AB649" s="851"/>
      <c r="AC649" s="851"/>
      <c r="AD649" s="851"/>
      <c r="AE649" s="851"/>
      <c r="AF649" s="851"/>
      <c r="AG649" s="851"/>
      <c r="AH649" s="851"/>
      <c r="AI649" s="851"/>
      <c r="AJ649" s="851"/>
      <c r="AK649" s="851"/>
      <c r="AL649" s="851"/>
      <c r="AM649" s="851"/>
      <c r="AN649" s="851"/>
      <c r="AO649" s="851"/>
      <c r="AP649" s="851"/>
    </row>
    <row r="650" spans="18:42">
      <c r="R650" s="851"/>
      <c r="S650" s="851"/>
      <c r="T650" s="851"/>
      <c r="U650" s="851"/>
      <c r="V650" s="851"/>
      <c r="W650" s="851"/>
      <c r="X650" s="851"/>
      <c r="Y650" s="851"/>
      <c r="Z650" s="851"/>
      <c r="AA650" s="851"/>
      <c r="AB650" s="851"/>
      <c r="AC650" s="851"/>
      <c r="AD650" s="851"/>
      <c r="AE650" s="851"/>
      <c r="AF650" s="851"/>
      <c r="AG650" s="851"/>
      <c r="AH650" s="851"/>
      <c r="AI650" s="851"/>
      <c r="AJ650" s="851"/>
      <c r="AK650" s="851"/>
      <c r="AL650" s="851"/>
      <c r="AM650" s="851"/>
      <c r="AN650" s="851"/>
      <c r="AO650" s="851"/>
      <c r="AP650" s="851"/>
    </row>
    <row r="651" spans="18:42">
      <c r="R651" s="851"/>
      <c r="S651" s="851"/>
      <c r="T651" s="851"/>
      <c r="U651" s="851"/>
      <c r="V651" s="851"/>
      <c r="W651" s="851"/>
      <c r="X651" s="851"/>
      <c r="Y651" s="851"/>
      <c r="Z651" s="851"/>
      <c r="AA651" s="851"/>
      <c r="AB651" s="851"/>
      <c r="AC651" s="851"/>
      <c r="AD651" s="851"/>
      <c r="AE651" s="851"/>
      <c r="AF651" s="851"/>
      <c r="AG651" s="851"/>
      <c r="AH651" s="851"/>
      <c r="AI651" s="851"/>
      <c r="AJ651" s="851"/>
      <c r="AK651" s="851"/>
      <c r="AL651" s="851"/>
      <c r="AM651" s="851"/>
      <c r="AN651" s="851"/>
      <c r="AO651" s="851"/>
      <c r="AP651" s="851"/>
    </row>
    <row r="652" spans="18:42">
      <c r="R652" s="851"/>
      <c r="S652" s="851"/>
      <c r="T652" s="851"/>
      <c r="U652" s="851"/>
      <c r="V652" s="851"/>
      <c r="W652" s="851"/>
      <c r="X652" s="851"/>
      <c r="Y652" s="851"/>
      <c r="Z652" s="851"/>
      <c r="AA652" s="851"/>
      <c r="AB652" s="851"/>
      <c r="AC652" s="851"/>
      <c r="AD652" s="851"/>
      <c r="AE652" s="851"/>
      <c r="AF652" s="851"/>
      <c r="AG652" s="851"/>
      <c r="AH652" s="851"/>
      <c r="AI652" s="851"/>
      <c r="AJ652" s="851"/>
      <c r="AK652" s="851"/>
      <c r="AL652" s="851"/>
      <c r="AM652" s="851"/>
      <c r="AN652" s="851"/>
      <c r="AO652" s="851"/>
      <c r="AP652" s="851"/>
    </row>
    <row r="653" spans="18:42">
      <c r="R653" s="851"/>
      <c r="S653" s="851"/>
      <c r="T653" s="851"/>
      <c r="U653" s="851"/>
      <c r="V653" s="851"/>
      <c r="W653" s="851"/>
      <c r="X653" s="851"/>
      <c r="Y653" s="851"/>
      <c r="Z653" s="851"/>
      <c r="AA653" s="851"/>
      <c r="AB653" s="851"/>
      <c r="AC653" s="851"/>
      <c r="AD653" s="851"/>
      <c r="AE653" s="851"/>
      <c r="AF653" s="851"/>
      <c r="AG653" s="851"/>
      <c r="AH653" s="851"/>
      <c r="AI653" s="851"/>
      <c r="AJ653" s="851"/>
      <c r="AK653" s="851"/>
      <c r="AL653" s="851"/>
      <c r="AM653" s="851"/>
      <c r="AN653" s="851"/>
      <c r="AO653" s="851"/>
      <c r="AP653" s="851"/>
    </row>
    <row r="654" spans="18:42">
      <c r="R654" s="851"/>
      <c r="S654" s="851"/>
      <c r="T654" s="851"/>
      <c r="U654" s="851"/>
      <c r="V654" s="851"/>
      <c r="W654" s="851"/>
      <c r="X654" s="851"/>
      <c r="Y654" s="851"/>
      <c r="Z654" s="851"/>
      <c r="AA654" s="851"/>
      <c r="AB654" s="851"/>
      <c r="AC654" s="851"/>
      <c r="AD654" s="851"/>
      <c r="AE654" s="851"/>
      <c r="AF654" s="851"/>
      <c r="AG654" s="851"/>
      <c r="AH654" s="851"/>
      <c r="AI654" s="851"/>
      <c r="AJ654" s="851"/>
      <c r="AK654" s="851"/>
      <c r="AL654" s="851"/>
      <c r="AM654" s="851"/>
      <c r="AN654" s="851"/>
      <c r="AO654" s="851"/>
      <c r="AP654" s="851"/>
    </row>
    <row r="655" spans="18:42">
      <c r="R655" s="851"/>
      <c r="S655" s="851"/>
      <c r="T655" s="851"/>
      <c r="U655" s="851"/>
      <c r="V655" s="851"/>
      <c r="W655" s="851"/>
      <c r="X655" s="851"/>
      <c r="Y655" s="851"/>
      <c r="Z655" s="851"/>
      <c r="AA655" s="851"/>
      <c r="AB655" s="851"/>
      <c r="AC655" s="851"/>
      <c r="AD655" s="851"/>
      <c r="AE655" s="851"/>
      <c r="AF655" s="851"/>
      <c r="AG655" s="851"/>
      <c r="AH655" s="851"/>
      <c r="AI655" s="851"/>
      <c r="AJ655" s="851"/>
      <c r="AK655" s="851"/>
      <c r="AL655" s="851"/>
      <c r="AM655" s="851"/>
      <c r="AN655" s="851"/>
      <c r="AO655" s="851"/>
      <c r="AP655" s="851"/>
    </row>
    <row r="656" spans="18:42">
      <c r="R656" s="851"/>
      <c r="S656" s="851"/>
      <c r="T656" s="851"/>
      <c r="U656" s="851"/>
      <c r="V656" s="851"/>
      <c r="W656" s="851"/>
      <c r="X656" s="851"/>
      <c r="Y656" s="851"/>
      <c r="Z656" s="851"/>
      <c r="AA656" s="851"/>
      <c r="AB656" s="851"/>
      <c r="AC656" s="851"/>
      <c r="AD656" s="851"/>
      <c r="AE656" s="851"/>
      <c r="AF656" s="851"/>
      <c r="AG656" s="851"/>
      <c r="AH656" s="851"/>
      <c r="AI656" s="851"/>
      <c r="AJ656" s="851"/>
      <c r="AK656" s="851"/>
      <c r="AL656" s="851"/>
      <c r="AM656" s="851"/>
      <c r="AN656" s="851"/>
      <c r="AO656" s="851"/>
      <c r="AP656" s="851"/>
    </row>
    <row r="657" spans="18:42">
      <c r="R657" s="851"/>
      <c r="S657" s="851"/>
      <c r="T657" s="851"/>
      <c r="U657" s="851"/>
      <c r="V657" s="851"/>
      <c r="W657" s="851"/>
      <c r="X657" s="851"/>
      <c r="Y657" s="851"/>
      <c r="Z657" s="851"/>
      <c r="AA657" s="851"/>
      <c r="AB657" s="851"/>
      <c r="AC657" s="851"/>
      <c r="AD657" s="851"/>
      <c r="AE657" s="851"/>
      <c r="AF657" s="851"/>
      <c r="AG657" s="851"/>
      <c r="AH657" s="851"/>
      <c r="AI657" s="851"/>
      <c r="AJ657" s="851"/>
      <c r="AK657" s="851"/>
      <c r="AL657" s="851"/>
      <c r="AM657" s="851"/>
      <c r="AN657" s="851"/>
      <c r="AO657" s="851"/>
      <c r="AP657" s="851"/>
    </row>
    <row r="658" spans="18:42">
      <c r="R658" s="851"/>
      <c r="S658" s="851"/>
      <c r="T658" s="851"/>
      <c r="U658" s="851"/>
      <c r="V658" s="851"/>
      <c r="W658" s="851"/>
      <c r="X658" s="851"/>
      <c r="Y658" s="851"/>
      <c r="Z658" s="851"/>
      <c r="AA658" s="851"/>
      <c r="AB658" s="851"/>
      <c r="AC658" s="851"/>
      <c r="AD658" s="851"/>
      <c r="AE658" s="851"/>
      <c r="AF658" s="851"/>
      <c r="AG658" s="851"/>
      <c r="AH658" s="851"/>
      <c r="AI658" s="851"/>
      <c r="AJ658" s="851"/>
      <c r="AK658" s="851"/>
      <c r="AL658" s="851"/>
      <c r="AM658" s="851"/>
      <c r="AN658" s="851"/>
      <c r="AO658" s="851"/>
      <c r="AP658" s="851"/>
    </row>
    <row r="659" spans="18:42">
      <c r="R659" s="851"/>
      <c r="S659" s="851"/>
      <c r="T659" s="851"/>
      <c r="U659" s="851"/>
      <c r="V659" s="851"/>
      <c r="W659" s="851"/>
      <c r="X659" s="851"/>
      <c r="Y659" s="851"/>
      <c r="Z659" s="851"/>
      <c r="AA659" s="851"/>
      <c r="AB659" s="851"/>
      <c r="AC659" s="851"/>
      <c r="AD659" s="851"/>
      <c r="AE659" s="851"/>
      <c r="AF659" s="851"/>
      <c r="AG659" s="851"/>
      <c r="AH659" s="851"/>
      <c r="AI659" s="851"/>
      <c r="AJ659" s="851"/>
      <c r="AK659" s="851"/>
      <c r="AL659" s="851"/>
      <c r="AM659" s="851"/>
      <c r="AN659" s="851"/>
      <c r="AO659" s="851"/>
      <c r="AP659" s="851"/>
    </row>
    <row r="660" spans="18:42">
      <c r="R660" s="851"/>
      <c r="S660" s="851"/>
      <c r="T660" s="851"/>
      <c r="U660" s="851"/>
      <c r="V660" s="851"/>
      <c r="W660" s="851"/>
      <c r="X660" s="851"/>
      <c r="Y660" s="851"/>
      <c r="Z660" s="851"/>
      <c r="AA660" s="851"/>
      <c r="AB660" s="851"/>
      <c r="AC660" s="851"/>
      <c r="AD660" s="851"/>
      <c r="AE660" s="851"/>
      <c r="AF660" s="851"/>
      <c r="AG660" s="851"/>
      <c r="AH660" s="851"/>
      <c r="AI660" s="851"/>
      <c r="AJ660" s="851"/>
      <c r="AK660" s="851"/>
      <c r="AL660" s="851"/>
      <c r="AM660" s="851"/>
      <c r="AN660" s="851"/>
      <c r="AO660" s="851"/>
      <c r="AP660" s="851"/>
    </row>
    <row r="661" spans="18:42">
      <c r="R661" s="851"/>
      <c r="S661" s="851"/>
      <c r="T661" s="851"/>
      <c r="U661" s="851"/>
      <c r="V661" s="851"/>
      <c r="W661" s="851"/>
      <c r="X661" s="851"/>
      <c r="Y661" s="851"/>
      <c r="Z661" s="851"/>
      <c r="AA661" s="851"/>
      <c r="AB661" s="851"/>
      <c r="AC661" s="851"/>
      <c r="AD661" s="851"/>
      <c r="AE661" s="851"/>
      <c r="AF661" s="851"/>
      <c r="AG661" s="851"/>
      <c r="AH661" s="851"/>
      <c r="AI661" s="851"/>
      <c r="AJ661" s="851"/>
      <c r="AK661" s="851"/>
      <c r="AL661" s="851"/>
      <c r="AM661" s="851"/>
      <c r="AN661" s="851"/>
      <c r="AO661" s="851"/>
      <c r="AP661" s="851"/>
    </row>
    <row r="662" spans="18:42">
      <c r="R662" s="851"/>
      <c r="S662" s="851"/>
      <c r="T662" s="851"/>
      <c r="U662" s="851"/>
      <c r="V662" s="851"/>
      <c r="W662" s="851"/>
      <c r="X662" s="851"/>
      <c r="Y662" s="851"/>
      <c r="Z662" s="851"/>
      <c r="AA662" s="851"/>
      <c r="AB662" s="851"/>
      <c r="AC662" s="851"/>
      <c r="AD662" s="851"/>
      <c r="AE662" s="851"/>
      <c r="AF662" s="851"/>
      <c r="AG662" s="851"/>
      <c r="AH662" s="851"/>
      <c r="AI662" s="851"/>
      <c r="AJ662" s="851"/>
      <c r="AK662" s="851"/>
      <c r="AL662" s="851"/>
      <c r="AM662" s="851"/>
      <c r="AN662" s="851"/>
      <c r="AO662" s="851"/>
      <c r="AP662" s="851"/>
    </row>
    <row r="663" spans="18:42">
      <c r="R663" s="851"/>
      <c r="S663" s="851"/>
      <c r="T663" s="851"/>
      <c r="U663" s="851"/>
      <c r="V663" s="851"/>
      <c r="W663" s="851"/>
      <c r="X663" s="851"/>
      <c r="Y663" s="851"/>
      <c r="Z663" s="851"/>
      <c r="AA663" s="851"/>
      <c r="AB663" s="851"/>
      <c r="AC663" s="851"/>
      <c r="AD663" s="851"/>
      <c r="AE663" s="851"/>
      <c r="AF663" s="851"/>
      <c r="AG663" s="851"/>
      <c r="AH663" s="851"/>
      <c r="AI663" s="851"/>
      <c r="AJ663" s="851"/>
      <c r="AK663" s="851"/>
      <c r="AL663" s="851"/>
      <c r="AM663" s="851"/>
      <c r="AN663" s="851"/>
      <c r="AO663" s="851"/>
      <c r="AP663" s="851"/>
    </row>
    <row r="664" spans="18:42">
      <c r="R664" s="851"/>
      <c r="S664" s="851"/>
      <c r="T664" s="851"/>
      <c r="U664" s="851"/>
      <c r="V664" s="851"/>
      <c r="W664" s="851"/>
      <c r="X664" s="851"/>
      <c r="Y664" s="851"/>
      <c r="Z664" s="851"/>
      <c r="AA664" s="851"/>
      <c r="AB664" s="851"/>
      <c r="AC664" s="851"/>
      <c r="AD664" s="851"/>
      <c r="AE664" s="851"/>
      <c r="AF664" s="851"/>
      <c r="AG664" s="851"/>
      <c r="AH664" s="851"/>
      <c r="AI664" s="851"/>
      <c r="AJ664" s="851"/>
      <c r="AK664" s="851"/>
      <c r="AL664" s="851"/>
      <c r="AM664" s="851"/>
      <c r="AN664" s="851"/>
      <c r="AO664" s="851"/>
      <c r="AP664" s="851"/>
    </row>
    <row r="665" spans="18:42">
      <c r="R665" s="851"/>
      <c r="S665" s="851"/>
      <c r="T665" s="851"/>
      <c r="U665" s="851"/>
      <c r="V665" s="851"/>
      <c r="W665" s="851"/>
      <c r="X665" s="851"/>
      <c r="Y665" s="851"/>
      <c r="Z665" s="851"/>
      <c r="AA665" s="851"/>
      <c r="AB665" s="851"/>
      <c r="AC665" s="851"/>
      <c r="AD665" s="851"/>
      <c r="AE665" s="851"/>
      <c r="AF665" s="851"/>
      <c r="AG665" s="851"/>
      <c r="AH665" s="851"/>
      <c r="AI665" s="851"/>
      <c r="AJ665" s="851"/>
      <c r="AK665" s="851"/>
      <c r="AL665" s="851"/>
      <c r="AM665" s="851"/>
      <c r="AN665" s="851"/>
      <c r="AO665" s="851"/>
      <c r="AP665" s="851"/>
    </row>
    <row r="666" spans="18:42">
      <c r="R666" s="851"/>
      <c r="S666" s="851"/>
      <c r="T666" s="851"/>
      <c r="U666" s="851"/>
      <c r="V666" s="851"/>
      <c r="W666" s="851"/>
      <c r="X666" s="851"/>
      <c r="Y666" s="851"/>
      <c r="Z666" s="851"/>
      <c r="AA666" s="851"/>
      <c r="AB666" s="851"/>
      <c r="AC666" s="851"/>
      <c r="AD666" s="851"/>
      <c r="AE666" s="851"/>
      <c r="AF666" s="851"/>
      <c r="AG666" s="851"/>
      <c r="AH666" s="851"/>
      <c r="AI666" s="851"/>
      <c r="AJ666" s="851"/>
      <c r="AK666" s="851"/>
      <c r="AL666" s="851"/>
      <c r="AM666" s="851"/>
      <c r="AN666" s="851"/>
      <c r="AO666" s="851"/>
      <c r="AP666" s="851"/>
    </row>
    <row r="667" spans="18:42">
      <c r="R667" s="851"/>
      <c r="S667" s="851"/>
      <c r="T667" s="851"/>
      <c r="U667" s="851"/>
      <c r="V667" s="851"/>
      <c r="W667" s="851"/>
      <c r="X667" s="851"/>
      <c r="Y667" s="851"/>
      <c r="Z667" s="851"/>
      <c r="AA667" s="851"/>
      <c r="AB667" s="851"/>
      <c r="AC667" s="851"/>
      <c r="AD667" s="851"/>
      <c r="AE667" s="851"/>
      <c r="AF667" s="851"/>
      <c r="AG667" s="851"/>
      <c r="AH667" s="851"/>
      <c r="AI667" s="851"/>
      <c r="AJ667" s="851"/>
      <c r="AK667" s="851"/>
      <c r="AL667" s="851"/>
      <c r="AM667" s="851"/>
      <c r="AN667" s="851"/>
      <c r="AO667" s="851"/>
      <c r="AP667" s="851"/>
    </row>
    <row r="668" spans="18:42">
      <c r="R668" s="851"/>
      <c r="S668" s="851"/>
      <c r="T668" s="851"/>
      <c r="U668" s="851"/>
      <c r="V668" s="851"/>
      <c r="W668" s="851"/>
      <c r="X668" s="851"/>
      <c r="Y668" s="851"/>
      <c r="Z668" s="851"/>
      <c r="AA668" s="851"/>
      <c r="AB668" s="851"/>
      <c r="AC668" s="851"/>
      <c r="AD668" s="851"/>
      <c r="AE668" s="851"/>
      <c r="AF668" s="851"/>
      <c r="AG668" s="851"/>
      <c r="AH668" s="851"/>
      <c r="AI668" s="851"/>
      <c r="AJ668" s="851"/>
      <c r="AK668" s="851"/>
      <c r="AL668" s="851"/>
      <c r="AM668" s="851"/>
      <c r="AN668" s="851"/>
      <c r="AO668" s="851"/>
      <c r="AP668" s="851"/>
    </row>
    <row r="669" spans="18:42">
      <c r="R669" s="851"/>
      <c r="S669" s="851"/>
      <c r="T669" s="851"/>
      <c r="U669" s="851"/>
      <c r="V669" s="851"/>
      <c r="W669" s="851"/>
      <c r="X669" s="851"/>
      <c r="Y669" s="851"/>
      <c r="Z669" s="851"/>
      <c r="AA669" s="851"/>
      <c r="AB669" s="851"/>
      <c r="AC669" s="851"/>
      <c r="AD669" s="851"/>
      <c r="AE669" s="851"/>
      <c r="AF669" s="851"/>
      <c r="AG669" s="851"/>
      <c r="AH669" s="851"/>
      <c r="AI669" s="851"/>
      <c r="AJ669" s="851"/>
      <c r="AK669" s="851"/>
      <c r="AL669" s="851"/>
      <c r="AM669" s="851"/>
      <c r="AN669" s="851"/>
      <c r="AO669" s="851"/>
      <c r="AP669" s="851"/>
    </row>
    <row r="670" spans="18:42">
      <c r="R670" s="851"/>
      <c r="S670" s="851"/>
      <c r="T670" s="851"/>
      <c r="U670" s="851"/>
      <c r="V670" s="851"/>
      <c r="W670" s="851"/>
      <c r="X670" s="851"/>
      <c r="Y670" s="851"/>
      <c r="Z670" s="851"/>
      <c r="AA670" s="851"/>
      <c r="AB670" s="851"/>
      <c r="AC670" s="851"/>
      <c r="AD670" s="851"/>
      <c r="AE670" s="851"/>
      <c r="AF670" s="851"/>
      <c r="AG670" s="851"/>
      <c r="AH670" s="851"/>
      <c r="AI670" s="851"/>
      <c r="AJ670" s="851"/>
      <c r="AK670" s="851"/>
      <c r="AL670" s="851"/>
      <c r="AM670" s="851"/>
      <c r="AN670" s="851"/>
      <c r="AO670" s="851"/>
      <c r="AP670" s="851"/>
    </row>
    <row r="671" spans="18:42">
      <c r="R671" s="851"/>
      <c r="S671" s="851"/>
      <c r="T671" s="851"/>
      <c r="U671" s="851"/>
      <c r="V671" s="851"/>
      <c r="W671" s="851"/>
      <c r="X671" s="851"/>
      <c r="Y671" s="851"/>
      <c r="Z671" s="851"/>
      <c r="AA671" s="851"/>
      <c r="AB671" s="851"/>
      <c r="AC671" s="851"/>
      <c r="AD671" s="851"/>
      <c r="AE671" s="851"/>
      <c r="AF671" s="851"/>
      <c r="AG671" s="851"/>
      <c r="AH671" s="851"/>
      <c r="AI671" s="851"/>
      <c r="AJ671" s="851"/>
      <c r="AK671" s="851"/>
      <c r="AL671" s="851"/>
      <c r="AM671" s="851"/>
      <c r="AN671" s="851"/>
      <c r="AO671" s="851"/>
      <c r="AP671" s="851"/>
    </row>
    <row r="672" spans="18:42">
      <c r="R672" s="851"/>
      <c r="S672" s="851"/>
      <c r="T672" s="851"/>
      <c r="U672" s="851"/>
      <c r="V672" s="851"/>
      <c r="W672" s="851"/>
      <c r="X672" s="851"/>
      <c r="Y672" s="851"/>
      <c r="Z672" s="851"/>
      <c r="AA672" s="851"/>
      <c r="AB672" s="851"/>
      <c r="AC672" s="851"/>
      <c r="AD672" s="851"/>
      <c r="AE672" s="851"/>
      <c r="AF672" s="851"/>
      <c r="AG672" s="851"/>
      <c r="AH672" s="851"/>
      <c r="AI672" s="851"/>
      <c r="AJ672" s="851"/>
      <c r="AK672" s="851"/>
      <c r="AL672" s="851"/>
      <c r="AM672" s="851"/>
      <c r="AN672" s="851"/>
      <c r="AO672" s="851"/>
      <c r="AP672" s="851"/>
    </row>
    <row r="673" spans="18:42">
      <c r="R673" s="851"/>
      <c r="S673" s="851"/>
      <c r="T673" s="851"/>
      <c r="U673" s="851"/>
      <c r="V673" s="851"/>
      <c r="W673" s="851"/>
      <c r="X673" s="851"/>
      <c r="Y673" s="851"/>
      <c r="Z673" s="851"/>
      <c r="AA673" s="851"/>
      <c r="AB673" s="851"/>
      <c r="AC673" s="851"/>
      <c r="AD673" s="851"/>
      <c r="AE673" s="851"/>
      <c r="AF673" s="851"/>
      <c r="AG673" s="851"/>
      <c r="AH673" s="851"/>
      <c r="AI673" s="851"/>
      <c r="AJ673" s="851"/>
      <c r="AK673" s="851"/>
      <c r="AL673" s="851"/>
      <c r="AM673" s="851"/>
      <c r="AN673" s="851"/>
      <c r="AO673" s="851"/>
      <c r="AP673" s="851"/>
    </row>
    <row r="674" spans="18:42">
      <c r="R674" s="851"/>
      <c r="S674" s="851"/>
      <c r="T674" s="851"/>
      <c r="U674" s="851"/>
      <c r="V674" s="851"/>
      <c r="W674" s="851"/>
      <c r="X674" s="851"/>
      <c r="Y674" s="851"/>
      <c r="Z674" s="851"/>
      <c r="AA674" s="851"/>
      <c r="AB674" s="851"/>
      <c r="AC674" s="851"/>
      <c r="AD674" s="851"/>
      <c r="AE674" s="851"/>
      <c r="AF674" s="851"/>
      <c r="AG674" s="851"/>
      <c r="AH674" s="851"/>
      <c r="AI674" s="851"/>
      <c r="AJ674" s="851"/>
      <c r="AK674" s="851"/>
      <c r="AL674" s="851"/>
      <c r="AM674" s="851"/>
      <c r="AN674" s="851"/>
      <c r="AO674" s="851"/>
      <c r="AP674" s="851"/>
    </row>
    <row r="675" spans="18:42">
      <c r="R675" s="851"/>
      <c r="S675" s="851"/>
      <c r="T675" s="851"/>
      <c r="U675" s="851"/>
      <c r="V675" s="851"/>
      <c r="W675" s="851"/>
      <c r="X675" s="851"/>
      <c r="Y675" s="851"/>
      <c r="Z675" s="851"/>
      <c r="AA675" s="851"/>
      <c r="AB675" s="851"/>
      <c r="AC675" s="851"/>
      <c r="AD675" s="851"/>
      <c r="AE675" s="851"/>
      <c r="AF675" s="851"/>
      <c r="AG675" s="851"/>
      <c r="AH675" s="851"/>
      <c r="AI675" s="851"/>
      <c r="AJ675" s="851"/>
      <c r="AK675" s="851"/>
      <c r="AL675" s="851"/>
      <c r="AM675" s="851"/>
      <c r="AN675" s="851"/>
      <c r="AO675" s="851"/>
      <c r="AP675" s="851"/>
    </row>
    <row r="676" spans="18:42">
      <c r="R676" s="851"/>
      <c r="S676" s="851"/>
      <c r="T676" s="851"/>
      <c r="U676" s="851"/>
      <c r="V676" s="851"/>
      <c r="W676" s="851"/>
      <c r="X676" s="851"/>
      <c r="Y676" s="851"/>
      <c r="Z676" s="851"/>
      <c r="AA676" s="851"/>
      <c r="AB676" s="851"/>
      <c r="AC676" s="851"/>
      <c r="AD676" s="851"/>
      <c r="AE676" s="851"/>
      <c r="AF676" s="851"/>
      <c r="AG676" s="851"/>
      <c r="AH676" s="851"/>
      <c r="AI676" s="851"/>
      <c r="AJ676" s="851"/>
      <c r="AK676" s="851"/>
      <c r="AL676" s="851"/>
      <c r="AM676" s="851"/>
      <c r="AN676" s="851"/>
      <c r="AO676" s="851"/>
      <c r="AP676" s="851"/>
    </row>
    <row r="677" spans="18:42">
      <c r="R677" s="851"/>
      <c r="S677" s="851"/>
      <c r="T677" s="851"/>
      <c r="U677" s="851"/>
      <c r="V677" s="851"/>
      <c r="W677" s="851"/>
      <c r="X677" s="851"/>
      <c r="Y677" s="851"/>
      <c r="Z677" s="851"/>
      <c r="AA677" s="851"/>
      <c r="AB677" s="851"/>
      <c r="AC677" s="851"/>
      <c r="AD677" s="851"/>
      <c r="AE677" s="851"/>
      <c r="AF677" s="851"/>
      <c r="AG677" s="851"/>
      <c r="AH677" s="851"/>
      <c r="AI677" s="851"/>
      <c r="AJ677" s="851"/>
      <c r="AK677" s="851"/>
      <c r="AL677" s="851"/>
      <c r="AM677" s="851"/>
      <c r="AN677" s="851"/>
      <c r="AO677" s="851"/>
      <c r="AP677" s="851"/>
    </row>
    <row r="678" spans="18:42">
      <c r="R678" s="851"/>
      <c r="S678" s="851"/>
      <c r="T678" s="851"/>
      <c r="U678" s="851"/>
      <c r="V678" s="851"/>
      <c r="W678" s="851"/>
      <c r="X678" s="851"/>
      <c r="Y678" s="851"/>
      <c r="Z678" s="851"/>
      <c r="AA678" s="851"/>
      <c r="AB678" s="851"/>
      <c r="AC678" s="851"/>
      <c r="AD678" s="851"/>
      <c r="AE678" s="851"/>
      <c r="AF678" s="851"/>
      <c r="AG678" s="851"/>
      <c r="AH678" s="851"/>
      <c r="AI678" s="851"/>
      <c r="AJ678" s="851"/>
      <c r="AK678" s="851"/>
      <c r="AL678" s="851"/>
      <c r="AM678" s="851"/>
      <c r="AN678" s="851"/>
      <c r="AO678" s="851"/>
      <c r="AP678" s="851"/>
    </row>
    <row r="679" spans="18:42">
      <c r="R679" s="851"/>
      <c r="S679" s="851"/>
      <c r="T679" s="851"/>
      <c r="U679" s="851"/>
      <c r="V679" s="851"/>
      <c r="W679" s="851"/>
      <c r="X679" s="851"/>
      <c r="Y679" s="851"/>
      <c r="Z679" s="851"/>
      <c r="AA679" s="851"/>
      <c r="AB679" s="851"/>
      <c r="AC679" s="851"/>
      <c r="AD679" s="851"/>
      <c r="AE679" s="851"/>
      <c r="AF679" s="851"/>
      <c r="AG679" s="851"/>
      <c r="AH679" s="851"/>
      <c r="AI679" s="851"/>
      <c r="AJ679" s="851"/>
      <c r="AK679" s="851"/>
      <c r="AL679" s="851"/>
      <c r="AM679" s="851"/>
      <c r="AN679" s="851"/>
      <c r="AO679" s="851"/>
      <c r="AP679" s="851"/>
    </row>
    <row r="680" spans="18:42">
      <c r="R680" s="851"/>
      <c r="S680" s="851"/>
      <c r="T680" s="851"/>
      <c r="U680" s="851"/>
      <c r="V680" s="851"/>
      <c r="W680" s="851"/>
      <c r="X680" s="851"/>
      <c r="Y680" s="851"/>
      <c r="Z680" s="851"/>
      <c r="AA680" s="851"/>
      <c r="AB680" s="851"/>
      <c r="AC680" s="851"/>
      <c r="AD680" s="851"/>
      <c r="AE680" s="851"/>
      <c r="AF680" s="851"/>
      <c r="AG680" s="851"/>
      <c r="AH680" s="851"/>
      <c r="AI680" s="851"/>
      <c r="AJ680" s="851"/>
      <c r="AK680" s="851"/>
      <c r="AL680" s="851"/>
      <c r="AM680" s="851"/>
      <c r="AN680" s="851"/>
      <c r="AO680" s="851"/>
      <c r="AP680" s="851"/>
    </row>
    <row r="681" spans="18:42">
      <c r="R681" s="851"/>
      <c r="S681" s="851"/>
      <c r="T681" s="851"/>
      <c r="U681" s="851"/>
      <c r="V681" s="851"/>
      <c r="W681" s="851"/>
      <c r="X681" s="851"/>
      <c r="Y681" s="851"/>
      <c r="Z681" s="851"/>
      <c r="AA681" s="851"/>
      <c r="AB681" s="851"/>
      <c r="AC681" s="851"/>
      <c r="AD681" s="851"/>
      <c r="AE681" s="851"/>
      <c r="AF681" s="851"/>
      <c r="AG681" s="851"/>
      <c r="AH681" s="851"/>
      <c r="AI681" s="851"/>
      <c r="AJ681" s="851"/>
      <c r="AK681" s="851"/>
      <c r="AL681" s="851"/>
      <c r="AM681" s="851"/>
      <c r="AN681" s="851"/>
      <c r="AO681" s="851"/>
      <c r="AP681" s="851"/>
    </row>
    <row r="682" spans="18:42">
      <c r="R682" s="851"/>
      <c r="S682" s="851"/>
      <c r="T682" s="851"/>
      <c r="U682" s="851"/>
      <c r="V682" s="851"/>
      <c r="W682" s="851"/>
      <c r="X682" s="851"/>
      <c r="Y682" s="851"/>
      <c r="Z682" s="851"/>
      <c r="AA682" s="851"/>
      <c r="AB682" s="851"/>
      <c r="AC682" s="851"/>
      <c r="AD682" s="851"/>
      <c r="AE682" s="851"/>
      <c r="AF682" s="851"/>
      <c r="AG682" s="851"/>
      <c r="AH682" s="851"/>
      <c r="AI682" s="851"/>
      <c r="AJ682" s="851"/>
      <c r="AK682" s="851"/>
      <c r="AL682" s="851"/>
      <c r="AM682" s="851"/>
      <c r="AN682" s="851"/>
      <c r="AO682" s="851"/>
      <c r="AP682" s="851"/>
    </row>
    <row r="683" spans="18:42">
      <c r="R683" s="851"/>
      <c r="S683" s="851"/>
      <c r="T683" s="851"/>
      <c r="U683" s="851"/>
      <c r="V683" s="851"/>
      <c r="W683" s="851"/>
      <c r="X683" s="851"/>
      <c r="Y683" s="851"/>
      <c r="Z683" s="851"/>
      <c r="AA683" s="851"/>
      <c r="AB683" s="851"/>
      <c r="AC683" s="851"/>
      <c r="AD683" s="851"/>
      <c r="AE683" s="851"/>
      <c r="AF683" s="851"/>
      <c r="AG683" s="851"/>
      <c r="AH683" s="851"/>
      <c r="AI683" s="851"/>
      <c r="AJ683" s="851"/>
      <c r="AK683" s="851"/>
      <c r="AL683" s="851"/>
      <c r="AM683" s="851"/>
      <c r="AN683" s="851"/>
      <c r="AO683" s="851"/>
      <c r="AP683" s="851"/>
    </row>
    <row r="684" spans="18:42">
      <c r="R684" s="851"/>
      <c r="S684" s="851"/>
      <c r="T684" s="851"/>
      <c r="U684" s="851"/>
      <c r="V684" s="851"/>
      <c r="W684" s="851"/>
      <c r="X684" s="851"/>
      <c r="Y684" s="851"/>
      <c r="Z684" s="851"/>
      <c r="AA684" s="851"/>
      <c r="AB684" s="851"/>
      <c r="AC684" s="851"/>
      <c r="AD684" s="851"/>
      <c r="AE684" s="851"/>
      <c r="AF684" s="851"/>
      <c r="AG684" s="851"/>
      <c r="AH684" s="851"/>
      <c r="AI684" s="851"/>
      <c r="AJ684" s="851"/>
      <c r="AK684" s="851"/>
      <c r="AL684" s="851"/>
      <c r="AM684" s="851"/>
      <c r="AN684" s="851"/>
      <c r="AO684" s="851"/>
      <c r="AP684" s="851"/>
    </row>
    <row r="685" spans="18:42">
      <c r="R685" s="851"/>
      <c r="S685" s="851"/>
      <c r="T685" s="851"/>
      <c r="U685" s="851"/>
      <c r="V685" s="851"/>
      <c r="W685" s="851"/>
      <c r="X685" s="851"/>
      <c r="Y685" s="851"/>
      <c r="Z685" s="851"/>
      <c r="AA685" s="851"/>
      <c r="AB685" s="851"/>
      <c r="AC685" s="851"/>
      <c r="AD685" s="851"/>
      <c r="AE685" s="851"/>
      <c r="AF685" s="851"/>
      <c r="AG685" s="851"/>
      <c r="AH685" s="851"/>
      <c r="AI685" s="851"/>
      <c r="AJ685" s="851"/>
      <c r="AK685" s="851"/>
      <c r="AL685" s="851"/>
      <c r="AM685" s="851"/>
      <c r="AN685" s="851"/>
      <c r="AO685" s="851"/>
      <c r="AP685" s="851"/>
    </row>
    <row r="686" spans="18:42">
      <c r="R686" s="851"/>
      <c r="S686" s="851"/>
      <c r="T686" s="851"/>
      <c r="U686" s="851"/>
      <c r="V686" s="851"/>
      <c r="W686" s="851"/>
      <c r="X686" s="851"/>
      <c r="Y686" s="851"/>
      <c r="Z686" s="851"/>
      <c r="AA686" s="851"/>
      <c r="AB686" s="851"/>
      <c r="AC686" s="851"/>
      <c r="AD686" s="851"/>
      <c r="AE686" s="851"/>
      <c r="AF686" s="851"/>
      <c r="AG686" s="851"/>
      <c r="AH686" s="851"/>
      <c r="AI686" s="851"/>
      <c r="AJ686" s="851"/>
      <c r="AK686" s="851"/>
      <c r="AL686" s="851"/>
      <c r="AM686" s="851"/>
      <c r="AN686" s="851"/>
      <c r="AO686" s="851"/>
      <c r="AP686" s="851"/>
    </row>
    <row r="687" spans="18:42">
      <c r="R687" s="851"/>
      <c r="S687" s="851"/>
      <c r="T687" s="851"/>
      <c r="U687" s="851"/>
      <c r="V687" s="851"/>
      <c r="W687" s="851"/>
      <c r="X687" s="851"/>
      <c r="Y687" s="851"/>
      <c r="Z687" s="851"/>
      <c r="AA687" s="851"/>
      <c r="AB687" s="851"/>
      <c r="AC687" s="851"/>
      <c r="AD687" s="851"/>
      <c r="AE687" s="851"/>
      <c r="AF687" s="851"/>
      <c r="AG687" s="851"/>
      <c r="AH687" s="851"/>
      <c r="AI687" s="851"/>
      <c r="AJ687" s="851"/>
      <c r="AK687" s="851"/>
      <c r="AL687" s="851"/>
      <c r="AM687" s="851"/>
      <c r="AN687" s="851"/>
      <c r="AO687" s="851"/>
      <c r="AP687" s="851"/>
    </row>
    <row r="688" spans="18:42">
      <c r="R688" s="851"/>
      <c r="S688" s="851"/>
      <c r="T688" s="851"/>
      <c r="U688" s="851"/>
      <c r="V688" s="851"/>
      <c r="W688" s="851"/>
      <c r="X688" s="851"/>
      <c r="Y688" s="851"/>
      <c r="Z688" s="851"/>
      <c r="AA688" s="851"/>
      <c r="AB688" s="851"/>
      <c r="AC688" s="851"/>
      <c r="AD688" s="851"/>
      <c r="AE688" s="851"/>
      <c r="AF688" s="851"/>
      <c r="AG688" s="851"/>
      <c r="AH688" s="851"/>
      <c r="AI688" s="851"/>
      <c r="AJ688" s="851"/>
      <c r="AK688" s="851"/>
      <c r="AL688" s="851"/>
      <c r="AM688" s="851"/>
      <c r="AN688" s="851"/>
      <c r="AO688" s="851"/>
      <c r="AP688" s="851"/>
    </row>
    <row r="689" spans="18:42">
      <c r="R689" s="851"/>
      <c r="S689" s="851"/>
      <c r="T689" s="851"/>
      <c r="U689" s="851"/>
      <c r="V689" s="851"/>
      <c r="W689" s="851"/>
      <c r="X689" s="851"/>
      <c r="Y689" s="851"/>
      <c r="Z689" s="851"/>
      <c r="AA689" s="851"/>
      <c r="AB689" s="851"/>
      <c r="AC689" s="851"/>
      <c r="AD689" s="851"/>
      <c r="AE689" s="851"/>
      <c r="AF689" s="851"/>
      <c r="AG689" s="851"/>
      <c r="AH689" s="851"/>
      <c r="AI689" s="851"/>
      <c r="AJ689" s="851"/>
      <c r="AK689" s="851"/>
      <c r="AL689" s="851"/>
      <c r="AM689" s="851"/>
      <c r="AN689" s="851"/>
      <c r="AO689" s="851"/>
      <c r="AP689" s="851"/>
    </row>
    <row r="690" spans="18:42">
      <c r="R690" s="851"/>
      <c r="S690" s="851"/>
      <c r="T690" s="851"/>
      <c r="U690" s="851"/>
      <c r="V690" s="851"/>
      <c r="W690" s="851"/>
      <c r="X690" s="851"/>
      <c r="Y690" s="851"/>
      <c r="Z690" s="851"/>
      <c r="AA690" s="851"/>
      <c r="AB690" s="851"/>
      <c r="AC690" s="851"/>
      <c r="AD690" s="851"/>
      <c r="AE690" s="851"/>
      <c r="AF690" s="851"/>
      <c r="AG690" s="851"/>
      <c r="AH690" s="851"/>
      <c r="AI690" s="851"/>
      <c r="AJ690" s="851"/>
      <c r="AK690" s="851"/>
      <c r="AL690" s="851"/>
      <c r="AM690" s="851"/>
      <c r="AN690" s="851"/>
      <c r="AO690" s="851"/>
      <c r="AP690" s="851"/>
    </row>
    <row r="691" spans="18:42">
      <c r="R691" s="851"/>
      <c r="S691" s="851"/>
      <c r="T691" s="851"/>
      <c r="U691" s="851"/>
      <c r="V691" s="851"/>
      <c r="W691" s="851"/>
      <c r="X691" s="851"/>
      <c r="Y691" s="851"/>
      <c r="Z691" s="851"/>
      <c r="AA691" s="851"/>
      <c r="AB691" s="851"/>
      <c r="AC691" s="851"/>
      <c r="AD691" s="851"/>
      <c r="AE691" s="851"/>
      <c r="AF691" s="851"/>
      <c r="AG691" s="851"/>
      <c r="AH691" s="851"/>
      <c r="AI691" s="851"/>
      <c r="AJ691" s="851"/>
      <c r="AK691" s="851"/>
      <c r="AL691" s="851"/>
      <c r="AM691" s="851"/>
      <c r="AN691" s="851"/>
      <c r="AO691" s="851"/>
      <c r="AP691" s="851"/>
    </row>
    <row r="692" spans="18:42">
      <c r="R692" s="851"/>
      <c r="S692" s="851"/>
      <c r="T692" s="851"/>
      <c r="U692" s="851"/>
      <c r="V692" s="851"/>
      <c r="W692" s="851"/>
      <c r="X692" s="851"/>
      <c r="Y692" s="851"/>
      <c r="Z692" s="851"/>
      <c r="AA692" s="851"/>
      <c r="AB692" s="851"/>
      <c r="AC692" s="851"/>
      <c r="AD692" s="851"/>
      <c r="AE692" s="851"/>
      <c r="AF692" s="851"/>
      <c r="AG692" s="851"/>
      <c r="AH692" s="851"/>
      <c r="AI692" s="851"/>
      <c r="AJ692" s="851"/>
      <c r="AK692" s="851"/>
      <c r="AL692" s="851"/>
      <c r="AM692" s="851"/>
      <c r="AN692" s="851"/>
      <c r="AO692" s="851"/>
      <c r="AP692" s="851"/>
    </row>
    <row r="693" spans="18:42">
      <c r="R693" s="851"/>
      <c r="S693" s="851"/>
      <c r="T693" s="851"/>
      <c r="U693" s="851"/>
      <c r="V693" s="851"/>
      <c r="W693" s="851"/>
      <c r="X693" s="851"/>
      <c r="Y693" s="851"/>
      <c r="Z693" s="851"/>
      <c r="AA693" s="851"/>
      <c r="AB693" s="851"/>
      <c r="AC693" s="851"/>
      <c r="AD693" s="851"/>
      <c r="AE693" s="851"/>
      <c r="AF693" s="851"/>
      <c r="AG693" s="851"/>
      <c r="AH693" s="851"/>
      <c r="AI693" s="851"/>
      <c r="AJ693" s="851"/>
      <c r="AK693" s="851"/>
      <c r="AL693" s="851"/>
      <c r="AM693" s="851"/>
      <c r="AN693" s="851"/>
      <c r="AO693" s="851"/>
      <c r="AP693" s="851"/>
    </row>
    <row r="694" spans="18:42">
      <c r="R694" s="851"/>
      <c r="S694" s="851"/>
      <c r="T694" s="851"/>
      <c r="U694" s="851"/>
      <c r="V694" s="851"/>
      <c r="W694" s="851"/>
      <c r="X694" s="851"/>
      <c r="Y694" s="851"/>
      <c r="Z694" s="851"/>
      <c r="AA694" s="851"/>
      <c r="AB694" s="851"/>
      <c r="AC694" s="851"/>
      <c r="AD694" s="851"/>
      <c r="AE694" s="851"/>
      <c r="AF694" s="851"/>
      <c r="AG694" s="851"/>
      <c r="AH694" s="851"/>
      <c r="AI694" s="851"/>
      <c r="AJ694" s="851"/>
      <c r="AK694" s="851"/>
      <c r="AL694" s="851"/>
      <c r="AM694" s="851"/>
      <c r="AN694" s="851"/>
      <c r="AO694" s="851"/>
      <c r="AP694" s="851"/>
    </row>
    <row r="695" spans="18:42">
      <c r="R695" s="851"/>
      <c r="S695" s="851"/>
      <c r="T695" s="851"/>
      <c r="U695" s="851"/>
      <c r="V695" s="851"/>
      <c r="W695" s="851"/>
      <c r="X695" s="851"/>
      <c r="Y695" s="851"/>
      <c r="Z695" s="851"/>
      <c r="AA695" s="851"/>
      <c r="AB695" s="851"/>
      <c r="AC695" s="851"/>
      <c r="AD695" s="851"/>
      <c r="AE695" s="851"/>
      <c r="AF695" s="851"/>
      <c r="AG695" s="851"/>
      <c r="AH695" s="851"/>
      <c r="AI695" s="851"/>
      <c r="AJ695" s="851"/>
      <c r="AK695" s="851"/>
      <c r="AL695" s="851"/>
      <c r="AM695" s="851"/>
      <c r="AN695" s="851"/>
      <c r="AO695" s="851"/>
      <c r="AP695" s="851"/>
    </row>
    <row r="696" spans="18:42">
      <c r="R696" s="851"/>
      <c r="S696" s="851"/>
      <c r="T696" s="851"/>
      <c r="U696" s="851"/>
      <c r="V696" s="851"/>
      <c r="W696" s="851"/>
      <c r="X696" s="851"/>
      <c r="Y696" s="851"/>
      <c r="Z696" s="851"/>
      <c r="AA696" s="851"/>
      <c r="AB696" s="851"/>
      <c r="AC696" s="851"/>
      <c r="AD696" s="851"/>
      <c r="AE696" s="851"/>
      <c r="AF696" s="851"/>
      <c r="AG696" s="851"/>
      <c r="AH696" s="851"/>
      <c r="AI696" s="851"/>
      <c r="AJ696" s="851"/>
      <c r="AK696" s="851"/>
      <c r="AL696" s="851"/>
      <c r="AM696" s="851"/>
      <c r="AN696" s="851"/>
      <c r="AO696" s="851"/>
      <c r="AP696" s="851"/>
    </row>
    <row r="697" spans="18:42">
      <c r="R697" s="851"/>
      <c r="S697" s="851"/>
      <c r="T697" s="851"/>
      <c r="U697" s="851"/>
      <c r="V697" s="851"/>
      <c r="W697" s="851"/>
      <c r="X697" s="851"/>
      <c r="Y697" s="851"/>
      <c r="Z697" s="851"/>
      <c r="AA697" s="851"/>
      <c r="AB697" s="851"/>
      <c r="AC697" s="851"/>
      <c r="AD697" s="851"/>
      <c r="AE697" s="851"/>
      <c r="AF697" s="851"/>
      <c r="AG697" s="851"/>
      <c r="AH697" s="851"/>
      <c r="AI697" s="851"/>
      <c r="AJ697" s="851"/>
      <c r="AK697" s="851"/>
      <c r="AL697" s="851"/>
      <c r="AM697" s="851"/>
      <c r="AN697" s="851"/>
      <c r="AO697" s="851"/>
      <c r="AP697" s="851"/>
    </row>
    <row r="698" spans="18:42">
      <c r="R698" s="851"/>
      <c r="S698" s="851"/>
      <c r="T698" s="851"/>
      <c r="U698" s="851"/>
      <c r="V698" s="851"/>
      <c r="W698" s="851"/>
      <c r="X698" s="851"/>
      <c r="Y698" s="851"/>
      <c r="Z698" s="851"/>
      <c r="AA698" s="851"/>
      <c r="AB698" s="851"/>
      <c r="AC698" s="851"/>
      <c r="AD698" s="851"/>
      <c r="AE698" s="851"/>
      <c r="AF698" s="851"/>
      <c r="AG698" s="851"/>
      <c r="AH698" s="851"/>
      <c r="AI698" s="851"/>
      <c r="AJ698" s="851"/>
      <c r="AK698" s="851"/>
      <c r="AL698" s="851"/>
      <c r="AM698" s="851"/>
      <c r="AN698" s="851"/>
      <c r="AO698" s="851"/>
      <c r="AP698" s="851"/>
    </row>
    <row r="699" spans="18:42">
      <c r="R699" s="851"/>
      <c r="S699" s="851"/>
      <c r="T699" s="851"/>
      <c r="U699" s="851"/>
      <c r="V699" s="851"/>
      <c r="W699" s="851"/>
      <c r="X699" s="851"/>
      <c r="Y699" s="851"/>
      <c r="Z699" s="851"/>
      <c r="AA699" s="851"/>
      <c r="AB699" s="851"/>
      <c r="AC699" s="851"/>
      <c r="AD699" s="851"/>
      <c r="AE699" s="851"/>
      <c r="AF699" s="851"/>
      <c r="AG699" s="851"/>
      <c r="AH699" s="851"/>
      <c r="AI699" s="851"/>
      <c r="AJ699" s="851"/>
      <c r="AK699" s="851"/>
      <c r="AL699" s="851"/>
      <c r="AM699" s="851"/>
      <c r="AN699" s="851"/>
      <c r="AO699" s="851"/>
      <c r="AP699" s="851"/>
    </row>
    <row r="700" spans="18:42">
      <c r="R700" s="851"/>
      <c r="S700" s="851"/>
      <c r="T700" s="851"/>
      <c r="U700" s="851"/>
      <c r="V700" s="851"/>
      <c r="W700" s="851"/>
      <c r="X700" s="851"/>
      <c r="Y700" s="851"/>
      <c r="Z700" s="851"/>
      <c r="AA700" s="851"/>
      <c r="AB700" s="851"/>
      <c r="AC700" s="851"/>
      <c r="AD700" s="851"/>
      <c r="AE700" s="851"/>
      <c r="AF700" s="851"/>
      <c r="AG700" s="851"/>
      <c r="AH700" s="851"/>
      <c r="AI700" s="851"/>
      <c r="AJ700" s="851"/>
      <c r="AK700" s="851"/>
      <c r="AL700" s="851"/>
      <c r="AM700" s="851"/>
      <c r="AN700" s="851"/>
      <c r="AO700" s="851"/>
      <c r="AP700" s="851"/>
    </row>
    <row r="701" spans="18:42">
      <c r="R701" s="851"/>
      <c r="S701" s="851"/>
      <c r="T701" s="851"/>
      <c r="U701" s="851"/>
      <c r="V701" s="851"/>
      <c r="W701" s="851"/>
      <c r="X701" s="851"/>
      <c r="Y701" s="851"/>
      <c r="Z701" s="851"/>
      <c r="AA701" s="851"/>
      <c r="AB701" s="851"/>
      <c r="AC701" s="851"/>
      <c r="AD701" s="851"/>
      <c r="AE701" s="851"/>
      <c r="AF701" s="851"/>
      <c r="AG701" s="851"/>
      <c r="AH701" s="851"/>
      <c r="AI701" s="851"/>
      <c r="AJ701" s="851"/>
      <c r="AK701" s="851"/>
      <c r="AL701" s="851"/>
      <c r="AM701" s="851"/>
      <c r="AN701" s="851"/>
      <c r="AO701" s="851"/>
      <c r="AP701" s="851"/>
    </row>
    <row r="702" spans="18:42">
      <c r="R702" s="851"/>
      <c r="S702" s="851"/>
      <c r="T702" s="851"/>
      <c r="U702" s="851"/>
      <c r="V702" s="851"/>
      <c r="W702" s="851"/>
      <c r="X702" s="851"/>
      <c r="Y702" s="851"/>
      <c r="Z702" s="851"/>
      <c r="AA702" s="851"/>
      <c r="AB702" s="851"/>
      <c r="AC702" s="851"/>
      <c r="AD702" s="851"/>
      <c r="AE702" s="851"/>
      <c r="AF702" s="851"/>
      <c r="AG702" s="851"/>
      <c r="AH702" s="851"/>
      <c r="AI702" s="851"/>
      <c r="AJ702" s="851"/>
      <c r="AK702" s="851"/>
      <c r="AL702" s="851"/>
      <c r="AM702" s="851"/>
      <c r="AN702" s="851"/>
      <c r="AO702" s="851"/>
      <c r="AP702" s="851"/>
    </row>
    <row r="703" spans="18:42">
      <c r="R703" s="851"/>
      <c r="S703" s="851"/>
      <c r="T703" s="851"/>
      <c r="U703" s="851"/>
      <c r="V703" s="851"/>
      <c r="W703" s="851"/>
      <c r="X703" s="851"/>
      <c r="Y703" s="851"/>
      <c r="Z703" s="851"/>
      <c r="AA703" s="851"/>
      <c r="AB703" s="851"/>
      <c r="AC703" s="851"/>
      <c r="AD703" s="851"/>
      <c r="AE703" s="851"/>
      <c r="AF703" s="851"/>
      <c r="AG703" s="851"/>
      <c r="AH703" s="851"/>
      <c r="AI703" s="851"/>
      <c r="AJ703" s="851"/>
      <c r="AK703" s="851"/>
      <c r="AL703" s="851"/>
      <c r="AM703" s="851"/>
      <c r="AN703" s="851"/>
      <c r="AO703" s="851"/>
      <c r="AP703" s="851"/>
    </row>
    <row r="704" spans="18:42">
      <c r="R704" s="851"/>
      <c r="S704" s="851"/>
      <c r="T704" s="851"/>
      <c r="U704" s="851"/>
      <c r="V704" s="851"/>
      <c r="W704" s="851"/>
      <c r="X704" s="851"/>
      <c r="Y704" s="851"/>
      <c r="Z704" s="851"/>
      <c r="AA704" s="851"/>
      <c r="AB704" s="851"/>
      <c r="AC704" s="851"/>
      <c r="AD704" s="851"/>
      <c r="AE704" s="851"/>
      <c r="AF704" s="851"/>
      <c r="AG704" s="851"/>
      <c r="AH704" s="851"/>
      <c r="AI704" s="851"/>
      <c r="AJ704" s="851"/>
      <c r="AK704" s="851"/>
      <c r="AL704" s="851"/>
      <c r="AM704" s="851"/>
      <c r="AN704" s="851"/>
      <c r="AO704" s="851"/>
      <c r="AP704" s="851"/>
    </row>
    <row r="705" spans="18:42">
      <c r="R705" s="851"/>
      <c r="S705" s="851"/>
      <c r="T705" s="851"/>
      <c r="U705" s="851"/>
      <c r="V705" s="851"/>
      <c r="W705" s="851"/>
      <c r="X705" s="851"/>
      <c r="Y705" s="851"/>
      <c r="Z705" s="851"/>
      <c r="AA705" s="851"/>
      <c r="AB705" s="851"/>
      <c r="AC705" s="851"/>
      <c r="AD705" s="851"/>
      <c r="AE705" s="851"/>
      <c r="AF705" s="851"/>
      <c r="AG705" s="851"/>
      <c r="AH705" s="851"/>
      <c r="AI705" s="851"/>
      <c r="AJ705" s="851"/>
      <c r="AK705" s="851"/>
      <c r="AL705" s="851"/>
      <c r="AM705" s="851"/>
      <c r="AN705" s="851"/>
      <c r="AO705" s="851"/>
      <c r="AP705" s="851"/>
    </row>
    <row r="706" spans="18:42">
      <c r="R706" s="851"/>
      <c r="S706" s="851"/>
      <c r="T706" s="851"/>
      <c r="U706" s="851"/>
      <c r="V706" s="851"/>
      <c r="W706" s="851"/>
      <c r="X706" s="851"/>
      <c r="Y706" s="851"/>
      <c r="Z706" s="851"/>
      <c r="AA706" s="851"/>
      <c r="AB706" s="851"/>
      <c r="AC706" s="851"/>
      <c r="AD706" s="851"/>
      <c r="AE706" s="851"/>
      <c r="AF706" s="851"/>
      <c r="AG706" s="851"/>
      <c r="AH706" s="851"/>
      <c r="AI706" s="851"/>
      <c r="AJ706" s="851"/>
      <c r="AK706" s="851"/>
      <c r="AL706" s="851"/>
      <c r="AM706" s="851"/>
      <c r="AN706" s="851"/>
      <c r="AO706" s="851"/>
      <c r="AP706" s="851"/>
    </row>
    <row r="707" spans="18:42">
      <c r="R707" s="851"/>
      <c r="S707" s="851"/>
      <c r="T707" s="851"/>
      <c r="U707" s="851"/>
      <c r="V707" s="851"/>
      <c r="W707" s="851"/>
      <c r="X707" s="851"/>
      <c r="Y707" s="851"/>
      <c r="Z707" s="851"/>
      <c r="AA707" s="851"/>
      <c r="AB707" s="851"/>
      <c r="AC707" s="851"/>
      <c r="AD707" s="851"/>
      <c r="AE707" s="851"/>
      <c r="AF707" s="851"/>
      <c r="AG707" s="851"/>
      <c r="AH707" s="851"/>
      <c r="AI707" s="851"/>
      <c r="AJ707" s="851"/>
      <c r="AK707" s="851"/>
      <c r="AL707" s="851"/>
      <c r="AM707" s="851"/>
      <c r="AN707" s="851"/>
      <c r="AO707" s="851"/>
      <c r="AP707" s="851"/>
    </row>
    <row r="708" spans="18:42">
      <c r="R708" s="851"/>
      <c r="S708" s="851"/>
      <c r="T708" s="851"/>
      <c r="U708" s="851"/>
      <c r="V708" s="851"/>
      <c r="W708" s="851"/>
      <c r="X708" s="851"/>
      <c r="Y708" s="851"/>
      <c r="Z708" s="851"/>
      <c r="AA708" s="851"/>
      <c r="AB708" s="851"/>
      <c r="AC708" s="851"/>
      <c r="AD708" s="851"/>
      <c r="AE708" s="851"/>
      <c r="AF708" s="851"/>
      <c r="AG708" s="851"/>
      <c r="AH708" s="851"/>
      <c r="AI708" s="851"/>
      <c r="AJ708" s="851"/>
      <c r="AK708" s="851"/>
      <c r="AL708" s="851"/>
      <c r="AM708" s="851"/>
      <c r="AN708" s="851"/>
      <c r="AO708" s="851"/>
      <c r="AP708" s="851"/>
    </row>
    <row r="709" spans="18:42">
      <c r="R709" s="851"/>
      <c r="S709" s="851"/>
      <c r="T709" s="851"/>
      <c r="U709" s="851"/>
      <c r="V709" s="851"/>
      <c r="W709" s="851"/>
      <c r="X709" s="851"/>
      <c r="Y709" s="851"/>
      <c r="Z709" s="851"/>
      <c r="AA709" s="851"/>
      <c r="AB709" s="851"/>
      <c r="AC709" s="851"/>
      <c r="AD709" s="851"/>
      <c r="AE709" s="851"/>
      <c r="AF709" s="851"/>
      <c r="AG709" s="851"/>
      <c r="AH709" s="851"/>
      <c r="AI709" s="851"/>
      <c r="AJ709" s="851"/>
      <c r="AK709" s="851"/>
      <c r="AL709" s="851"/>
      <c r="AM709" s="851"/>
      <c r="AN709" s="851"/>
      <c r="AO709" s="851"/>
      <c r="AP709" s="851"/>
    </row>
    <row r="710" spans="18:42">
      <c r="R710" s="851"/>
      <c r="S710" s="851"/>
      <c r="T710" s="851"/>
      <c r="U710" s="851"/>
      <c r="V710" s="851"/>
      <c r="W710" s="851"/>
      <c r="X710" s="851"/>
      <c r="Y710" s="851"/>
      <c r="Z710" s="851"/>
      <c r="AA710" s="851"/>
      <c r="AB710" s="851"/>
      <c r="AC710" s="851"/>
      <c r="AD710" s="851"/>
      <c r="AE710" s="851"/>
      <c r="AF710" s="851"/>
      <c r="AG710" s="851"/>
      <c r="AH710" s="851"/>
      <c r="AI710" s="851"/>
      <c r="AJ710" s="851"/>
      <c r="AK710" s="851"/>
      <c r="AL710" s="851"/>
      <c r="AM710" s="851"/>
      <c r="AN710" s="851"/>
      <c r="AO710" s="851"/>
      <c r="AP710" s="851"/>
    </row>
    <row r="711" spans="18:42">
      <c r="R711" s="851"/>
      <c r="S711" s="851"/>
      <c r="T711" s="851"/>
      <c r="U711" s="851"/>
      <c r="V711" s="851"/>
      <c r="W711" s="851"/>
      <c r="X711" s="851"/>
      <c r="Y711" s="851"/>
      <c r="Z711" s="851"/>
      <c r="AA711" s="851"/>
      <c r="AB711" s="851"/>
      <c r="AC711" s="851"/>
      <c r="AD711" s="851"/>
      <c r="AE711" s="851"/>
      <c r="AF711" s="851"/>
      <c r="AG711" s="851"/>
      <c r="AH711" s="851"/>
      <c r="AI711" s="851"/>
      <c r="AJ711" s="851"/>
      <c r="AK711" s="851"/>
      <c r="AL711" s="851"/>
      <c r="AM711" s="851"/>
      <c r="AN711" s="851"/>
      <c r="AO711" s="851"/>
      <c r="AP711" s="851"/>
    </row>
  </sheetData>
  <sheetProtection formatCells="0" formatColumns="0" formatRows="0" insertColumns="0" insertRows="0" insertHyperlinks="0" deleteColumns="0" deleteRows="0"/>
  <phoneticPr fontId="63" type="noConversion"/>
  <pageMargins left="0.7" right="0.7" top="0.75" bottom="0.75" header="0.3" footer="0.3"/>
  <pageSetup paperSize="9" orientation="portrait" horizontalDpi="0" verticalDpi="0"/>
  <legacyDrawing r:id="rId1"/>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954CD5-B6FE-E140-9641-AA786AD5ED19}">
  <sheetPr codeName="Feuil11">
    <tabColor theme="9"/>
  </sheetPr>
  <dimension ref="A1:X114"/>
  <sheetViews>
    <sheetView workbookViewId="0">
      <pane xSplit="2" ySplit="1" topLeftCell="C28" activePane="bottomRight" state="frozen"/>
      <selection pane="topRight" activeCell="C1" sqref="C1"/>
      <selection pane="bottomLeft" activeCell="A2" sqref="A2"/>
      <selection pane="bottomRight" activeCell="B58" sqref="B58"/>
    </sheetView>
  </sheetViews>
  <sheetFormatPr baseColWidth="10" defaultRowHeight="13"/>
  <cols>
    <col min="1" max="1" width="7.33203125" customWidth="1"/>
    <col min="2" max="2" width="29" customWidth="1"/>
    <col min="3" max="3" width="22.33203125" customWidth="1"/>
    <col min="4" max="4" width="17.5" customWidth="1"/>
    <col min="5" max="5" width="42.5" customWidth="1"/>
    <col min="6" max="6" width="32.6640625" customWidth="1"/>
    <col min="7" max="7" width="21.1640625" customWidth="1"/>
    <col min="8" max="8" width="12.6640625" style="370" customWidth="1"/>
    <col min="11" max="12" width="22.5" customWidth="1"/>
    <col min="13" max="13" width="26.6640625" customWidth="1"/>
    <col min="14" max="14" width="24.5" customWidth="1"/>
    <col min="16" max="16" width="11.83203125" customWidth="1"/>
    <col min="22" max="22" width="9.1640625" bestFit="1" customWidth="1"/>
    <col min="23" max="23" width="35.33203125" customWidth="1"/>
  </cols>
  <sheetData>
    <row r="1" spans="1:24" ht="32" customHeight="1">
      <c r="A1" s="849" t="s">
        <v>2237</v>
      </c>
      <c r="B1" s="849" t="s">
        <v>2238</v>
      </c>
      <c r="C1" s="849" t="s">
        <v>2239</v>
      </c>
      <c r="D1" s="849" t="s">
        <v>2246</v>
      </c>
      <c r="E1" s="849" t="s">
        <v>2240</v>
      </c>
      <c r="F1" s="849" t="s">
        <v>2241</v>
      </c>
      <c r="G1" s="849" t="s">
        <v>2242</v>
      </c>
      <c r="H1" s="849" t="s">
        <v>2243</v>
      </c>
      <c r="I1" s="849" t="s">
        <v>2244</v>
      </c>
      <c r="J1" s="849" t="s">
        <v>2245</v>
      </c>
      <c r="K1" s="849" t="s">
        <v>1337</v>
      </c>
      <c r="L1" s="849" t="s">
        <v>3076</v>
      </c>
      <c r="M1" s="849" t="s">
        <v>2260</v>
      </c>
      <c r="N1" s="849" t="s">
        <v>3062</v>
      </c>
      <c r="O1" s="849" t="s">
        <v>2254</v>
      </c>
      <c r="P1" s="849" t="s">
        <v>2255</v>
      </c>
      <c r="Q1" s="849" t="s">
        <v>2249</v>
      </c>
      <c r="R1" s="849" t="s">
        <v>2250</v>
      </c>
      <c r="S1" s="849" t="s">
        <v>2251</v>
      </c>
      <c r="T1" s="849" t="s">
        <v>2252</v>
      </c>
      <c r="U1" s="849" t="s">
        <v>2253</v>
      </c>
      <c r="V1" s="849" t="s">
        <v>2376</v>
      </c>
      <c r="W1" s="849" t="s">
        <v>3073</v>
      </c>
      <c r="X1" s="425" t="s">
        <v>3090</v>
      </c>
    </row>
    <row r="2" spans="1:24" ht="14">
      <c r="A2" s="850" t="s">
        <v>2263</v>
      </c>
      <c r="B2" t="s">
        <v>174</v>
      </c>
      <c r="C2" t="s">
        <v>553</v>
      </c>
      <c r="D2" s="425" t="s">
        <v>72</v>
      </c>
      <c r="E2" t="s">
        <v>2256</v>
      </c>
      <c r="F2" t="s">
        <v>2257</v>
      </c>
      <c r="G2" t="s">
        <v>2258</v>
      </c>
      <c r="H2" s="370">
        <v>91610</v>
      </c>
      <c r="I2" t="s">
        <v>526</v>
      </c>
      <c r="J2" t="s">
        <v>2259</v>
      </c>
      <c r="L2" s="850" t="s">
        <v>3055</v>
      </c>
      <c r="M2" s="308" t="s">
        <v>2261</v>
      </c>
      <c r="N2" s="308"/>
      <c r="O2" t="s">
        <v>2262</v>
      </c>
      <c r="P2">
        <v>2017</v>
      </c>
      <c r="X2" s="425" t="s">
        <v>3091</v>
      </c>
    </row>
    <row r="3" spans="1:24" ht="14">
      <c r="A3" s="850" t="s">
        <v>2264</v>
      </c>
      <c r="B3" s="425" t="s">
        <v>3056</v>
      </c>
      <c r="C3" s="425" t="s">
        <v>3057</v>
      </c>
      <c r="D3" s="425" t="s">
        <v>72</v>
      </c>
      <c r="E3" s="425" t="s">
        <v>3058</v>
      </c>
      <c r="F3" s="425" t="s">
        <v>3059</v>
      </c>
      <c r="G3" s="425" t="s">
        <v>3060</v>
      </c>
      <c r="H3" s="859" t="s">
        <v>3061</v>
      </c>
      <c r="I3" s="425" t="s">
        <v>523</v>
      </c>
      <c r="J3" s="425" t="s">
        <v>3066</v>
      </c>
      <c r="K3" s="850" t="s">
        <v>3065</v>
      </c>
      <c r="L3" s="850"/>
      <c r="M3" s="308" t="s">
        <v>3064</v>
      </c>
      <c r="N3" s="308" t="s">
        <v>3063</v>
      </c>
      <c r="O3" s="425" t="s">
        <v>2262</v>
      </c>
      <c r="P3">
        <v>2017</v>
      </c>
    </row>
    <row r="4" spans="1:24" ht="14">
      <c r="A4" s="850" t="s">
        <v>2265</v>
      </c>
      <c r="B4" s="425" t="s">
        <v>3056</v>
      </c>
      <c r="C4" s="425" t="s">
        <v>2095</v>
      </c>
      <c r="D4" s="425" t="s">
        <v>44</v>
      </c>
      <c r="E4" s="425" t="s">
        <v>3067</v>
      </c>
      <c r="F4" s="425" t="s">
        <v>3059</v>
      </c>
      <c r="G4" s="425" t="s">
        <v>3060</v>
      </c>
      <c r="H4" s="859" t="s">
        <v>3068</v>
      </c>
      <c r="I4" s="425" t="s">
        <v>523</v>
      </c>
      <c r="J4" s="425" t="s">
        <v>3066</v>
      </c>
      <c r="K4" s="850" t="s">
        <v>3069</v>
      </c>
      <c r="L4" s="850"/>
      <c r="M4" s="308" t="s">
        <v>3070</v>
      </c>
      <c r="N4" s="308" t="s">
        <v>3063</v>
      </c>
      <c r="O4" s="425" t="s">
        <v>2262</v>
      </c>
      <c r="P4">
        <v>2017</v>
      </c>
    </row>
    <row r="5" spans="1:24" ht="14">
      <c r="A5" s="850" t="s">
        <v>2266</v>
      </c>
      <c r="B5" s="425" t="s">
        <v>2014</v>
      </c>
      <c r="C5" s="425" t="s">
        <v>236</v>
      </c>
      <c r="D5" s="425" t="s">
        <v>1748</v>
      </c>
      <c r="E5" s="425" t="s">
        <v>1748</v>
      </c>
      <c r="F5" s="425" t="s">
        <v>3079</v>
      </c>
      <c r="G5" s="425" t="s">
        <v>3080</v>
      </c>
      <c r="H5" s="370">
        <v>1040</v>
      </c>
      <c r="I5" s="425" t="s">
        <v>3078</v>
      </c>
      <c r="J5" s="425" t="s">
        <v>2259</v>
      </c>
      <c r="K5" s="850" t="s">
        <v>3075</v>
      </c>
      <c r="L5" s="850" t="s">
        <v>3077</v>
      </c>
      <c r="M5" s="308" t="s">
        <v>3071</v>
      </c>
      <c r="N5" s="308" t="s">
        <v>3072</v>
      </c>
      <c r="O5" s="425" t="s">
        <v>2262</v>
      </c>
      <c r="P5">
        <v>2017</v>
      </c>
      <c r="W5" s="425" t="s">
        <v>3074</v>
      </c>
      <c r="X5" s="425" t="s">
        <v>3092</v>
      </c>
    </row>
    <row r="6" spans="1:24" ht="28">
      <c r="A6" s="850" t="s">
        <v>2267</v>
      </c>
      <c r="B6" s="425" t="s">
        <v>1275</v>
      </c>
      <c r="C6" s="425" t="s">
        <v>3081</v>
      </c>
      <c r="D6" s="425" t="s">
        <v>44</v>
      </c>
      <c r="E6" s="425" t="s">
        <v>3082</v>
      </c>
      <c r="F6" s="265" t="s">
        <v>3083</v>
      </c>
      <c r="G6" s="265" t="s">
        <v>3084</v>
      </c>
      <c r="H6" s="370">
        <v>7630357</v>
      </c>
      <c r="I6" s="425" t="s">
        <v>3085</v>
      </c>
      <c r="J6" s="425" t="s">
        <v>3086</v>
      </c>
      <c r="K6" s="325"/>
      <c r="L6" s="308" t="s">
        <v>3087</v>
      </c>
      <c r="M6" s="308" t="s">
        <v>3088</v>
      </c>
      <c r="N6" s="308" t="s">
        <v>3089</v>
      </c>
      <c r="O6" s="425" t="s">
        <v>2262</v>
      </c>
      <c r="P6">
        <v>2018</v>
      </c>
      <c r="X6" s="425" t="s">
        <v>3092</v>
      </c>
    </row>
    <row r="7" spans="1:24" ht="14">
      <c r="A7" s="850" t="s">
        <v>2268</v>
      </c>
      <c r="B7" s="161" t="s">
        <v>1092</v>
      </c>
      <c r="C7" s="11" t="s">
        <v>1093</v>
      </c>
      <c r="D7" t="s">
        <v>3166</v>
      </c>
      <c r="F7" s="300" t="s">
        <v>1314</v>
      </c>
      <c r="K7" s="326"/>
      <c r="L7" s="325"/>
      <c r="M7" s="344" t="s">
        <v>1329</v>
      </c>
    </row>
    <row r="8" spans="1:24" ht="14">
      <c r="A8" s="850" t="s">
        <v>2269</v>
      </c>
      <c r="B8" s="164" t="s">
        <v>557</v>
      </c>
      <c r="C8" s="26" t="s">
        <v>378</v>
      </c>
      <c r="D8" t="s">
        <v>3166</v>
      </c>
      <c r="F8" s="300" t="s">
        <v>1314</v>
      </c>
      <c r="K8" s="326"/>
      <c r="L8" s="325"/>
      <c r="M8" s="307" t="s">
        <v>1443</v>
      </c>
    </row>
    <row r="9" spans="1:24" ht="28">
      <c r="A9" s="850" t="s">
        <v>2270</v>
      </c>
      <c r="B9" s="164" t="s">
        <v>1124</v>
      </c>
      <c r="C9" s="26"/>
      <c r="D9" t="s">
        <v>3166</v>
      </c>
      <c r="F9" s="314" t="s">
        <v>1348</v>
      </c>
      <c r="K9" s="432" t="s">
        <v>1350</v>
      </c>
      <c r="L9" s="325"/>
      <c r="M9" s="307" t="s">
        <v>1349</v>
      </c>
    </row>
    <row r="10" spans="1:24" ht="28">
      <c r="A10" s="850" t="s">
        <v>2271</v>
      </c>
      <c r="B10" s="883" t="s">
        <v>1126</v>
      </c>
      <c r="C10" s="26"/>
      <c r="D10" t="s">
        <v>3166</v>
      </c>
      <c r="F10" s="314" t="s">
        <v>1351</v>
      </c>
      <c r="K10" s="432" t="s">
        <v>1353</v>
      </c>
      <c r="L10" s="325"/>
      <c r="M10" s="308" t="s">
        <v>1352</v>
      </c>
    </row>
    <row r="11" spans="1:24" ht="28">
      <c r="A11" s="850" t="s">
        <v>2272</v>
      </c>
      <c r="B11" s="884" t="s">
        <v>1127</v>
      </c>
      <c r="C11" s="26"/>
      <c r="D11" t="s">
        <v>3166</v>
      </c>
      <c r="F11" s="314" t="s">
        <v>1368</v>
      </c>
      <c r="K11" s="432" t="s">
        <v>1369</v>
      </c>
      <c r="L11" s="325"/>
      <c r="M11" s="307" t="s">
        <v>1648</v>
      </c>
    </row>
    <row r="12" spans="1:24" ht="17">
      <c r="A12" s="850" t="s">
        <v>2273</v>
      </c>
      <c r="B12" s="884" t="s">
        <v>1128</v>
      </c>
      <c r="C12" s="26"/>
      <c r="D12" t="s">
        <v>3166</v>
      </c>
      <c r="F12" s="411" t="s">
        <v>1371</v>
      </c>
      <c r="K12" s="389" t="s">
        <v>1372</v>
      </c>
      <c r="L12" s="325"/>
      <c r="M12" s="307" t="s">
        <v>1373</v>
      </c>
    </row>
    <row r="13" spans="1:24" ht="28">
      <c r="A13" s="850" t="s">
        <v>2274</v>
      </c>
      <c r="B13" s="164" t="s">
        <v>1129</v>
      </c>
      <c r="C13" s="26"/>
      <c r="D13" t="s">
        <v>3166</v>
      </c>
      <c r="F13" s="314" t="s">
        <v>1374</v>
      </c>
      <c r="K13" s="391" t="s">
        <v>1375</v>
      </c>
      <c r="L13" s="325"/>
      <c r="M13" s="307" t="s">
        <v>1376</v>
      </c>
    </row>
    <row r="14" spans="1:24" ht="28">
      <c r="A14" s="850" t="s">
        <v>2275</v>
      </c>
      <c r="B14" s="164" t="s">
        <v>1130</v>
      </c>
      <c r="C14" s="26"/>
      <c r="D14" t="s">
        <v>3166</v>
      </c>
      <c r="F14" s="314" t="s">
        <v>1384</v>
      </c>
      <c r="K14" s="393" t="s">
        <v>1385</v>
      </c>
      <c r="L14" s="325"/>
      <c r="M14" s="307" t="s">
        <v>1386</v>
      </c>
    </row>
    <row r="15" spans="1:24" ht="38">
      <c r="A15" s="850" t="s">
        <v>2276</v>
      </c>
      <c r="B15" s="164" t="s">
        <v>1131</v>
      </c>
      <c r="C15" s="26"/>
      <c r="D15" t="s">
        <v>3166</v>
      </c>
      <c r="F15" s="314" t="s">
        <v>1387</v>
      </c>
      <c r="K15" s="386" t="s">
        <v>1389</v>
      </c>
      <c r="L15" s="325"/>
      <c r="M15" s="307" t="s">
        <v>1388</v>
      </c>
    </row>
    <row r="16" spans="1:24" ht="28">
      <c r="A16" s="850" t="s">
        <v>2277</v>
      </c>
      <c r="B16" s="164" t="s">
        <v>1132</v>
      </c>
      <c r="C16" s="26"/>
      <c r="D16" t="s">
        <v>3166</v>
      </c>
      <c r="F16" s="380" t="s">
        <v>1390</v>
      </c>
      <c r="K16" s="390" t="s">
        <v>1391</v>
      </c>
      <c r="L16" s="325"/>
      <c r="M16" s="307" t="s">
        <v>1444</v>
      </c>
    </row>
    <row r="17" spans="1:13" ht="28">
      <c r="A17" s="850" t="s">
        <v>2278</v>
      </c>
      <c r="B17" s="313" t="s">
        <v>1613</v>
      </c>
      <c r="C17" s="26"/>
      <c r="D17" t="s">
        <v>3166</v>
      </c>
      <c r="F17" s="314" t="s">
        <v>1392</v>
      </c>
      <c r="K17" s="389" t="s">
        <v>1394</v>
      </c>
      <c r="L17" s="325"/>
      <c r="M17" s="307" t="s">
        <v>1615</v>
      </c>
    </row>
    <row r="18" spans="1:13" ht="28">
      <c r="A18" s="850" t="s">
        <v>2279</v>
      </c>
      <c r="B18" s="164" t="s">
        <v>1139</v>
      </c>
      <c r="C18" s="26" t="s">
        <v>1140</v>
      </c>
      <c r="D18" t="s">
        <v>3166</v>
      </c>
      <c r="F18" s="381" t="s">
        <v>1404</v>
      </c>
      <c r="K18" s="390" t="s">
        <v>1405</v>
      </c>
      <c r="L18" s="325"/>
      <c r="M18" s="308" t="s">
        <v>1448</v>
      </c>
    </row>
    <row r="19" spans="1:13" ht="28">
      <c r="A19" s="850" t="s">
        <v>2280</v>
      </c>
      <c r="B19" s="164" t="s">
        <v>1141</v>
      </c>
      <c r="C19" s="26" t="s">
        <v>1142</v>
      </c>
      <c r="D19" t="s">
        <v>3166</v>
      </c>
      <c r="F19" s="381" t="s">
        <v>1407</v>
      </c>
      <c r="K19" s="390">
        <v>446266613</v>
      </c>
      <c r="L19" s="325"/>
      <c r="M19" s="308" t="s">
        <v>1449</v>
      </c>
    </row>
    <row r="20" spans="1:13" ht="28">
      <c r="A20" s="850" t="s">
        <v>2281</v>
      </c>
      <c r="B20" s="164" t="s">
        <v>1143</v>
      </c>
      <c r="C20" s="26" t="s">
        <v>1144</v>
      </c>
      <c r="D20" t="s">
        <v>3166</v>
      </c>
      <c r="F20" s="381" t="s">
        <v>1408</v>
      </c>
      <c r="K20" s="389" t="s">
        <v>1417</v>
      </c>
      <c r="L20" s="325"/>
      <c r="M20" s="307" t="s">
        <v>1409</v>
      </c>
    </row>
    <row r="21" spans="1:13" ht="42">
      <c r="A21" s="850" t="s">
        <v>2282</v>
      </c>
      <c r="B21" s="164" t="s">
        <v>1145</v>
      </c>
      <c r="C21" s="26" t="s">
        <v>236</v>
      </c>
      <c r="D21" t="s">
        <v>3166</v>
      </c>
      <c r="F21" s="381" t="s">
        <v>1412</v>
      </c>
      <c r="K21" s="328" t="s">
        <v>1413</v>
      </c>
      <c r="L21" s="325"/>
      <c r="M21" s="308" t="s">
        <v>1414</v>
      </c>
    </row>
    <row r="22" spans="1:13" ht="28">
      <c r="A22" s="850" t="s">
        <v>2283</v>
      </c>
      <c r="B22" s="164" t="s">
        <v>1279</v>
      </c>
      <c r="C22" s="26" t="s">
        <v>1278</v>
      </c>
      <c r="D22" t="s">
        <v>3166</v>
      </c>
      <c r="F22" s="381" t="s">
        <v>1415</v>
      </c>
      <c r="K22" s="390" t="s">
        <v>1416</v>
      </c>
      <c r="L22" s="325"/>
      <c r="M22" s="307" t="s">
        <v>1450</v>
      </c>
    </row>
    <row r="23" spans="1:13" ht="28">
      <c r="A23" s="850" t="s">
        <v>2284</v>
      </c>
      <c r="B23" s="164" t="s">
        <v>1280</v>
      </c>
      <c r="C23" s="26" t="s">
        <v>1281</v>
      </c>
      <c r="D23" t="s">
        <v>3166</v>
      </c>
      <c r="F23" s="314" t="s">
        <v>1418</v>
      </c>
      <c r="K23" s="390" t="s">
        <v>1419</v>
      </c>
      <c r="L23" s="325"/>
      <c r="M23" s="307" t="s">
        <v>1451</v>
      </c>
    </row>
    <row r="24" spans="1:13" ht="28">
      <c r="A24" s="850" t="s">
        <v>2285</v>
      </c>
      <c r="B24" s="424" t="s">
        <v>1616</v>
      </c>
      <c r="C24" s="26" t="s">
        <v>1282</v>
      </c>
      <c r="D24" t="s">
        <v>3166</v>
      </c>
      <c r="F24" s="314" t="s">
        <v>1420</v>
      </c>
      <c r="K24" s="329" t="s">
        <v>1421</v>
      </c>
      <c r="L24" s="325"/>
      <c r="M24" s="307" t="s">
        <v>1422</v>
      </c>
    </row>
    <row r="25" spans="1:13" ht="28">
      <c r="A25" s="850" t="s">
        <v>2286</v>
      </c>
      <c r="B25" s="164" t="s">
        <v>1283</v>
      </c>
      <c r="C25" s="26" t="s">
        <v>1284</v>
      </c>
      <c r="D25" t="s">
        <v>3166</v>
      </c>
      <c r="F25" s="314" t="s">
        <v>1425</v>
      </c>
      <c r="K25" s="332" t="s">
        <v>1427</v>
      </c>
      <c r="L25" s="325"/>
      <c r="M25" s="308" t="s">
        <v>1452</v>
      </c>
    </row>
    <row r="26" spans="1:13" ht="28">
      <c r="A26" s="850" t="s">
        <v>2287</v>
      </c>
      <c r="B26" s="95" t="s">
        <v>1285</v>
      </c>
      <c r="C26" s="860" t="s">
        <v>1286</v>
      </c>
      <c r="D26" t="s">
        <v>3166</v>
      </c>
      <c r="F26" s="380" t="s">
        <v>1426</v>
      </c>
      <c r="K26" s="387" t="s">
        <v>1428</v>
      </c>
      <c r="L26" s="325"/>
      <c r="M26" s="308" t="s">
        <v>1453</v>
      </c>
    </row>
    <row r="27" spans="1:13" ht="28">
      <c r="A27" s="850" t="s">
        <v>2288</v>
      </c>
      <c r="B27" s="95" t="s">
        <v>131</v>
      </c>
      <c r="C27" s="314" t="s">
        <v>1383</v>
      </c>
      <c r="D27" t="s">
        <v>3166</v>
      </c>
      <c r="F27" s="381" t="s">
        <v>1381</v>
      </c>
      <c r="K27" s="333" t="s">
        <v>1382</v>
      </c>
      <c r="L27" s="325"/>
      <c r="M27" s="377" t="s">
        <v>1454</v>
      </c>
    </row>
    <row r="28" spans="1:13" ht="42">
      <c r="A28" s="850" t="s">
        <v>2289</v>
      </c>
      <c r="B28" s="342" t="s">
        <v>1355</v>
      </c>
      <c r="C28" s="258" t="s">
        <v>1354</v>
      </c>
      <c r="D28" t="s">
        <v>3166</v>
      </c>
      <c r="F28" s="314" t="s">
        <v>1356</v>
      </c>
      <c r="K28" s="335" t="s">
        <v>1357</v>
      </c>
      <c r="L28" s="325"/>
      <c r="M28" s="378" t="s">
        <v>1358</v>
      </c>
    </row>
    <row r="29" spans="1:13" ht="28">
      <c r="A29" s="850" t="s">
        <v>2290</v>
      </c>
      <c r="B29" s="342" t="s">
        <v>1359</v>
      </c>
      <c r="C29" s="258" t="s">
        <v>1360</v>
      </c>
      <c r="D29" t="s">
        <v>3166</v>
      </c>
      <c r="F29" s="314" t="s">
        <v>1362</v>
      </c>
      <c r="K29" s="329" t="s">
        <v>1363</v>
      </c>
      <c r="L29" s="325"/>
      <c r="M29" s="307" t="s">
        <v>1361</v>
      </c>
    </row>
    <row r="30" spans="1:13" ht="28">
      <c r="A30" s="850" t="s">
        <v>2291</v>
      </c>
      <c r="B30" s="342" t="s">
        <v>1364</v>
      </c>
      <c r="C30" s="258" t="s">
        <v>1360</v>
      </c>
      <c r="D30" t="s">
        <v>3166</v>
      </c>
      <c r="F30" s="314" t="s">
        <v>1366</v>
      </c>
      <c r="K30" s="329" t="s">
        <v>1367</v>
      </c>
      <c r="L30" s="325"/>
      <c r="M30" s="377" t="s">
        <v>1365</v>
      </c>
    </row>
    <row r="31" spans="1:13" ht="14">
      <c r="A31" s="850" t="s">
        <v>2292</v>
      </c>
      <c r="B31" s="342" t="s">
        <v>1588</v>
      </c>
      <c r="C31" s="258" t="s">
        <v>1377</v>
      </c>
      <c r="D31" t="s">
        <v>3166</v>
      </c>
      <c r="F31" s="381" t="s">
        <v>1486</v>
      </c>
      <c r="K31" s="329" t="s">
        <v>1487</v>
      </c>
      <c r="L31" s="325"/>
      <c r="M31" s="377" t="s">
        <v>1330</v>
      </c>
    </row>
    <row r="32" spans="1:13" ht="28">
      <c r="A32" s="850" t="s">
        <v>2293</v>
      </c>
      <c r="B32" s="342" t="s">
        <v>1378</v>
      </c>
      <c r="C32" s="258" t="s">
        <v>497</v>
      </c>
      <c r="D32" t="s">
        <v>3166</v>
      </c>
      <c r="F32" s="300" t="s">
        <v>1593</v>
      </c>
      <c r="K32" s="329"/>
      <c r="L32" s="325"/>
      <c r="M32" s="377" t="s">
        <v>1431</v>
      </c>
    </row>
    <row r="33" spans="1:13" ht="28">
      <c r="A33" s="850" t="s">
        <v>2294</v>
      </c>
      <c r="B33" s="342" t="s">
        <v>1379</v>
      </c>
      <c r="C33" s="258" t="s">
        <v>1380</v>
      </c>
      <c r="D33" t="s">
        <v>3166</v>
      </c>
      <c r="F33" s="300" t="s">
        <v>1594</v>
      </c>
      <c r="K33" s="389" t="s">
        <v>1596</v>
      </c>
      <c r="L33" s="325"/>
      <c r="M33" s="307" t="s">
        <v>1432</v>
      </c>
    </row>
    <row r="34" spans="1:13" ht="28">
      <c r="A34" s="850" t="s">
        <v>2295</v>
      </c>
      <c r="B34" s="342" t="s">
        <v>563</v>
      </c>
      <c r="C34" s="258" t="s">
        <v>1402</v>
      </c>
      <c r="D34" t="s">
        <v>3166</v>
      </c>
      <c r="F34" s="314" t="s">
        <v>1401</v>
      </c>
      <c r="K34" s="392" t="s">
        <v>566</v>
      </c>
      <c r="L34" s="325"/>
      <c r="M34" s="379" t="s">
        <v>1400</v>
      </c>
    </row>
    <row r="35" spans="1:13" ht="14">
      <c r="A35" s="850" t="s">
        <v>2296</v>
      </c>
      <c r="B35" s="342" t="s">
        <v>1707</v>
      </c>
      <c r="C35" s="258"/>
      <c r="D35" t="s">
        <v>3166</v>
      </c>
      <c r="F35" s="314"/>
      <c r="K35" s="392"/>
      <c r="L35" s="325"/>
      <c r="M35" s="379"/>
    </row>
    <row r="36" spans="1:13" ht="14">
      <c r="A36" s="850" t="s">
        <v>2297</v>
      </c>
      <c r="B36" s="164" t="s">
        <v>160</v>
      </c>
      <c r="C36" s="26" t="s">
        <v>1091</v>
      </c>
      <c r="D36" t="s">
        <v>44</v>
      </c>
      <c r="F36" s="300"/>
      <c r="K36" s="388"/>
      <c r="L36" s="325"/>
      <c r="M36" s="345" t="s">
        <v>1435</v>
      </c>
    </row>
    <row r="37" spans="1:13" ht="56">
      <c r="A37" s="850" t="s">
        <v>2298</v>
      </c>
      <c r="B37" s="313" t="s">
        <v>1137</v>
      </c>
      <c r="C37" s="26" t="s">
        <v>2001</v>
      </c>
      <c r="D37" t="s">
        <v>44</v>
      </c>
      <c r="F37" s="300" t="s">
        <v>1397</v>
      </c>
      <c r="K37" s="387" t="s">
        <v>1399</v>
      </c>
      <c r="L37" s="325"/>
      <c r="M37" s="377" t="s">
        <v>1447</v>
      </c>
    </row>
    <row r="38" spans="1:13" ht="14">
      <c r="A38" s="850" t="s">
        <v>2299</v>
      </c>
      <c r="B38" s="164" t="s">
        <v>1120</v>
      </c>
      <c r="C38" s="26" t="s">
        <v>436</v>
      </c>
      <c r="D38" t="s">
        <v>3167</v>
      </c>
      <c r="F38" s="384"/>
      <c r="K38" s="388"/>
      <c r="L38" s="325"/>
      <c r="M38" s="377" t="s">
        <v>1442</v>
      </c>
    </row>
    <row r="39" spans="1:13" ht="14">
      <c r="A39" s="850" t="s">
        <v>2300</v>
      </c>
      <c r="B39" s="164"/>
      <c r="C39" s="26"/>
      <c r="F39" s="300"/>
      <c r="K39" s="388"/>
      <c r="L39" s="325"/>
      <c r="M39" s="377" t="s">
        <v>1332</v>
      </c>
    </row>
    <row r="40" spans="1:13" ht="42">
      <c r="A40" s="850" t="s">
        <v>2301</v>
      </c>
      <c r="B40" s="164" t="s">
        <v>1112</v>
      </c>
      <c r="C40" s="26" t="s">
        <v>1113</v>
      </c>
      <c r="F40" s="787" t="s">
        <v>1336</v>
      </c>
      <c r="K40" s="388" t="s">
        <v>1334</v>
      </c>
      <c r="L40" s="325"/>
      <c r="M40" s="308" t="s">
        <v>1335</v>
      </c>
    </row>
    <row r="41" spans="1:13" ht="76">
      <c r="A41" s="850" t="s">
        <v>2302</v>
      </c>
      <c r="B41" s="164" t="s">
        <v>1115</v>
      </c>
      <c r="C41" s="26" t="s">
        <v>1113</v>
      </c>
      <c r="F41" s="382" t="s">
        <v>1342</v>
      </c>
      <c r="K41" s="388" t="s">
        <v>1343</v>
      </c>
      <c r="L41" s="325"/>
      <c r="M41" s="308" t="s">
        <v>1341</v>
      </c>
    </row>
    <row r="42" spans="1:13" ht="28">
      <c r="A42" s="850" t="s">
        <v>2303</v>
      </c>
      <c r="B42" s="313" t="s">
        <v>1344</v>
      </c>
      <c r="C42" s="252" t="s">
        <v>1345</v>
      </c>
      <c r="F42" s="383" t="s">
        <v>1346</v>
      </c>
      <c r="K42" s="416" t="s">
        <v>1347</v>
      </c>
      <c r="L42" s="325"/>
      <c r="M42" s="308" t="s">
        <v>1441</v>
      </c>
    </row>
    <row r="43" spans="1:13" ht="42">
      <c r="A43" s="850" t="s">
        <v>2304</v>
      </c>
      <c r="B43" s="342" t="s">
        <v>1324</v>
      </c>
      <c r="C43" s="860" t="s">
        <v>1325</v>
      </c>
      <c r="F43" s="300" t="s">
        <v>1429</v>
      </c>
      <c r="K43" s="349" t="s">
        <v>1543</v>
      </c>
      <c r="L43" s="325"/>
      <c r="M43" s="308" t="s">
        <v>1455</v>
      </c>
    </row>
    <row r="44" spans="1:13" ht="56">
      <c r="A44" s="850" t="s">
        <v>2305</v>
      </c>
      <c r="B44" s="95" t="s">
        <v>1326</v>
      </c>
      <c r="C44" s="860" t="s">
        <v>1325</v>
      </c>
      <c r="F44" s="381" t="s">
        <v>1340</v>
      </c>
      <c r="K44" s="419" t="s">
        <v>1338</v>
      </c>
      <c r="L44" s="325"/>
      <c r="M44" s="308" t="s">
        <v>1339</v>
      </c>
    </row>
    <row r="45" spans="1:13" ht="42">
      <c r="A45" s="850" t="s">
        <v>2306</v>
      </c>
      <c r="B45" s="342" t="s">
        <v>1460</v>
      </c>
      <c r="C45" s="258" t="s">
        <v>1457</v>
      </c>
      <c r="F45" s="314" t="s">
        <v>1517</v>
      </c>
      <c r="K45" s="329"/>
      <c r="L45" s="325"/>
      <c r="M45" s="307" t="s">
        <v>1516</v>
      </c>
    </row>
    <row r="46" spans="1:13" ht="28">
      <c r="A46" s="850" t="s">
        <v>2307</v>
      </c>
      <c r="B46" s="372" t="s">
        <v>1459</v>
      </c>
      <c r="C46" s="258"/>
      <c r="F46" s="314" t="s">
        <v>1535</v>
      </c>
      <c r="K46" s="416" t="e">
        <f>#REF!</f>
        <v>#REF!</v>
      </c>
      <c r="L46" s="325"/>
      <c r="M46" s="308" t="s">
        <v>1536</v>
      </c>
    </row>
    <row r="47" spans="1:13" ht="28">
      <c r="A47" s="850" t="s">
        <v>2308</v>
      </c>
      <c r="B47" s="348" t="s">
        <v>1108</v>
      </c>
      <c r="C47" s="279" t="s">
        <v>279</v>
      </c>
      <c r="F47" s="300"/>
      <c r="K47" s="388"/>
      <c r="L47" s="325"/>
      <c r="M47" s="377" t="s">
        <v>1331</v>
      </c>
    </row>
    <row r="48" spans="1:13" ht="14">
      <c r="A48" s="850" t="s">
        <v>2309</v>
      </c>
      <c r="B48" s="348" t="s">
        <v>1096</v>
      </c>
      <c r="C48" s="279" t="s">
        <v>335</v>
      </c>
      <c r="F48" s="300"/>
      <c r="K48" s="388"/>
      <c r="L48" s="325"/>
      <c r="M48" s="318" t="s">
        <v>1436</v>
      </c>
    </row>
    <row r="49" spans="1:13" ht="28">
      <c r="A49" s="850" t="s">
        <v>2310</v>
      </c>
      <c r="B49" s="348" t="s">
        <v>91</v>
      </c>
      <c r="C49" s="279" t="s">
        <v>90</v>
      </c>
      <c r="F49" s="300"/>
      <c r="K49" s="388"/>
      <c r="L49" s="325"/>
      <c r="M49" s="318" t="s">
        <v>1434</v>
      </c>
    </row>
    <row r="50" spans="1:13" ht="14">
      <c r="A50" s="850" t="s">
        <v>2311</v>
      </c>
      <c r="B50" s="348" t="s">
        <v>81</v>
      </c>
      <c r="C50" s="279" t="s">
        <v>1134</v>
      </c>
      <c r="F50" s="300"/>
      <c r="K50" s="388"/>
      <c r="L50" s="325"/>
      <c r="M50" s="318" t="s">
        <v>1445</v>
      </c>
    </row>
    <row r="51" spans="1:13" ht="14">
      <c r="A51" s="850" t="s">
        <v>2312</v>
      </c>
      <c r="B51" s="348" t="s">
        <v>1101</v>
      </c>
      <c r="C51" s="279" t="s">
        <v>1102</v>
      </c>
      <c r="F51" s="300"/>
      <c r="K51" s="388"/>
      <c r="L51" s="325"/>
      <c r="M51" s="318" t="s">
        <v>1437</v>
      </c>
    </row>
    <row r="52" spans="1:13" ht="42">
      <c r="A52" s="850" t="s">
        <v>2313</v>
      </c>
      <c r="B52" s="348" t="s">
        <v>1086</v>
      </c>
      <c r="C52" s="279" t="s">
        <v>264</v>
      </c>
      <c r="F52" s="300" t="s">
        <v>1484</v>
      </c>
      <c r="K52" s="388"/>
      <c r="L52" s="325"/>
      <c r="M52" s="318" t="s">
        <v>1433</v>
      </c>
    </row>
    <row r="53" spans="1:13" ht="14">
      <c r="A53" s="850" t="s">
        <v>2314</v>
      </c>
      <c r="B53" s="348" t="s">
        <v>104</v>
      </c>
      <c r="C53" s="279" t="s">
        <v>1111</v>
      </c>
      <c r="F53" s="314" t="s">
        <v>1530</v>
      </c>
      <c r="K53" s="388"/>
      <c r="L53" s="325"/>
      <c r="M53" s="318" t="s">
        <v>1439</v>
      </c>
    </row>
    <row r="54" spans="1:13" ht="28">
      <c r="A54" s="850" t="s">
        <v>2315</v>
      </c>
      <c r="B54" s="348" t="s">
        <v>549</v>
      </c>
      <c r="C54" s="279" t="s">
        <v>440</v>
      </c>
      <c r="F54" s="382" t="s">
        <v>191</v>
      </c>
      <c r="K54" s="388"/>
      <c r="L54" s="325"/>
      <c r="M54" s="276" t="s">
        <v>1440</v>
      </c>
    </row>
    <row r="55" spans="1:13" ht="14">
      <c r="A55" s="850" t="s">
        <v>2316</v>
      </c>
      <c r="B55" s="348" t="s">
        <v>1105</v>
      </c>
      <c r="C55" s="279" t="s">
        <v>1106</v>
      </c>
      <c r="F55" s="300" t="s">
        <v>1737</v>
      </c>
      <c r="K55" s="388"/>
      <c r="L55" s="325"/>
      <c r="M55" s="318" t="s">
        <v>1438</v>
      </c>
    </row>
    <row r="56" spans="1:13" ht="14">
      <c r="A56" s="850" t="s">
        <v>2317</v>
      </c>
      <c r="B56" s="348" t="s">
        <v>1135</v>
      </c>
      <c r="C56" s="279" t="s">
        <v>201</v>
      </c>
      <c r="F56" s="300"/>
      <c r="K56" s="388"/>
      <c r="L56" s="325"/>
      <c r="M56" s="318" t="s">
        <v>1446</v>
      </c>
    </row>
    <row r="57" spans="1:13" ht="28">
      <c r="A57" s="850" t="s">
        <v>2318</v>
      </c>
      <c r="B57" s="373" t="s">
        <v>1456</v>
      </c>
      <c r="C57" s="276" t="s">
        <v>1461</v>
      </c>
      <c r="F57" s="381" t="s">
        <v>1481</v>
      </c>
      <c r="K57" s="265" t="s">
        <v>1464</v>
      </c>
      <c r="L57" s="325"/>
      <c r="M57" s="318" t="s">
        <v>1463</v>
      </c>
    </row>
    <row r="58" spans="1:13" ht="14">
      <c r="A58" s="850" t="s">
        <v>2319</v>
      </c>
      <c r="K58" s="325"/>
      <c r="L58" s="325"/>
    </row>
    <row r="59" spans="1:13" ht="14">
      <c r="A59" s="850" t="s">
        <v>2320</v>
      </c>
      <c r="K59" s="325"/>
      <c r="L59" s="325"/>
    </row>
    <row r="60" spans="1:13" ht="14">
      <c r="A60" s="850" t="s">
        <v>2321</v>
      </c>
      <c r="K60" s="325"/>
      <c r="L60" s="325"/>
    </row>
    <row r="61" spans="1:13" ht="14">
      <c r="A61" s="850" t="s">
        <v>2322</v>
      </c>
      <c r="K61" s="325"/>
      <c r="L61" s="325"/>
    </row>
    <row r="62" spans="1:13" ht="14">
      <c r="A62" s="850" t="s">
        <v>2323</v>
      </c>
      <c r="K62" s="325"/>
      <c r="L62" s="325"/>
    </row>
    <row r="63" spans="1:13" ht="14">
      <c r="A63" s="850" t="s">
        <v>2324</v>
      </c>
      <c r="K63" s="325"/>
      <c r="L63" s="325"/>
    </row>
    <row r="64" spans="1:13" ht="14">
      <c r="A64" s="850" t="s">
        <v>2325</v>
      </c>
      <c r="K64" s="325"/>
      <c r="L64" s="325"/>
    </row>
    <row r="65" spans="1:12" ht="14">
      <c r="A65" s="850" t="s">
        <v>2326</v>
      </c>
      <c r="K65" s="325"/>
      <c r="L65" s="325"/>
    </row>
    <row r="66" spans="1:12" ht="14">
      <c r="A66" s="850" t="s">
        <v>2327</v>
      </c>
      <c r="K66" s="325"/>
      <c r="L66" s="325"/>
    </row>
    <row r="67" spans="1:12" ht="14">
      <c r="A67" s="850" t="s">
        <v>2328</v>
      </c>
      <c r="K67" s="325"/>
      <c r="L67" s="325"/>
    </row>
    <row r="68" spans="1:12" ht="14">
      <c r="A68" s="850" t="s">
        <v>2329</v>
      </c>
      <c r="K68" s="325"/>
      <c r="L68" s="325"/>
    </row>
    <row r="69" spans="1:12" ht="14">
      <c r="A69" s="850" t="s">
        <v>2330</v>
      </c>
      <c r="K69" s="325"/>
      <c r="L69" s="325"/>
    </row>
    <row r="70" spans="1:12" ht="14">
      <c r="A70" s="850" t="s">
        <v>2331</v>
      </c>
      <c r="K70" s="325"/>
      <c r="L70" s="325"/>
    </row>
    <row r="71" spans="1:12" ht="14">
      <c r="A71" s="850" t="s">
        <v>2332</v>
      </c>
      <c r="K71" s="325"/>
      <c r="L71" s="325"/>
    </row>
    <row r="72" spans="1:12" ht="14">
      <c r="A72" s="850" t="s">
        <v>2333</v>
      </c>
      <c r="K72" s="325"/>
      <c r="L72" s="325"/>
    </row>
    <row r="73" spans="1:12" ht="14">
      <c r="A73" s="850" t="s">
        <v>2334</v>
      </c>
      <c r="K73" s="325"/>
      <c r="L73" s="325"/>
    </row>
    <row r="74" spans="1:12" ht="14">
      <c r="A74" s="850" t="s">
        <v>2335</v>
      </c>
      <c r="K74" s="325"/>
      <c r="L74" s="325"/>
    </row>
    <row r="75" spans="1:12" ht="14">
      <c r="A75" s="850" t="s">
        <v>2336</v>
      </c>
      <c r="K75" s="325"/>
      <c r="L75" s="325"/>
    </row>
    <row r="76" spans="1:12" ht="14">
      <c r="A76" s="850" t="s">
        <v>2337</v>
      </c>
      <c r="K76" s="325"/>
      <c r="L76" s="325"/>
    </row>
    <row r="77" spans="1:12" ht="14">
      <c r="A77" s="850" t="s">
        <v>2338</v>
      </c>
      <c r="K77" s="325"/>
      <c r="L77" s="325"/>
    </row>
    <row r="78" spans="1:12" ht="14">
      <c r="A78" s="850" t="s">
        <v>2339</v>
      </c>
      <c r="K78" s="325"/>
      <c r="L78" s="325"/>
    </row>
    <row r="79" spans="1:12" ht="14">
      <c r="A79" s="850" t="s">
        <v>2340</v>
      </c>
      <c r="K79" s="325"/>
      <c r="L79" s="325"/>
    </row>
    <row r="80" spans="1:12" ht="14">
      <c r="A80" s="850" t="s">
        <v>2341</v>
      </c>
      <c r="K80" s="325"/>
      <c r="L80" s="325"/>
    </row>
    <row r="81" spans="1:12" ht="14">
      <c r="A81" s="850" t="s">
        <v>2342</v>
      </c>
      <c r="K81" s="325"/>
      <c r="L81" s="325"/>
    </row>
    <row r="82" spans="1:12" ht="14">
      <c r="A82" s="850" t="s">
        <v>2343</v>
      </c>
      <c r="K82" s="325"/>
      <c r="L82" s="325"/>
    </row>
    <row r="83" spans="1:12" ht="14">
      <c r="A83" s="850" t="s">
        <v>2344</v>
      </c>
      <c r="K83" s="325"/>
      <c r="L83" s="325"/>
    </row>
    <row r="84" spans="1:12" ht="14">
      <c r="A84" s="850" t="s">
        <v>2345</v>
      </c>
      <c r="K84" s="325"/>
      <c r="L84" s="325"/>
    </row>
    <row r="85" spans="1:12" ht="14">
      <c r="A85" s="850" t="s">
        <v>2346</v>
      </c>
      <c r="K85" s="325"/>
      <c r="L85" s="325"/>
    </row>
    <row r="86" spans="1:12" ht="14">
      <c r="A86" s="850" t="s">
        <v>2347</v>
      </c>
      <c r="K86" s="325"/>
      <c r="L86" s="325"/>
    </row>
    <row r="87" spans="1:12" ht="14">
      <c r="A87" s="850" t="s">
        <v>2348</v>
      </c>
      <c r="K87" s="325"/>
      <c r="L87" s="325"/>
    </row>
    <row r="88" spans="1:12" ht="14">
      <c r="A88" s="850" t="s">
        <v>2349</v>
      </c>
      <c r="K88" s="325"/>
      <c r="L88" s="325"/>
    </row>
    <row r="89" spans="1:12" ht="14">
      <c r="A89" s="850" t="s">
        <v>2350</v>
      </c>
      <c r="K89" s="325"/>
      <c r="L89" s="325"/>
    </row>
    <row r="90" spans="1:12" ht="14">
      <c r="A90" s="850" t="s">
        <v>2351</v>
      </c>
      <c r="K90" s="325"/>
      <c r="L90" s="325"/>
    </row>
    <row r="91" spans="1:12" ht="14">
      <c r="A91" s="850" t="s">
        <v>2352</v>
      </c>
      <c r="K91" s="325"/>
      <c r="L91" s="325"/>
    </row>
    <row r="92" spans="1:12" ht="14">
      <c r="A92" s="850" t="s">
        <v>2353</v>
      </c>
      <c r="K92" s="325"/>
      <c r="L92" s="325"/>
    </row>
    <row r="93" spans="1:12" ht="14">
      <c r="A93" s="850" t="s">
        <v>2354</v>
      </c>
      <c r="K93" s="325"/>
      <c r="L93" s="325"/>
    </row>
    <row r="94" spans="1:12" ht="14">
      <c r="A94" s="850" t="s">
        <v>2355</v>
      </c>
      <c r="K94" s="325"/>
      <c r="L94" s="325"/>
    </row>
    <row r="95" spans="1:12" ht="14">
      <c r="A95" s="850" t="s">
        <v>2356</v>
      </c>
      <c r="K95" s="325"/>
      <c r="L95" s="325"/>
    </row>
    <row r="96" spans="1:12" ht="14">
      <c r="A96" s="850" t="s">
        <v>2357</v>
      </c>
      <c r="K96" s="325"/>
      <c r="L96" s="325"/>
    </row>
    <row r="97" spans="1:12" ht="14">
      <c r="A97" s="850" t="s">
        <v>2358</v>
      </c>
      <c r="K97" s="325"/>
      <c r="L97" s="325"/>
    </row>
    <row r="98" spans="1:12" ht="14">
      <c r="A98" s="850" t="s">
        <v>2359</v>
      </c>
      <c r="K98" s="325"/>
      <c r="L98" s="325"/>
    </row>
    <row r="99" spans="1:12" ht="14">
      <c r="A99" s="850" t="s">
        <v>2360</v>
      </c>
      <c r="K99" s="325"/>
      <c r="L99" s="325"/>
    </row>
    <row r="100" spans="1:12" ht="14">
      <c r="A100" s="850" t="s">
        <v>2361</v>
      </c>
      <c r="K100" s="325"/>
      <c r="L100" s="325"/>
    </row>
    <row r="101" spans="1:12" ht="14">
      <c r="A101" s="850" t="s">
        <v>2362</v>
      </c>
      <c r="K101" s="325"/>
      <c r="L101" s="325"/>
    </row>
    <row r="102" spans="1:12" ht="14">
      <c r="A102" s="850" t="s">
        <v>2363</v>
      </c>
      <c r="K102" s="325"/>
      <c r="L102" s="325"/>
    </row>
    <row r="103" spans="1:12" ht="14">
      <c r="A103" s="850" t="s">
        <v>2364</v>
      </c>
      <c r="K103" s="325"/>
      <c r="L103" s="325"/>
    </row>
    <row r="104" spans="1:12" ht="14">
      <c r="A104" s="850" t="s">
        <v>2365</v>
      </c>
      <c r="K104" s="325"/>
      <c r="L104" s="325"/>
    </row>
    <row r="105" spans="1:12" ht="14">
      <c r="A105" s="850" t="s">
        <v>2366</v>
      </c>
      <c r="K105" s="325"/>
      <c r="L105" s="325"/>
    </row>
    <row r="106" spans="1:12" ht="14">
      <c r="A106" s="850" t="s">
        <v>2367</v>
      </c>
      <c r="K106" s="325"/>
      <c r="L106" s="325"/>
    </row>
    <row r="107" spans="1:12" ht="14">
      <c r="A107" s="850" t="s">
        <v>2368</v>
      </c>
    </row>
    <row r="108" spans="1:12" ht="14">
      <c r="A108" s="850" t="s">
        <v>2369</v>
      </c>
    </row>
    <row r="109" spans="1:12" ht="14">
      <c r="A109" s="850" t="s">
        <v>2370</v>
      </c>
    </row>
    <row r="110" spans="1:12" ht="14">
      <c r="A110" s="850" t="s">
        <v>2371</v>
      </c>
    </row>
    <row r="111" spans="1:12" ht="14">
      <c r="A111" s="850" t="s">
        <v>2372</v>
      </c>
    </row>
    <row r="112" spans="1:12" ht="14">
      <c r="A112" s="850" t="s">
        <v>2373</v>
      </c>
    </row>
    <row r="113" spans="1:1" ht="14">
      <c r="A113" s="850" t="s">
        <v>2374</v>
      </c>
    </row>
    <row r="114" spans="1:1" ht="14">
      <c r="A114" s="850" t="s">
        <v>2375</v>
      </c>
    </row>
  </sheetData>
  <phoneticPr fontId="63" type="noConversion"/>
  <hyperlinks>
    <hyperlink ref="M2" r:id="rId1" xr:uid="{5281BB9E-16D1-CB49-9D46-E72A075A493D}"/>
    <hyperlink ref="N3" r:id="rId2" display="http://www.wallpaperdecor.com.au/" xr:uid="{386FC5BF-68C2-064D-AA02-77D190CDEE22}"/>
    <hyperlink ref="M3" r:id="rId3" xr:uid="{93DC5978-6D10-9841-856B-4190067B67CC}"/>
    <hyperlink ref="M4" r:id="rId4" xr:uid="{7A22363B-3FB9-C549-9B8E-43F341A30D66}"/>
    <hyperlink ref="N4" r:id="rId5" display="http://www.wallpaperdecor.com.au/" xr:uid="{272261E7-FA82-3748-9F39-CEB17007A40A}"/>
    <hyperlink ref="M5" r:id="rId6" xr:uid="{7CD6DD98-940C-AF45-8840-1564156742B2}"/>
    <hyperlink ref="N5" r:id="rId7" display="http://www.harvizo.be/" xr:uid="{BF114ACA-AB2B-E34C-962B-5D2328C70C48}"/>
    <hyperlink ref="L6" r:id="rId8" display="tel:+56 2 2840 1611" xr:uid="{C8C002F9-3738-FB44-9D88-141BFFB20444}"/>
    <hyperlink ref="M6" r:id="rId9" xr:uid="{4AA96BDC-2C6C-3547-A4FF-0AC944F8F812}"/>
    <hyperlink ref="N6" r:id="rId10" display="http://www.casagarda.cl/" xr:uid="{5FC45014-3639-C64B-BFDF-1F53C0F5340B}"/>
    <hyperlink ref="M24" r:id="rId11" xr:uid="{46E233E6-86C8-4745-834B-7083F1560C8E}"/>
    <hyperlink ref="M21" r:id="rId12" display="mailto:colora.waregem@colora.be" xr:uid="{5B02F94D-7162-9840-A102-CEF03D9D710B}"/>
    <hyperlink ref="M20" r:id="rId13" display="mailto:ninove@schellaert.be" xr:uid="{2CCD48FB-4D04-7642-9460-3AB28399C228}"/>
    <hyperlink ref="M17" r:id="rId14" display="mailto:info@ecostore.be?subject=Contact%20via%20website" xr:uid="{72C5B45E-66F9-6E42-A380-795FAF1DE27B}"/>
    <hyperlink ref="M15" r:id="rId15" display="mailto:colora.grimbergen@colora.be" xr:uid="{3D0F3C31-2CB1-354B-B27F-DD1704BE4EB9}"/>
    <hyperlink ref="M14" r:id="rId16" xr:uid="{C51E492E-BE7F-8449-98E2-3EC85487CC6D}"/>
    <hyperlink ref="M13" r:id="rId17" display="mailto:uniek.decoratie@telenet.be?__xts__=" xr:uid="{2D12556E-987A-0844-873D-8A9CB6A4A658}"/>
    <hyperlink ref="M12" r:id="rId18" xr:uid="{F6BE6A43-A164-8F4B-8BE9-007C7E2706F6}"/>
    <hyperlink ref="M11" r:id="rId19" display="colora.brugge2@colora.be" xr:uid="{E76AD536-7D8E-D445-91FF-B10FC2A3680A}"/>
    <hyperlink ref="M30" r:id="rId20" xr:uid="{58388027-1182-F246-BCE8-7BA338F8FB1E}"/>
    <hyperlink ref="M29" r:id="rId21" xr:uid="{665213DC-16B1-7B4C-AD9C-D37958F7EF08}"/>
    <hyperlink ref="M28" r:id="rId22" display="administratie@mertens-interieur.be" xr:uid="{1BF3B49A-C900-7E46-9843-CEB886733057}"/>
    <hyperlink ref="M10" r:id="rId23" display="mailto:colora.brugge@colora.be" xr:uid="{CC83AD7B-27DE-7C4C-90FE-91C751E5A2F0}"/>
    <hyperlink ref="M9" r:id="rId24" xr:uid="{4E4CFE33-DC50-714F-87BC-6B66FBC8025C}"/>
    <hyperlink ref="M7" r:id="rId25" xr:uid="{453BB2CC-2631-7A45-8229-EDC1FEB77BE9}"/>
    <hyperlink ref="M8" r:id="rId26" xr:uid="{CE33A9A1-A591-4240-BF03-4D048CB3B553}"/>
    <hyperlink ref="M16" r:id="rId27" xr:uid="{6DCCAD70-146D-2844-81B4-93C97275F91B}"/>
    <hyperlink ref="M18" r:id="rId28" xr:uid="{7D43F2FB-9584-2C43-BFC6-15EA57E2E2AA}"/>
    <hyperlink ref="M19" r:id="rId29" xr:uid="{FA9C5370-38CA-3D4F-970D-0704CCEB9F3E}"/>
    <hyperlink ref="M22" r:id="rId30" xr:uid="{8F94D90B-E175-F14C-9AB2-78CC734A8855}"/>
    <hyperlink ref="M23" r:id="rId31" xr:uid="{D91C025E-C907-744D-9484-CB1CA0C4F8D5}"/>
    <hyperlink ref="M25" r:id="rId32" xr:uid="{99F88B34-7429-8645-B727-77A125509F92}"/>
    <hyperlink ref="M26" r:id="rId33" xr:uid="{134562AD-6FAD-424D-B03D-65F507C0C5C8}"/>
    <hyperlink ref="M27" r:id="rId34" xr:uid="{DE16EDB0-7863-E040-8666-7172FE8288F2}"/>
    <hyperlink ref="K29" r:id="rId35" tooltip="Appeler avec Hangouts" display="https://www.google.be/search?hl=fr&amp;source=hp&amp;ei=bXCsXOuGEZKckwXek4oY&amp;q=verpoorten+verfdistributie+bvba+herentals&amp;oq=verpoorten+verf&amp;gs_l=psy-ab.1.4.0i19l3j0i22i30i19l7.1590.9423..12703...0.0..0.159.1081.15j1......0....1..gws-wiz.....0..35i39i19j35i39j0j0i131j0i67j0i131i67j0i10i67j0i203j0i10i203j0i22i30j0i13i30.zK4k5HJ4OdU" xr:uid="{616288A3-6EAD-4E49-AE9C-3B0C52ADFE66}"/>
    <hyperlink ref="K30" r:id="rId36" tooltip="Appeler avec Hangouts" display="https://www.google.com/search?client=safari&amp;rls=en&amp;q=pergamene&amp;ie=UTF-8&amp;oe=UTF-8" xr:uid="{C44EFC81-1533-C043-B324-637D006F3F4F}"/>
    <hyperlink ref="K12" r:id="rId37" tooltip="Appeler avec Hangouts" display="https://www.google.com/search?client=safari&amp;rls=en&amp;q=colora+deinze&amp;ie=UTF-8&amp;oe=UTF-8" xr:uid="{E64FC938-F6B6-4F47-AB6C-38B09C41FC21}"/>
    <hyperlink ref="K17" r:id="rId38" display="tel:+3292728292" xr:uid="{DF48428F-BE0A-C04F-B6EA-C1EE7115832F}"/>
    <hyperlink ref="K20" r:id="rId39" display="tel:+3254333783" xr:uid="{109132C5-AEF5-E749-A013-F5EE17FA5D88}"/>
    <hyperlink ref="K24" r:id="rId40" tooltip="Appeler avec Hangouts" display="https://www.google.com/search?client=safari&amp;rls=en&amp;q=de+smaele+st+niklaas&amp;ie=UTF-8&amp;oe=UTF-8" xr:uid="{8FFC8135-11C7-2D41-B1CE-BB0E56509796}"/>
    <hyperlink ref="M41" r:id="rId41" xr:uid="{B0398741-367C-344A-B07D-12B6C47833FF}"/>
    <hyperlink ref="M44" r:id="rId42" display="mailto:info@unico-interiors.de" xr:uid="{05ECA581-5B98-654C-80DF-C766FB4FBBD7}"/>
    <hyperlink ref="M40" r:id="rId43" xr:uid="{E98B6654-5BCD-D841-B13C-3A5A7ECD6834}"/>
    <hyperlink ref="M39" r:id="rId44" xr:uid="{513E8DC0-F2D8-CB48-B95D-807A5B44F484}"/>
    <hyperlink ref="M52" r:id="rId45" xr:uid="{F2C3CA3E-B3BB-6F47-B1E5-CF8CFC527297}"/>
    <hyperlink ref="M49" r:id="rId46" xr:uid="{73B33EB7-EC22-B04F-B379-1A1B4C50CB54}"/>
    <hyperlink ref="M36" r:id="rId47" xr:uid="{7DD6611D-206F-3344-85E2-C367E775AB5B}"/>
    <hyperlink ref="M48" r:id="rId48" xr:uid="{EFF70076-8265-274D-9744-D71AB8314358}"/>
    <hyperlink ref="M55" r:id="rId49" xr:uid="{E2AE9A19-48E4-C34A-8487-F69BA97C0A2D}"/>
    <hyperlink ref="M53" r:id="rId50" xr:uid="{094F23D7-8B9D-F448-B566-C788FBC04DB8}"/>
    <hyperlink ref="M42" r:id="rId51" xr:uid="{D705AFBE-EB29-1D4F-A400-4FCAC6AB6318}"/>
    <hyperlink ref="M38" r:id="rId52" xr:uid="{72C34C07-C1ED-BE49-931A-7F362B7916AD}"/>
    <hyperlink ref="M50" r:id="rId53" xr:uid="{B0A1ACED-9A81-A145-B9EA-248E81434220}"/>
    <hyperlink ref="M56" r:id="rId54" xr:uid="{3F00A809-39C6-434A-ADBB-F6E3C65C2D87}"/>
    <hyperlink ref="M37" r:id="rId55" xr:uid="{9C1C4D5B-6034-4542-B4B0-E58DC0872C18}"/>
    <hyperlink ref="M43" r:id="rId56" xr:uid="{DE2CBACF-2E23-0848-A57B-120F6ED48533}"/>
    <hyperlink ref="M46" r:id="rId57" display="mailto: info@schaefer-tapeten.de" xr:uid="{962175BF-695C-4C42-85B9-C665FA86122D}"/>
    <hyperlink ref="M51" r:id="rId58" xr:uid="{0B5F87F4-0A9F-334B-8347-CF1EF435F11C}"/>
    <hyperlink ref="F40" r:id="rId59" display="https://www.tenuedeville.com/suppliers/www.meinewand.de" xr:uid="{CFA7E8C3-359B-8F41-B240-2AD7AA81308F}"/>
    <hyperlink ref="F44" r:id="rId60" display="http://unico-interiors.de/" xr:uid="{67D67ADC-99B0-114F-9DCB-0709AC53085F}"/>
  </hyperlinks>
  <pageMargins left="0.7" right="0.7" top="0.75" bottom="0.75" header="0.3" footer="0.3"/>
  <ignoredErrors>
    <ignoredError sqref="A2:A114" numberStoredAsText="1"/>
  </ignoredErrors>
  <legacyDrawing r:id="rId6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96AC6A-B54D-CA44-936C-2A8BDDC5E419}">
  <sheetPr codeName="Feuil14">
    <tabColor theme="9"/>
  </sheetPr>
  <dimension ref="A1:A2"/>
  <sheetViews>
    <sheetView workbookViewId="0">
      <selection activeCell="A3" sqref="A3"/>
    </sheetView>
  </sheetViews>
  <sheetFormatPr baseColWidth="10" defaultRowHeight="13"/>
  <sheetData>
    <row r="1" spans="1:1" ht="14">
      <c r="A1" s="425" t="s">
        <v>3117</v>
      </c>
    </row>
    <row r="2" spans="1:1" ht="14">
      <c r="A2" s="425" t="s">
        <v>3118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5">
    <pageSetUpPr fitToPage="1"/>
  </sheetPr>
  <dimension ref="A1:IV36"/>
  <sheetViews>
    <sheetView showGridLines="0" workbookViewId="0">
      <selection activeCell="B6" sqref="B6"/>
    </sheetView>
  </sheetViews>
  <sheetFormatPr baseColWidth="10" defaultColWidth="8.33203125" defaultRowHeight="20" customHeight="1"/>
  <cols>
    <col min="1" max="1" width="4.83203125" style="238" customWidth="1"/>
    <col min="2" max="2" width="16.33203125" style="238" customWidth="1"/>
    <col min="3" max="3" width="7.83203125" style="238" customWidth="1"/>
    <col min="4" max="4" width="10.5" style="238" customWidth="1"/>
    <col min="5" max="5" width="25.1640625" style="238" customWidth="1"/>
    <col min="6" max="6" width="3.83203125" style="238" customWidth="1"/>
    <col min="7" max="7" width="9.1640625" style="238" customWidth="1"/>
    <col min="8" max="256" width="8.33203125" style="238" customWidth="1"/>
  </cols>
  <sheetData>
    <row r="1" spans="2:7" ht="27.75" customHeight="1">
      <c r="B1" s="924" t="s">
        <v>511</v>
      </c>
      <c r="C1" s="924"/>
      <c r="D1" s="924"/>
      <c r="E1" s="924"/>
      <c r="F1" s="924"/>
      <c r="G1" s="924"/>
    </row>
    <row r="2" spans="2:7" ht="20.25" customHeight="1">
      <c r="B2" s="239"/>
      <c r="C2" s="239"/>
      <c r="D2" s="239"/>
      <c r="E2" s="239"/>
      <c r="F2" s="239"/>
      <c r="G2" s="239"/>
    </row>
    <row r="3" spans="2:7" ht="20.25" customHeight="1">
      <c r="B3" s="240"/>
      <c r="C3" s="241"/>
      <c r="D3" s="242"/>
      <c r="E3" s="242"/>
      <c r="F3" s="242"/>
      <c r="G3" s="242"/>
    </row>
    <row r="4" spans="2:7" ht="20" customHeight="1">
      <c r="B4" s="243" t="s">
        <v>1212</v>
      </c>
      <c r="C4" s="244"/>
      <c r="D4" s="97"/>
      <c r="E4" s="97"/>
      <c r="F4" s="97"/>
      <c r="G4" s="97"/>
    </row>
    <row r="5" spans="2:7" ht="20" customHeight="1">
      <c r="B5" s="245"/>
      <c r="C5" s="244"/>
      <c r="D5" s="97"/>
      <c r="E5" s="97"/>
      <c r="F5" s="97"/>
      <c r="G5" s="97"/>
    </row>
    <row r="6" spans="2:7" ht="20" customHeight="1">
      <c r="B6" s="245"/>
      <c r="C6" s="244"/>
      <c r="D6" s="97"/>
      <c r="E6" s="97"/>
      <c r="F6" s="97"/>
      <c r="G6" s="97"/>
    </row>
    <row r="7" spans="2:7" ht="20" customHeight="1">
      <c r="B7" s="245"/>
      <c r="C7" s="244"/>
      <c r="D7" s="97"/>
      <c r="E7" s="97"/>
      <c r="F7" s="97"/>
      <c r="G7" s="97"/>
    </row>
    <row r="8" spans="2:7" ht="20" customHeight="1">
      <c r="B8" s="245"/>
      <c r="C8" s="244"/>
      <c r="D8" s="97"/>
      <c r="E8" s="97"/>
      <c r="F8" s="97"/>
      <c r="G8" s="97"/>
    </row>
    <row r="9" spans="2:7" ht="20" customHeight="1">
      <c r="B9" s="245"/>
      <c r="C9" s="244"/>
      <c r="D9" s="97"/>
      <c r="E9" s="97"/>
      <c r="F9" s="97"/>
      <c r="G9" s="97"/>
    </row>
    <row r="10" spans="2:7" ht="20" customHeight="1">
      <c r="B10" s="245"/>
      <c r="C10" s="244"/>
      <c r="D10" s="97"/>
      <c r="E10" s="97"/>
      <c r="F10" s="97"/>
      <c r="G10" s="97"/>
    </row>
    <row r="11" spans="2:7" ht="20" customHeight="1">
      <c r="B11" s="245"/>
      <c r="C11" s="244"/>
      <c r="D11" s="97"/>
      <c r="E11" s="97"/>
      <c r="F11" s="97"/>
      <c r="G11" s="97"/>
    </row>
    <row r="12" spans="2:7" ht="20" customHeight="1">
      <c r="B12" s="245"/>
      <c r="C12" s="244"/>
      <c r="D12" s="97"/>
      <c r="E12" s="97"/>
      <c r="F12" s="97"/>
      <c r="G12" s="97"/>
    </row>
    <row r="13" spans="2:7" ht="20" customHeight="1">
      <c r="B13" s="243" t="s">
        <v>1213</v>
      </c>
      <c r="C13" s="246" t="s">
        <v>1214</v>
      </c>
      <c r="D13" s="96" t="s">
        <v>1215</v>
      </c>
      <c r="E13" s="96" t="s">
        <v>1216</v>
      </c>
      <c r="F13" s="96" t="s">
        <v>1217</v>
      </c>
      <c r="G13" s="96" t="s">
        <v>1218</v>
      </c>
    </row>
    <row r="14" spans="2:7" ht="20" customHeight="1">
      <c r="B14" s="245"/>
      <c r="C14" s="244"/>
      <c r="D14" s="97"/>
      <c r="E14" s="97"/>
      <c r="F14" s="97"/>
      <c r="G14" s="97"/>
    </row>
    <row r="15" spans="2:7" ht="20" customHeight="1">
      <c r="B15" s="243" t="s">
        <v>1057</v>
      </c>
      <c r="C15" s="246" t="s">
        <v>1058</v>
      </c>
      <c r="D15" s="96" t="s">
        <v>512</v>
      </c>
      <c r="E15" s="96" t="s">
        <v>1219</v>
      </c>
      <c r="F15" s="247">
        <v>3.2</v>
      </c>
      <c r="G15" s="96" t="s">
        <v>1220</v>
      </c>
    </row>
    <row r="16" spans="2:7" ht="20" customHeight="1">
      <c r="B16" s="243" t="s">
        <v>1059</v>
      </c>
      <c r="C16" s="246" t="s">
        <v>1058</v>
      </c>
      <c r="D16" s="96" t="s">
        <v>513</v>
      </c>
      <c r="E16" s="96" t="s">
        <v>1219</v>
      </c>
      <c r="F16" s="247">
        <v>3.2</v>
      </c>
      <c r="G16" s="96" t="s">
        <v>1220</v>
      </c>
    </row>
    <row r="17" spans="2:7" ht="20" customHeight="1">
      <c r="B17" s="243" t="s">
        <v>1060</v>
      </c>
      <c r="C17" s="246" t="s">
        <v>1058</v>
      </c>
      <c r="D17" s="96" t="s">
        <v>514</v>
      </c>
      <c r="E17" s="96" t="s">
        <v>1219</v>
      </c>
      <c r="F17" s="247">
        <v>3.2</v>
      </c>
      <c r="G17" s="96" t="s">
        <v>1220</v>
      </c>
    </row>
    <row r="18" spans="2:7" ht="20" customHeight="1">
      <c r="B18" s="243" t="s">
        <v>1061</v>
      </c>
      <c r="C18" s="246" t="s">
        <v>1058</v>
      </c>
      <c r="D18" s="96" t="s">
        <v>515</v>
      </c>
      <c r="E18" s="96" t="s">
        <v>1219</v>
      </c>
      <c r="F18" s="247">
        <v>3.2</v>
      </c>
      <c r="G18" s="96" t="s">
        <v>1220</v>
      </c>
    </row>
    <row r="19" spans="2:7" ht="20" customHeight="1">
      <c r="B19" s="243" t="s">
        <v>1062</v>
      </c>
      <c r="C19" s="246" t="s">
        <v>1058</v>
      </c>
      <c r="D19" s="96" t="s">
        <v>516</v>
      </c>
      <c r="E19" s="96" t="s">
        <v>1219</v>
      </c>
      <c r="F19" s="247">
        <v>3.2</v>
      </c>
      <c r="G19" s="96" t="s">
        <v>1220</v>
      </c>
    </row>
    <row r="20" spans="2:7" ht="20" customHeight="1">
      <c r="B20" s="243" t="s">
        <v>1063</v>
      </c>
      <c r="C20" s="246" t="s">
        <v>1058</v>
      </c>
      <c r="D20" s="96" t="s">
        <v>517</v>
      </c>
      <c r="E20" s="96" t="s">
        <v>1219</v>
      </c>
      <c r="F20" s="247">
        <v>3.2</v>
      </c>
      <c r="G20" s="96" t="s">
        <v>1220</v>
      </c>
    </row>
    <row r="21" spans="2:7" ht="20" customHeight="1">
      <c r="B21" s="245"/>
      <c r="C21" s="244"/>
      <c r="D21" s="97"/>
      <c r="E21" s="97"/>
      <c r="F21" s="97"/>
      <c r="G21" s="97"/>
    </row>
    <row r="22" spans="2:7" ht="20" customHeight="1">
      <c r="B22" s="243" t="s">
        <v>1064</v>
      </c>
      <c r="C22" s="246" t="s">
        <v>1065</v>
      </c>
      <c r="D22" s="96" t="s">
        <v>518</v>
      </c>
      <c r="E22" s="96" t="s">
        <v>1221</v>
      </c>
      <c r="F22" s="247">
        <v>4.8</v>
      </c>
      <c r="G22" s="96" t="s">
        <v>1220</v>
      </c>
    </row>
    <row r="23" spans="2:7" ht="20" customHeight="1">
      <c r="B23" s="243" t="s">
        <v>1066</v>
      </c>
      <c r="C23" s="246" t="s">
        <v>1065</v>
      </c>
      <c r="D23" s="96" t="s">
        <v>512</v>
      </c>
      <c r="E23" s="96" t="s">
        <v>1221</v>
      </c>
      <c r="F23" s="247">
        <v>4.8</v>
      </c>
      <c r="G23" s="96" t="s">
        <v>1220</v>
      </c>
    </row>
    <row r="24" spans="2:7" ht="20" customHeight="1">
      <c r="B24" s="243" t="s">
        <v>1067</v>
      </c>
      <c r="C24" s="246" t="s">
        <v>1065</v>
      </c>
      <c r="D24" s="96" t="s">
        <v>517</v>
      </c>
      <c r="E24" s="96" t="s">
        <v>1221</v>
      </c>
      <c r="F24" s="247">
        <v>4.8</v>
      </c>
      <c r="G24" s="96" t="s">
        <v>1220</v>
      </c>
    </row>
    <row r="25" spans="2:7" ht="20" customHeight="1">
      <c r="B25" s="243" t="s">
        <v>1068</v>
      </c>
      <c r="C25" s="246" t="s">
        <v>1065</v>
      </c>
      <c r="D25" s="96" t="s">
        <v>519</v>
      </c>
      <c r="E25" s="96" t="s">
        <v>1221</v>
      </c>
      <c r="F25" s="247">
        <v>4.8</v>
      </c>
      <c r="G25" s="96" t="s">
        <v>1220</v>
      </c>
    </row>
    <row r="26" spans="2:7" ht="20" customHeight="1">
      <c r="B26" s="243" t="s">
        <v>1069</v>
      </c>
      <c r="C26" s="246" t="s">
        <v>1065</v>
      </c>
      <c r="D26" s="96" t="s">
        <v>520</v>
      </c>
      <c r="E26" s="96" t="s">
        <v>1221</v>
      </c>
      <c r="F26" s="247">
        <v>4.8</v>
      </c>
      <c r="G26" s="96" t="s">
        <v>1220</v>
      </c>
    </row>
    <row r="27" spans="2:7" ht="20" customHeight="1">
      <c r="B27" s="243" t="s">
        <v>1070</v>
      </c>
      <c r="C27" s="246" t="s">
        <v>1065</v>
      </c>
      <c r="D27" s="96" t="s">
        <v>521</v>
      </c>
      <c r="E27" s="96" t="s">
        <v>1221</v>
      </c>
      <c r="F27" s="247">
        <v>4.8</v>
      </c>
      <c r="G27" s="96" t="s">
        <v>1220</v>
      </c>
    </row>
    <row r="28" spans="2:7" ht="20" customHeight="1">
      <c r="B28" s="245"/>
      <c r="C28" s="244"/>
      <c r="D28" s="97"/>
      <c r="E28" s="97"/>
      <c r="F28" s="97"/>
      <c r="G28" s="97"/>
    </row>
    <row r="29" spans="2:7" ht="20" customHeight="1">
      <c r="B29" s="243" t="s">
        <v>1071</v>
      </c>
      <c r="C29" s="246" t="s">
        <v>1072</v>
      </c>
      <c r="D29" s="96" t="s">
        <v>521</v>
      </c>
      <c r="E29" s="96" t="s">
        <v>1221</v>
      </c>
      <c r="F29" s="247">
        <v>4.8</v>
      </c>
      <c r="G29" s="96" t="s">
        <v>1220</v>
      </c>
    </row>
    <row r="30" spans="2:7" ht="20" customHeight="1">
      <c r="B30" s="243" t="s">
        <v>1073</v>
      </c>
      <c r="C30" s="246" t="s">
        <v>1072</v>
      </c>
      <c r="D30" s="96" t="s">
        <v>515</v>
      </c>
      <c r="E30" s="96" t="s">
        <v>1221</v>
      </c>
      <c r="F30" s="247">
        <v>4.8</v>
      </c>
      <c r="G30" s="96" t="s">
        <v>1220</v>
      </c>
    </row>
    <row r="31" spans="2:7" ht="20" customHeight="1">
      <c r="B31" s="243" t="s">
        <v>1074</v>
      </c>
      <c r="C31" s="246" t="s">
        <v>1072</v>
      </c>
      <c r="D31" s="96" t="s">
        <v>516</v>
      </c>
      <c r="E31" s="96" t="s">
        <v>1221</v>
      </c>
      <c r="F31" s="247">
        <v>4.8</v>
      </c>
      <c r="G31" s="96" t="s">
        <v>1220</v>
      </c>
    </row>
    <row r="32" spans="2:7" ht="20" customHeight="1">
      <c r="B32" s="243" t="s">
        <v>1075</v>
      </c>
      <c r="C32" s="246" t="s">
        <v>1072</v>
      </c>
      <c r="D32" s="96" t="s">
        <v>514</v>
      </c>
      <c r="E32" s="96" t="s">
        <v>1221</v>
      </c>
      <c r="F32" s="247">
        <v>4.8</v>
      </c>
      <c r="G32" s="96" t="s">
        <v>1220</v>
      </c>
    </row>
    <row r="33" spans="2:7" ht="20" customHeight="1">
      <c r="B33" s="243" t="s">
        <v>1076</v>
      </c>
      <c r="C33" s="246" t="s">
        <v>1072</v>
      </c>
      <c r="D33" s="96" t="s">
        <v>512</v>
      </c>
      <c r="E33" s="96" t="s">
        <v>1221</v>
      </c>
      <c r="F33" s="247">
        <v>4.8</v>
      </c>
      <c r="G33" s="96" t="s">
        <v>1220</v>
      </c>
    </row>
    <row r="34" spans="2:7" ht="20" customHeight="1">
      <c r="B34" s="243" t="s">
        <v>1077</v>
      </c>
      <c r="C34" s="246" t="s">
        <v>1072</v>
      </c>
      <c r="D34" s="96" t="s">
        <v>522</v>
      </c>
      <c r="E34" s="96" t="s">
        <v>1221</v>
      </c>
      <c r="F34" s="247">
        <v>4.8</v>
      </c>
      <c r="G34" s="96" t="s">
        <v>1222</v>
      </c>
    </row>
    <row r="35" spans="2:7" ht="20" customHeight="1">
      <c r="B35" s="245"/>
      <c r="C35" s="244"/>
      <c r="D35" s="97"/>
      <c r="E35" s="97"/>
      <c r="F35" s="97"/>
      <c r="G35" s="97"/>
    </row>
    <row r="36" spans="2:7" ht="20" customHeight="1">
      <c r="B36" s="245"/>
      <c r="C36" s="244"/>
      <c r="D36" s="97"/>
      <c r="E36" s="97"/>
      <c r="F36" s="97"/>
      <c r="G36" s="97"/>
    </row>
  </sheetData>
  <mergeCells count="1">
    <mergeCell ref="B1:G1"/>
  </mergeCells>
  <pageMargins left="1" right="1" top="1" bottom="1" header="0.25" footer="0.25"/>
  <pageSetup orientation="portrait"/>
  <headerFooter>
    <oddFooter>&amp;C&amp;"Helvetica Neue,Regular"&amp;12&amp;K000000&amp;P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2FC24F1-5DD5-8A48-BEA2-D93F80D1432E}">
  <sheetPr codeName="Feuil8"/>
  <dimension ref="A1:E26"/>
  <sheetViews>
    <sheetView workbookViewId="0">
      <selection activeCell="F36" sqref="F36"/>
    </sheetView>
  </sheetViews>
  <sheetFormatPr baseColWidth="10" defaultRowHeight="13"/>
  <cols>
    <col min="1" max="1" width="17.5" customWidth="1"/>
    <col min="2" max="2" width="11.6640625" bestFit="1" customWidth="1"/>
  </cols>
  <sheetData>
    <row r="1" spans="1:5" ht="28">
      <c r="B1" s="425" t="s">
        <v>2121</v>
      </c>
      <c r="C1" s="425" t="s">
        <v>2122</v>
      </c>
      <c r="D1" s="425" t="s">
        <v>2123</v>
      </c>
      <c r="E1" s="425"/>
    </row>
    <row r="2" spans="1:5" ht="14">
      <c r="A2" s="325" t="str">
        <f>'2019 ORDERS - Q1'!E8</f>
        <v>AUSTRALIA</v>
      </c>
      <c r="B2" s="839">
        <f>SUM('2019 ORDERS - Q1'!AQ8+'2019 ORDERS - Q1'!AQ54+'2019 ORDERS - Q1'!AQ131+'2019 ORDERS - Q1'!AQ144+'2019 ORDERS - Q1'!AQ145+'2019 ORDERS - Q1'!AQ153+'2019 ORDERS - Q1'!AQ195+'2019 ORDERS - Q1'!AQ212+'2019 ORDERS - Q1'!AQ286)</f>
        <v>634.64834710743798</v>
      </c>
      <c r="C2">
        <v>4778.49</v>
      </c>
      <c r="D2" s="843">
        <f>B2/C2</f>
        <v>0.13281357648701536</v>
      </c>
    </row>
    <row r="3" spans="1:5" ht="14">
      <c r="A3" s="425" t="s">
        <v>60</v>
      </c>
      <c r="B3" s="839">
        <v>14790</v>
      </c>
      <c r="C3">
        <v>35887.519999999997</v>
      </c>
      <c r="D3" s="840">
        <f t="shared" ref="D3:D26" si="0">B3/C3</f>
        <v>0.41212098244738005</v>
      </c>
    </row>
    <row r="4" spans="1:5" ht="14">
      <c r="A4" s="425" t="s">
        <v>2125</v>
      </c>
      <c r="B4" s="839">
        <v>5595</v>
      </c>
      <c r="C4">
        <v>33172.15</v>
      </c>
      <c r="D4" s="843">
        <f t="shared" si="0"/>
        <v>0.16866558242381033</v>
      </c>
    </row>
    <row r="5" spans="1:5" ht="14">
      <c r="A5" s="425" t="s">
        <v>204</v>
      </c>
      <c r="B5">
        <v>807.56</v>
      </c>
      <c r="C5">
        <v>4203.5200000000004</v>
      </c>
      <c r="D5" s="843">
        <f t="shared" si="0"/>
        <v>0.19211517965895247</v>
      </c>
    </row>
    <row r="6" spans="1:5" ht="14">
      <c r="A6" s="425" t="s">
        <v>500</v>
      </c>
      <c r="B6">
        <v>2758.52</v>
      </c>
      <c r="D6" s="840"/>
    </row>
    <row r="7" spans="1:5" ht="14">
      <c r="A7" s="425" t="s">
        <v>1793</v>
      </c>
      <c r="B7">
        <v>133.25</v>
      </c>
      <c r="C7">
        <v>3477.87</v>
      </c>
      <c r="D7" s="843">
        <f t="shared" si="0"/>
        <v>3.8313680499846174E-2</v>
      </c>
    </row>
    <row r="8" spans="1:5" ht="14">
      <c r="A8" s="425" t="s">
        <v>69</v>
      </c>
      <c r="B8">
        <v>35688.129999999997</v>
      </c>
      <c r="C8">
        <v>45083.15</v>
      </c>
      <c r="D8" s="841">
        <f t="shared" si="0"/>
        <v>0.79160684202412646</v>
      </c>
    </row>
    <row r="9" spans="1:5" ht="14">
      <c r="A9" s="425" t="s">
        <v>2124</v>
      </c>
      <c r="B9">
        <v>1276.45</v>
      </c>
      <c r="D9" s="840"/>
    </row>
    <row r="10" spans="1:5" ht="14">
      <c r="A10" s="425" t="s">
        <v>2126</v>
      </c>
      <c r="B10">
        <v>3746</v>
      </c>
      <c r="C10">
        <v>8227.73</v>
      </c>
      <c r="D10" s="840">
        <f t="shared" si="0"/>
        <v>0.4552896120801242</v>
      </c>
    </row>
    <row r="11" spans="1:5" ht="14">
      <c r="A11" s="425" t="s">
        <v>276</v>
      </c>
      <c r="B11">
        <v>1908</v>
      </c>
      <c r="D11" s="840"/>
    </row>
    <row r="12" spans="1:5" ht="14">
      <c r="A12" s="425" t="s">
        <v>1095</v>
      </c>
      <c r="B12">
        <v>234</v>
      </c>
      <c r="C12">
        <v>3193.67</v>
      </c>
      <c r="D12" s="843">
        <f t="shared" si="0"/>
        <v>7.3269937094314688E-2</v>
      </c>
    </row>
    <row r="13" spans="1:5" ht="14">
      <c r="A13" s="425" t="s">
        <v>250</v>
      </c>
      <c r="B13">
        <v>770.12</v>
      </c>
      <c r="C13">
        <v>4030.53</v>
      </c>
      <c r="D13" s="843">
        <f t="shared" si="0"/>
        <v>0.19107164566446597</v>
      </c>
    </row>
    <row r="14" spans="1:5" ht="14">
      <c r="A14" s="425" t="s">
        <v>89</v>
      </c>
      <c r="B14">
        <v>8676.75</v>
      </c>
      <c r="C14">
        <v>7786.17</v>
      </c>
      <c r="D14" s="842">
        <f t="shared" si="0"/>
        <v>1.1143797271315679</v>
      </c>
    </row>
    <row r="15" spans="1:5" ht="14">
      <c r="A15" s="425" t="s">
        <v>2127</v>
      </c>
      <c r="B15">
        <v>980.6</v>
      </c>
      <c r="C15">
        <v>2666.67</v>
      </c>
      <c r="D15" s="840">
        <f t="shared" si="0"/>
        <v>0.36772454034432456</v>
      </c>
    </row>
    <row r="16" spans="1:5" ht="14">
      <c r="A16" s="425" t="s">
        <v>1653</v>
      </c>
      <c r="B16">
        <v>2619.13</v>
      </c>
      <c r="D16" s="840"/>
    </row>
    <row r="17" spans="1:4" ht="14">
      <c r="A17" s="425" t="s">
        <v>2128</v>
      </c>
      <c r="B17">
        <v>0</v>
      </c>
      <c r="D17" s="840"/>
    </row>
    <row r="18" spans="1:4" ht="14">
      <c r="A18" s="425" t="s">
        <v>2129</v>
      </c>
      <c r="B18">
        <v>387.2</v>
      </c>
      <c r="C18">
        <v>5721.12</v>
      </c>
      <c r="D18" s="843">
        <f t="shared" si="0"/>
        <v>6.7679055849204348E-2</v>
      </c>
    </row>
    <row r="19" spans="1:4" ht="14">
      <c r="A19" s="425" t="s">
        <v>261</v>
      </c>
      <c r="B19">
        <v>500</v>
      </c>
      <c r="D19" s="840"/>
    </row>
    <row r="20" spans="1:4" ht="14">
      <c r="A20" s="425" t="s">
        <v>2130</v>
      </c>
      <c r="B20">
        <v>698</v>
      </c>
      <c r="C20">
        <v>3183.72</v>
      </c>
      <c r="D20" s="840">
        <f t="shared" si="0"/>
        <v>0.21924038546103303</v>
      </c>
    </row>
    <row r="21" spans="1:4" ht="14">
      <c r="A21" s="425" t="s">
        <v>2131</v>
      </c>
      <c r="B21">
        <v>3525.43</v>
      </c>
      <c r="C21">
        <v>9125.64</v>
      </c>
      <c r="D21" s="840">
        <f t="shared" si="0"/>
        <v>0.38632139773210428</v>
      </c>
    </row>
    <row r="22" spans="1:4" ht="14">
      <c r="A22" s="425" t="s">
        <v>46</v>
      </c>
      <c r="B22">
        <v>5504.71</v>
      </c>
      <c r="C22">
        <v>6975.5</v>
      </c>
      <c r="D22" s="841">
        <f t="shared" si="0"/>
        <v>0.78914916493441334</v>
      </c>
    </row>
    <row r="23" spans="1:4" ht="14">
      <c r="A23" s="425" t="s">
        <v>2064</v>
      </c>
      <c r="B23">
        <v>46.9</v>
      </c>
      <c r="D23" s="840"/>
    </row>
    <row r="24" spans="1:4" ht="14">
      <c r="A24" s="425" t="s">
        <v>2132</v>
      </c>
      <c r="B24">
        <v>17.7</v>
      </c>
      <c r="D24" s="840"/>
    </row>
    <row r="25" spans="1:4" ht="14">
      <c r="A25" s="425" t="s">
        <v>2133</v>
      </c>
      <c r="B25">
        <v>900.4</v>
      </c>
      <c r="D25" s="840"/>
    </row>
    <row r="26" spans="1:4" ht="14">
      <c r="A26" s="425" t="s">
        <v>2134</v>
      </c>
      <c r="B26">
        <v>5632.5</v>
      </c>
      <c r="C26">
        <v>7251.86</v>
      </c>
      <c r="D26" s="841">
        <f t="shared" si="0"/>
        <v>0.77669728869558985</v>
      </c>
    </row>
  </sheetData>
  <pageMargins left="0.7" right="0.7" top="0.75" bottom="0.75" header="0.3" footer="0.3"/>
  <pageSetup paperSize="9" orientation="portrait" horizontalDpi="0" verticalDpi="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3BD9AB-C0F9-894F-A795-B7995EA29F8C}">
  <sheetPr codeName="Feuil7"/>
  <dimension ref="A1:E13"/>
  <sheetViews>
    <sheetView workbookViewId="0">
      <selection activeCell="F10" sqref="F10"/>
    </sheetView>
  </sheetViews>
  <sheetFormatPr baseColWidth="10" defaultRowHeight="13"/>
  <cols>
    <col min="1" max="1" width="13.6640625" customWidth="1"/>
    <col min="2" max="2" width="7.5" customWidth="1"/>
    <col min="3" max="3" width="8.5" bestFit="1" customWidth="1"/>
  </cols>
  <sheetData>
    <row r="1" spans="1:5" ht="28">
      <c r="A1" s="800">
        <v>2019</v>
      </c>
      <c r="B1" s="796" t="s">
        <v>1958</v>
      </c>
      <c r="C1" s="796" t="s">
        <v>1961</v>
      </c>
      <c r="D1" s="796" t="s">
        <v>1962</v>
      </c>
      <c r="E1" s="796" t="s">
        <v>1959</v>
      </c>
    </row>
    <row r="2" spans="1:5" ht="14">
      <c r="A2" s="425" t="s">
        <v>1960</v>
      </c>
      <c r="B2" s="425">
        <v>20</v>
      </c>
      <c r="C2" s="425">
        <v>-63.99</v>
      </c>
      <c r="D2">
        <f>B2*C2</f>
        <v>-1279.8</v>
      </c>
      <c r="E2" s="797">
        <f>D2</f>
        <v>-1279.8</v>
      </c>
    </row>
    <row r="3" spans="1:5" ht="14">
      <c r="A3" s="425" t="s">
        <v>1957</v>
      </c>
      <c r="B3">
        <v>7</v>
      </c>
      <c r="C3">
        <v>95</v>
      </c>
      <c r="D3">
        <f>B3*C3</f>
        <v>665</v>
      </c>
      <c r="E3" s="797">
        <f>D3-(7*63.99)</f>
        <v>217.07</v>
      </c>
    </row>
    <row r="4" spans="1:5" ht="14">
      <c r="A4" s="425" t="s">
        <v>1963</v>
      </c>
      <c r="B4">
        <v>10</v>
      </c>
      <c r="D4">
        <f>40.05+71.2+80.1+80.1+120.15</f>
        <v>391.6</v>
      </c>
      <c r="E4" s="797">
        <f>D4/2</f>
        <v>195.8</v>
      </c>
    </row>
    <row r="5" spans="1:5" ht="14">
      <c r="A5" s="425" t="s">
        <v>1964</v>
      </c>
      <c r="B5">
        <f>1</f>
        <v>1</v>
      </c>
      <c r="D5">
        <v>251.55</v>
      </c>
      <c r="E5" s="797">
        <f>D5/2</f>
        <v>125.77500000000001</v>
      </c>
    </row>
    <row r="6" spans="1:5">
      <c r="E6" s="797"/>
    </row>
    <row r="7" spans="1:5">
      <c r="A7" s="798"/>
      <c r="B7" s="798"/>
      <c r="C7" s="798"/>
      <c r="D7" s="798"/>
      <c r="E7" s="799">
        <f>SUM(E2:E6)</f>
        <v>-741.15500000000009</v>
      </c>
    </row>
    <row r="9" spans="1:5">
      <c r="E9" s="797"/>
    </row>
    <row r="10" spans="1:5">
      <c r="E10" s="797"/>
    </row>
    <row r="11" spans="1:5">
      <c r="E11" s="797"/>
    </row>
    <row r="12" spans="1:5">
      <c r="E12" s="797"/>
    </row>
    <row r="13" spans="1:5">
      <c r="E13" s="797"/>
    </row>
  </sheetData>
  <conditionalFormatting sqref="E9:E13 E2:E7">
    <cfRule type="cellIs" dxfId="0" priority="2"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pageSetUpPr fitToPage="1"/>
  </sheetPr>
  <dimension ref="A1:IV17"/>
  <sheetViews>
    <sheetView showGridLines="0" workbookViewId="0">
      <pane xSplit="1" ySplit="2" topLeftCell="B3" activePane="bottomRight" state="frozen"/>
      <selection pane="topRight"/>
      <selection pane="bottomLeft"/>
      <selection pane="bottomRight" activeCell="I47" sqref="I47"/>
    </sheetView>
  </sheetViews>
  <sheetFormatPr baseColWidth="10" defaultColWidth="16.33203125" defaultRowHeight="20" customHeight="1"/>
  <cols>
    <col min="1" max="1" width="16.33203125" style="221" customWidth="1"/>
    <col min="2" max="2" width="20.83203125" style="221" customWidth="1"/>
    <col min="3" max="256" width="16.33203125" style="221" customWidth="1"/>
  </cols>
  <sheetData>
    <row r="1" spans="1:7" ht="31.5" customHeight="1">
      <c r="A1" s="936" t="s">
        <v>1181</v>
      </c>
      <c r="B1" s="936"/>
      <c r="C1" s="936"/>
      <c r="D1" s="936"/>
      <c r="E1" s="936"/>
      <c r="F1" s="936"/>
      <c r="G1" s="936"/>
    </row>
    <row r="2" spans="1:7" ht="20.25" customHeight="1">
      <c r="A2" s="4" t="s">
        <v>1182</v>
      </c>
      <c r="B2" s="4" t="s">
        <v>1098</v>
      </c>
      <c r="C2" s="4" t="s">
        <v>1183</v>
      </c>
      <c r="D2" s="4" t="s">
        <v>50</v>
      </c>
      <c r="E2" s="4" t="s">
        <v>1184</v>
      </c>
      <c r="F2" s="4" t="s">
        <v>1185</v>
      </c>
      <c r="G2" s="4" t="s">
        <v>1186</v>
      </c>
    </row>
    <row r="3" spans="1:7" ht="56.25" customHeight="1">
      <c r="A3" s="222">
        <v>180151</v>
      </c>
      <c r="B3" s="223" t="s">
        <v>1187</v>
      </c>
      <c r="C3" s="224"/>
      <c r="D3" s="225" t="s">
        <v>1188</v>
      </c>
      <c r="E3" s="226" t="s">
        <v>1189</v>
      </c>
      <c r="F3" s="225" t="s">
        <v>1190</v>
      </c>
      <c r="G3" s="22"/>
    </row>
    <row r="4" spans="1:7" ht="20" customHeight="1">
      <c r="A4" s="227">
        <v>180220</v>
      </c>
      <c r="B4" s="228" t="s">
        <v>1191</v>
      </c>
      <c r="C4" s="229" t="s">
        <v>1192</v>
      </c>
      <c r="D4" s="937" t="s">
        <v>1193</v>
      </c>
      <c r="E4" s="939" t="s">
        <v>1194</v>
      </c>
      <c r="F4" s="231"/>
      <c r="G4" s="40"/>
    </row>
    <row r="5" spans="1:7" ht="20" customHeight="1">
      <c r="A5" s="232">
        <v>180204</v>
      </c>
      <c r="B5" s="228" t="s">
        <v>1191</v>
      </c>
      <c r="C5" s="229" t="s">
        <v>1195</v>
      </c>
      <c r="D5" s="938"/>
      <c r="E5" s="940"/>
      <c r="F5" s="231"/>
      <c r="G5" s="40"/>
    </row>
    <row r="6" spans="1:7" ht="20" customHeight="1">
      <c r="A6" s="232">
        <v>180207</v>
      </c>
      <c r="B6" s="233" t="s">
        <v>1196</v>
      </c>
      <c r="C6" s="234" t="s">
        <v>1197</v>
      </c>
      <c r="D6" s="229" t="s">
        <v>1188</v>
      </c>
      <c r="E6" s="230" t="s">
        <v>1198</v>
      </c>
      <c r="F6" s="229" t="s">
        <v>1199</v>
      </c>
      <c r="G6" s="40"/>
    </row>
    <row r="7" spans="1:7" ht="44" customHeight="1">
      <c r="A7" s="227">
        <v>180214</v>
      </c>
      <c r="B7" s="228" t="s">
        <v>1200</v>
      </c>
      <c r="C7" s="235" t="s">
        <v>1201</v>
      </c>
      <c r="D7" s="229" t="s">
        <v>1188</v>
      </c>
      <c r="E7" s="235" t="s">
        <v>1189</v>
      </c>
      <c r="F7" s="235" t="s">
        <v>1202</v>
      </c>
      <c r="G7" s="40"/>
    </row>
    <row r="8" spans="1:7" ht="32" customHeight="1">
      <c r="A8" s="227">
        <v>180211</v>
      </c>
      <c r="B8" s="228" t="s">
        <v>1203</v>
      </c>
      <c r="C8" s="235" t="s">
        <v>1204</v>
      </c>
      <c r="D8" s="229" t="s">
        <v>1188</v>
      </c>
      <c r="E8" s="230" t="s">
        <v>1194</v>
      </c>
      <c r="F8" s="231"/>
      <c r="G8" s="40"/>
    </row>
    <row r="9" spans="1:7" ht="20" customHeight="1">
      <c r="A9" s="232">
        <v>180205</v>
      </c>
      <c r="B9" s="233" t="s">
        <v>1205</v>
      </c>
      <c r="C9" s="234" t="s">
        <v>1206</v>
      </c>
      <c r="D9" s="229" t="s">
        <v>1188</v>
      </c>
      <c r="E9" s="230" t="s">
        <v>1194</v>
      </c>
      <c r="F9" s="231"/>
      <c r="G9" s="40"/>
    </row>
    <row r="10" spans="1:7" ht="32" customHeight="1">
      <c r="A10" s="227">
        <v>180218</v>
      </c>
      <c r="B10" s="228" t="s">
        <v>1207</v>
      </c>
      <c r="C10" s="235" t="s">
        <v>1208</v>
      </c>
      <c r="D10" s="229" t="s">
        <v>1188</v>
      </c>
      <c r="E10" s="230" t="s">
        <v>1194</v>
      </c>
      <c r="F10" s="236" t="s">
        <v>1209</v>
      </c>
      <c r="G10" s="40"/>
    </row>
    <row r="11" spans="1:7" ht="32" customHeight="1">
      <c r="A11" s="227">
        <v>180210</v>
      </c>
      <c r="B11" s="228" t="s">
        <v>91</v>
      </c>
      <c r="C11" s="235" t="s">
        <v>1210</v>
      </c>
      <c r="D11" s="237" t="s">
        <v>1211</v>
      </c>
      <c r="E11" s="231"/>
      <c r="F11" s="231"/>
      <c r="G11" s="40"/>
    </row>
    <row r="12" spans="1:7" ht="20" customHeight="1">
      <c r="A12" s="103"/>
      <c r="B12" s="95"/>
      <c r="C12" s="40"/>
      <c r="D12" s="40"/>
      <c r="E12" s="40"/>
      <c r="F12" s="40"/>
      <c r="G12" s="40"/>
    </row>
    <row r="13" spans="1:7" ht="20" customHeight="1">
      <c r="A13" s="103"/>
      <c r="B13" s="95"/>
      <c r="C13" s="40"/>
      <c r="D13" s="40"/>
      <c r="E13" s="40"/>
      <c r="F13" s="40"/>
      <c r="G13" s="40"/>
    </row>
    <row r="14" spans="1:7" ht="20" customHeight="1">
      <c r="A14" s="103"/>
      <c r="B14" s="95"/>
      <c r="C14" s="40"/>
      <c r="D14" s="40"/>
      <c r="E14" s="40"/>
      <c r="F14" s="40"/>
      <c r="G14" s="40"/>
    </row>
    <row r="15" spans="1:7" ht="20" customHeight="1">
      <c r="A15" s="103"/>
      <c r="B15" s="95"/>
      <c r="C15" s="40"/>
      <c r="D15" s="40"/>
      <c r="E15" s="40"/>
      <c r="F15" s="40"/>
      <c r="G15" s="40"/>
    </row>
    <row r="16" spans="1:7" ht="20" customHeight="1">
      <c r="A16" s="103"/>
      <c r="B16" s="95"/>
      <c r="C16" s="40"/>
      <c r="D16" s="40"/>
      <c r="E16" s="40"/>
      <c r="F16" s="40"/>
      <c r="G16" s="40"/>
    </row>
    <row r="17" spans="1:7" ht="20" customHeight="1">
      <c r="A17" s="103"/>
      <c r="B17" s="95"/>
      <c r="C17" s="40"/>
      <c r="D17" s="40"/>
      <c r="E17" s="40"/>
      <c r="F17" s="40"/>
      <c r="G17" s="40"/>
    </row>
  </sheetData>
  <sheetProtection sheet="1" objects="1" scenarios="1"/>
  <mergeCells count="3">
    <mergeCell ref="A1:G1"/>
    <mergeCell ref="D4:D5"/>
    <mergeCell ref="E4:E5"/>
  </mergeCells>
  <pageMargins left="0.5" right="0.5" top="0.75" bottom="0.75" header="0.27777800000000002" footer="0.27777800000000002"/>
  <pageSetup orientation="portrait"/>
  <headerFooter>
    <oddFooter>&amp;C&amp;"Helvetica Neue,Regular"&amp;12&amp;K000000&amp;P</oddFooter>
  </headerFooter>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14</vt:i4>
      </vt:variant>
      <vt:variant>
        <vt:lpstr>Plages nommées</vt:lpstr>
      </vt:variant>
      <vt:variant>
        <vt:i4>39</vt:i4>
      </vt:variant>
    </vt:vector>
  </HeadingPairs>
  <TitlesOfParts>
    <vt:vector size="53" baseType="lpstr">
      <vt:lpstr>2019 ORDERS - Q1</vt:lpstr>
      <vt:lpstr>PRODUCTS</vt:lpstr>
      <vt:lpstr>REPERTOIRE new contact</vt:lpstr>
      <vt:lpstr>BOOK SPICE</vt:lpstr>
      <vt:lpstr>FORMULAIRE COMMANDE</vt:lpstr>
      <vt:lpstr>DATA COMMANDE</vt:lpstr>
      <vt:lpstr>TABLEAU DE BORD</vt:lpstr>
      <vt:lpstr>PRODUITS</vt:lpstr>
      <vt:lpstr>CLIENTS</vt:lpstr>
      <vt:lpstr>SHIPMENT</vt:lpstr>
      <vt:lpstr>RAJAKKAD index</vt:lpstr>
      <vt:lpstr>SALES distrib - 10 06</vt:lpstr>
      <vt:lpstr>Feuil1</vt:lpstr>
      <vt:lpstr>Feuille 1 (Giulia)</vt:lpstr>
      <vt:lpstr>Catégorie</vt:lpstr>
      <vt:lpstr>Code_EAN</vt:lpstr>
      <vt:lpstr>Collection</vt:lpstr>
      <vt:lpstr>Couleur</vt:lpstr>
      <vt:lpstr>hauteur</vt:lpstr>
      <vt:lpstr>item_Nombre</vt:lpstr>
      <vt:lpstr>largeur</vt:lpstr>
      <vt:lpstr>nom</vt:lpstr>
      <vt:lpstr>num_article</vt:lpstr>
      <vt:lpstr>papier</vt:lpstr>
      <vt:lpstr>poids</vt:lpstr>
      <vt:lpstr>prix_Blanc_Custom</vt:lpstr>
      <vt:lpstr>prix_Blanc_Std</vt:lpstr>
      <vt:lpstr>prix_Bleu_Custom</vt:lpstr>
      <vt:lpstr>prix_Bleu_Stdt</vt:lpstr>
      <vt:lpstr>prix_Gris_Custom</vt:lpstr>
      <vt:lpstr>prix_Gris_Stdt</vt:lpstr>
      <vt:lpstr>prix_Jaune_Custom</vt:lpstr>
      <vt:lpstr>prix_Jaune_Stdt</vt:lpstr>
      <vt:lpstr>prix_Mauve_Custom</vt:lpstr>
      <vt:lpstr>prix_Mauve_Stdt</vt:lpstr>
      <vt:lpstr>prix_MauveHTVA_Custom</vt:lpstr>
      <vt:lpstr>prix_MauveHTVA_Stdt</vt:lpstr>
      <vt:lpstr>prix_Orange_Custom</vt:lpstr>
      <vt:lpstr>prix_Orange_Stdt</vt:lpstr>
      <vt:lpstr>prix_Rouge_Custom</vt:lpstr>
      <vt:lpstr>prix_Rouge_Stdt</vt:lpstr>
      <vt:lpstr>prix_Vert_Custom</vt:lpstr>
      <vt:lpstr>prix_Vert_Stdt</vt:lpstr>
      <vt:lpstr>produits_Tout</vt:lpstr>
      <vt:lpstr>raccord</vt:lpstr>
      <vt:lpstr>raccord_type</vt:lpstr>
      <vt:lpstr>stock_DP</vt:lpstr>
      <vt:lpstr>stock_Entiris</vt:lpstr>
      <vt:lpstr>stock_Studio</vt:lpstr>
      <vt:lpstr>total_Size</vt:lpstr>
      <vt:lpstr>unite_type</vt:lpstr>
      <vt:lpstr>validité</vt:lpstr>
      <vt:lpstr>'BOOK SPICE'!Zone_d_impression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Microsoft Office User</cp:lastModifiedBy>
  <cp:lastPrinted>2019-06-24T13:32:43Z</cp:lastPrinted>
  <dcterms:created xsi:type="dcterms:W3CDTF">2019-04-12T16:38:31Z</dcterms:created>
  <dcterms:modified xsi:type="dcterms:W3CDTF">2019-07-31T14:07:45Z</dcterms:modified>
</cp:coreProperties>
</file>