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rim.kilani\Documents\"/>
    </mc:Choice>
  </mc:AlternateContent>
  <xr:revisionPtr revIDLastSave="0" documentId="10_ncr:100000_{8940076B-9D78-40AD-824B-AD58F63D62B7}" xr6:coauthVersionLast="31" xr6:coauthVersionMax="31" xr10:uidLastSave="{00000000-0000-0000-0000-000000000000}"/>
  <bookViews>
    <workbookView xWindow="360" yWindow="180" windowWidth="11580" windowHeight="8775" tabRatio="875" xr2:uid="{00000000-000D-0000-FFFF-FFFF00000000}"/>
  </bookViews>
  <sheets>
    <sheet name="Feuil1" sheetId="337" r:id="rId1"/>
    <sheet name="0012240" sheetId="258" r:id="rId2"/>
    <sheet name="0011946" sheetId="290" r:id="rId3"/>
    <sheet name="0011947" sheetId="289" r:id="rId4"/>
    <sheet name="0011948" sheetId="293" r:id="rId5"/>
    <sheet name="0011949" sheetId="295" r:id="rId6"/>
    <sheet name="0011950" sheetId="296" r:id="rId7"/>
    <sheet name="0011951" sheetId="291" r:id="rId8"/>
  </sheets>
  <definedNames>
    <definedName name="_xlnm.Print_Area" localSheetId="2">'0011946'!$A$1:$O$74</definedName>
    <definedName name="_xlnm.Print_Area" localSheetId="3">'0011947'!$A$1:$O$74</definedName>
    <definedName name="_xlnm.Print_Area" localSheetId="4">'0011948'!$A$1:$O$74</definedName>
    <definedName name="_xlnm.Print_Area" localSheetId="5">'0011949'!$A$1:$O$74</definedName>
    <definedName name="_xlnm.Print_Area" localSheetId="6">'0011950'!$A$1:$O$74</definedName>
    <definedName name="_xlnm.Print_Area" localSheetId="7">'0011951'!$A$1:$O$74</definedName>
    <definedName name="_xlnm.Print_Area" localSheetId="1">'0012240'!$A$1:$O$74</definedName>
  </definedNames>
  <calcPr calcId="179017"/>
</workbook>
</file>

<file path=xl/calcChain.xml><?xml version="1.0" encoding="utf-8"?>
<calcChain xmlns="http://schemas.openxmlformats.org/spreadsheetml/2006/main">
  <c r="Q48" i="258" l="1"/>
  <c r="R48" i="258"/>
  <c r="S48" i="258"/>
  <c r="T48" i="258"/>
  <c r="Q49" i="258"/>
  <c r="R49" i="258"/>
  <c r="S49" i="258"/>
  <c r="T49" i="258"/>
  <c r="Q50" i="258"/>
  <c r="R50" i="258"/>
  <c r="S50" i="258"/>
  <c r="T50" i="258"/>
  <c r="Q51" i="258"/>
  <c r="R51" i="258"/>
  <c r="S51" i="258"/>
  <c r="T51" i="258"/>
  <c r="Q52" i="258"/>
  <c r="R52" i="258"/>
  <c r="S52" i="258"/>
  <c r="T52" i="258"/>
  <c r="Q53" i="258"/>
  <c r="R53" i="258"/>
  <c r="S53" i="258"/>
  <c r="T53" i="258"/>
  <c r="Q55" i="258"/>
  <c r="R55" i="258"/>
  <c r="S55" i="258"/>
  <c r="T55" i="258"/>
  <c r="Q56" i="258"/>
  <c r="R56" i="258"/>
  <c r="S56" i="258"/>
  <c r="T56" i="258"/>
  <c r="Q57" i="258"/>
  <c r="R57" i="258"/>
  <c r="S57" i="258"/>
  <c r="T57" i="258"/>
  <c r="Q58" i="258"/>
  <c r="R58" i="258"/>
  <c r="S58" i="258"/>
  <c r="T58" i="258"/>
  <c r="Q59" i="258"/>
  <c r="R59" i="258"/>
  <c r="S59" i="258"/>
  <c r="T59" i="258"/>
  <c r="Q60" i="258"/>
  <c r="R60" i="258"/>
  <c r="S60" i="258"/>
  <c r="T60" i="258"/>
  <c r="Q61" i="258"/>
  <c r="R61" i="258"/>
  <c r="S61" i="258"/>
  <c r="T61" i="258"/>
  <c r="Q62" i="258"/>
  <c r="R62" i="258"/>
  <c r="S62" i="258"/>
  <c r="T62" i="258"/>
  <c r="Q63" i="258"/>
  <c r="R63" i="258"/>
  <c r="S63" i="258"/>
  <c r="T63" i="258"/>
  <c r="Q64" i="258"/>
  <c r="R64" i="258"/>
  <c r="S64" i="258"/>
  <c r="T64" i="258"/>
  <c r="Q65" i="258"/>
  <c r="R65" i="258"/>
  <c r="S65" i="258"/>
  <c r="T65" i="258"/>
  <c r="Q66" i="258"/>
  <c r="R66" i="258"/>
  <c r="S66" i="258"/>
  <c r="T66" i="258"/>
  <c r="Q67" i="258"/>
  <c r="R67" i="258"/>
  <c r="S67" i="258"/>
  <c r="T67" i="258"/>
  <c r="T16" i="258"/>
  <c r="T17" i="258"/>
  <c r="T18" i="258"/>
  <c r="T19" i="258"/>
  <c r="T20" i="258"/>
  <c r="T21" i="258"/>
  <c r="T22" i="258"/>
  <c r="T23" i="258"/>
  <c r="T24" i="258"/>
  <c r="T25" i="258"/>
  <c r="T26" i="258"/>
  <c r="T27" i="258"/>
  <c r="T28" i="258"/>
  <c r="T29" i="258"/>
  <c r="T30" i="258"/>
  <c r="T31" i="258"/>
  <c r="T32" i="258"/>
  <c r="T33" i="258"/>
  <c r="T34" i="258"/>
  <c r="T35" i="258"/>
  <c r="T36" i="258"/>
  <c r="T37" i="258"/>
  <c r="T38" i="258"/>
  <c r="T39" i="258"/>
  <c r="T40" i="258"/>
  <c r="T41" i="258"/>
  <c r="T42" i="258"/>
  <c r="T43" i="258"/>
  <c r="T44" i="258"/>
  <c r="T45" i="258"/>
  <c r="T46" i="258"/>
  <c r="T47" i="258"/>
  <c r="T15" i="258"/>
  <c r="S16" i="258"/>
  <c r="S17" i="258"/>
  <c r="S18" i="258"/>
  <c r="S19" i="258"/>
  <c r="S20" i="258"/>
  <c r="S21" i="258"/>
  <c r="S22" i="258"/>
  <c r="S23" i="258"/>
  <c r="S24" i="258"/>
  <c r="S25" i="258"/>
  <c r="S26" i="258"/>
  <c r="S27" i="258"/>
  <c r="S28" i="258"/>
  <c r="S29" i="258"/>
  <c r="S30" i="258"/>
  <c r="S31" i="258"/>
  <c r="S32" i="258"/>
  <c r="S33" i="258"/>
  <c r="S34" i="258"/>
  <c r="S35" i="258"/>
  <c r="S36" i="258"/>
  <c r="S37" i="258"/>
  <c r="S38" i="258"/>
  <c r="S39" i="258"/>
  <c r="S40" i="258"/>
  <c r="S41" i="258"/>
  <c r="S42" i="258"/>
  <c r="S43" i="258"/>
  <c r="S44" i="258"/>
  <c r="S45" i="258"/>
  <c r="S46" i="258"/>
  <c r="S47" i="258"/>
  <c r="S15" i="258"/>
  <c r="Q16" i="258"/>
  <c r="R16" i="258"/>
  <c r="Q17" i="258"/>
  <c r="R17" i="258"/>
  <c r="Q18" i="258"/>
  <c r="R18" i="258"/>
  <c r="Q19" i="258"/>
  <c r="R19" i="258"/>
  <c r="Q20" i="258"/>
  <c r="R20" i="258"/>
  <c r="Q21" i="258"/>
  <c r="R21" i="258"/>
  <c r="Q22" i="258"/>
  <c r="R22" i="258"/>
  <c r="Q23" i="258"/>
  <c r="R23" i="258"/>
  <c r="Q24" i="258"/>
  <c r="R24" i="258"/>
  <c r="Q25" i="258"/>
  <c r="R25" i="258"/>
  <c r="Q26" i="258"/>
  <c r="R26" i="258"/>
  <c r="Q27" i="258"/>
  <c r="R27" i="258"/>
  <c r="Q28" i="258"/>
  <c r="R28" i="258"/>
  <c r="Q29" i="258"/>
  <c r="R29" i="258"/>
  <c r="Q30" i="258"/>
  <c r="R30" i="258"/>
  <c r="Q31" i="258"/>
  <c r="R31" i="258"/>
  <c r="Q32" i="258"/>
  <c r="R32" i="258"/>
  <c r="Q33" i="258"/>
  <c r="R33" i="258"/>
  <c r="Q34" i="258"/>
  <c r="R34" i="258"/>
  <c r="Q35" i="258"/>
  <c r="R35" i="258"/>
  <c r="Q36" i="258"/>
  <c r="R36" i="258"/>
  <c r="Q37" i="258"/>
  <c r="R37" i="258"/>
  <c r="Q38" i="258"/>
  <c r="R38" i="258"/>
  <c r="Q39" i="258"/>
  <c r="R39" i="258"/>
  <c r="Q40" i="258"/>
  <c r="R40" i="258"/>
  <c r="Q41" i="258"/>
  <c r="R41" i="258"/>
  <c r="Q42" i="258"/>
  <c r="R42" i="258"/>
  <c r="Q43" i="258"/>
  <c r="R43" i="258"/>
  <c r="Q44" i="258"/>
  <c r="R44" i="258"/>
  <c r="Q45" i="258"/>
  <c r="R45" i="258"/>
  <c r="Q46" i="258"/>
  <c r="R46" i="258"/>
  <c r="Q47" i="258"/>
  <c r="R47" i="258"/>
  <c r="R15" i="258"/>
  <c r="Q15" i="258"/>
  <c r="H22" i="293" l="1"/>
  <c r="J17" i="293" l="1"/>
  <c r="J17" i="289"/>
  <c r="J17" i="290"/>
  <c r="H22" i="295" l="1"/>
  <c r="J21" i="258" l="1"/>
  <c r="J20" i="258" l="1"/>
  <c r="J32" i="290" l="1"/>
  <c r="J33" i="290"/>
  <c r="J34" i="290"/>
  <c r="N47" i="291" l="1"/>
  <c r="M47" i="291"/>
  <c r="N46" i="291"/>
  <c r="M46" i="291"/>
  <c r="M45" i="291"/>
  <c r="N43" i="291"/>
  <c r="M66" i="291" s="1"/>
  <c r="M43" i="291"/>
  <c r="M42" i="291"/>
  <c r="M41" i="291"/>
  <c r="M40" i="291"/>
  <c r="M39" i="291"/>
  <c r="M38" i="291"/>
  <c r="N37" i="291"/>
  <c r="M37" i="291"/>
  <c r="N36" i="291"/>
  <c r="M36" i="291"/>
  <c r="N35" i="291"/>
  <c r="M35" i="291"/>
  <c r="N34" i="291"/>
  <c r="M34" i="291"/>
  <c r="N32" i="291"/>
  <c r="M32" i="291"/>
  <c r="N31" i="291"/>
  <c r="M31" i="291"/>
  <c r="M30" i="291"/>
  <c r="N28" i="291"/>
  <c r="M28" i="291"/>
  <c r="N27" i="291"/>
  <c r="M27" i="291"/>
  <c r="M26" i="291"/>
  <c r="M25" i="291"/>
  <c r="M24" i="291"/>
  <c r="M22" i="291"/>
  <c r="M21" i="291"/>
  <c r="N20" i="291"/>
  <c r="M20" i="291"/>
  <c r="N18" i="291"/>
  <c r="N17" i="291"/>
  <c r="N16" i="291"/>
  <c r="N15" i="291"/>
  <c r="N47" i="296"/>
  <c r="M47" i="296"/>
  <c r="N46" i="296"/>
  <c r="M46" i="296"/>
  <c r="M45" i="296"/>
  <c r="M44" i="296"/>
  <c r="N43" i="296"/>
  <c r="M66" i="296" s="1"/>
  <c r="M43" i="296"/>
  <c r="M42" i="296"/>
  <c r="M41" i="296"/>
  <c r="M40" i="296"/>
  <c r="M39" i="296"/>
  <c r="M38" i="296"/>
  <c r="N37" i="296"/>
  <c r="M37" i="296"/>
  <c r="N36" i="296"/>
  <c r="M36" i="296"/>
  <c r="N35" i="296"/>
  <c r="M35" i="296"/>
  <c r="N34" i="296"/>
  <c r="M34" i="296"/>
  <c r="N32" i="296"/>
  <c r="M32" i="296"/>
  <c r="N31" i="296"/>
  <c r="M31" i="296"/>
  <c r="M30" i="296"/>
  <c r="N28" i="296"/>
  <c r="M28" i="296"/>
  <c r="N27" i="296"/>
  <c r="M27" i="296"/>
  <c r="M26" i="296"/>
  <c r="M25" i="296"/>
  <c r="M22" i="296"/>
  <c r="N20" i="296"/>
  <c r="M20" i="296"/>
  <c r="N18" i="296"/>
  <c r="N17" i="296"/>
  <c r="N16" i="296"/>
  <c r="N15" i="296"/>
  <c r="N47" i="295"/>
  <c r="M47" i="295"/>
  <c r="N46" i="295"/>
  <c r="M46" i="295"/>
  <c r="M45" i="295"/>
  <c r="M44" i="295"/>
  <c r="N43" i="295"/>
  <c r="M66" i="295" s="1"/>
  <c r="M43" i="295"/>
  <c r="M42" i="295"/>
  <c r="M41" i="295"/>
  <c r="M40" i="295"/>
  <c r="M39" i="295"/>
  <c r="M38" i="295"/>
  <c r="N37" i="295"/>
  <c r="M37" i="295"/>
  <c r="N36" i="295"/>
  <c r="M36" i="295"/>
  <c r="N35" i="295"/>
  <c r="M35" i="295"/>
  <c r="N34" i="295"/>
  <c r="M34" i="295"/>
  <c r="N32" i="295"/>
  <c r="M32" i="295"/>
  <c r="N31" i="295"/>
  <c r="M31" i="295"/>
  <c r="M30" i="295"/>
  <c r="N28" i="295"/>
  <c r="M28" i="295"/>
  <c r="N27" i="295"/>
  <c r="M27" i="295"/>
  <c r="M26" i="295"/>
  <c r="M25" i="295"/>
  <c r="M22" i="295"/>
  <c r="M21" i="295"/>
  <c r="N18" i="295"/>
  <c r="N17" i="295"/>
  <c r="N16" i="295"/>
  <c r="N15" i="295"/>
  <c r="N47" i="293"/>
  <c r="M47" i="293"/>
  <c r="N46" i="293"/>
  <c r="M46" i="293"/>
  <c r="M45" i="293"/>
  <c r="M44" i="293"/>
  <c r="N43" i="293"/>
  <c r="M66" i="293" s="1"/>
  <c r="M43" i="293"/>
  <c r="M42" i="293"/>
  <c r="M41" i="293"/>
  <c r="M40" i="293"/>
  <c r="M39" i="293"/>
  <c r="M38" i="293"/>
  <c r="N37" i="293"/>
  <c r="M37" i="293"/>
  <c r="N36" i="293"/>
  <c r="M36" i="293"/>
  <c r="N35" i="293"/>
  <c r="M35" i="293"/>
  <c r="N34" i="293"/>
  <c r="M34" i="293"/>
  <c r="N32" i="293"/>
  <c r="M32" i="293"/>
  <c r="N31" i="293"/>
  <c r="M31" i="293"/>
  <c r="M30" i="293"/>
  <c r="N28" i="293"/>
  <c r="M28" i="293"/>
  <c r="N27" i="293"/>
  <c r="M27" i="293"/>
  <c r="M26" i="293"/>
  <c r="M25" i="293"/>
  <c r="M22" i="293"/>
  <c r="M21" i="293"/>
  <c r="N20" i="293"/>
  <c r="M20" i="293"/>
  <c r="N18" i="293"/>
  <c r="N17" i="293"/>
  <c r="N16" i="293"/>
  <c r="N15" i="293"/>
  <c r="N47" i="289"/>
  <c r="M47" i="289"/>
  <c r="N46" i="289"/>
  <c r="M46" i="289"/>
  <c r="M45" i="289"/>
  <c r="M44" i="289"/>
  <c r="N43" i="289"/>
  <c r="M66" i="289" s="1"/>
  <c r="M43" i="289"/>
  <c r="M42" i="289"/>
  <c r="M41" i="289"/>
  <c r="M40" i="289"/>
  <c r="M38" i="289"/>
  <c r="N37" i="289"/>
  <c r="M37" i="289"/>
  <c r="N36" i="289"/>
  <c r="M36" i="289"/>
  <c r="N35" i="289"/>
  <c r="M35" i="289"/>
  <c r="N34" i="289"/>
  <c r="M34" i="289"/>
  <c r="N32" i="289"/>
  <c r="M32" i="289"/>
  <c r="N31" i="289"/>
  <c r="M31" i="289"/>
  <c r="M30" i="289"/>
  <c r="N28" i="289"/>
  <c r="M28" i="289"/>
  <c r="N27" i="289"/>
  <c r="M27" i="289"/>
  <c r="M26" i="289"/>
  <c r="M25" i="289"/>
  <c r="M22" i="289"/>
  <c r="M21" i="289"/>
  <c r="N20" i="289"/>
  <c r="M20" i="289"/>
  <c r="N18" i="289"/>
  <c r="N17" i="289"/>
  <c r="N16" i="289"/>
  <c r="N15" i="289"/>
  <c r="M47" i="290"/>
  <c r="N46" i="290"/>
  <c r="M46" i="290"/>
  <c r="M45" i="290"/>
  <c r="M44" i="290"/>
  <c r="M66" i="290"/>
  <c r="M43" i="290"/>
  <c r="M42" i="290"/>
  <c r="M41" i="290"/>
  <c r="M40" i="290"/>
  <c r="M39" i="290"/>
  <c r="M38" i="290"/>
  <c r="N37" i="290"/>
  <c r="M37" i="290"/>
  <c r="N36" i="290"/>
  <c r="M36" i="290"/>
  <c r="N35" i="290"/>
  <c r="M35" i="290"/>
  <c r="N34" i="290"/>
  <c r="M34" i="290"/>
  <c r="N32" i="290"/>
  <c r="M32" i="290"/>
  <c r="N31" i="290"/>
  <c r="M31" i="290"/>
  <c r="M30" i="290"/>
  <c r="N28" i="290"/>
  <c r="M28" i="290"/>
  <c r="N27" i="290"/>
  <c r="M27" i="290"/>
  <c r="M26" i="290"/>
  <c r="M25" i="290"/>
  <c r="M24" i="290"/>
  <c r="M22" i="290"/>
  <c r="M21" i="290"/>
  <c r="N20" i="290"/>
  <c r="M20" i="290"/>
  <c r="N18" i="290"/>
  <c r="N17" i="290"/>
  <c r="N16" i="290"/>
  <c r="N15" i="290"/>
  <c r="M41" i="258"/>
  <c r="N57" i="291" l="1"/>
  <c r="M65" i="291" s="1"/>
  <c r="N57" i="296"/>
  <c r="M65" i="296" s="1"/>
  <c r="N57" i="295"/>
  <c r="M65" i="295" s="1"/>
  <c r="N57" i="293"/>
  <c r="M65" i="293" s="1"/>
  <c r="N57" i="289"/>
  <c r="M65" i="289" s="1"/>
  <c r="N57" i="290"/>
  <c r="M65" i="290" s="1"/>
  <c r="M24" i="258"/>
  <c r="M35" i="258"/>
  <c r="N35" i="258"/>
  <c r="M25" i="258"/>
  <c r="N34" i="258"/>
  <c r="M34" i="258"/>
  <c r="N33" i="258"/>
  <c r="M33" i="258"/>
  <c r="M29" i="258"/>
  <c r="M22" i="258"/>
  <c r="J15" i="258" l="1"/>
  <c r="J16" i="258"/>
  <c r="J18" i="258"/>
  <c r="J19" i="258"/>
  <c r="J22" i="258"/>
  <c r="J23" i="258"/>
  <c r="J24" i="258"/>
  <c r="J25" i="258"/>
  <c r="J26" i="258"/>
  <c r="J27" i="258"/>
  <c r="J28" i="258"/>
  <c r="J29" i="258"/>
  <c r="J30" i="258"/>
  <c r="J31" i="258"/>
  <c r="J32" i="258"/>
  <c r="J33" i="258"/>
  <c r="J34" i="258"/>
  <c r="J35" i="258"/>
  <c r="J36" i="258"/>
  <c r="J37" i="258"/>
  <c r="J38" i="258"/>
  <c r="J39" i="258"/>
  <c r="H23" i="289" l="1"/>
  <c r="H22" i="289"/>
  <c r="H20" i="290"/>
  <c r="M29" i="290" s="1"/>
  <c r="H28" i="289" l="1"/>
  <c r="M29" i="289" s="1"/>
  <c r="H20" i="289"/>
  <c r="M24" i="289" s="1"/>
  <c r="J22" i="289" l="1"/>
  <c r="J17" i="291" l="1"/>
  <c r="J17" i="296"/>
  <c r="H24" i="293" l="1"/>
  <c r="H26" i="289" l="1"/>
  <c r="H25" i="291" l="1"/>
  <c r="H22" i="296" l="1"/>
  <c r="J29" i="296"/>
  <c r="J17" i="295"/>
  <c r="H27" i="289"/>
  <c r="M39" i="289" s="1"/>
  <c r="H32" i="289" l="1"/>
  <c r="H29" i="289"/>
  <c r="M33" i="289" s="1"/>
  <c r="M56" i="289" l="1"/>
  <c r="N59" i="289" s="1"/>
  <c r="N68" i="289" s="1"/>
  <c r="M54" i="289"/>
  <c r="M68" i="289"/>
  <c r="H23" i="290"/>
  <c r="M33" i="290" s="1"/>
  <c r="M54" i="290" l="1"/>
  <c r="M56" i="290"/>
  <c r="N59" i="290" s="1"/>
  <c r="N68" i="290" s="1"/>
  <c r="M68" i="290"/>
  <c r="J35" i="290"/>
  <c r="J37" i="290"/>
  <c r="J38" i="290"/>
  <c r="J36" i="289" l="1"/>
  <c r="H20" i="293"/>
  <c r="H25" i="293"/>
  <c r="H28" i="293" l="1"/>
  <c r="M29" i="293" s="1"/>
  <c r="H27" i="293"/>
  <c r="M33" i="293" s="1"/>
  <c r="H27" i="295"/>
  <c r="M33" i="295" s="1"/>
  <c r="H23" i="291"/>
  <c r="M29" i="291" s="1"/>
  <c r="H28" i="291"/>
  <c r="J29" i="290" l="1"/>
  <c r="H26" i="291" l="1"/>
  <c r="M44" i="291" s="1"/>
  <c r="H21" i="295" l="1"/>
  <c r="M20" i="295" s="1"/>
  <c r="H20" i="291" l="1"/>
  <c r="M33" i="291" s="1"/>
  <c r="H26" i="296"/>
  <c r="M33" i="296" s="1"/>
  <c r="H25" i="296"/>
  <c r="H20" i="296"/>
  <c r="M24" i="296" s="1"/>
  <c r="M56" i="291" l="1"/>
  <c r="N59" i="291" s="1"/>
  <c r="N68" i="291" s="1"/>
  <c r="M54" i="291"/>
  <c r="M68" i="291"/>
  <c r="J21" i="289" l="1"/>
  <c r="J32" i="295" l="1"/>
  <c r="J26" i="290" l="1"/>
  <c r="H29" i="295" l="1"/>
  <c r="M29" i="295" s="1"/>
  <c r="H19" i="296"/>
  <c r="M29" i="296" s="1"/>
  <c r="H20" i="295" l="1"/>
  <c r="M24" i="295" s="1"/>
  <c r="M54" i="295" l="1"/>
  <c r="M56" i="295"/>
  <c r="N59" i="295" s="1"/>
  <c r="N68" i="295" s="1"/>
  <c r="M68" i="295"/>
  <c r="H21" i="296"/>
  <c r="M21" i="296" s="1"/>
  <c r="M56" i="296" l="1"/>
  <c r="N59" i="296" s="1"/>
  <c r="N68" i="296" s="1"/>
  <c r="M54" i="296"/>
  <c r="M68" i="296"/>
  <c r="J27" i="296"/>
  <c r="J23" i="295" l="1"/>
  <c r="H26" i="293"/>
  <c r="M24" i="293" s="1"/>
  <c r="J23" i="293"/>
  <c r="J30" i="290"/>
  <c r="M54" i="293" l="1"/>
  <c r="M56" i="293"/>
  <c r="N59" i="293" s="1"/>
  <c r="N68" i="293" s="1"/>
  <c r="M68" i="293"/>
  <c r="J23" i="296" l="1"/>
  <c r="J24" i="296"/>
  <c r="J67" i="296"/>
  <c r="J66" i="296"/>
  <c r="J65" i="296"/>
  <c r="J64" i="296"/>
  <c r="J63" i="296"/>
  <c r="J62" i="296"/>
  <c r="J61" i="296"/>
  <c r="J60" i="296"/>
  <c r="J59" i="296"/>
  <c r="J58" i="296"/>
  <c r="J57" i="296"/>
  <c r="J56" i="296"/>
  <c r="J55" i="296"/>
  <c r="J54" i="296"/>
  <c r="J53" i="296"/>
  <c r="J52" i="296"/>
  <c r="J51" i="296"/>
  <c r="J50" i="296"/>
  <c r="J49" i="296"/>
  <c r="J48" i="296"/>
  <c r="J47" i="296"/>
  <c r="J46" i="296"/>
  <c r="J45" i="296"/>
  <c r="J44" i="296"/>
  <c r="J43" i="296"/>
  <c r="J42" i="296"/>
  <c r="J41" i="296"/>
  <c r="J40" i="296"/>
  <c r="J39" i="296"/>
  <c r="J38" i="296"/>
  <c r="J37" i="296"/>
  <c r="J36" i="296"/>
  <c r="J35" i="296"/>
  <c r="J34" i="296"/>
  <c r="J33" i="296"/>
  <c r="J32" i="296"/>
  <c r="J31" i="296"/>
  <c r="J30" i="296"/>
  <c r="J28" i="296"/>
  <c r="J26" i="296"/>
  <c r="J25" i="296"/>
  <c r="J22" i="296"/>
  <c r="J21" i="296"/>
  <c r="J20" i="296"/>
  <c r="J19" i="296"/>
  <c r="J18" i="296"/>
  <c r="J16" i="296"/>
  <c r="J15" i="296"/>
  <c r="J67" i="295"/>
  <c r="J66" i="295"/>
  <c r="J65" i="295"/>
  <c r="J64" i="295"/>
  <c r="J63" i="295"/>
  <c r="J62" i="295"/>
  <c r="J61" i="295"/>
  <c r="J60" i="295"/>
  <c r="J59" i="295"/>
  <c r="J58" i="295"/>
  <c r="J57" i="295"/>
  <c r="J56" i="295"/>
  <c r="J55" i="295"/>
  <c r="J54" i="295"/>
  <c r="J53" i="295"/>
  <c r="J52" i="295"/>
  <c r="J51" i="295"/>
  <c r="J50" i="295"/>
  <c r="J49" i="295"/>
  <c r="J48" i="295"/>
  <c r="J47" i="295"/>
  <c r="J46" i="295"/>
  <c r="J45" i="295"/>
  <c r="J44" i="295"/>
  <c r="J43" i="295"/>
  <c r="J42" i="295"/>
  <c r="J41" i="295"/>
  <c r="J40" i="295"/>
  <c r="J39" i="295"/>
  <c r="J38" i="295"/>
  <c r="J37" i="295"/>
  <c r="J36" i="295"/>
  <c r="J34" i="295"/>
  <c r="J33" i="295"/>
  <c r="J31" i="295"/>
  <c r="J30" i="295"/>
  <c r="J29" i="295"/>
  <c r="J28" i="295"/>
  <c r="J27" i="295"/>
  <c r="J26" i="295"/>
  <c r="J25" i="295"/>
  <c r="J24" i="295"/>
  <c r="J22" i="295"/>
  <c r="J21" i="295"/>
  <c r="J20" i="295"/>
  <c r="J19" i="295"/>
  <c r="J18" i="295"/>
  <c r="J16" i="295"/>
  <c r="J15" i="295"/>
  <c r="H68" i="296" l="1"/>
  <c r="H68" i="295"/>
  <c r="J25" i="293"/>
  <c r="J67" i="293"/>
  <c r="J66" i="293"/>
  <c r="J65" i="293"/>
  <c r="J64" i="293"/>
  <c r="J63" i="293"/>
  <c r="J62" i="293"/>
  <c r="J61" i="293"/>
  <c r="J60" i="293"/>
  <c r="J59" i="293"/>
  <c r="J58" i="293"/>
  <c r="J57" i="293"/>
  <c r="J56" i="293"/>
  <c r="J55" i="293"/>
  <c r="J54" i="293"/>
  <c r="J53" i="293"/>
  <c r="J52" i="293"/>
  <c r="J51" i="293"/>
  <c r="J50" i="293"/>
  <c r="J49" i="293"/>
  <c r="J48" i="293"/>
  <c r="J47" i="293"/>
  <c r="J46" i="293"/>
  <c r="J45" i="293"/>
  <c r="J44" i="293"/>
  <c r="J43" i="293"/>
  <c r="J42" i="293"/>
  <c r="J41" i="293"/>
  <c r="J40" i="293"/>
  <c r="J39" i="293"/>
  <c r="J38" i="293"/>
  <c r="J37" i="293"/>
  <c r="J36" i="293"/>
  <c r="J35" i="293"/>
  <c r="J34" i="293"/>
  <c r="J33" i="293"/>
  <c r="J32" i="293"/>
  <c r="J31" i="293"/>
  <c r="J30" i="293"/>
  <c r="J29" i="293"/>
  <c r="J28" i="293"/>
  <c r="J27" i="293"/>
  <c r="J26" i="293"/>
  <c r="J24" i="293"/>
  <c r="J22" i="293"/>
  <c r="J21" i="293"/>
  <c r="J20" i="293"/>
  <c r="J19" i="293"/>
  <c r="H68" i="293"/>
  <c r="J18" i="293"/>
  <c r="J16" i="293"/>
  <c r="J15" i="293"/>
  <c r="J24" i="291" l="1"/>
  <c r="O9" i="258"/>
  <c r="J67" i="291" l="1"/>
  <c r="J66" i="291"/>
  <c r="J65" i="291"/>
  <c r="J64" i="291"/>
  <c r="J63" i="291"/>
  <c r="J62" i="291"/>
  <c r="J61" i="291"/>
  <c r="J60" i="291"/>
  <c r="J59" i="291"/>
  <c r="J58" i="291"/>
  <c r="J57" i="291"/>
  <c r="J56" i="291"/>
  <c r="J55" i="291"/>
  <c r="J54" i="291"/>
  <c r="J53" i="291"/>
  <c r="J52" i="291"/>
  <c r="J51" i="291"/>
  <c r="J50" i="291"/>
  <c r="J49" i="291"/>
  <c r="J48" i="291"/>
  <c r="J47" i="291"/>
  <c r="J46" i="291"/>
  <c r="J45" i="291"/>
  <c r="J44" i="291"/>
  <c r="J43" i="291"/>
  <c r="J42" i="291"/>
  <c r="J41" i="291"/>
  <c r="J40" i="291"/>
  <c r="J39" i="291"/>
  <c r="J38" i="291"/>
  <c r="J37" i="291"/>
  <c r="J36" i="291"/>
  <c r="J35" i="291"/>
  <c r="J34" i="291"/>
  <c r="J33" i="291"/>
  <c r="J32" i="291"/>
  <c r="J31" i="291"/>
  <c r="J30" i="291"/>
  <c r="J29" i="291"/>
  <c r="J28" i="291"/>
  <c r="J27" i="291"/>
  <c r="J25" i="291"/>
  <c r="J23" i="291"/>
  <c r="J22" i="291"/>
  <c r="J21" i="291"/>
  <c r="J20" i="291"/>
  <c r="J19" i="291"/>
  <c r="J18" i="291"/>
  <c r="J16" i="291"/>
  <c r="J15" i="291"/>
  <c r="H68" i="291" l="1"/>
  <c r="H68" i="290"/>
  <c r="J27" i="290"/>
  <c r="J28" i="290"/>
  <c r="J25" i="290"/>
  <c r="J67" i="290"/>
  <c r="J66" i="290"/>
  <c r="J65" i="290"/>
  <c r="J64" i="290"/>
  <c r="J63" i="290"/>
  <c r="J62" i="290"/>
  <c r="J61" i="290"/>
  <c r="J60" i="290"/>
  <c r="J59" i="290"/>
  <c r="J58" i="290"/>
  <c r="J57" i="290"/>
  <c r="J56" i="290"/>
  <c r="J55" i="290"/>
  <c r="J54" i="290"/>
  <c r="J53" i="290"/>
  <c r="J52" i="290"/>
  <c r="J51" i="290"/>
  <c r="J50" i="290"/>
  <c r="J49" i="290"/>
  <c r="J48" i="290"/>
  <c r="J47" i="290"/>
  <c r="J46" i="290"/>
  <c r="J45" i="290"/>
  <c r="J44" i="290"/>
  <c r="J43" i="290"/>
  <c r="J42" i="290"/>
  <c r="J41" i="290"/>
  <c r="J40" i="290"/>
  <c r="J39" i="290"/>
  <c r="J36" i="290"/>
  <c r="J31" i="290"/>
  <c r="J24" i="290"/>
  <c r="J23" i="290"/>
  <c r="J21" i="290"/>
  <c r="J20" i="290"/>
  <c r="J19" i="290"/>
  <c r="J18" i="290"/>
  <c r="J16" i="290"/>
  <c r="J15" i="290"/>
  <c r="J67" i="289" l="1"/>
  <c r="J66" i="289"/>
  <c r="J65" i="289"/>
  <c r="J64" i="289"/>
  <c r="J63" i="289"/>
  <c r="J62" i="289"/>
  <c r="J61" i="289"/>
  <c r="J60" i="289"/>
  <c r="J59" i="289"/>
  <c r="J58" i="289"/>
  <c r="J57" i="289"/>
  <c r="J56" i="289"/>
  <c r="J55" i="289"/>
  <c r="J54" i="289"/>
  <c r="J53" i="289"/>
  <c r="J52" i="289"/>
  <c r="J51" i="289"/>
  <c r="J50" i="289"/>
  <c r="J49" i="289"/>
  <c r="J48" i="289"/>
  <c r="J47" i="289"/>
  <c r="J46" i="289"/>
  <c r="J45" i="289"/>
  <c r="J44" i="289"/>
  <c r="J43" i="289"/>
  <c r="J42" i="289"/>
  <c r="J41" i="289"/>
  <c r="J40" i="289"/>
  <c r="J39" i="289"/>
  <c r="J38" i="289"/>
  <c r="J37" i="289"/>
  <c r="J35" i="289"/>
  <c r="J34" i="289"/>
  <c r="J33" i="289"/>
  <c r="J32" i="289"/>
  <c r="J31" i="289"/>
  <c r="J30" i="289"/>
  <c r="J29" i="289"/>
  <c r="J28" i="289"/>
  <c r="J26" i="289"/>
  <c r="J24" i="289"/>
  <c r="J23" i="289"/>
  <c r="J20" i="289"/>
  <c r="J19" i="289"/>
  <c r="J18" i="289"/>
  <c r="J16" i="289"/>
  <c r="J15" i="289"/>
  <c r="H68" i="289" l="1"/>
  <c r="O9" i="291" l="1"/>
  <c r="O9" i="290" l="1"/>
  <c r="O9" i="296"/>
  <c r="O9" i="295"/>
  <c r="O9" i="293"/>
  <c r="O9" i="289"/>
  <c r="H68" i="258" l="1"/>
  <c r="J67" i="258"/>
  <c r="J66" i="258"/>
  <c r="J64" i="258"/>
  <c r="J62" i="258"/>
  <c r="J61" i="258"/>
  <c r="J60" i="258"/>
  <c r="J59" i="258"/>
  <c r="J58" i="258"/>
  <c r="J57" i="258"/>
  <c r="J56" i="258"/>
  <c r="J55" i="258"/>
  <c r="J54" i="258"/>
  <c r="J53" i="258"/>
  <c r="J52" i="258"/>
  <c r="J51" i="258"/>
  <c r="J50" i="258"/>
  <c r="J49" i="258"/>
  <c r="J48" i="258"/>
  <c r="N47" i="258"/>
  <c r="M47" i="258"/>
  <c r="J47" i="258"/>
  <c r="N46" i="258"/>
  <c r="M46" i="258"/>
  <c r="J46" i="258"/>
  <c r="M45" i="258"/>
  <c r="J45" i="258"/>
  <c r="M44" i="258"/>
  <c r="J44" i="258"/>
  <c r="N43" i="258"/>
  <c r="M66" i="258" s="1"/>
  <c r="M43" i="258"/>
  <c r="J43" i="258"/>
  <c r="M42" i="258"/>
  <c r="J42" i="258"/>
  <c r="J41" i="258"/>
  <c r="M40" i="258"/>
  <c r="J40" i="258"/>
  <c r="M39" i="258"/>
  <c r="M38" i="258"/>
  <c r="N37" i="258"/>
  <c r="M37" i="258"/>
  <c r="N36" i="258"/>
  <c r="M36" i="258"/>
  <c r="N32" i="258"/>
  <c r="M32" i="258"/>
  <c r="N31" i="258"/>
  <c r="M31" i="258"/>
  <c r="M30" i="258"/>
  <c r="N28" i="258"/>
  <c r="M28" i="258"/>
  <c r="N27" i="258"/>
  <c r="M27" i="258"/>
  <c r="M26" i="258"/>
  <c r="M21" i="258"/>
  <c r="N20" i="258"/>
  <c r="M20" i="258"/>
  <c r="N18" i="258"/>
  <c r="N17" i="258"/>
  <c r="N16" i="258"/>
  <c r="N15" i="258"/>
  <c r="N57" i="258" l="1"/>
  <c r="M65" i="258" s="1"/>
  <c r="M54" i="258"/>
  <c r="M56" i="258"/>
  <c r="N59" i="258" s="1"/>
  <c r="M68" i="258" l="1"/>
  <c r="N68" i="258"/>
</calcChain>
</file>

<file path=xl/sharedStrings.xml><?xml version="1.0" encoding="utf-8"?>
<sst xmlns="http://schemas.openxmlformats.org/spreadsheetml/2006/main" count="498" uniqueCount="145">
  <si>
    <t xml:space="preserve">Date : </t>
  </si>
  <si>
    <t xml:space="preserve">Journal </t>
  </si>
  <si>
    <t xml:space="preserve">       NOM DU FOURNISSEUR</t>
  </si>
  <si>
    <t>N° DOC</t>
  </si>
  <si>
    <t>DATE DOC</t>
  </si>
  <si>
    <t>MONTANT HT</t>
  </si>
  <si>
    <t>TOTAL</t>
  </si>
  <si>
    <t>NA</t>
  </si>
  <si>
    <t xml:space="preserve">Libellé DA : </t>
  </si>
  <si>
    <t xml:space="preserve">N° UC : </t>
  </si>
  <si>
    <t xml:space="preserve">N° DA : </t>
  </si>
  <si>
    <t xml:space="preserve">Type de pièce </t>
  </si>
  <si>
    <t xml:space="preserve">Date </t>
  </si>
  <si>
    <t xml:space="preserve">N° pièce </t>
  </si>
  <si>
    <t>NATURE DOC</t>
  </si>
  <si>
    <t>NATURE DE LA DÉPENSE</t>
  </si>
  <si>
    <t>VENTILATION PAR NATURE DES CORRECTIFS</t>
  </si>
  <si>
    <t>DÉTAIL</t>
  </si>
  <si>
    <t>CG</t>
  </si>
  <si>
    <t>MONTANT DÉBIT</t>
  </si>
  <si>
    <t>MONTANT CRÉDIT</t>
  </si>
  <si>
    <t>TOTAL HT</t>
  </si>
  <si>
    <t>Visa Responsable d'agence</t>
  </si>
  <si>
    <t>Visa Conducteur de travaux</t>
  </si>
  <si>
    <t>RÉCAP</t>
  </si>
  <si>
    <t xml:space="preserve">TOTAL HT </t>
  </si>
  <si>
    <t>BL</t>
  </si>
  <si>
    <t>BC</t>
  </si>
  <si>
    <t>PLAKABETON</t>
  </si>
  <si>
    <t>CEMEX</t>
  </si>
  <si>
    <t>LOCATION</t>
  </si>
  <si>
    <t>RABONI</t>
  </si>
  <si>
    <t>SETIN</t>
  </si>
  <si>
    <t xml:space="preserve"> /</t>
  </si>
  <si>
    <t>SALMAT</t>
  </si>
  <si>
    <t>MARCHANDISES</t>
  </si>
  <si>
    <t>DIVERS BC</t>
  </si>
  <si>
    <t>BETON</t>
  </si>
  <si>
    <t>DIVERS BL</t>
  </si>
  <si>
    <t>BRN</t>
  </si>
  <si>
    <t>REGIS LOCATION</t>
  </si>
  <si>
    <t>KILOUTOU</t>
  </si>
  <si>
    <t>DESCOURS ET CABAUD</t>
  </si>
  <si>
    <t>POINT P</t>
  </si>
  <si>
    <t>OUTILLAGES</t>
  </si>
  <si>
    <t>ACCESSBAT</t>
  </si>
  <si>
    <t>DIVERS LOCATION</t>
  </si>
  <si>
    <t>HILTI</t>
  </si>
  <si>
    <t>LEFEBVRE ET FILS</t>
  </si>
  <si>
    <t>LOC BENNE</t>
  </si>
  <si>
    <t>LME</t>
  </si>
  <si>
    <t>INTERIMAIRE</t>
  </si>
  <si>
    <t>RELEVE HEURE</t>
  </si>
  <si>
    <t>ENROBES</t>
  </si>
  <si>
    <t>BIG MAT</t>
  </si>
  <si>
    <t>VM MATERIAUX</t>
  </si>
  <si>
    <t>LAFARGE</t>
  </si>
  <si>
    <t>SMATIS</t>
  </si>
  <si>
    <t>LOCATIONS</t>
  </si>
  <si>
    <t>TOP SIGNALISATION</t>
  </si>
  <si>
    <t>CRIT</t>
  </si>
  <si>
    <t>LHE</t>
  </si>
  <si>
    <t>EQIOM</t>
  </si>
  <si>
    <t>CUT</t>
  </si>
  <si>
    <t xml:space="preserve">REFACTURATION </t>
  </si>
  <si>
    <t>THN</t>
  </si>
  <si>
    <t>CUBE</t>
  </si>
  <si>
    <t>LIAMETHO</t>
  </si>
  <si>
    <t>PROLIANS</t>
  </si>
  <si>
    <t>VM</t>
  </si>
  <si>
    <t>PORTAIL</t>
  </si>
  <si>
    <t>SDN-17702562</t>
  </si>
  <si>
    <t>IDEES INTERIM</t>
  </si>
  <si>
    <t>BLEU BLANC</t>
  </si>
  <si>
    <t>FRANS BONHOMME</t>
  </si>
  <si>
    <t>CONTANT LOCATION</t>
  </si>
  <si>
    <t>LAHO</t>
  </si>
  <si>
    <t>GRN</t>
  </si>
  <si>
    <t>GRAVATS</t>
  </si>
  <si>
    <t>LAUNET</t>
  </si>
  <si>
    <t>FOURNITURE</t>
  </si>
  <si>
    <t>INETRIMAIRE</t>
  </si>
  <si>
    <t>RELEVE HEURES</t>
  </si>
  <si>
    <t>BONNEFOY</t>
  </si>
  <si>
    <t>INSPECTION RESEAU</t>
  </si>
  <si>
    <t>12923</t>
  </si>
  <si>
    <t>COLAS</t>
  </si>
  <si>
    <t>EMULSION</t>
  </si>
  <si>
    <t>SECURITE</t>
  </si>
  <si>
    <t>DISPANO</t>
  </si>
  <si>
    <t>PROFIL</t>
  </si>
  <si>
    <t>DMS</t>
  </si>
  <si>
    <t>FIOUL</t>
  </si>
  <si>
    <t xml:space="preserve">N° Société / Site : </t>
  </si>
  <si>
    <t>0098 / 00265</t>
  </si>
  <si>
    <t>CH06047</t>
  </si>
  <si>
    <t>0012240</t>
  </si>
  <si>
    <t xml:space="preserve">N° CI : </t>
  </si>
  <si>
    <t xml:space="preserve">N°CI : </t>
  </si>
  <si>
    <t>0011946</t>
  </si>
  <si>
    <t>CH05910</t>
  </si>
  <si>
    <t>CH05911</t>
  </si>
  <si>
    <t>0011947</t>
  </si>
  <si>
    <t>CH05912</t>
  </si>
  <si>
    <t>0011948</t>
  </si>
  <si>
    <t>CH05913</t>
  </si>
  <si>
    <t>0011949</t>
  </si>
  <si>
    <t>CH05914</t>
  </si>
  <si>
    <t>0011950</t>
  </si>
  <si>
    <t>CH05915</t>
  </si>
  <si>
    <t>0011951</t>
  </si>
  <si>
    <t>REFACTURATION</t>
  </si>
  <si>
    <t>MENSUELS MARS 2019</t>
  </si>
  <si>
    <t>HORAIRES MARS 2019</t>
  </si>
  <si>
    <t>MENSUELS AVRIL 2019</t>
  </si>
  <si>
    <t>HORAIRES MAI 2019</t>
  </si>
  <si>
    <t>MENSUELS MAI 2019</t>
  </si>
  <si>
    <t xml:space="preserve"> / </t>
  </si>
  <si>
    <t>HORAIRES JUIN 2019</t>
  </si>
  <si>
    <t>MENSUELS JUIN 2019</t>
  </si>
  <si>
    <t>SITE</t>
  </si>
  <si>
    <t>SITE LIGNE</t>
  </si>
  <si>
    <t>UC de la ligne</t>
  </si>
  <si>
    <t>Collectif</t>
  </si>
  <si>
    <t>Compte général</t>
  </si>
  <si>
    <t>intitulé</t>
  </si>
  <si>
    <t>Tiers</t>
  </si>
  <si>
    <t>Noms</t>
  </si>
  <si>
    <t>Débit</t>
  </si>
  <si>
    <t>Crédit</t>
  </si>
  <si>
    <t>Libellé</t>
  </si>
  <si>
    <t>Code taxe</t>
  </si>
  <si>
    <t>CNA</t>
  </si>
  <si>
    <t>Nature de trésorerie</t>
  </si>
  <si>
    <t>DA</t>
  </si>
  <si>
    <t>CARBU/PEAGES/TEL  06/2019</t>
  </si>
  <si>
    <t>0012244</t>
  </si>
  <si>
    <t>0012253</t>
  </si>
  <si>
    <t>va chercher les elements dans les feuilles B10</t>
  </si>
  <si>
    <t>va chercher dans la colonne K que les comptes avec montants</t>
  </si>
  <si>
    <t>colonne M</t>
  </si>
  <si>
    <t>colonne n</t>
  </si>
  <si>
    <t>colonne c</t>
  </si>
  <si>
    <t>d9</t>
  </si>
  <si>
    <t xml:space="preserve">colonne 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</si>
</sst>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F_-;\-* #,##0.00\ _F_-;_-* &quot;-&quot;??\ _F_-;_-@_-"/>
    <numFmt numFmtId="165" formatCode="dd/mm/yy;@"/>
    <numFmt numFmtId="166" formatCode="00000"/>
  </numFmts>
  <fonts count="2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164" fontId="1" fillId="0" borderId="0" applyFon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164" fontId="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3" fillId="0" borderId="0" applyFont="0" applyFill="0" applyBorder="0" applyAlignment="0" applyProtection="0"/>
  </cellStyleXfs>
  <cellXfs count="217">
    <xf numFmtId="0" fontId="0" fillId="0" borderId="0" xfId="0"/>
    <xf numFmtId="0" fontId="19" fillId="0" borderId="0" xfId="0" applyFont="1"/>
    <xf numFmtId="14" fontId="19" fillId="0" borderId="0" xfId="0" applyNumberFormat="1" applyFont="1" applyAlignment="1"/>
    <xf numFmtId="0" fontId="19" fillId="0" borderId="0" xfId="0" quotePrefix="1" applyFont="1" applyAlignment="1">
      <alignment horizontal="left"/>
    </xf>
    <xf numFmtId="1" fontId="20" fillId="0" borderId="0" xfId="0" applyNumberFormat="1" applyFont="1" applyBorder="1" applyAlignment="1">
      <alignment horizontal="center"/>
    </xf>
    <xf numFmtId="17" fontId="19" fillId="0" borderId="0" xfId="0" applyNumberFormat="1" applyFont="1"/>
    <xf numFmtId="4" fontId="19" fillId="0" borderId="0" xfId="0" applyNumberFormat="1" applyFont="1" applyBorder="1" applyAlignment="1"/>
    <xf numFmtId="0" fontId="19" fillId="0" borderId="0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9" fillId="0" borderId="0" xfId="0" applyFont="1" applyAlignment="1">
      <alignment horizontal="right"/>
    </xf>
    <xf numFmtId="0" fontId="19" fillId="0" borderId="0" xfId="0" applyFont="1" applyFill="1" applyAlignment="1">
      <alignment horizontal="right"/>
    </xf>
    <xf numFmtId="0" fontId="19" fillId="0" borderId="37" xfId="0" applyFont="1" applyBorder="1" applyAlignment="1">
      <alignment horizontal="right"/>
    </xf>
    <xf numFmtId="0" fontId="19" fillId="0" borderId="38" xfId="0" applyFont="1" applyBorder="1" applyAlignment="1">
      <alignment horizontal="right"/>
    </xf>
    <xf numFmtId="49" fontId="19" fillId="0" borderId="37" xfId="0" applyNumberFormat="1" applyFont="1" applyBorder="1" applyAlignment="1">
      <alignment horizontal="right"/>
    </xf>
    <xf numFmtId="17" fontId="19" fillId="0" borderId="38" xfId="0" applyNumberFormat="1" applyFont="1" applyBorder="1" applyAlignment="1">
      <alignment horizontal="right"/>
    </xf>
    <xf numFmtId="0" fontId="0" fillId="0" borderId="0" xfId="0" applyBorder="1"/>
    <xf numFmtId="0" fontId="0" fillId="0" borderId="15" xfId="0" applyBorder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Alignment="1">
      <alignment vertical="center" wrapText="1"/>
    </xf>
    <xf numFmtId="4" fontId="0" fillId="0" borderId="22" xfId="0" applyNumberFormat="1" applyBorder="1" applyAlignment="1">
      <alignment horizontal="right"/>
    </xf>
    <xf numFmtId="0" fontId="0" fillId="0" borderId="3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1" xfId="0" applyBorder="1" applyAlignment="1">
      <alignment horizontal="center"/>
    </xf>
    <xf numFmtId="0" fontId="21" fillId="0" borderId="40" xfId="0" applyFont="1" applyBorder="1" applyAlignment="1">
      <alignment horizontal="center"/>
    </xf>
    <xf numFmtId="4" fontId="0" fillId="0" borderId="24" xfId="0" applyNumberFormat="1" applyBorder="1" applyAlignment="1">
      <alignment horizontal="right"/>
    </xf>
    <xf numFmtId="4" fontId="0" fillId="0" borderId="31" xfId="0" applyNumberFormat="1" applyBorder="1" applyAlignment="1">
      <alignment horizontal="right"/>
    </xf>
    <xf numFmtId="4" fontId="0" fillId="0" borderId="28" xfId="0" applyNumberFormat="1" applyBorder="1" applyAlignment="1">
      <alignment horizontal="right"/>
    </xf>
    <xf numFmtId="4" fontId="0" fillId="0" borderId="25" xfId="0" applyNumberFormat="1" applyBorder="1" applyAlignment="1">
      <alignment horizontal="right"/>
    </xf>
    <xf numFmtId="4" fontId="0" fillId="0" borderId="35" xfId="0" applyNumberFormat="1" applyBorder="1" applyAlignment="1">
      <alignment horizontal="right"/>
    </xf>
    <xf numFmtId="4" fontId="0" fillId="0" borderId="26" xfId="0" applyNumberFormat="1" applyBorder="1" applyAlignment="1">
      <alignment horizontal="right"/>
    </xf>
    <xf numFmtId="4" fontId="19" fillId="0" borderId="14" xfId="0" applyNumberFormat="1" applyFont="1" applyBorder="1" applyAlignment="1">
      <alignment horizontal="right"/>
    </xf>
    <xf numFmtId="4" fontId="19" fillId="0" borderId="18" xfId="0" applyNumberFormat="1" applyFont="1" applyBorder="1" applyAlignment="1">
      <alignment horizontal="right"/>
    </xf>
    <xf numFmtId="0" fontId="0" fillId="0" borderId="17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19" fillId="24" borderId="21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center" vertical="center" wrapText="1"/>
    </xf>
    <xf numFmtId="1" fontId="0" fillId="0" borderId="23" xfId="0" applyNumberFormat="1" applyBorder="1" applyAlignment="1">
      <alignment horizontal="center"/>
    </xf>
    <xf numFmtId="1" fontId="0" fillId="0" borderId="33" xfId="0" applyNumberFormat="1" applyBorder="1" applyAlignment="1">
      <alignment horizontal="center"/>
    </xf>
    <xf numFmtId="4" fontId="19" fillId="0" borderId="19" xfId="31" applyNumberFormat="1" applyFont="1" applyFill="1" applyBorder="1" applyAlignment="1"/>
    <xf numFmtId="0" fontId="20" fillId="0" borderId="22" xfId="0" applyFont="1" applyBorder="1" applyAlignment="1">
      <alignment horizontal="center"/>
    </xf>
    <xf numFmtId="49" fontId="1" fillId="0" borderId="22" xfId="0" applyNumberFormat="1" applyFont="1" applyBorder="1" applyAlignment="1">
      <alignment horizontal="center"/>
    </xf>
    <xf numFmtId="165" fontId="1" fillId="0" borderId="22" xfId="0" applyNumberFormat="1" applyFont="1" applyFill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3" fontId="1" fillId="0" borderId="24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3" fontId="1" fillId="0" borderId="31" xfId="0" applyNumberFormat="1" applyFont="1" applyBorder="1" applyAlignment="1">
      <alignment horizontal="center"/>
    </xf>
    <xf numFmtId="1" fontId="1" fillId="0" borderId="31" xfId="0" applyNumberFormat="1" applyFont="1" applyBorder="1" applyAlignment="1">
      <alignment horizontal="center"/>
    </xf>
    <xf numFmtId="165" fontId="1" fillId="0" borderId="32" xfId="0" applyNumberFormat="1" applyFont="1" applyFill="1" applyBorder="1" applyAlignment="1">
      <alignment horizontal="center"/>
    </xf>
    <xf numFmtId="0" fontId="1" fillId="0" borderId="23" xfId="0" quotePrefix="1" applyFont="1" applyBorder="1" applyAlignment="1">
      <alignment horizontal="center"/>
    </xf>
    <xf numFmtId="0" fontId="1" fillId="0" borderId="22" xfId="0" quotePrefix="1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4" fontId="1" fillId="0" borderId="24" xfId="0" applyNumberFormat="1" applyFont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Border="1" applyAlignment="1"/>
    <xf numFmtId="0" fontId="1" fillId="0" borderId="0" xfId="0" applyFont="1" applyAlignment="1" applyProtection="1">
      <alignment vertical="center"/>
    </xf>
    <xf numFmtId="0" fontId="1" fillId="0" borderId="16" xfId="0" applyFont="1" applyBorder="1"/>
    <xf numFmtId="0" fontId="1" fillId="0" borderId="15" xfId="0" applyFont="1" applyBorder="1"/>
    <xf numFmtId="0" fontId="1" fillId="0" borderId="14" xfId="0" applyFont="1" applyBorder="1"/>
    <xf numFmtId="0" fontId="1" fillId="0" borderId="12" xfId="0" applyFont="1" applyBorder="1"/>
    <xf numFmtId="0" fontId="1" fillId="0" borderId="11" xfId="0" applyFont="1" applyBorder="1" applyAlignment="1"/>
    <xf numFmtId="0" fontId="1" fillId="0" borderId="11" xfId="0" applyFont="1" applyBorder="1" applyAlignment="1">
      <alignment horizontal="left"/>
    </xf>
    <xf numFmtId="0" fontId="1" fillId="0" borderId="10" xfId="0" applyFont="1" applyBorder="1" applyAlignment="1"/>
    <xf numFmtId="1" fontId="1" fillId="0" borderId="24" xfId="0" quotePrefix="1" applyNumberFormat="1" applyFont="1" applyBorder="1" applyAlignment="1">
      <alignment horizontal="center"/>
    </xf>
    <xf numFmtId="1" fontId="1" fillId="0" borderId="22" xfId="0" applyNumberFormat="1" applyFont="1" applyFill="1" applyBorder="1" applyAlignment="1">
      <alignment horizontal="center"/>
    </xf>
    <xf numFmtId="4" fontId="19" fillId="0" borderId="19" xfId="44" applyNumberFormat="1" applyFont="1" applyFill="1" applyBorder="1" applyAlignment="1"/>
    <xf numFmtId="4" fontId="1" fillId="0" borderId="32" xfId="44" applyNumberFormat="1" applyFont="1" applyFill="1" applyBorder="1" applyAlignment="1"/>
    <xf numFmtId="4" fontId="1" fillId="0" borderId="22" xfId="44" applyNumberFormat="1" applyFont="1" applyFill="1" applyBorder="1" applyAlignment="1"/>
    <xf numFmtId="4" fontId="1" fillId="0" borderId="24" xfId="44" applyNumberFormat="1" applyFont="1" applyFill="1" applyBorder="1" applyAlignment="1"/>
    <xf numFmtId="4" fontId="1" fillId="0" borderId="24" xfId="44" applyNumberFormat="1" applyFont="1" applyBorder="1" applyAlignment="1"/>
    <xf numFmtId="0" fontId="0" fillId="0" borderId="23" xfId="0" applyBorder="1" applyAlignment="1">
      <alignment horizontal="center"/>
    </xf>
    <xf numFmtId="4" fontId="1" fillId="0" borderId="32" xfId="31" applyNumberFormat="1" applyFont="1" applyFill="1" applyBorder="1" applyAlignment="1"/>
    <xf numFmtId="4" fontId="1" fillId="0" borderId="22" xfId="31" applyNumberFormat="1" applyFont="1" applyFill="1" applyBorder="1" applyAlignment="1"/>
    <xf numFmtId="1" fontId="19" fillId="0" borderId="24" xfId="0" applyNumberFormat="1" applyFont="1" applyBorder="1" applyAlignment="1">
      <alignment horizontal="center"/>
    </xf>
    <xf numFmtId="4" fontId="19" fillId="0" borderId="22" xfId="31" applyNumberFormat="1" applyFont="1" applyFill="1" applyBorder="1" applyAlignment="1"/>
    <xf numFmtId="165" fontId="19" fillId="0" borderId="22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center"/>
    </xf>
    <xf numFmtId="4" fontId="1" fillId="0" borderId="22" xfId="46" applyNumberFormat="1" applyFont="1" applyFill="1" applyBorder="1" applyAlignment="1"/>
    <xf numFmtId="4" fontId="1" fillId="0" borderId="24" xfId="46" applyNumberFormat="1" applyFont="1" applyBorder="1" applyAlignment="1"/>
    <xf numFmtId="14" fontId="20" fillId="0" borderId="22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14" fontId="1" fillId="0" borderId="23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9" fillId="0" borderId="15" xfId="0" applyFont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9" fillId="24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4" fontId="1" fillId="0" borderId="22" xfId="0" applyNumberFormat="1" applyFont="1" applyFill="1" applyBorder="1" applyAlignment="1">
      <alignment horizontal="right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49" fontId="19" fillId="0" borderId="0" xfId="0" applyNumberFormat="1" applyFont="1" applyAlignment="1">
      <alignment horizontal="left"/>
    </xf>
    <xf numFmtId="0" fontId="0" fillId="26" borderId="34" xfId="0" applyFill="1" applyBorder="1" applyAlignment="1">
      <alignment horizontal="center"/>
    </xf>
    <xf numFmtId="4" fontId="0" fillId="26" borderId="24" xfId="0" applyNumberFormat="1" applyFill="1" applyBorder="1" applyAlignment="1">
      <alignment horizontal="right"/>
    </xf>
    <xf numFmtId="4" fontId="0" fillId="26" borderId="30" xfId="0" applyNumberFormat="1" applyFill="1" applyBorder="1" applyAlignment="1">
      <alignment horizontal="right"/>
    </xf>
    <xf numFmtId="1" fontId="1" fillId="26" borderId="29" xfId="0" quotePrefix="1" applyNumberFormat="1" applyFont="1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1" fontId="1" fillId="26" borderId="23" xfId="0" quotePrefix="1" applyNumberFormat="1" applyFont="1" applyFill="1" applyBorder="1" applyAlignment="1">
      <alignment horizontal="center"/>
    </xf>
    <xf numFmtId="1" fontId="0" fillId="26" borderId="23" xfId="0" applyNumberForma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49" fontId="19" fillId="0" borderId="0" xfId="0" quotePrefix="1" applyNumberFormat="1" applyFont="1" applyAlignment="1">
      <alignment horizontal="left"/>
    </xf>
    <xf numFmtId="0" fontId="1" fillId="0" borderId="22" xfId="0" applyFont="1" applyFill="1" applyBorder="1" applyAlignment="1">
      <alignment horizontal="center"/>
    </xf>
    <xf numFmtId="4" fontId="0" fillId="26" borderId="25" xfId="0" applyNumberFormat="1" applyFill="1" applyBorder="1" applyAlignment="1">
      <alignment horizontal="right"/>
    </xf>
    <xf numFmtId="0" fontId="19" fillId="0" borderId="17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14" fontId="19" fillId="0" borderId="11" xfId="0" applyNumberFormat="1" applyFont="1" applyBorder="1" applyAlignment="1">
      <alignment horizontal="center"/>
    </xf>
    <xf numFmtId="14" fontId="19" fillId="0" borderId="12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25" borderId="19" xfId="0" applyFont="1" applyFill="1" applyBorder="1" applyAlignment="1">
      <alignment horizontal="center"/>
    </xf>
    <xf numFmtId="0" fontId="19" fillId="25" borderId="27" xfId="0" applyFont="1" applyFill="1" applyBorder="1" applyAlignment="1">
      <alignment horizontal="center"/>
    </xf>
    <xf numFmtId="0" fontId="19" fillId="25" borderId="20" xfId="0" applyFont="1" applyFill="1" applyBorder="1" applyAlignment="1">
      <alignment horizontal="center"/>
    </xf>
    <xf numFmtId="14" fontId="19" fillId="0" borderId="34" xfId="0" applyNumberFormat="1" applyFont="1" applyBorder="1" applyAlignment="1">
      <alignment horizontal="center"/>
    </xf>
    <xf numFmtId="14" fontId="19" fillId="0" borderId="29" xfId="0" applyNumberFormat="1" applyFont="1" applyBorder="1" applyAlignment="1">
      <alignment horizontal="center"/>
    </xf>
    <xf numFmtId="0" fontId="19" fillId="0" borderId="34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14" fontId="1" fillId="0" borderId="22" xfId="0" applyNumberFormat="1" applyFont="1" applyBorder="1" applyAlignment="1">
      <alignment horizontal="center"/>
    </xf>
    <xf numFmtId="14" fontId="1" fillId="0" borderId="23" xfId="0" applyNumberFormat="1" applyFont="1" applyBorder="1" applyAlignment="1">
      <alignment horizontal="center"/>
    </xf>
    <xf numFmtId="17" fontId="1" fillId="0" borderId="22" xfId="0" applyNumberFormat="1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9" fillId="24" borderId="19" xfId="0" applyFont="1" applyFill="1" applyBorder="1" applyAlignment="1">
      <alignment vertical="center" wrapText="1"/>
    </xf>
    <xf numFmtId="0" fontId="19" fillId="24" borderId="20" xfId="0" applyFont="1" applyFill="1" applyBorder="1" applyAlignment="1">
      <alignment vertical="center" wrapText="1"/>
    </xf>
    <xf numFmtId="0" fontId="19" fillId="24" borderId="19" xfId="0" applyFont="1" applyFill="1" applyBorder="1" applyAlignment="1">
      <alignment horizontal="center" vertical="center" wrapText="1"/>
    </xf>
    <xf numFmtId="0" fontId="19" fillId="24" borderId="20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/>
    </xf>
    <xf numFmtId="4" fontId="21" fillId="0" borderId="40" xfId="0" applyNumberFormat="1" applyFont="1" applyBorder="1" applyAlignment="1">
      <alignment horizontal="center"/>
    </xf>
    <xf numFmtId="4" fontId="21" fillId="0" borderId="41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4" fontId="1" fillId="0" borderId="32" xfId="0" applyNumberFormat="1" applyFont="1" applyBorder="1" applyAlignment="1">
      <alignment horizontal="center"/>
    </xf>
    <xf numFmtId="14" fontId="1" fillId="0" borderId="33" xfId="0" applyNumberFormat="1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14" fontId="19" fillId="0" borderId="19" xfId="0" applyNumberFormat="1" applyFont="1" applyBorder="1" applyAlignment="1">
      <alignment horizontal="right"/>
    </xf>
    <xf numFmtId="14" fontId="19" fillId="0" borderId="27" xfId="0" applyNumberFormat="1" applyFont="1" applyBorder="1" applyAlignment="1">
      <alignment horizontal="right"/>
    </xf>
    <xf numFmtId="14" fontId="19" fillId="0" borderId="20" xfId="0" applyNumberFormat="1" applyFont="1" applyBorder="1" applyAlignment="1">
      <alignment horizontal="right"/>
    </xf>
    <xf numFmtId="14" fontId="1" fillId="0" borderId="34" xfId="0" applyNumberFormat="1" applyFont="1" applyBorder="1" applyAlignment="1">
      <alignment horizontal="center"/>
    </xf>
    <xf numFmtId="14" fontId="1" fillId="0" borderId="29" xfId="0" applyNumberFormat="1" applyFont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14" fontId="1" fillId="0" borderId="22" xfId="0" applyNumberFormat="1" applyFont="1" applyFill="1" applyBorder="1" applyAlignment="1">
      <alignment horizontal="center"/>
    </xf>
    <xf numFmtId="14" fontId="1" fillId="0" borderId="23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0" fillId="0" borderId="0" xfId="0" applyFont="1" applyAlignment="1">
      <alignment vertical="top"/>
    </xf>
    <xf numFmtId="0" fontId="0" fillId="0" borderId="0" xfId="0" applyFill="1"/>
    <xf numFmtId="166" fontId="0" fillId="0" borderId="0" xfId="0" applyNumberFormat="1" applyFill="1"/>
    <xf numFmtId="0" fontId="0" fillId="0" borderId="0" xfId="0" applyFill="1" applyAlignment="1">
      <alignment horizontal="left"/>
    </xf>
    <xf numFmtId="4" fontId="0" fillId="0" borderId="0" xfId="0" applyNumberFormat="1" applyFill="1"/>
    <xf numFmtId="49" fontId="0" fillId="0" borderId="0" xfId="0" applyNumberFormat="1" applyFill="1" applyAlignment="1">
      <alignment horizontal="left"/>
    </xf>
    <xf numFmtId="4" fontId="24" fillId="0" borderId="0" xfId="0" applyNumberFormat="1" applyFont="1" applyFill="1"/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Milliers" xfId="31" builtinId="3"/>
    <cellStyle name="Milliers 2" xfId="43" xr:uid="{00000000-0005-0000-0000-00001E000000}"/>
    <cellStyle name="Milliers 2 2" xfId="45" xr:uid="{00000000-0005-0000-0000-00001F000000}"/>
    <cellStyle name="Milliers 2 3" xfId="46" xr:uid="{00000000-0005-0000-0000-000020000000}"/>
    <cellStyle name="Milliers 3" xfId="44" xr:uid="{00000000-0005-0000-0000-000021000000}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39FEC-4A98-4E15-B141-82A00BAA67B9}">
  <dimension ref="A1:P13"/>
  <sheetViews>
    <sheetView tabSelected="1" topLeftCell="B1" workbookViewId="0">
      <selection activeCell="P14" sqref="P14"/>
    </sheetView>
  </sheetViews>
  <sheetFormatPr baseColWidth="10" defaultRowHeight="12.75" x14ac:dyDescent="0.2"/>
  <cols>
    <col min="3" max="3" width="40" bestFit="1" customWidth="1"/>
    <col min="4" max="4" width="7.5703125" bestFit="1" customWidth="1"/>
    <col min="5" max="5" width="53.85546875" bestFit="1" customWidth="1"/>
    <col min="11" max="11" width="27.85546875" bestFit="1" customWidth="1"/>
    <col min="14" max="14" width="17.42578125" bestFit="1" customWidth="1"/>
  </cols>
  <sheetData>
    <row r="1" spans="1:16" x14ac:dyDescent="0.2">
      <c r="A1" s="210" t="s">
        <v>120</v>
      </c>
      <c r="B1" s="210" t="s">
        <v>121</v>
      </c>
      <c r="C1" t="s">
        <v>122</v>
      </c>
      <c r="D1" t="s">
        <v>123</v>
      </c>
      <c r="E1" t="s">
        <v>124</v>
      </c>
      <c r="F1" t="s">
        <v>125</v>
      </c>
      <c r="G1" t="s">
        <v>126</v>
      </c>
      <c r="H1" s="211" t="s">
        <v>127</v>
      </c>
      <c r="I1" t="s">
        <v>128</v>
      </c>
      <c r="J1" t="s">
        <v>129</v>
      </c>
      <c r="K1" t="s">
        <v>130</v>
      </c>
      <c r="L1" t="s">
        <v>131</v>
      </c>
      <c r="M1" t="s">
        <v>132</v>
      </c>
      <c r="N1" t="s">
        <v>133</v>
      </c>
      <c r="O1" t="s">
        <v>134</v>
      </c>
      <c r="P1" t="s">
        <v>7</v>
      </c>
    </row>
    <row r="2" spans="1:16" x14ac:dyDescent="0.2">
      <c r="A2" s="212">
        <v>265</v>
      </c>
      <c r="B2" s="212">
        <v>265</v>
      </c>
      <c r="C2" s="213"/>
      <c r="D2" s="213"/>
      <c r="E2" s="211"/>
      <c r="F2" s="211"/>
      <c r="G2" s="211"/>
      <c r="H2" s="211"/>
      <c r="I2" s="214"/>
      <c r="J2" s="214"/>
      <c r="K2" s="214" t="s">
        <v>135</v>
      </c>
      <c r="L2" s="211"/>
      <c r="M2" s="211">
        <v>981000</v>
      </c>
      <c r="N2" s="211"/>
      <c r="O2" s="215" t="s">
        <v>136</v>
      </c>
      <c r="P2" s="211">
        <v>4100</v>
      </c>
    </row>
    <row r="3" spans="1:16" x14ac:dyDescent="0.2">
      <c r="A3" s="212">
        <v>265</v>
      </c>
      <c r="B3" s="212">
        <v>265</v>
      </c>
      <c r="C3" s="213"/>
      <c r="D3" s="213"/>
      <c r="E3" s="211"/>
      <c r="F3" s="211"/>
      <c r="G3" s="211"/>
      <c r="H3" s="211"/>
      <c r="I3" s="214"/>
      <c r="J3" s="214"/>
      <c r="K3" s="214" t="s">
        <v>135</v>
      </c>
      <c r="L3" s="211"/>
      <c r="M3" s="211">
        <v>981000</v>
      </c>
      <c r="N3" s="211"/>
      <c r="O3" s="215" t="s">
        <v>136</v>
      </c>
      <c r="P3" s="211">
        <v>1430</v>
      </c>
    </row>
    <row r="4" spans="1:16" x14ac:dyDescent="0.2">
      <c r="A4" s="212">
        <v>265</v>
      </c>
      <c r="B4" s="212">
        <v>265</v>
      </c>
      <c r="C4" s="213"/>
      <c r="D4" s="213"/>
      <c r="E4" s="211"/>
      <c r="F4" s="211"/>
      <c r="G4" s="211"/>
      <c r="H4" s="211"/>
      <c r="I4" s="214"/>
      <c r="J4" s="214"/>
      <c r="K4" s="214" t="s">
        <v>135</v>
      </c>
      <c r="L4" s="211"/>
      <c r="M4" s="211">
        <v>981000</v>
      </c>
      <c r="N4" s="211"/>
      <c r="O4" s="215" t="s">
        <v>136</v>
      </c>
      <c r="P4" s="211">
        <v>4106</v>
      </c>
    </row>
    <row r="5" spans="1:16" x14ac:dyDescent="0.2">
      <c r="A5" s="212">
        <v>265</v>
      </c>
      <c r="B5" s="212">
        <v>265</v>
      </c>
      <c r="C5" s="213"/>
      <c r="D5" s="213"/>
      <c r="E5" s="211"/>
      <c r="F5" s="211"/>
      <c r="G5" s="211"/>
      <c r="H5" s="211"/>
      <c r="I5" s="214"/>
      <c r="J5" s="214"/>
      <c r="K5" s="214" t="s">
        <v>135</v>
      </c>
      <c r="L5" s="211"/>
      <c r="M5" s="211">
        <v>981000</v>
      </c>
      <c r="N5" s="211"/>
      <c r="O5" s="215" t="s">
        <v>136</v>
      </c>
      <c r="P5" s="211">
        <v>3200</v>
      </c>
    </row>
    <row r="6" spans="1:16" x14ac:dyDescent="0.2">
      <c r="A6" s="212">
        <v>265</v>
      </c>
      <c r="B6" s="212">
        <v>265</v>
      </c>
      <c r="C6" s="213"/>
      <c r="D6" s="213"/>
      <c r="E6" s="211"/>
      <c r="F6" s="211"/>
      <c r="G6" s="211"/>
      <c r="H6" s="211"/>
      <c r="I6" s="214"/>
      <c r="J6" s="214"/>
      <c r="K6" s="214" t="s">
        <v>135</v>
      </c>
      <c r="L6" s="211"/>
      <c r="M6" s="211">
        <v>981000</v>
      </c>
      <c r="N6" s="211"/>
      <c r="O6" s="215" t="s">
        <v>136</v>
      </c>
      <c r="P6" s="211">
        <v>4214</v>
      </c>
    </row>
    <row r="7" spans="1:16" x14ac:dyDescent="0.2">
      <c r="A7" s="212">
        <v>265</v>
      </c>
      <c r="B7" s="212">
        <v>265</v>
      </c>
      <c r="C7" s="213"/>
      <c r="D7" s="213"/>
      <c r="E7" s="211"/>
      <c r="F7" s="211"/>
      <c r="G7" s="211"/>
      <c r="H7" s="211"/>
      <c r="I7" s="214"/>
      <c r="J7" s="214"/>
      <c r="K7" s="214" t="s">
        <v>135</v>
      </c>
      <c r="L7" s="211"/>
      <c r="M7" s="211">
        <v>981000</v>
      </c>
      <c r="N7" s="211"/>
      <c r="O7" s="215" t="s">
        <v>137</v>
      </c>
      <c r="P7" s="211">
        <v>4100</v>
      </c>
    </row>
    <row r="8" spans="1:16" ht="15" x14ac:dyDescent="0.25">
      <c r="A8" s="212">
        <v>265</v>
      </c>
      <c r="B8" s="212">
        <v>265</v>
      </c>
      <c r="C8" s="213"/>
      <c r="D8" s="213"/>
      <c r="E8" s="211"/>
      <c r="F8" s="211"/>
      <c r="G8" s="211"/>
      <c r="H8" s="211"/>
      <c r="I8" s="216"/>
      <c r="J8" s="214"/>
      <c r="K8" s="214" t="s">
        <v>135</v>
      </c>
      <c r="L8" s="211"/>
      <c r="M8" s="211">
        <v>981000</v>
      </c>
      <c r="N8" s="211"/>
      <c r="O8" s="215" t="s">
        <v>137</v>
      </c>
      <c r="P8" s="211">
        <v>1430</v>
      </c>
    </row>
    <row r="9" spans="1:16" x14ac:dyDescent="0.2">
      <c r="A9" s="212">
        <v>265</v>
      </c>
      <c r="B9" s="212">
        <v>265</v>
      </c>
      <c r="C9" s="213"/>
      <c r="D9" s="213"/>
      <c r="E9" s="211"/>
      <c r="F9" s="211"/>
      <c r="G9" s="211"/>
      <c r="H9" s="211"/>
      <c r="I9" s="214"/>
      <c r="J9" s="214"/>
      <c r="K9" s="214" t="s">
        <v>135</v>
      </c>
      <c r="L9" s="211"/>
      <c r="M9" s="211">
        <v>981000</v>
      </c>
      <c r="N9" s="211"/>
      <c r="O9" s="215" t="s">
        <v>137</v>
      </c>
      <c r="P9" s="211">
        <v>4106</v>
      </c>
    </row>
    <row r="10" spans="1:16" x14ac:dyDescent="0.2">
      <c r="A10" s="212">
        <v>265</v>
      </c>
      <c r="B10" s="212">
        <v>265</v>
      </c>
      <c r="C10" s="213"/>
      <c r="D10" s="213"/>
      <c r="E10" s="211"/>
      <c r="F10" s="211"/>
      <c r="G10" s="211"/>
      <c r="H10" s="211"/>
      <c r="I10" s="214"/>
      <c r="J10" s="214"/>
      <c r="K10" s="214" t="s">
        <v>135</v>
      </c>
      <c r="L10" s="211"/>
      <c r="M10" s="211">
        <v>981000</v>
      </c>
      <c r="N10" s="211"/>
      <c r="O10" s="215" t="s">
        <v>137</v>
      </c>
      <c r="P10" s="211">
        <v>3200</v>
      </c>
    </row>
    <row r="13" spans="1:16" x14ac:dyDescent="0.2">
      <c r="A13" s="212">
        <v>265</v>
      </c>
      <c r="B13" s="212">
        <v>265</v>
      </c>
      <c r="C13" t="s">
        <v>138</v>
      </c>
      <c r="E13" t="s">
        <v>139</v>
      </c>
      <c r="I13" s="214" t="s">
        <v>140</v>
      </c>
      <c r="J13" s="214" t="s">
        <v>141</v>
      </c>
      <c r="K13" s="214" t="s">
        <v>142</v>
      </c>
      <c r="M13" t="s">
        <v>139</v>
      </c>
      <c r="O13" s="215" t="s">
        <v>143</v>
      </c>
      <c r="P13" t="s">
        <v>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U89"/>
  <sheetViews>
    <sheetView topLeftCell="A2" zoomScaleNormal="100" workbookViewId="0">
      <selection activeCell="B5" sqref="A5:B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G5" s="50"/>
      <c r="H5" s="51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F6" s="56"/>
      <c r="G6" s="56"/>
      <c r="H6" s="67"/>
      <c r="I6" s="50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96</v>
      </c>
      <c r="E9" s="56"/>
      <c r="F9" s="12" t="s">
        <v>11</v>
      </c>
      <c r="G9" s="93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</v>
      </c>
      <c r="B10" s="3" t="s">
        <v>95</v>
      </c>
      <c r="C10" s="11" t="s">
        <v>8</v>
      </c>
      <c r="D10" s="3"/>
      <c r="E10" s="56"/>
      <c r="F10" s="13" t="s">
        <v>1</v>
      </c>
      <c r="G10" s="100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99" t="s">
        <v>3</v>
      </c>
      <c r="F14" s="99" t="s">
        <v>14</v>
      </c>
      <c r="G14" s="99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0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175"/>
      <c r="B15" s="176"/>
      <c r="C15" s="177"/>
      <c r="D15" s="178"/>
      <c r="E15" s="89"/>
      <c r="F15" s="89"/>
      <c r="G15" s="88"/>
      <c r="H15" s="87"/>
      <c r="I15" s="86"/>
      <c r="J15" s="49" t="str">
        <f t="shared" ref="J15:J62" si="0">IF(I15="","",+LOOKUP(I15,$O$15:$O$53,$L$15:$L$53))</f>
        <v/>
      </c>
      <c r="K15" s="56"/>
      <c r="L15" s="154">
        <v>708310</v>
      </c>
      <c r="M15" s="164">
        <v>0</v>
      </c>
      <c r="N15" s="156">
        <f t="shared" ref="N15:N20" si="1">+SUMIFS($H$15:$H$65,$I$15:$I$65,O15)</f>
        <v>0</v>
      </c>
      <c r="O15" s="157">
        <v>550</v>
      </c>
      <c r="P15" s="56"/>
      <c r="Q15" s="56" t="str">
        <f>IF(M15=0,"",L15)</f>
        <v/>
      </c>
      <c r="R15" s="56">
        <f>IF(M15="","",M15)</f>
        <v>0</v>
      </c>
      <c r="S15" s="56" t="str">
        <f>IF(N15=0,"",L15)</f>
        <v/>
      </c>
      <c r="T15" s="56">
        <f>IF(L15="","",N15)</f>
        <v>0</v>
      </c>
      <c r="U15" s="56"/>
    </row>
    <row r="16" spans="1:21" x14ac:dyDescent="0.2">
      <c r="A16" s="179" t="s">
        <v>64</v>
      </c>
      <c r="B16" s="180"/>
      <c r="C16" s="181" t="s">
        <v>113</v>
      </c>
      <c r="D16" s="182"/>
      <c r="E16" s="96" t="s">
        <v>33</v>
      </c>
      <c r="F16" s="96" t="s">
        <v>33</v>
      </c>
      <c r="G16" s="47">
        <v>43555</v>
      </c>
      <c r="H16" s="85">
        <v>130.1</v>
      </c>
      <c r="I16" s="48">
        <v>810</v>
      </c>
      <c r="J16" s="49">
        <f t="shared" si="0"/>
        <v>708800</v>
      </c>
      <c r="L16" s="158">
        <v>708800</v>
      </c>
      <c r="M16" s="155">
        <v>0</v>
      </c>
      <c r="N16" s="155">
        <f t="shared" si="1"/>
        <v>130.1</v>
      </c>
      <c r="O16" s="159">
        <v>810</v>
      </c>
      <c r="Q16" s="56" t="str">
        <f t="shared" ref="Q16:Q53" si="2">IF(M16=0,"",L16)</f>
        <v/>
      </c>
      <c r="R16" s="56">
        <f t="shared" ref="R16:R53" si="3">IF(M16="","",M16)</f>
        <v>0</v>
      </c>
      <c r="S16" s="56">
        <f t="shared" ref="S16:S53" si="4">IF(N16=0,"",L16)</f>
        <v>708800</v>
      </c>
      <c r="T16" s="56">
        <f t="shared" ref="T16:T47" si="5">IF(L16="","",N16)</f>
        <v>130.1</v>
      </c>
    </row>
    <row r="17" spans="1:20" x14ac:dyDescent="0.2">
      <c r="A17" s="179" t="s">
        <v>64</v>
      </c>
      <c r="B17" s="180"/>
      <c r="C17" s="181" t="s">
        <v>112</v>
      </c>
      <c r="D17" s="182"/>
      <c r="E17" s="96" t="s">
        <v>33</v>
      </c>
      <c r="F17" s="96" t="s">
        <v>33</v>
      </c>
      <c r="G17" s="47">
        <v>43555</v>
      </c>
      <c r="H17" s="85">
        <v>0</v>
      </c>
      <c r="I17" s="48">
        <v>810</v>
      </c>
      <c r="J17" s="49">
        <v>708800</v>
      </c>
      <c r="L17" s="158">
        <v>708405</v>
      </c>
      <c r="M17" s="155">
        <v>0</v>
      </c>
      <c r="N17" s="155">
        <f t="shared" si="1"/>
        <v>0</v>
      </c>
      <c r="O17" s="159">
        <v>1210</v>
      </c>
      <c r="Q17" s="56" t="str">
        <f t="shared" si="2"/>
        <v/>
      </c>
      <c r="R17" s="56">
        <f t="shared" si="3"/>
        <v>0</v>
      </c>
      <c r="S17" s="56" t="str">
        <f t="shared" si="4"/>
        <v/>
      </c>
      <c r="T17" s="56">
        <f t="shared" si="5"/>
        <v>0</v>
      </c>
    </row>
    <row r="18" spans="1:20" x14ac:dyDescent="0.2">
      <c r="A18" s="179"/>
      <c r="B18" s="180"/>
      <c r="C18" s="181"/>
      <c r="D18" s="182"/>
      <c r="E18" s="96"/>
      <c r="F18" s="96"/>
      <c r="G18" s="47"/>
      <c r="H18" s="85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  <c r="Q18" s="56" t="str">
        <f t="shared" si="2"/>
        <v/>
      </c>
      <c r="R18" s="56">
        <f t="shared" si="3"/>
        <v>0</v>
      </c>
      <c r="S18" s="56" t="str">
        <f t="shared" si="4"/>
        <v/>
      </c>
      <c r="T18" s="56">
        <f t="shared" si="5"/>
        <v>0</v>
      </c>
    </row>
    <row r="19" spans="1:20" x14ac:dyDescent="0.2">
      <c r="A19" s="179" t="s">
        <v>111</v>
      </c>
      <c r="B19" s="180"/>
      <c r="C19" s="181" t="s">
        <v>114</v>
      </c>
      <c r="D19" s="182"/>
      <c r="E19" s="77" t="s">
        <v>33</v>
      </c>
      <c r="F19" s="96" t="s">
        <v>33</v>
      </c>
      <c r="G19" s="47">
        <v>43585</v>
      </c>
      <c r="H19" s="85">
        <v>0</v>
      </c>
      <c r="I19" s="48">
        <v>810</v>
      </c>
      <c r="J19" s="49">
        <f t="shared" si="0"/>
        <v>708800</v>
      </c>
      <c r="L19" s="9"/>
      <c r="M19" s="28"/>
      <c r="N19" s="28"/>
      <c r="O19" s="42"/>
      <c r="Q19" s="56" t="str">
        <f t="shared" si="2"/>
        <v/>
      </c>
      <c r="R19" s="56" t="str">
        <f t="shared" si="3"/>
        <v/>
      </c>
      <c r="S19" s="56" t="str">
        <f t="shared" si="4"/>
        <v/>
      </c>
      <c r="T19" s="56" t="str">
        <f t="shared" si="5"/>
        <v/>
      </c>
    </row>
    <row r="20" spans="1:20" x14ac:dyDescent="0.2">
      <c r="A20" s="179"/>
      <c r="B20" s="180"/>
      <c r="C20" s="181"/>
      <c r="D20" s="182"/>
      <c r="E20" s="163"/>
      <c r="F20" s="163"/>
      <c r="G20" s="47"/>
      <c r="H20" s="85"/>
      <c r="I20" s="48"/>
      <c r="J20" s="49" t="str">
        <f t="shared" ref="J20" si="6">IF(I20="","",+LOOKUP(I20,$O$15:$O$53,$L$15:$L$53))</f>
        <v/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  <c r="Q20" s="56" t="str">
        <f t="shared" si="2"/>
        <v/>
      </c>
      <c r="R20" s="56">
        <f t="shared" si="3"/>
        <v>0</v>
      </c>
      <c r="S20" s="56" t="str">
        <f t="shared" si="4"/>
        <v/>
      </c>
      <c r="T20" s="56">
        <f t="shared" si="5"/>
        <v>0</v>
      </c>
    </row>
    <row r="21" spans="1:20" x14ac:dyDescent="0.2">
      <c r="A21" s="179" t="s">
        <v>111</v>
      </c>
      <c r="B21" s="180"/>
      <c r="C21" s="181" t="s">
        <v>115</v>
      </c>
      <c r="D21" s="182"/>
      <c r="E21" s="163" t="s">
        <v>33</v>
      </c>
      <c r="F21" s="163" t="s">
        <v>33</v>
      </c>
      <c r="G21" s="47">
        <v>43616</v>
      </c>
      <c r="H21" s="85">
        <v>0</v>
      </c>
      <c r="I21" s="48">
        <v>810</v>
      </c>
      <c r="J21" s="49">
        <f t="shared" si="0"/>
        <v>708800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  <c r="Q21" s="56" t="str">
        <f t="shared" si="2"/>
        <v/>
      </c>
      <c r="R21" s="56">
        <f t="shared" si="3"/>
        <v>0</v>
      </c>
      <c r="S21" s="56" t="str">
        <f t="shared" si="4"/>
        <v/>
      </c>
      <c r="T21" s="56">
        <f t="shared" si="5"/>
        <v>0</v>
      </c>
    </row>
    <row r="22" spans="1:20" x14ac:dyDescent="0.2">
      <c r="A22" s="179" t="s">
        <v>111</v>
      </c>
      <c r="B22" s="180"/>
      <c r="C22" s="187" t="s">
        <v>116</v>
      </c>
      <c r="D22" s="182"/>
      <c r="E22" s="96" t="s">
        <v>117</v>
      </c>
      <c r="F22" s="96" t="s">
        <v>33</v>
      </c>
      <c r="G22" s="47">
        <v>43616</v>
      </c>
      <c r="H22" s="85"/>
      <c r="I22" s="48">
        <v>810</v>
      </c>
      <c r="J22" s="49">
        <f t="shared" si="0"/>
        <v>708800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  <c r="Q22" s="56" t="str">
        <f t="shared" si="2"/>
        <v/>
      </c>
      <c r="R22" s="56">
        <f t="shared" si="3"/>
        <v>0</v>
      </c>
      <c r="S22" s="56" t="str">
        <f t="shared" si="4"/>
        <v/>
      </c>
      <c r="T22" s="56">
        <f t="shared" si="5"/>
        <v>0</v>
      </c>
    </row>
    <row r="23" spans="1:20" x14ac:dyDescent="0.2">
      <c r="A23" s="179"/>
      <c r="B23" s="180"/>
      <c r="C23" s="181"/>
      <c r="D23" s="182"/>
      <c r="E23" s="96"/>
      <c r="F23" s="96"/>
      <c r="G23" s="47"/>
      <c r="H23" s="85"/>
      <c r="I23" s="48"/>
      <c r="J23" s="49" t="str">
        <f t="shared" si="0"/>
        <v/>
      </c>
      <c r="L23" s="9"/>
      <c r="M23" s="28"/>
      <c r="N23" s="28"/>
      <c r="O23" s="42"/>
      <c r="Q23" s="56" t="str">
        <f t="shared" si="2"/>
        <v/>
      </c>
      <c r="R23" s="56" t="str">
        <f t="shared" si="3"/>
        <v/>
      </c>
      <c r="S23" s="56" t="str">
        <f t="shared" si="4"/>
        <v/>
      </c>
      <c r="T23" s="56" t="str">
        <f t="shared" si="5"/>
        <v/>
      </c>
    </row>
    <row r="24" spans="1:20" x14ac:dyDescent="0.2">
      <c r="A24" s="179" t="s">
        <v>111</v>
      </c>
      <c r="B24" s="180"/>
      <c r="C24" s="187" t="s">
        <v>118</v>
      </c>
      <c r="D24" s="182"/>
      <c r="E24" s="96" t="s">
        <v>33</v>
      </c>
      <c r="F24" s="96" t="s">
        <v>33</v>
      </c>
      <c r="G24" s="47">
        <v>43646</v>
      </c>
      <c r="H24" s="85"/>
      <c r="I24" s="48">
        <v>810</v>
      </c>
      <c r="J24" s="49">
        <f t="shared" si="0"/>
        <v>708800</v>
      </c>
      <c r="L24" s="9">
        <v>606100</v>
      </c>
      <c r="M24" s="28">
        <f t="shared" ref="M24" si="7">+SUMIFS($H$15:$H$65,$I$15:$I$65,O24)</f>
        <v>0</v>
      </c>
      <c r="N24" s="28">
        <v>0</v>
      </c>
      <c r="O24" s="42">
        <v>2308</v>
      </c>
      <c r="Q24" s="56" t="str">
        <f t="shared" si="2"/>
        <v/>
      </c>
      <c r="R24" s="56">
        <f t="shared" si="3"/>
        <v>0</v>
      </c>
      <c r="S24" s="56" t="str">
        <f t="shared" si="4"/>
        <v/>
      </c>
      <c r="T24" s="56">
        <f t="shared" si="5"/>
        <v>0</v>
      </c>
    </row>
    <row r="25" spans="1:20" x14ac:dyDescent="0.2">
      <c r="A25" s="179" t="s">
        <v>111</v>
      </c>
      <c r="B25" s="180"/>
      <c r="C25" s="187" t="s">
        <v>119</v>
      </c>
      <c r="D25" s="182"/>
      <c r="E25" s="96" t="s">
        <v>33</v>
      </c>
      <c r="F25" s="96" t="s">
        <v>33</v>
      </c>
      <c r="G25" s="47">
        <v>43646</v>
      </c>
      <c r="H25" s="85"/>
      <c r="I25" s="48">
        <v>810</v>
      </c>
      <c r="J25" s="49">
        <f t="shared" si="0"/>
        <v>708800</v>
      </c>
      <c r="L25" s="9">
        <v>606100</v>
      </c>
      <c r="M25" s="28">
        <f t="shared" ref="M25" si="8">+SUMIFS($H$15:$H$65,$I$15:$I$65,O25)</f>
        <v>0</v>
      </c>
      <c r="N25" s="28">
        <v>0</v>
      </c>
      <c r="O25" s="42">
        <v>2222</v>
      </c>
      <c r="Q25" s="56" t="str">
        <f t="shared" si="2"/>
        <v/>
      </c>
      <c r="R25" s="56">
        <f t="shared" si="3"/>
        <v>0</v>
      </c>
      <c r="S25" s="56" t="str">
        <f t="shared" si="4"/>
        <v/>
      </c>
      <c r="T25" s="56">
        <f t="shared" si="5"/>
        <v>0</v>
      </c>
    </row>
    <row r="26" spans="1:20" x14ac:dyDescent="0.2">
      <c r="A26" s="179"/>
      <c r="B26" s="180"/>
      <c r="C26" s="187"/>
      <c r="D26" s="182"/>
      <c r="E26" s="96"/>
      <c r="F26" s="96"/>
      <c r="G26" s="47"/>
      <c r="H26" s="85"/>
      <c r="I26" s="48"/>
      <c r="J26" s="49" t="str">
        <f t="shared" si="0"/>
        <v/>
      </c>
      <c r="L26" s="9">
        <v>606100</v>
      </c>
      <c r="M26" s="28">
        <f t="shared" ref="M26:M47" si="9">+SUMIFS($H$15:$H$65,$I$15:$I$65,O26)</f>
        <v>0</v>
      </c>
      <c r="N26" s="28">
        <v>0</v>
      </c>
      <c r="O26" s="42">
        <v>2224</v>
      </c>
      <c r="Q26" s="56" t="str">
        <f t="shared" si="2"/>
        <v/>
      </c>
      <c r="R26" s="56">
        <f t="shared" si="3"/>
        <v>0</v>
      </c>
      <c r="S26" s="56" t="str">
        <f t="shared" si="4"/>
        <v/>
      </c>
      <c r="T26" s="56">
        <f t="shared" si="5"/>
        <v>0</v>
      </c>
    </row>
    <row r="27" spans="1:20" x14ac:dyDescent="0.2">
      <c r="A27" s="179"/>
      <c r="B27" s="180"/>
      <c r="C27" s="187"/>
      <c r="D27" s="182"/>
      <c r="E27" s="96"/>
      <c r="F27" s="96"/>
      <c r="G27" s="47"/>
      <c r="H27" s="85"/>
      <c r="I27" s="48"/>
      <c r="J27" s="49" t="str">
        <f t="shared" si="0"/>
        <v/>
      </c>
      <c r="L27" s="9">
        <v>606840</v>
      </c>
      <c r="M27" s="28">
        <f t="shared" si="9"/>
        <v>0</v>
      </c>
      <c r="N27" s="28">
        <f>+SUMIFS($H$15:$H$65,$I$15:$I$65,O27)</f>
        <v>0</v>
      </c>
      <c r="O27" s="42">
        <v>2406</v>
      </c>
      <c r="Q27" s="56" t="str">
        <f t="shared" si="2"/>
        <v/>
      </c>
      <c r="R27" s="56">
        <f t="shared" si="3"/>
        <v>0</v>
      </c>
      <c r="S27" s="56" t="str">
        <f t="shared" si="4"/>
        <v/>
      </c>
      <c r="T27" s="56">
        <f t="shared" si="5"/>
        <v>0</v>
      </c>
    </row>
    <row r="28" spans="1:20" x14ac:dyDescent="0.2">
      <c r="A28" s="179"/>
      <c r="B28" s="180"/>
      <c r="C28" s="187"/>
      <c r="D28" s="182"/>
      <c r="E28" s="96"/>
      <c r="F28" s="96"/>
      <c r="G28" s="47"/>
      <c r="H28" s="85"/>
      <c r="I28" s="48"/>
      <c r="J28" s="49" t="str">
        <f t="shared" si="0"/>
        <v/>
      </c>
      <c r="L28" s="9">
        <v>606100</v>
      </c>
      <c r="M28" s="28">
        <f t="shared" si="9"/>
        <v>0</v>
      </c>
      <c r="N28" s="28">
        <f>+SUMIFS($H$15:$H$65,$I$15:$I$65,O28)</f>
        <v>0</v>
      </c>
      <c r="O28" s="42">
        <v>2700</v>
      </c>
      <c r="Q28" s="56" t="str">
        <f t="shared" si="2"/>
        <v/>
      </c>
      <c r="R28" s="56">
        <f t="shared" si="3"/>
        <v>0</v>
      </c>
      <c r="S28" s="56" t="str">
        <f t="shared" si="4"/>
        <v/>
      </c>
      <c r="T28" s="56">
        <f t="shared" si="5"/>
        <v>0</v>
      </c>
    </row>
    <row r="29" spans="1:20" x14ac:dyDescent="0.2">
      <c r="A29" s="179"/>
      <c r="B29" s="180"/>
      <c r="C29" s="187"/>
      <c r="D29" s="182"/>
      <c r="E29" s="96"/>
      <c r="F29" s="96"/>
      <c r="G29" s="47"/>
      <c r="H29" s="85"/>
      <c r="I29" s="48"/>
      <c r="J29" s="49" t="str">
        <f t="shared" si="0"/>
        <v/>
      </c>
      <c r="L29" s="9">
        <v>606100</v>
      </c>
      <c r="M29" s="28">
        <f t="shared" ref="M29" si="10">+SUMIFS($H$15:$H$65,$I$15:$I$65,O29)</f>
        <v>0</v>
      </c>
      <c r="N29" s="28">
        <v>0</v>
      </c>
      <c r="O29" s="42">
        <v>2712</v>
      </c>
      <c r="Q29" s="56" t="str">
        <f t="shared" si="2"/>
        <v/>
      </c>
      <c r="R29" s="56">
        <f t="shared" si="3"/>
        <v>0</v>
      </c>
      <c r="S29" s="56" t="str">
        <f t="shared" si="4"/>
        <v/>
      </c>
      <c r="T29" s="56">
        <f t="shared" si="5"/>
        <v>0</v>
      </c>
    </row>
    <row r="30" spans="1:20" x14ac:dyDescent="0.2">
      <c r="A30" s="179"/>
      <c r="B30" s="180"/>
      <c r="C30" s="187"/>
      <c r="D30" s="182"/>
      <c r="E30" s="96"/>
      <c r="F30" s="96"/>
      <c r="G30" s="47"/>
      <c r="H30" s="85"/>
      <c r="I30" s="48"/>
      <c r="J30" s="49" t="str">
        <f t="shared" si="0"/>
        <v/>
      </c>
      <c r="L30" s="9">
        <v>613500</v>
      </c>
      <c r="M30" s="28">
        <f t="shared" si="9"/>
        <v>0</v>
      </c>
      <c r="N30" s="28">
        <v>0</v>
      </c>
      <c r="O30" s="42">
        <v>3112</v>
      </c>
      <c r="Q30" s="56" t="str">
        <f t="shared" si="2"/>
        <v/>
      </c>
      <c r="R30" s="56">
        <f t="shared" si="3"/>
        <v>0</v>
      </c>
      <c r="S30" s="56" t="str">
        <f t="shared" si="4"/>
        <v/>
      </c>
      <c r="T30" s="56">
        <f t="shared" si="5"/>
        <v>0</v>
      </c>
    </row>
    <row r="31" spans="1:20" x14ac:dyDescent="0.2">
      <c r="A31" s="94"/>
      <c r="B31" s="95"/>
      <c r="C31" s="96"/>
      <c r="D31" s="97"/>
      <c r="E31" s="96"/>
      <c r="F31" s="96"/>
      <c r="G31" s="47"/>
      <c r="H31" s="85"/>
      <c r="I31" s="48"/>
      <c r="J31" s="49" t="str">
        <f t="shared" si="0"/>
        <v/>
      </c>
      <c r="L31" s="9">
        <v>606800</v>
      </c>
      <c r="M31" s="28">
        <f t="shared" si="9"/>
        <v>0</v>
      </c>
      <c r="N31" s="28">
        <f t="shared" ref="N31:N37" si="11">+SUMIFS($H$15:$H$65,$I$15:$I$65,O31)</f>
        <v>0</v>
      </c>
      <c r="O31" s="42">
        <v>3008</v>
      </c>
      <c r="Q31" s="56" t="str">
        <f t="shared" si="2"/>
        <v/>
      </c>
      <c r="R31" s="56">
        <f t="shared" si="3"/>
        <v>0</v>
      </c>
      <c r="S31" s="56" t="str">
        <f t="shared" si="4"/>
        <v/>
      </c>
      <c r="T31" s="56">
        <f t="shared" si="5"/>
        <v>0</v>
      </c>
    </row>
    <row r="32" spans="1:20" x14ac:dyDescent="0.2">
      <c r="A32" s="94"/>
      <c r="B32" s="95"/>
      <c r="C32" s="96"/>
      <c r="D32" s="97"/>
      <c r="E32" s="96"/>
      <c r="F32" s="96"/>
      <c r="G32" s="47"/>
      <c r="H32" s="85"/>
      <c r="I32" s="48"/>
      <c r="J32" s="49" t="str">
        <f t="shared" si="0"/>
        <v/>
      </c>
      <c r="L32" s="9">
        <v>606800</v>
      </c>
      <c r="M32" s="28">
        <f t="shared" si="9"/>
        <v>0</v>
      </c>
      <c r="N32" s="28">
        <f t="shared" si="11"/>
        <v>0</v>
      </c>
      <c r="O32" s="42">
        <v>3020</v>
      </c>
      <c r="Q32" s="56" t="str">
        <f t="shared" si="2"/>
        <v/>
      </c>
      <c r="R32" s="56">
        <f t="shared" si="3"/>
        <v>0</v>
      </c>
      <c r="S32" s="56" t="str">
        <f t="shared" si="4"/>
        <v/>
      </c>
      <c r="T32" s="56">
        <f t="shared" si="5"/>
        <v>0</v>
      </c>
    </row>
    <row r="33" spans="1:20" x14ac:dyDescent="0.2">
      <c r="A33" s="94"/>
      <c r="B33" s="95"/>
      <c r="C33" s="96"/>
      <c r="D33" s="97"/>
      <c r="E33" s="96"/>
      <c r="F33" s="96"/>
      <c r="G33" s="47"/>
      <c r="H33" s="85"/>
      <c r="I33" s="48"/>
      <c r="J33" s="49" t="str">
        <f t="shared" si="0"/>
        <v/>
      </c>
      <c r="L33" s="9">
        <v>613520</v>
      </c>
      <c r="M33" s="28">
        <f t="shared" si="9"/>
        <v>0</v>
      </c>
      <c r="N33" s="28">
        <f t="shared" si="11"/>
        <v>0</v>
      </c>
      <c r="O33" s="42">
        <v>3118</v>
      </c>
      <c r="Q33" s="56" t="str">
        <f t="shared" si="2"/>
        <v/>
      </c>
      <c r="R33" s="56">
        <f t="shared" si="3"/>
        <v>0</v>
      </c>
      <c r="S33" s="56" t="str">
        <f t="shared" si="4"/>
        <v/>
      </c>
      <c r="T33" s="56">
        <f t="shared" si="5"/>
        <v>0</v>
      </c>
    </row>
    <row r="34" spans="1:20" x14ac:dyDescent="0.2">
      <c r="A34" s="94"/>
      <c r="B34" s="95"/>
      <c r="C34" s="96"/>
      <c r="D34" s="97"/>
      <c r="E34" s="96"/>
      <c r="F34" s="96"/>
      <c r="G34" s="47"/>
      <c r="H34" s="85"/>
      <c r="I34" s="48"/>
      <c r="J34" s="49" t="str">
        <f t="shared" si="0"/>
        <v/>
      </c>
      <c r="L34" s="9">
        <v>613520</v>
      </c>
      <c r="M34" s="28">
        <f t="shared" si="9"/>
        <v>0</v>
      </c>
      <c r="N34" s="28">
        <f t="shared" si="11"/>
        <v>0</v>
      </c>
      <c r="O34" s="42">
        <v>3152</v>
      </c>
      <c r="Q34" s="56" t="str">
        <f t="shared" si="2"/>
        <v/>
      </c>
      <c r="R34" s="56">
        <f t="shared" si="3"/>
        <v>0</v>
      </c>
      <c r="S34" s="56" t="str">
        <f t="shared" si="4"/>
        <v/>
      </c>
      <c r="T34" s="56">
        <f t="shared" si="5"/>
        <v>0</v>
      </c>
    </row>
    <row r="35" spans="1:20" x14ac:dyDescent="0.2">
      <c r="A35" s="94"/>
      <c r="B35" s="95"/>
      <c r="C35" s="96"/>
      <c r="D35" s="97"/>
      <c r="E35" s="96"/>
      <c r="F35" s="96"/>
      <c r="G35" s="47"/>
      <c r="H35" s="85"/>
      <c r="I35" s="48"/>
      <c r="J35" s="49" t="str">
        <f t="shared" si="0"/>
        <v/>
      </c>
      <c r="L35" s="9">
        <v>615400</v>
      </c>
      <c r="M35" s="28">
        <f t="shared" si="9"/>
        <v>0</v>
      </c>
      <c r="N35" s="28">
        <f t="shared" si="11"/>
        <v>0</v>
      </c>
      <c r="O35" s="42">
        <v>3200</v>
      </c>
      <c r="Q35" s="56" t="str">
        <f t="shared" si="2"/>
        <v/>
      </c>
      <c r="R35" s="56">
        <f t="shared" si="3"/>
        <v>0</v>
      </c>
      <c r="S35" s="56" t="str">
        <f t="shared" si="4"/>
        <v/>
      </c>
      <c r="T35" s="56">
        <f t="shared" si="5"/>
        <v>0</v>
      </c>
    </row>
    <row r="36" spans="1:20" x14ac:dyDescent="0.2">
      <c r="A36" s="94"/>
      <c r="B36" s="95"/>
      <c r="C36" s="96"/>
      <c r="D36" s="97"/>
      <c r="E36" s="96"/>
      <c r="F36" s="96"/>
      <c r="G36" s="47"/>
      <c r="H36" s="85"/>
      <c r="I36" s="48"/>
      <c r="J36" s="49" t="str">
        <f t="shared" si="0"/>
        <v/>
      </c>
      <c r="L36" s="9">
        <v>624050</v>
      </c>
      <c r="M36" s="28">
        <f t="shared" si="9"/>
        <v>0</v>
      </c>
      <c r="N36" s="28">
        <f t="shared" si="11"/>
        <v>0</v>
      </c>
      <c r="O36" s="42">
        <v>3406</v>
      </c>
      <c r="Q36" s="56" t="str">
        <f t="shared" si="2"/>
        <v/>
      </c>
      <c r="R36" s="56">
        <f t="shared" si="3"/>
        <v>0</v>
      </c>
      <c r="S36" s="56" t="str">
        <f t="shared" si="4"/>
        <v/>
      </c>
      <c r="T36" s="56">
        <f t="shared" si="5"/>
        <v>0</v>
      </c>
    </row>
    <row r="37" spans="1:20" x14ac:dyDescent="0.2">
      <c r="A37" s="94"/>
      <c r="B37" s="95"/>
      <c r="C37" s="96"/>
      <c r="D37" s="97"/>
      <c r="E37" s="96"/>
      <c r="F37" s="96"/>
      <c r="G37" s="47"/>
      <c r="H37" s="85"/>
      <c r="I37" s="48"/>
      <c r="J37" s="49" t="str">
        <f t="shared" si="0"/>
        <v/>
      </c>
      <c r="L37" s="101">
        <v>606500</v>
      </c>
      <c r="M37" s="28">
        <f t="shared" si="9"/>
        <v>0</v>
      </c>
      <c r="N37" s="64">
        <f t="shared" si="11"/>
        <v>0</v>
      </c>
      <c r="O37" s="63">
        <v>4100</v>
      </c>
      <c r="Q37" s="56" t="str">
        <f t="shared" si="2"/>
        <v/>
      </c>
      <c r="R37" s="56">
        <f t="shared" si="3"/>
        <v>0</v>
      </c>
      <c r="S37" s="56" t="str">
        <f t="shared" si="4"/>
        <v/>
      </c>
      <c r="T37" s="56">
        <f t="shared" si="5"/>
        <v>0</v>
      </c>
    </row>
    <row r="38" spans="1:20" x14ac:dyDescent="0.2">
      <c r="A38" s="94"/>
      <c r="B38" s="95"/>
      <c r="C38" s="96"/>
      <c r="D38" s="97"/>
      <c r="E38" s="96"/>
      <c r="F38" s="96"/>
      <c r="G38" s="47"/>
      <c r="H38" s="85"/>
      <c r="I38" s="48"/>
      <c r="J38" s="49" t="str">
        <f t="shared" si="0"/>
        <v/>
      </c>
      <c r="L38" s="9">
        <v>606500</v>
      </c>
      <c r="M38" s="28">
        <f t="shared" si="9"/>
        <v>0</v>
      </c>
      <c r="N38" s="28">
        <v>0</v>
      </c>
      <c r="O38" s="42">
        <v>4104</v>
      </c>
      <c r="Q38" s="56" t="str">
        <f t="shared" si="2"/>
        <v/>
      </c>
      <c r="R38" s="56">
        <f t="shared" si="3"/>
        <v>0</v>
      </c>
      <c r="S38" s="56" t="str">
        <f t="shared" si="4"/>
        <v/>
      </c>
      <c r="T38" s="56">
        <f t="shared" si="5"/>
        <v>0</v>
      </c>
    </row>
    <row r="39" spans="1:20" x14ac:dyDescent="0.2">
      <c r="A39" s="94"/>
      <c r="B39" s="95"/>
      <c r="C39" s="96"/>
      <c r="D39" s="97"/>
      <c r="E39" s="96"/>
      <c r="F39" s="96"/>
      <c r="G39" s="47"/>
      <c r="H39" s="85"/>
      <c r="I39" s="48"/>
      <c r="J39" s="49" t="str">
        <f t="shared" si="0"/>
        <v/>
      </c>
      <c r="L39" s="9">
        <v>606300</v>
      </c>
      <c r="M39" s="28">
        <f t="shared" si="9"/>
        <v>0</v>
      </c>
      <c r="N39" s="28">
        <v>0</v>
      </c>
      <c r="O39" s="42">
        <v>4148</v>
      </c>
      <c r="Q39" s="56" t="str">
        <f t="shared" si="2"/>
        <v/>
      </c>
      <c r="R39" s="56">
        <f t="shared" si="3"/>
        <v>0</v>
      </c>
      <c r="S39" s="56" t="str">
        <f t="shared" si="4"/>
        <v/>
      </c>
      <c r="T39" s="56">
        <f t="shared" si="5"/>
        <v>0</v>
      </c>
    </row>
    <row r="40" spans="1:20" x14ac:dyDescent="0.2">
      <c r="A40" s="179"/>
      <c r="B40" s="180"/>
      <c r="C40" s="187"/>
      <c r="D40" s="182"/>
      <c r="E40" s="96"/>
      <c r="F40" s="96"/>
      <c r="G40" s="47"/>
      <c r="H40" s="85"/>
      <c r="I40" s="48"/>
      <c r="J40" s="49" t="str">
        <f t="shared" si="0"/>
        <v/>
      </c>
      <c r="L40" s="9">
        <v>626100</v>
      </c>
      <c r="M40" s="28">
        <f t="shared" si="9"/>
        <v>0</v>
      </c>
      <c r="N40" s="28">
        <v>0</v>
      </c>
      <c r="O40" s="42">
        <v>4214</v>
      </c>
      <c r="Q40" s="56" t="str">
        <f t="shared" si="2"/>
        <v/>
      </c>
      <c r="R40" s="56">
        <f t="shared" si="3"/>
        <v>0</v>
      </c>
      <c r="S40" s="56" t="str">
        <f t="shared" si="4"/>
        <v/>
      </c>
      <c r="T40" s="56">
        <f t="shared" si="5"/>
        <v>0</v>
      </c>
    </row>
    <row r="41" spans="1:20" x14ac:dyDescent="0.2">
      <c r="A41" s="179"/>
      <c r="B41" s="180"/>
      <c r="C41" s="187"/>
      <c r="D41" s="182"/>
      <c r="E41" s="96"/>
      <c r="F41" s="96"/>
      <c r="G41" s="47"/>
      <c r="H41" s="85"/>
      <c r="I41" s="48"/>
      <c r="J41" s="49" t="str">
        <f t="shared" si="0"/>
        <v/>
      </c>
      <c r="L41" s="9">
        <v>606400</v>
      </c>
      <c r="M41" s="28">
        <f t="shared" si="9"/>
        <v>0</v>
      </c>
      <c r="N41" s="28">
        <v>0</v>
      </c>
      <c r="O41" s="42">
        <v>4226</v>
      </c>
      <c r="Q41" s="56" t="str">
        <f t="shared" si="2"/>
        <v/>
      </c>
      <c r="R41" s="56">
        <f t="shared" si="3"/>
        <v>0</v>
      </c>
      <c r="S41" s="56" t="str">
        <f t="shared" si="4"/>
        <v/>
      </c>
      <c r="T41" s="56">
        <f t="shared" si="5"/>
        <v>0</v>
      </c>
    </row>
    <row r="42" spans="1:20" x14ac:dyDescent="0.2">
      <c r="A42" s="179"/>
      <c r="B42" s="180"/>
      <c r="C42" s="187"/>
      <c r="D42" s="182"/>
      <c r="E42" s="96"/>
      <c r="F42" s="96"/>
      <c r="G42" s="47"/>
      <c r="H42" s="85"/>
      <c r="I42" s="48"/>
      <c r="J42" s="49" t="str">
        <f t="shared" si="0"/>
        <v/>
      </c>
      <c r="L42" s="9">
        <v>606800</v>
      </c>
      <c r="M42" s="28">
        <f t="shared" si="9"/>
        <v>0</v>
      </c>
      <c r="N42" s="28">
        <v>0</v>
      </c>
      <c r="O42" s="42">
        <v>4240</v>
      </c>
      <c r="Q42" s="56" t="str">
        <f t="shared" si="2"/>
        <v/>
      </c>
      <c r="R42" s="56">
        <f t="shared" si="3"/>
        <v>0</v>
      </c>
      <c r="S42" s="56" t="str">
        <f t="shared" si="4"/>
        <v/>
      </c>
      <c r="T42" s="56">
        <f t="shared" si="5"/>
        <v>0</v>
      </c>
    </row>
    <row r="43" spans="1:20" x14ac:dyDescent="0.2">
      <c r="A43" s="179"/>
      <c r="B43" s="180"/>
      <c r="C43" s="187"/>
      <c r="D43" s="182"/>
      <c r="E43" s="96"/>
      <c r="F43" s="96"/>
      <c r="G43" s="47"/>
      <c r="H43" s="85"/>
      <c r="I43" s="48"/>
      <c r="J43" s="49" t="str">
        <f t="shared" si="0"/>
        <v/>
      </c>
      <c r="L43" s="9">
        <v>611110</v>
      </c>
      <c r="M43" s="28">
        <f t="shared" si="9"/>
        <v>0</v>
      </c>
      <c r="N43" s="28">
        <f>+SUMIFS($H$15:$H$65,$I$15:$I$65,O43)</f>
        <v>0</v>
      </c>
      <c r="O43" s="42">
        <v>4248</v>
      </c>
      <c r="Q43" s="56" t="str">
        <f t="shared" si="2"/>
        <v/>
      </c>
      <c r="R43" s="56">
        <f t="shared" si="3"/>
        <v>0</v>
      </c>
      <c r="S43" s="56" t="str">
        <f t="shared" si="4"/>
        <v/>
      </c>
      <c r="T43" s="56">
        <f t="shared" si="5"/>
        <v>0</v>
      </c>
    </row>
    <row r="44" spans="1:20" x14ac:dyDescent="0.2">
      <c r="A44" s="179"/>
      <c r="B44" s="180"/>
      <c r="C44" s="187"/>
      <c r="D44" s="182"/>
      <c r="E44" s="96"/>
      <c r="F44" s="96"/>
      <c r="G44" s="47"/>
      <c r="H44" s="85"/>
      <c r="I44" s="48"/>
      <c r="J44" s="49" t="str">
        <f t="shared" si="0"/>
        <v/>
      </c>
      <c r="L44" s="9">
        <v>613520</v>
      </c>
      <c r="M44" s="28">
        <f t="shared" si="9"/>
        <v>0</v>
      </c>
      <c r="N44" s="28">
        <v>0</v>
      </c>
      <c r="O44" s="42">
        <v>4500</v>
      </c>
      <c r="Q44" s="56" t="str">
        <f t="shared" si="2"/>
        <v/>
      </c>
      <c r="R44" s="56">
        <f t="shared" si="3"/>
        <v>0</v>
      </c>
      <c r="S44" s="56" t="str">
        <f t="shared" si="4"/>
        <v/>
      </c>
      <c r="T44" s="56">
        <f t="shared" si="5"/>
        <v>0</v>
      </c>
    </row>
    <row r="45" spans="1:20" x14ac:dyDescent="0.2">
      <c r="A45" s="179"/>
      <c r="B45" s="180"/>
      <c r="C45" s="187"/>
      <c r="D45" s="182"/>
      <c r="E45" s="96"/>
      <c r="F45" s="96"/>
      <c r="G45" s="47"/>
      <c r="H45" s="85"/>
      <c r="I45" s="48"/>
      <c r="J45" s="49" t="str">
        <f t="shared" si="0"/>
        <v/>
      </c>
      <c r="L45" s="9">
        <v>611110</v>
      </c>
      <c r="M45" s="28">
        <f t="shared" si="9"/>
        <v>0</v>
      </c>
      <c r="N45" s="28">
        <v>0</v>
      </c>
      <c r="O45" s="42">
        <v>4502</v>
      </c>
      <c r="Q45" s="56" t="str">
        <f t="shared" si="2"/>
        <v/>
      </c>
      <c r="R45" s="56">
        <f t="shared" si="3"/>
        <v>0</v>
      </c>
      <c r="S45" s="56" t="str">
        <f t="shared" si="4"/>
        <v/>
      </c>
      <c r="T45" s="56">
        <f t="shared" si="5"/>
        <v>0</v>
      </c>
    </row>
    <row r="46" spans="1:20" x14ac:dyDescent="0.2">
      <c r="A46" s="179"/>
      <c r="B46" s="180"/>
      <c r="C46" s="187"/>
      <c r="D46" s="182"/>
      <c r="E46" s="96"/>
      <c r="F46" s="96"/>
      <c r="G46" s="47"/>
      <c r="H46" s="85"/>
      <c r="I46" s="48"/>
      <c r="J46" s="49" t="str">
        <f t="shared" si="0"/>
        <v/>
      </c>
      <c r="L46" s="9">
        <v>622610</v>
      </c>
      <c r="M46" s="28">
        <f t="shared" si="9"/>
        <v>0</v>
      </c>
      <c r="N46" s="28">
        <f>+SUMIFS($H$15:$H$65,$I$15:$I$65,O46)</f>
        <v>0</v>
      </c>
      <c r="O46" s="42">
        <v>6290</v>
      </c>
      <c r="Q46" s="56" t="str">
        <f t="shared" si="2"/>
        <v/>
      </c>
      <c r="R46" s="56">
        <f t="shared" si="3"/>
        <v>0</v>
      </c>
      <c r="S46" s="56" t="str">
        <f t="shared" si="4"/>
        <v/>
      </c>
      <c r="T46" s="56">
        <f t="shared" si="5"/>
        <v>0</v>
      </c>
    </row>
    <row r="47" spans="1:20" x14ac:dyDescent="0.2">
      <c r="A47" s="179"/>
      <c r="B47" s="180"/>
      <c r="C47" s="187"/>
      <c r="D47" s="182"/>
      <c r="E47" s="96"/>
      <c r="F47" s="96"/>
      <c r="G47" s="47"/>
      <c r="H47" s="85"/>
      <c r="I47" s="48"/>
      <c r="J47" s="49" t="str">
        <f t="shared" si="0"/>
        <v/>
      </c>
      <c r="L47" s="9">
        <v>605500</v>
      </c>
      <c r="M47" s="28">
        <f t="shared" si="9"/>
        <v>0</v>
      </c>
      <c r="N47" s="28">
        <f>+SUMIFS($H$15:$H$65,$I$15:$I$65,O47)</f>
        <v>0</v>
      </c>
      <c r="O47" s="42">
        <v>5500</v>
      </c>
      <c r="Q47" s="56" t="str">
        <f t="shared" si="2"/>
        <v/>
      </c>
      <c r="R47" s="56">
        <f t="shared" si="3"/>
        <v>0</v>
      </c>
      <c r="S47" s="56" t="str">
        <f t="shared" si="4"/>
        <v/>
      </c>
      <c r="T47" s="56">
        <f t="shared" si="5"/>
        <v>0</v>
      </c>
    </row>
    <row r="48" spans="1:20" x14ac:dyDescent="0.2">
      <c r="A48" s="179"/>
      <c r="B48" s="180"/>
      <c r="C48" s="187"/>
      <c r="D48" s="182"/>
      <c r="E48" s="96"/>
      <c r="F48" s="96"/>
      <c r="G48" s="47"/>
      <c r="H48" s="85"/>
      <c r="I48" s="48"/>
      <c r="J48" s="49" t="str">
        <f t="shared" si="0"/>
        <v/>
      </c>
      <c r="L48" s="9"/>
      <c r="M48" s="28"/>
      <c r="N48" s="28"/>
      <c r="O48" s="42"/>
      <c r="Q48" s="56" t="str">
        <f t="shared" ref="Q48:Q68" si="12">IF(M48=0,"",L48)</f>
        <v/>
      </c>
      <c r="R48" s="56" t="str">
        <f t="shared" ref="R48:R68" si="13">IF(M48="","",M48)</f>
        <v/>
      </c>
      <c r="S48" s="56" t="str">
        <f t="shared" ref="S48:S68" si="14">IF(N48=0,"",L48)</f>
        <v/>
      </c>
      <c r="T48" s="56" t="str">
        <f t="shared" ref="T48:T68" si="15">IF(L48="","",N48)</f>
        <v/>
      </c>
    </row>
    <row r="49" spans="1:20" x14ac:dyDescent="0.2">
      <c r="A49" s="179"/>
      <c r="B49" s="180"/>
      <c r="C49" s="187"/>
      <c r="D49" s="182"/>
      <c r="E49" s="96"/>
      <c r="F49" s="96"/>
      <c r="G49" s="47"/>
      <c r="H49" s="85"/>
      <c r="I49" s="48"/>
      <c r="J49" s="49" t="str">
        <f t="shared" si="0"/>
        <v/>
      </c>
      <c r="L49" s="9"/>
      <c r="M49" s="28"/>
      <c r="N49" s="28"/>
      <c r="O49" s="42"/>
      <c r="Q49" s="56" t="str">
        <f t="shared" si="12"/>
        <v/>
      </c>
      <c r="R49" s="56" t="str">
        <f t="shared" si="13"/>
        <v/>
      </c>
      <c r="S49" s="56" t="str">
        <f t="shared" si="14"/>
        <v/>
      </c>
      <c r="T49" s="56" t="str">
        <f t="shared" si="15"/>
        <v/>
      </c>
    </row>
    <row r="50" spans="1:20" x14ac:dyDescent="0.2">
      <c r="A50" s="179"/>
      <c r="B50" s="180"/>
      <c r="C50" s="187"/>
      <c r="D50" s="182"/>
      <c r="E50" s="96"/>
      <c r="F50" s="96"/>
      <c r="G50" s="47"/>
      <c r="H50" s="85"/>
      <c r="I50" s="76"/>
      <c r="J50" s="49" t="str">
        <f t="shared" si="0"/>
        <v/>
      </c>
      <c r="L50" s="9"/>
      <c r="M50" s="28"/>
      <c r="N50" s="28"/>
      <c r="O50" s="42"/>
      <c r="Q50" s="56" t="str">
        <f t="shared" si="12"/>
        <v/>
      </c>
      <c r="R50" s="56" t="str">
        <f t="shared" si="13"/>
        <v/>
      </c>
      <c r="S50" s="56" t="str">
        <f t="shared" si="14"/>
        <v/>
      </c>
      <c r="T50" s="56" t="str">
        <f t="shared" si="15"/>
        <v/>
      </c>
    </row>
    <row r="51" spans="1:20" x14ac:dyDescent="0.2">
      <c r="A51" s="179"/>
      <c r="B51" s="180"/>
      <c r="C51" s="187"/>
      <c r="D51" s="182"/>
      <c r="E51" s="96"/>
      <c r="F51" s="96"/>
      <c r="G51" s="47"/>
      <c r="H51" s="85"/>
      <c r="I51" s="48"/>
      <c r="J51" s="49" t="str">
        <f t="shared" si="0"/>
        <v/>
      </c>
      <c r="L51" s="9"/>
      <c r="M51" s="28"/>
      <c r="N51" s="28"/>
      <c r="O51" s="42"/>
      <c r="Q51" s="56" t="str">
        <f t="shared" si="12"/>
        <v/>
      </c>
      <c r="R51" s="56" t="str">
        <f t="shared" si="13"/>
        <v/>
      </c>
      <c r="S51" s="56" t="str">
        <f t="shared" si="14"/>
        <v/>
      </c>
      <c r="T51" s="56" t="str">
        <f t="shared" si="15"/>
        <v/>
      </c>
    </row>
    <row r="52" spans="1:20" x14ac:dyDescent="0.2">
      <c r="A52" s="179"/>
      <c r="B52" s="180"/>
      <c r="C52" s="187"/>
      <c r="D52" s="182"/>
      <c r="E52" s="96"/>
      <c r="F52" s="96"/>
      <c r="G52" s="47"/>
      <c r="H52" s="85"/>
      <c r="I52" s="48"/>
      <c r="J52" s="49" t="str">
        <f t="shared" si="0"/>
        <v/>
      </c>
      <c r="L52" s="9"/>
      <c r="M52" s="28"/>
      <c r="N52" s="28"/>
      <c r="O52" s="42"/>
      <c r="Q52" s="56" t="str">
        <f t="shared" si="12"/>
        <v/>
      </c>
      <c r="R52" s="56" t="str">
        <f t="shared" si="13"/>
        <v/>
      </c>
      <c r="S52" s="56" t="str">
        <f t="shared" si="14"/>
        <v/>
      </c>
      <c r="T52" s="56" t="str">
        <f t="shared" si="15"/>
        <v/>
      </c>
    </row>
    <row r="53" spans="1:20" ht="13.5" thickBot="1" x14ac:dyDescent="0.25">
      <c r="A53" s="179"/>
      <c r="B53" s="180"/>
      <c r="C53" s="187"/>
      <c r="D53" s="182"/>
      <c r="E53" s="96"/>
      <c r="F53" s="96"/>
      <c r="G53" s="47"/>
      <c r="H53" s="85"/>
      <c r="I53" s="48"/>
      <c r="J53" s="49" t="str">
        <f t="shared" si="0"/>
        <v/>
      </c>
      <c r="L53" s="22"/>
      <c r="M53" s="29"/>
      <c r="N53" s="29"/>
      <c r="O53" s="43"/>
      <c r="Q53" s="56" t="str">
        <f t="shared" si="12"/>
        <v/>
      </c>
      <c r="R53" s="56" t="str">
        <f t="shared" si="13"/>
        <v/>
      </c>
      <c r="S53" s="56" t="str">
        <f t="shared" si="14"/>
        <v/>
      </c>
      <c r="T53" s="56" t="str">
        <f t="shared" si="15"/>
        <v/>
      </c>
    </row>
    <row r="54" spans="1:20" ht="14.25" thickTop="1" thickBot="1" x14ac:dyDescent="0.25">
      <c r="A54" s="179"/>
      <c r="B54" s="180"/>
      <c r="C54" s="187"/>
      <c r="D54" s="182"/>
      <c r="E54" s="96"/>
      <c r="F54" s="96"/>
      <c r="G54" s="47"/>
      <c r="H54" s="85"/>
      <c r="I54" s="48"/>
      <c r="J54" s="49" t="str">
        <f t="shared" si="0"/>
        <v/>
      </c>
      <c r="L54" s="27" t="s">
        <v>21</v>
      </c>
      <c r="M54" s="188">
        <f>SUM(M15:N53)</f>
        <v>130.1</v>
      </c>
      <c r="N54" s="189"/>
      <c r="O54" s="26"/>
      <c r="Q54" s="56"/>
      <c r="R54" s="56"/>
      <c r="S54" s="56"/>
      <c r="T54" s="56"/>
    </row>
    <row r="55" spans="1:20" ht="13.5" thickTop="1" x14ac:dyDescent="0.2">
      <c r="A55" s="179"/>
      <c r="B55" s="180"/>
      <c r="C55" s="187"/>
      <c r="D55" s="182"/>
      <c r="E55" s="96"/>
      <c r="F55" s="96"/>
      <c r="G55" s="47"/>
      <c r="H55" s="85"/>
      <c r="I55" s="48"/>
      <c r="J55" s="49" t="str">
        <f t="shared" si="0"/>
        <v/>
      </c>
      <c r="L55" s="24"/>
      <c r="M55" s="30"/>
      <c r="N55" s="31"/>
      <c r="O55" s="25"/>
      <c r="Q55" s="56" t="str">
        <f t="shared" si="12"/>
        <v/>
      </c>
      <c r="R55" s="56" t="str">
        <f t="shared" si="13"/>
        <v/>
      </c>
      <c r="S55" s="56" t="str">
        <f t="shared" si="14"/>
        <v/>
      </c>
      <c r="T55" s="56" t="str">
        <f t="shared" si="15"/>
        <v/>
      </c>
    </row>
    <row r="56" spans="1:20" x14ac:dyDescent="0.2">
      <c r="A56" s="179"/>
      <c r="B56" s="180"/>
      <c r="C56" s="187"/>
      <c r="D56" s="182"/>
      <c r="E56" s="96"/>
      <c r="F56" s="96"/>
      <c r="G56" s="47"/>
      <c r="H56" s="85"/>
      <c r="I56" s="48"/>
      <c r="J56" s="49" t="str">
        <f t="shared" si="0"/>
        <v/>
      </c>
      <c r="L56" s="9">
        <v>445860</v>
      </c>
      <c r="M56" s="28">
        <f>+SUM(M15:M53)*0.2</f>
        <v>0</v>
      </c>
      <c r="N56" s="28"/>
      <c r="O56" s="83"/>
      <c r="Q56" s="56" t="str">
        <f t="shared" si="12"/>
        <v/>
      </c>
      <c r="R56" s="56">
        <f t="shared" si="13"/>
        <v>0</v>
      </c>
      <c r="S56" s="56" t="str">
        <f t="shared" si="14"/>
        <v/>
      </c>
      <c r="T56" s="56">
        <f t="shared" si="15"/>
        <v>0</v>
      </c>
    </row>
    <row r="57" spans="1:20" x14ac:dyDescent="0.2">
      <c r="A57" s="179"/>
      <c r="B57" s="180"/>
      <c r="C57" s="187"/>
      <c r="D57" s="182"/>
      <c r="E57" s="96"/>
      <c r="F57" s="96"/>
      <c r="G57" s="47"/>
      <c r="H57" s="85"/>
      <c r="I57" s="48"/>
      <c r="J57" s="49" t="str">
        <f t="shared" si="0"/>
        <v/>
      </c>
      <c r="L57" s="9">
        <v>445870</v>
      </c>
      <c r="M57" s="21"/>
      <c r="N57" s="28">
        <f>+SUM($N$15:$N$53)*0.2</f>
        <v>26.02</v>
      </c>
      <c r="O57" s="83"/>
      <c r="Q57" s="56" t="str">
        <f t="shared" si="12"/>
        <v/>
      </c>
      <c r="R57" s="56" t="str">
        <f t="shared" si="13"/>
        <v/>
      </c>
      <c r="S57" s="56">
        <f t="shared" si="14"/>
        <v>445870</v>
      </c>
      <c r="T57" s="56">
        <f t="shared" si="15"/>
        <v>26.02</v>
      </c>
    </row>
    <row r="58" spans="1:20" x14ac:dyDescent="0.2">
      <c r="A58" s="179"/>
      <c r="B58" s="180"/>
      <c r="C58" s="187"/>
      <c r="D58" s="182"/>
      <c r="E58" s="96"/>
      <c r="F58" s="96"/>
      <c r="G58" s="47"/>
      <c r="H58" s="85"/>
      <c r="I58" s="48"/>
      <c r="J58" s="49" t="str">
        <f t="shared" si="0"/>
        <v/>
      </c>
      <c r="L58" s="9"/>
      <c r="M58" s="21"/>
      <c r="N58" s="28"/>
      <c r="O58" s="83"/>
      <c r="Q58" s="56" t="str">
        <f t="shared" si="12"/>
        <v/>
      </c>
      <c r="R58" s="56" t="str">
        <f t="shared" si="13"/>
        <v/>
      </c>
      <c r="S58" s="56" t="str">
        <f t="shared" si="14"/>
        <v/>
      </c>
      <c r="T58" s="56" t="str">
        <f t="shared" si="15"/>
        <v/>
      </c>
    </row>
    <row r="59" spans="1:20" x14ac:dyDescent="0.2">
      <c r="A59" s="179"/>
      <c r="B59" s="180"/>
      <c r="C59" s="187"/>
      <c r="D59" s="182"/>
      <c r="E59" s="96"/>
      <c r="F59" s="96"/>
      <c r="G59" s="47"/>
      <c r="H59" s="85"/>
      <c r="I59" s="48"/>
      <c r="J59" s="49" t="str">
        <f t="shared" si="0"/>
        <v/>
      </c>
      <c r="L59" s="9">
        <v>408100</v>
      </c>
      <c r="M59" s="21"/>
      <c r="N59" s="28">
        <f>SUM(M15:M53)+M56</f>
        <v>0</v>
      </c>
      <c r="O59" s="83"/>
      <c r="Q59" s="56" t="str">
        <f t="shared" si="12"/>
        <v/>
      </c>
      <c r="R59" s="56" t="str">
        <f t="shared" si="13"/>
        <v/>
      </c>
      <c r="S59" s="56" t="str">
        <f t="shared" si="14"/>
        <v/>
      </c>
      <c r="T59" s="56">
        <f t="shared" si="15"/>
        <v>0</v>
      </c>
    </row>
    <row r="60" spans="1:20" x14ac:dyDescent="0.2">
      <c r="A60" s="94"/>
      <c r="B60" s="95"/>
      <c r="C60" s="96"/>
      <c r="D60" s="97"/>
      <c r="E60" s="96"/>
      <c r="F60" s="96"/>
      <c r="G60" s="47"/>
      <c r="H60" s="85"/>
      <c r="I60" s="48"/>
      <c r="J60" s="49" t="str">
        <f t="shared" si="0"/>
        <v/>
      </c>
      <c r="L60" s="9"/>
      <c r="M60" s="21"/>
      <c r="N60" s="28"/>
      <c r="O60" s="83"/>
      <c r="Q60" s="56" t="str">
        <f t="shared" si="12"/>
        <v/>
      </c>
      <c r="R60" s="56" t="str">
        <f t="shared" si="13"/>
        <v/>
      </c>
      <c r="S60" s="56" t="str">
        <f t="shared" si="14"/>
        <v/>
      </c>
      <c r="T60" s="56" t="str">
        <f t="shared" si="15"/>
        <v/>
      </c>
    </row>
    <row r="61" spans="1:20" x14ac:dyDescent="0.2">
      <c r="A61" s="94"/>
      <c r="B61" s="95"/>
      <c r="C61" s="96"/>
      <c r="D61" s="97"/>
      <c r="E61" s="96"/>
      <c r="F61" s="96"/>
      <c r="G61" s="47"/>
      <c r="H61" s="85"/>
      <c r="I61" s="48"/>
      <c r="J61" s="49" t="str">
        <f t="shared" si="0"/>
        <v/>
      </c>
      <c r="L61" s="9"/>
      <c r="M61" s="21"/>
      <c r="N61" s="28"/>
      <c r="O61" s="83"/>
      <c r="Q61" s="56" t="str">
        <f t="shared" si="12"/>
        <v/>
      </c>
      <c r="R61" s="56" t="str">
        <f t="shared" si="13"/>
        <v/>
      </c>
      <c r="S61" s="56" t="str">
        <f t="shared" si="14"/>
        <v/>
      </c>
      <c r="T61" s="56" t="str">
        <f t="shared" si="15"/>
        <v/>
      </c>
    </row>
    <row r="62" spans="1:20" x14ac:dyDescent="0.2">
      <c r="A62" s="94"/>
      <c r="B62" s="95"/>
      <c r="C62" s="96"/>
      <c r="D62" s="97"/>
      <c r="E62" s="96"/>
      <c r="F62" s="96"/>
      <c r="G62" s="47"/>
      <c r="H62" s="85"/>
      <c r="I62" s="48"/>
      <c r="J62" s="49" t="str">
        <f t="shared" si="0"/>
        <v/>
      </c>
      <c r="L62" s="9"/>
      <c r="M62" s="21"/>
      <c r="N62" s="28"/>
      <c r="O62" s="83"/>
      <c r="Q62" s="56" t="str">
        <f t="shared" si="12"/>
        <v/>
      </c>
      <c r="R62" s="56" t="str">
        <f t="shared" si="13"/>
        <v/>
      </c>
      <c r="S62" s="56" t="str">
        <f t="shared" si="14"/>
        <v/>
      </c>
      <c r="T62" s="56" t="str">
        <f t="shared" si="15"/>
        <v/>
      </c>
    </row>
    <row r="63" spans="1:20" x14ac:dyDescent="0.2">
      <c r="A63" s="94"/>
      <c r="B63" s="95"/>
      <c r="C63" s="96"/>
      <c r="D63" s="97"/>
      <c r="E63" s="96"/>
      <c r="F63" s="96"/>
      <c r="G63" s="47"/>
      <c r="H63" s="85"/>
      <c r="I63" s="48"/>
      <c r="J63" s="49"/>
      <c r="L63" s="9"/>
      <c r="M63" s="21"/>
      <c r="N63" s="28"/>
      <c r="O63" s="83"/>
      <c r="Q63" s="56" t="str">
        <f t="shared" si="12"/>
        <v/>
      </c>
      <c r="R63" s="56" t="str">
        <f t="shared" si="13"/>
        <v/>
      </c>
      <c r="S63" s="56" t="str">
        <f t="shared" si="14"/>
        <v/>
      </c>
      <c r="T63" s="56" t="str">
        <f t="shared" si="15"/>
        <v/>
      </c>
    </row>
    <row r="64" spans="1:20" x14ac:dyDescent="0.2">
      <c r="A64" s="94"/>
      <c r="B64" s="95"/>
      <c r="C64" s="96"/>
      <c r="D64" s="97"/>
      <c r="E64" s="96"/>
      <c r="F64" s="96"/>
      <c r="G64" s="47"/>
      <c r="H64" s="85"/>
      <c r="I64" s="48"/>
      <c r="J64" s="49" t="str">
        <f>IF(I64="","",+LOOKUP(I64,$O$15:$O$53,$L$15:$L$53))</f>
        <v/>
      </c>
      <c r="L64" s="9"/>
      <c r="M64" s="21"/>
      <c r="N64" s="28"/>
      <c r="O64" s="83"/>
      <c r="Q64" s="56" t="str">
        <f t="shared" si="12"/>
        <v/>
      </c>
      <c r="R64" s="56" t="str">
        <f t="shared" si="13"/>
        <v/>
      </c>
      <c r="S64" s="56" t="str">
        <f t="shared" si="14"/>
        <v/>
      </c>
      <c r="T64" s="56" t="str">
        <f t="shared" si="15"/>
        <v/>
      </c>
    </row>
    <row r="65" spans="1:20" x14ac:dyDescent="0.2">
      <c r="A65" s="179"/>
      <c r="B65" s="180"/>
      <c r="C65" s="187"/>
      <c r="D65" s="182"/>
      <c r="E65" s="96"/>
      <c r="F65" s="96"/>
      <c r="G65" s="47"/>
      <c r="H65" s="85"/>
      <c r="I65" s="48"/>
      <c r="J65" s="49"/>
      <c r="L65" s="9">
        <v>418110</v>
      </c>
      <c r="M65" s="21">
        <f>SUM(N15:N53)+N57-M66</f>
        <v>156.12</v>
      </c>
      <c r="N65" s="28"/>
      <c r="O65" s="61"/>
      <c r="Q65" s="56">
        <f t="shared" si="12"/>
        <v>418110</v>
      </c>
      <c r="R65" s="56">
        <f t="shared" si="13"/>
        <v>156.12</v>
      </c>
      <c r="S65" s="56" t="str">
        <f t="shared" si="14"/>
        <v/>
      </c>
      <c r="T65" s="56">
        <f t="shared" si="15"/>
        <v>0</v>
      </c>
    </row>
    <row r="66" spans="1:20" x14ac:dyDescent="0.2">
      <c r="A66" s="179"/>
      <c r="B66" s="180"/>
      <c r="C66" s="187"/>
      <c r="D66" s="182"/>
      <c r="E66" s="96"/>
      <c r="F66" s="96"/>
      <c r="G66" s="47"/>
      <c r="H66" s="85"/>
      <c r="I66" s="48"/>
      <c r="J66" s="49" t="str">
        <f>IF(I66="","",+LOOKUP(I66,$O$15:$O$53,$L$15:$L$53))</f>
        <v/>
      </c>
      <c r="L66" s="9">
        <v>486100</v>
      </c>
      <c r="M66" s="21">
        <f>+N43*1.196</f>
        <v>0</v>
      </c>
      <c r="N66" s="28"/>
      <c r="O66" s="83"/>
      <c r="Q66" s="56" t="str">
        <f t="shared" si="12"/>
        <v/>
      </c>
      <c r="R66" s="56">
        <f t="shared" si="13"/>
        <v>0</v>
      </c>
      <c r="S66" s="56" t="str">
        <f t="shared" si="14"/>
        <v/>
      </c>
      <c r="T66" s="56">
        <f t="shared" si="15"/>
        <v>0</v>
      </c>
    </row>
    <row r="67" spans="1:20" ht="13.5" thickBot="1" x14ac:dyDescent="0.25">
      <c r="A67" s="195"/>
      <c r="B67" s="196"/>
      <c r="C67" s="197"/>
      <c r="D67" s="198"/>
      <c r="E67" s="98"/>
      <c r="F67" s="98"/>
      <c r="G67" s="60"/>
      <c r="H67" s="84"/>
      <c r="I67" s="59"/>
      <c r="J67" s="58" t="str">
        <f>IF(I67="","",+LOOKUP(I67,$O$15:$O$53,$L$15:$L$53))</f>
        <v/>
      </c>
      <c r="L67" s="18"/>
      <c r="M67" s="32"/>
      <c r="N67" s="33"/>
      <c r="O67" s="19"/>
      <c r="Q67" s="56" t="str">
        <f t="shared" si="12"/>
        <v/>
      </c>
      <c r="R67" s="56" t="str">
        <f t="shared" si="13"/>
        <v/>
      </c>
      <c r="S67" s="56" t="str">
        <f t="shared" si="14"/>
        <v/>
      </c>
      <c r="T67" s="56" t="str">
        <f t="shared" si="15"/>
        <v/>
      </c>
    </row>
    <row r="68" spans="1:20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44">
        <f>SUM(H15:H67)</f>
        <v>130.1</v>
      </c>
      <c r="I68" s="190"/>
      <c r="J68" s="191"/>
      <c r="L68" s="8" t="s">
        <v>6</v>
      </c>
      <c r="M68" s="34">
        <f>SUM(M15:M53)+SUM(M56:M66)</f>
        <v>156.12</v>
      </c>
      <c r="N68" s="35">
        <f>SUM(N15:N53)+SUM(N56:N66)</f>
        <v>156.12</v>
      </c>
      <c r="O68" s="23"/>
      <c r="Q68" s="56"/>
      <c r="R68" s="56"/>
      <c r="S68" s="56"/>
      <c r="T68" s="56"/>
    </row>
    <row r="69" spans="1:20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20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20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20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20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20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20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20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20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20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20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20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dataConsolidate/>
  <mergeCells count="91">
    <mergeCell ref="I68:J68"/>
    <mergeCell ref="A70:B70"/>
    <mergeCell ref="G71:J71"/>
    <mergeCell ref="L71:O71"/>
    <mergeCell ref="A66:B66"/>
    <mergeCell ref="C66:D66"/>
    <mergeCell ref="A67:B67"/>
    <mergeCell ref="C67:D67"/>
    <mergeCell ref="A68:G68"/>
    <mergeCell ref="A58:B58"/>
    <mergeCell ref="C58:D58"/>
    <mergeCell ref="A59:B59"/>
    <mergeCell ref="C59:D59"/>
    <mergeCell ref="A65:B65"/>
    <mergeCell ref="C65:D65"/>
    <mergeCell ref="M54:N54"/>
    <mergeCell ref="A55:B55"/>
    <mergeCell ref="C55:D55"/>
    <mergeCell ref="A57:B57"/>
    <mergeCell ref="C57:D57"/>
    <mergeCell ref="A50:B50"/>
    <mergeCell ref="C50:D50"/>
    <mergeCell ref="A56:B56"/>
    <mergeCell ref="C56:D56"/>
    <mergeCell ref="A51:B51"/>
    <mergeCell ref="C51:D51"/>
    <mergeCell ref="A52:B52"/>
    <mergeCell ref="C52:D52"/>
    <mergeCell ref="A53:B53"/>
    <mergeCell ref="C53:D53"/>
    <mergeCell ref="A54:B54"/>
    <mergeCell ref="C54:D54"/>
    <mergeCell ref="A47:B47"/>
    <mergeCell ref="C47:D47"/>
    <mergeCell ref="A48:B48"/>
    <mergeCell ref="C48:D48"/>
    <mergeCell ref="A49:B49"/>
    <mergeCell ref="C49:D49"/>
    <mergeCell ref="A44:B44"/>
    <mergeCell ref="C44:D44"/>
    <mergeCell ref="A45:B45"/>
    <mergeCell ref="C45:D45"/>
    <mergeCell ref="A46:B46"/>
    <mergeCell ref="C46:D46"/>
    <mergeCell ref="A41:B41"/>
    <mergeCell ref="C41:D41"/>
    <mergeCell ref="A42:B42"/>
    <mergeCell ref="C42:D42"/>
    <mergeCell ref="A43:B43"/>
    <mergeCell ref="C43:D43"/>
    <mergeCell ref="A26:B26"/>
    <mergeCell ref="C26:D26"/>
    <mergeCell ref="A27:B27"/>
    <mergeCell ref="C27:D27"/>
    <mergeCell ref="A40:B40"/>
    <mergeCell ref="C40:D40"/>
    <mergeCell ref="A28:B28"/>
    <mergeCell ref="C28:D28"/>
    <mergeCell ref="A29:B29"/>
    <mergeCell ref="C29:D29"/>
    <mergeCell ref="A30:B30"/>
    <mergeCell ref="C30:D30"/>
    <mergeCell ref="A23:B23"/>
    <mergeCell ref="C23:D23"/>
    <mergeCell ref="A24:B24"/>
    <mergeCell ref="C24:D24"/>
    <mergeCell ref="A25:B25"/>
    <mergeCell ref="C25:D25"/>
    <mergeCell ref="A20:B20"/>
    <mergeCell ref="C20:D20"/>
    <mergeCell ref="A21:B21"/>
    <mergeCell ref="C21:D21"/>
    <mergeCell ref="A22:B22"/>
    <mergeCell ref="C22:D22"/>
    <mergeCell ref="A17:B17"/>
    <mergeCell ref="C17:D17"/>
    <mergeCell ref="A18:B18"/>
    <mergeCell ref="C18:D18"/>
    <mergeCell ref="A19:B19"/>
    <mergeCell ref="C19:D19"/>
    <mergeCell ref="A15:B15"/>
    <mergeCell ref="C15:D15"/>
    <mergeCell ref="A16:B16"/>
    <mergeCell ref="C16:D16"/>
    <mergeCell ref="A14:B14"/>
    <mergeCell ref="C14:D14"/>
    <mergeCell ref="E2:I2"/>
    <mergeCell ref="I9:J9"/>
    <mergeCell ref="I10:J10"/>
    <mergeCell ref="A13:J13"/>
    <mergeCell ref="L13:O1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6">
    <pageSetUpPr fitToPage="1"/>
  </sheetPr>
  <dimension ref="A1:U89"/>
  <sheetViews>
    <sheetView zoomScale="90" zoomScaleNormal="90" workbookViewId="0">
      <selection activeCell="A5" sqref="A5:A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99</v>
      </c>
      <c r="E9" s="56"/>
      <c r="F9" s="12" t="s">
        <v>11</v>
      </c>
      <c r="G9" s="109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98</v>
      </c>
      <c r="B10" s="162" t="s">
        <v>100</v>
      </c>
      <c r="C10" s="11" t="s">
        <v>8</v>
      </c>
      <c r="D10" s="3"/>
      <c r="E10" s="56"/>
      <c r="F10" s="13" t="s">
        <v>1</v>
      </c>
      <c r="G10" s="114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13" t="s">
        <v>3</v>
      </c>
      <c r="F14" s="113" t="s">
        <v>14</v>
      </c>
      <c r="G14" s="113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11"/>
      <c r="F15" s="111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10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11"/>
      <c r="F17" s="111"/>
      <c r="G17" s="115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11"/>
      <c r="F18" s="111"/>
      <c r="G18" s="115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/>
      <c r="B19" s="180"/>
      <c r="C19" s="208"/>
      <c r="D19" s="209"/>
      <c r="E19" s="111"/>
      <c r="F19" s="111"/>
      <c r="G19" s="115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79" t="s">
        <v>54</v>
      </c>
      <c r="B20" s="180"/>
      <c r="C20" s="208" t="s">
        <v>35</v>
      </c>
      <c r="D20" s="209"/>
      <c r="E20" s="111" t="s">
        <v>36</v>
      </c>
      <c r="F20" s="111" t="s">
        <v>27</v>
      </c>
      <c r="G20" s="115">
        <v>43122</v>
      </c>
      <c r="H20" s="81">
        <f>82.32</f>
        <v>82.32</v>
      </c>
      <c r="I20" s="48">
        <v>2712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206" t="s">
        <v>83</v>
      </c>
      <c r="B21" s="207"/>
      <c r="C21" s="208" t="s">
        <v>84</v>
      </c>
      <c r="D21" s="209"/>
      <c r="E21" s="46" t="s">
        <v>85</v>
      </c>
      <c r="F21" s="92" t="s">
        <v>27</v>
      </c>
      <c r="G21" s="144">
        <v>43035</v>
      </c>
      <c r="H21" s="82">
        <v>575</v>
      </c>
      <c r="I21" s="48">
        <v>4248</v>
      </c>
      <c r="J21" s="49">
        <f t="shared" si="0"/>
        <v>611110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179" t="s">
        <v>89</v>
      </c>
      <c r="B22" s="180"/>
      <c r="C22" s="208" t="s">
        <v>35</v>
      </c>
      <c r="D22" s="209"/>
      <c r="E22" s="145">
        <v>12935</v>
      </c>
      <c r="F22" s="145" t="s">
        <v>27</v>
      </c>
      <c r="G22" s="146">
        <v>43116</v>
      </c>
      <c r="H22" s="80">
        <v>127.39</v>
      </c>
      <c r="I22" s="48">
        <v>2712</v>
      </c>
      <c r="J22" s="49">
        <v>606100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 t="s">
        <v>41</v>
      </c>
      <c r="B23" s="180"/>
      <c r="C23" s="208" t="s">
        <v>30</v>
      </c>
      <c r="D23" s="209"/>
      <c r="E23" s="145" t="s">
        <v>36</v>
      </c>
      <c r="F23" s="145" t="s">
        <v>27</v>
      </c>
      <c r="G23" s="146">
        <v>43159</v>
      </c>
      <c r="H23" s="81">
        <f>43.23+94.16+246.63+570+176+52.4+513+140+731+550+697.72</f>
        <v>3814.1400000000003</v>
      </c>
      <c r="I23" s="48">
        <v>3118</v>
      </c>
      <c r="J23" s="49">
        <f t="shared" si="0"/>
        <v>613520</v>
      </c>
      <c r="L23" s="9"/>
      <c r="M23" s="28"/>
      <c r="N23" s="28"/>
      <c r="O23" s="42"/>
    </row>
    <row r="24" spans="1:15" x14ac:dyDescent="0.2">
      <c r="A24" s="179" t="s">
        <v>50</v>
      </c>
      <c r="B24" s="180"/>
      <c r="C24" s="208" t="s">
        <v>30</v>
      </c>
      <c r="D24" s="209"/>
      <c r="E24" s="145">
        <v>15556</v>
      </c>
      <c r="F24" s="145" t="s">
        <v>27</v>
      </c>
      <c r="G24" s="146">
        <v>42809</v>
      </c>
      <c r="H24" s="81">
        <v>32</v>
      </c>
      <c r="I24" s="48">
        <v>3118</v>
      </c>
      <c r="J24" s="49">
        <f t="shared" si="0"/>
        <v>613520</v>
      </c>
      <c r="L24" s="9">
        <v>606100</v>
      </c>
      <c r="M24" s="28">
        <f t="shared" ref="M24:M47" si="2">+SUMIFS($H$15:$H$65,$I$15:$I$65,O24)</f>
        <v>0</v>
      </c>
      <c r="N24" s="28">
        <v>0</v>
      </c>
      <c r="O24" s="42">
        <v>2308</v>
      </c>
    </row>
    <row r="25" spans="1:15" x14ac:dyDescent="0.2">
      <c r="A25" s="179" t="s">
        <v>67</v>
      </c>
      <c r="B25" s="180"/>
      <c r="C25" s="208" t="s">
        <v>30</v>
      </c>
      <c r="D25" s="209"/>
      <c r="E25" s="149">
        <v>18476</v>
      </c>
      <c r="F25" s="149" t="s">
        <v>27</v>
      </c>
      <c r="G25" s="150">
        <v>42853</v>
      </c>
      <c r="H25" s="81">
        <v>2157.6799999999998</v>
      </c>
      <c r="I25" s="48">
        <v>3118</v>
      </c>
      <c r="J25" s="49">
        <f>IF(I25="","",+LOOKUP(I25,$O$15:$O$50,$L$15:$L$50))</f>
        <v>613520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79</v>
      </c>
      <c r="B26" s="180"/>
      <c r="C26" s="208" t="s">
        <v>80</v>
      </c>
      <c r="D26" s="209"/>
      <c r="E26" s="149">
        <v>17980</v>
      </c>
      <c r="F26" s="149" t="s">
        <v>27</v>
      </c>
      <c r="G26" s="150">
        <v>42929</v>
      </c>
      <c r="H26" s="81">
        <v>300</v>
      </c>
      <c r="I26" s="48">
        <v>2712</v>
      </c>
      <c r="J26" s="49">
        <f t="shared" ref="J26:J28" si="3">IF(I26="","",+LOOKUP(I26,$O$15:$O$50,$L$15:$L$50))</f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 t="s">
        <v>47</v>
      </c>
      <c r="B27" s="180"/>
      <c r="C27" s="208" t="s">
        <v>44</v>
      </c>
      <c r="D27" s="209"/>
      <c r="E27" s="149">
        <v>15503</v>
      </c>
      <c r="F27" s="149" t="s">
        <v>27</v>
      </c>
      <c r="G27" s="150">
        <v>42745</v>
      </c>
      <c r="H27" s="81">
        <v>75.180000000000007</v>
      </c>
      <c r="I27" s="48">
        <v>4148</v>
      </c>
      <c r="J27" s="49">
        <f t="shared" si="3"/>
        <v>606300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 t="s">
        <v>31</v>
      </c>
      <c r="B28" s="180"/>
      <c r="C28" s="208" t="s">
        <v>35</v>
      </c>
      <c r="D28" s="209"/>
      <c r="E28" s="149">
        <v>15520</v>
      </c>
      <c r="F28" s="149" t="s">
        <v>27</v>
      </c>
      <c r="G28" s="150">
        <v>42766</v>
      </c>
      <c r="H28" s="80">
        <v>103.7</v>
      </c>
      <c r="I28" s="48">
        <v>4148</v>
      </c>
      <c r="J28" s="49">
        <f t="shared" si="3"/>
        <v>606300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 t="s">
        <v>28</v>
      </c>
      <c r="B29" s="180"/>
      <c r="C29" s="208" t="s">
        <v>35</v>
      </c>
      <c r="D29" s="209"/>
      <c r="E29" s="149">
        <v>15513</v>
      </c>
      <c r="F29" s="149" t="s">
        <v>27</v>
      </c>
      <c r="G29" s="150">
        <v>42752</v>
      </c>
      <c r="H29" s="81">
        <v>1363.09</v>
      </c>
      <c r="I29" s="48">
        <v>2712</v>
      </c>
      <c r="J29" s="49">
        <f t="shared" si="0"/>
        <v>606100</v>
      </c>
      <c r="L29" s="9">
        <v>606100</v>
      </c>
      <c r="M29" s="28">
        <f t="shared" si="2"/>
        <v>1872.8</v>
      </c>
      <c r="N29" s="28">
        <v>0</v>
      </c>
      <c r="O29" s="42">
        <v>2712</v>
      </c>
    </row>
    <row r="30" spans="1:15" x14ac:dyDescent="0.2">
      <c r="A30" s="179"/>
      <c r="B30" s="180"/>
      <c r="C30" s="208"/>
      <c r="D30" s="209"/>
      <c r="E30" s="123"/>
      <c r="F30" s="123"/>
      <c r="G30" s="124"/>
      <c r="H30" s="80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11"/>
      <c r="F31" s="111"/>
      <c r="G31" s="115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4">+SUMIFS($H$15:$H$65,$I$15:$I$65,O31)</f>
        <v>0</v>
      </c>
      <c r="O31" s="42">
        <v>3008</v>
      </c>
    </row>
    <row r="32" spans="1:15" x14ac:dyDescent="0.2">
      <c r="A32" s="179"/>
      <c r="B32" s="180"/>
      <c r="C32" s="208"/>
      <c r="D32" s="209"/>
      <c r="E32" s="111"/>
      <c r="F32" s="111"/>
      <c r="G32" s="115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4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11"/>
      <c r="F33" s="111"/>
      <c r="G33" s="115"/>
      <c r="H33" s="81"/>
      <c r="I33" s="48"/>
      <c r="J33" s="49" t="str">
        <f t="shared" si="0"/>
        <v/>
      </c>
      <c r="L33" s="9">
        <v>613520</v>
      </c>
      <c r="M33" s="28">
        <f t="shared" si="2"/>
        <v>6003.82</v>
      </c>
      <c r="N33" s="28">
        <v>0</v>
      </c>
      <c r="O33" s="42">
        <v>3118</v>
      </c>
    </row>
    <row r="34" spans="1:15" x14ac:dyDescent="0.2">
      <c r="A34" s="179"/>
      <c r="B34" s="180"/>
      <c r="C34" s="208"/>
      <c r="D34" s="209"/>
      <c r="E34" s="111"/>
      <c r="F34" s="111"/>
      <c r="G34" s="115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4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11"/>
      <c r="F35" s="111"/>
      <c r="G35" s="115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4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11"/>
      <c r="F36" s="111"/>
      <c r="G36" s="115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4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11"/>
      <c r="F37" s="111"/>
      <c r="G37" s="115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4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11"/>
      <c r="F38" s="111"/>
      <c r="G38" s="115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11"/>
      <c r="F39" s="111"/>
      <c r="G39" s="115"/>
      <c r="H39" s="81"/>
      <c r="I39" s="48"/>
      <c r="J39" s="49" t="str">
        <f t="shared" si="0"/>
        <v/>
      </c>
      <c r="L39" s="9">
        <v>606300</v>
      </c>
      <c r="M39" s="28">
        <f t="shared" si="2"/>
        <v>178.88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11"/>
      <c r="F40" s="111"/>
      <c r="G40" s="115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11"/>
      <c r="F41" s="111"/>
      <c r="G41" s="115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11"/>
      <c r="F42" s="111"/>
      <c r="G42" s="115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11"/>
      <c r="F43" s="62"/>
      <c r="G43" s="115"/>
      <c r="H43" s="81"/>
      <c r="I43" s="48"/>
      <c r="J43" s="49" t="str">
        <f t="shared" si="0"/>
        <v/>
      </c>
      <c r="L43" s="9">
        <v>611110</v>
      </c>
      <c r="M43" s="28">
        <f t="shared" si="2"/>
        <v>575</v>
      </c>
      <c r="N43" s="28">
        <v>0</v>
      </c>
      <c r="O43" s="42">
        <v>4248</v>
      </c>
    </row>
    <row r="44" spans="1:15" x14ac:dyDescent="0.2">
      <c r="A44" s="179"/>
      <c r="B44" s="180"/>
      <c r="C44" s="208"/>
      <c r="D44" s="209"/>
      <c r="E44" s="111"/>
      <c r="F44" s="111"/>
      <c r="G44" s="110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11"/>
      <c r="F45" s="111"/>
      <c r="G45" s="115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11"/>
      <c r="F46" s="111"/>
      <c r="G46" s="115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11"/>
      <c r="F47" s="111"/>
      <c r="G47" s="115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v>0</v>
      </c>
      <c r="O47" s="42">
        <v>5500</v>
      </c>
    </row>
    <row r="48" spans="1:15" x14ac:dyDescent="0.2">
      <c r="A48" s="179"/>
      <c r="B48" s="180"/>
      <c r="C48" s="208"/>
      <c r="D48" s="209"/>
      <c r="E48" s="111"/>
      <c r="F48" s="111"/>
      <c r="G48" s="115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11"/>
      <c r="F49" s="111"/>
      <c r="G49" s="115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11"/>
      <c r="F50" s="111"/>
      <c r="G50" s="115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11"/>
      <c r="F51" s="111"/>
      <c r="G51" s="115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11"/>
      <c r="F52" s="111"/>
      <c r="G52" s="115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11"/>
      <c r="F53" s="111"/>
      <c r="G53" s="115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11"/>
      <c r="F54" s="111"/>
      <c r="G54" s="115"/>
      <c r="H54" s="81"/>
      <c r="I54" s="48"/>
      <c r="J54" s="49" t="str">
        <f t="shared" si="0"/>
        <v/>
      </c>
      <c r="L54" s="27" t="s">
        <v>21</v>
      </c>
      <c r="M54" s="188">
        <f>SUM(M15:N53)</f>
        <v>8630.5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11"/>
      <c r="F55" s="111"/>
      <c r="G55" s="115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11"/>
      <c r="F56" s="111"/>
      <c r="G56" s="115"/>
      <c r="H56" s="81"/>
      <c r="I56" s="48"/>
      <c r="J56" s="49" t="str">
        <f t="shared" si="0"/>
        <v/>
      </c>
      <c r="L56" s="9">
        <v>445860</v>
      </c>
      <c r="M56" s="28">
        <f>+SUM(M15:M53)*0.2</f>
        <v>1726.1000000000001</v>
      </c>
      <c r="N56" s="28"/>
      <c r="O56" s="83"/>
    </row>
    <row r="57" spans="1:15" x14ac:dyDescent="0.2">
      <c r="A57" s="179"/>
      <c r="B57" s="180"/>
      <c r="C57" s="208"/>
      <c r="D57" s="209"/>
      <c r="E57" s="111"/>
      <c r="F57" s="111"/>
      <c r="G57" s="115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11"/>
      <c r="F58" s="111"/>
      <c r="G58" s="115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11"/>
      <c r="F59" s="111"/>
      <c r="G59" s="115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10356.6</v>
      </c>
      <c r="O59" s="83"/>
    </row>
    <row r="60" spans="1:15" x14ac:dyDescent="0.2">
      <c r="A60" s="179"/>
      <c r="B60" s="180"/>
      <c r="C60" s="208"/>
      <c r="D60" s="209"/>
      <c r="E60" s="111"/>
      <c r="F60" s="111"/>
      <c r="G60" s="115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11"/>
      <c r="F61" s="111"/>
      <c r="G61" s="115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11"/>
      <c r="F62" s="111"/>
      <c r="G62" s="115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10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11"/>
      <c r="F64" s="111"/>
      <c r="G64" s="115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11"/>
      <c r="F65" s="111"/>
      <c r="G65" s="115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11"/>
      <c r="F66" s="111"/>
      <c r="G66" s="115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12"/>
      <c r="F67" s="112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8630.5</v>
      </c>
      <c r="I68" s="190"/>
      <c r="J68" s="191"/>
      <c r="L68" s="8" t="s">
        <v>6</v>
      </c>
      <c r="M68" s="34">
        <f>SUM(M15:M53)+SUM(M56:M66)</f>
        <v>10356.6</v>
      </c>
      <c r="N68" s="35">
        <f>SUM(N15:N53)+SUM(N56:N66)</f>
        <v>10356.6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7">
    <pageSetUpPr fitToPage="1"/>
  </sheetPr>
  <dimension ref="A1:U89"/>
  <sheetViews>
    <sheetView zoomScale="90" zoomScaleNormal="90" workbookViewId="0">
      <selection activeCell="A4" sqref="A4:B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102</v>
      </c>
      <c r="E9" s="56"/>
      <c r="F9" s="12" t="s">
        <v>11</v>
      </c>
      <c r="G9" s="102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101</v>
      </c>
      <c r="C10" s="11" t="s">
        <v>8</v>
      </c>
      <c r="D10" s="3"/>
      <c r="E10" s="56"/>
      <c r="F10" s="13" t="s">
        <v>1</v>
      </c>
      <c r="G10" s="107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06" t="s">
        <v>3</v>
      </c>
      <c r="F14" s="106" t="s">
        <v>14</v>
      </c>
      <c r="G14" s="106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04"/>
      <c r="F15" s="104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0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04"/>
      <c r="F17" s="104"/>
      <c r="G17" s="10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04"/>
      <c r="F18" s="104"/>
      <c r="G18" s="10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 t="s">
        <v>45</v>
      </c>
      <c r="B19" s="180"/>
      <c r="C19" s="208" t="s">
        <v>90</v>
      </c>
      <c r="D19" s="209"/>
      <c r="E19" s="104">
        <v>19571</v>
      </c>
      <c r="F19" s="104" t="s">
        <v>27</v>
      </c>
      <c r="G19" s="108">
        <v>43077</v>
      </c>
      <c r="H19" s="80">
        <v>138</v>
      </c>
      <c r="I19" s="48">
        <v>2712</v>
      </c>
      <c r="J19" s="49">
        <f t="shared" si="0"/>
        <v>606100</v>
      </c>
      <c r="L19" s="9"/>
      <c r="M19" s="28"/>
      <c r="N19" s="28"/>
      <c r="O19" s="42"/>
    </row>
    <row r="20" spans="1:15" x14ac:dyDescent="0.2">
      <c r="A20" s="179" t="s">
        <v>66</v>
      </c>
      <c r="B20" s="180"/>
      <c r="C20" s="208" t="s">
        <v>37</v>
      </c>
      <c r="D20" s="209"/>
      <c r="E20" s="104" t="s">
        <v>36</v>
      </c>
      <c r="F20" s="104" t="s">
        <v>27</v>
      </c>
      <c r="G20" s="108">
        <v>43220</v>
      </c>
      <c r="H20" s="81">
        <f>+(0.5+0.25+0.5+2.5)*150</f>
        <v>562.5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79" t="s">
        <v>91</v>
      </c>
      <c r="B21" s="180"/>
      <c r="C21" s="208" t="s">
        <v>92</v>
      </c>
      <c r="D21" s="209"/>
      <c r="E21" s="104">
        <v>25079</v>
      </c>
      <c r="F21" s="104" t="s">
        <v>27</v>
      </c>
      <c r="G21" s="108">
        <v>43083</v>
      </c>
      <c r="H21" s="81">
        <v>397.88</v>
      </c>
      <c r="I21" s="48">
        <v>4104</v>
      </c>
      <c r="J21" s="49">
        <f t="shared" si="0"/>
        <v>606500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179" t="s">
        <v>41</v>
      </c>
      <c r="B22" s="180"/>
      <c r="C22" s="208" t="s">
        <v>30</v>
      </c>
      <c r="D22" s="209"/>
      <c r="E22" s="151" t="s">
        <v>36</v>
      </c>
      <c r="F22" s="151" t="s">
        <v>27</v>
      </c>
      <c r="G22" s="152">
        <v>43159</v>
      </c>
      <c r="H22" s="80">
        <f>44.1+18+60.5</f>
        <v>122.6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 t="s">
        <v>61</v>
      </c>
      <c r="B23" s="180"/>
      <c r="C23" s="208" t="s">
        <v>53</v>
      </c>
      <c r="D23" s="209"/>
      <c r="E23" s="151" t="s">
        <v>36</v>
      </c>
      <c r="F23" s="151" t="s">
        <v>27</v>
      </c>
      <c r="G23" s="152">
        <v>43372</v>
      </c>
      <c r="H23" s="81">
        <f>(2.02+1.6+0.92)*82</f>
        <v>372.28000000000003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79"/>
      <c r="B24" s="180"/>
      <c r="C24" s="208"/>
      <c r="D24" s="209"/>
      <c r="E24" s="104"/>
      <c r="F24" s="104"/>
      <c r="G24" s="108"/>
      <c r="H24" s="80"/>
      <c r="I24" s="48"/>
      <c r="J24" s="49" t="str">
        <f t="shared" si="0"/>
        <v/>
      </c>
      <c r="L24" s="9">
        <v>606100</v>
      </c>
      <c r="M24" s="28">
        <f t="shared" ref="M24:M47" si="2">+SUMIFS($H$15:$H$65,$I$15:$I$65,O24)</f>
        <v>562.5</v>
      </c>
      <c r="N24" s="28">
        <v>0</v>
      </c>
      <c r="O24" s="42">
        <v>2308</v>
      </c>
    </row>
    <row r="25" spans="1:15" x14ac:dyDescent="0.2">
      <c r="A25" s="179" t="s">
        <v>68</v>
      </c>
      <c r="B25" s="180"/>
      <c r="C25" s="208" t="s">
        <v>35</v>
      </c>
      <c r="D25" s="209"/>
      <c r="E25" s="104">
        <v>19963</v>
      </c>
      <c r="F25" s="104" t="s">
        <v>27</v>
      </c>
      <c r="G25" s="108">
        <v>42796</v>
      </c>
      <c r="H25" s="81">
        <v>23.28</v>
      </c>
      <c r="I25" s="48">
        <v>2712</v>
      </c>
      <c r="J25" s="49"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34</v>
      </c>
      <c r="B26" s="180"/>
      <c r="C26" s="208" t="s">
        <v>30</v>
      </c>
      <c r="D26" s="209"/>
      <c r="E26" s="104" t="s">
        <v>36</v>
      </c>
      <c r="F26" s="104" t="s">
        <v>27</v>
      </c>
      <c r="G26" s="108">
        <v>43159</v>
      </c>
      <c r="H26" s="81">
        <f>165+19.5+61.44+19.5</f>
        <v>265.44</v>
      </c>
      <c r="I26" s="48">
        <v>3118</v>
      </c>
      <c r="J26" s="49">
        <f t="shared" si="0"/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 t="s">
        <v>57</v>
      </c>
      <c r="B27" s="180"/>
      <c r="C27" s="208" t="s">
        <v>88</v>
      </c>
      <c r="D27" s="209"/>
      <c r="E27" s="104" t="s">
        <v>36</v>
      </c>
      <c r="F27" s="104" t="s">
        <v>27</v>
      </c>
      <c r="G27" s="108">
        <v>43069</v>
      </c>
      <c r="H27" s="81">
        <f>56</f>
        <v>56</v>
      </c>
      <c r="I27" s="48">
        <v>4148</v>
      </c>
      <c r="J27" s="49">
        <v>606300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 t="s">
        <v>55</v>
      </c>
      <c r="B28" s="180"/>
      <c r="C28" s="208" t="s">
        <v>35</v>
      </c>
      <c r="D28" s="209"/>
      <c r="E28" s="104" t="s">
        <v>36</v>
      </c>
      <c r="F28" s="104" t="s">
        <v>27</v>
      </c>
      <c r="G28" s="108">
        <v>43159</v>
      </c>
      <c r="H28" s="81">
        <f>1080+143.97+33.76+33.76+90.3+177+103.5+81.42</f>
        <v>1743.71</v>
      </c>
      <c r="I28" s="48">
        <v>2712</v>
      </c>
      <c r="J28" s="49">
        <f t="shared" si="0"/>
        <v>606100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 t="s">
        <v>40</v>
      </c>
      <c r="B29" s="180"/>
      <c r="C29" s="208" t="s">
        <v>58</v>
      </c>
      <c r="D29" s="209"/>
      <c r="E29" s="145" t="s">
        <v>36</v>
      </c>
      <c r="F29" s="145" t="s">
        <v>27</v>
      </c>
      <c r="G29" s="146">
        <v>43039</v>
      </c>
      <c r="H29" s="81">
        <f>235.35+31</f>
        <v>266.35000000000002</v>
      </c>
      <c r="I29" s="48">
        <v>3118</v>
      </c>
      <c r="J29" s="49">
        <f t="shared" si="0"/>
        <v>613520</v>
      </c>
      <c r="L29" s="9">
        <v>606100</v>
      </c>
      <c r="M29" s="28">
        <f t="shared" si="2"/>
        <v>2317.37</v>
      </c>
      <c r="N29" s="28">
        <v>0</v>
      </c>
      <c r="O29" s="42">
        <v>2712</v>
      </c>
    </row>
    <row r="30" spans="1:15" x14ac:dyDescent="0.2">
      <c r="A30" s="179" t="s">
        <v>32</v>
      </c>
      <c r="B30" s="180"/>
      <c r="C30" s="208" t="s">
        <v>35</v>
      </c>
      <c r="D30" s="209"/>
      <c r="E30" s="104">
        <v>21984</v>
      </c>
      <c r="F30" s="104" t="s">
        <v>27</v>
      </c>
      <c r="G30" s="108">
        <v>42947</v>
      </c>
      <c r="H30" s="81">
        <v>40.1</v>
      </c>
      <c r="I30" s="48">
        <v>2712</v>
      </c>
      <c r="J30" s="49">
        <f t="shared" si="0"/>
        <v>606100</v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04"/>
      <c r="F31" s="104"/>
      <c r="G31" s="10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79" t="s">
        <v>65</v>
      </c>
      <c r="B32" s="180"/>
      <c r="C32" s="208" t="s">
        <v>30</v>
      </c>
      <c r="D32" s="209"/>
      <c r="E32" s="104" t="s">
        <v>36</v>
      </c>
      <c r="F32" s="104" t="s">
        <v>27</v>
      </c>
      <c r="G32" s="108">
        <v>43159</v>
      </c>
      <c r="H32" s="81">
        <f>462+((2.5+6.3)*66)+304.13</f>
        <v>1346.9300000000003</v>
      </c>
      <c r="I32" s="48">
        <v>3118</v>
      </c>
      <c r="J32" s="49">
        <f t="shared" si="0"/>
        <v>613520</v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04"/>
      <c r="F33" s="104"/>
      <c r="G33" s="108"/>
      <c r="H33" s="81"/>
      <c r="I33" s="48"/>
      <c r="J33" s="49" t="str">
        <f t="shared" si="0"/>
        <v/>
      </c>
      <c r="L33" s="9">
        <v>613520</v>
      </c>
      <c r="M33" s="28">
        <f t="shared" si="2"/>
        <v>2001.3200000000002</v>
      </c>
      <c r="N33" s="28">
        <v>0</v>
      </c>
      <c r="O33" s="42">
        <v>3118</v>
      </c>
    </row>
    <row r="34" spans="1:15" x14ac:dyDescent="0.2">
      <c r="A34" s="179"/>
      <c r="B34" s="180"/>
      <c r="C34" s="208"/>
      <c r="D34" s="209"/>
      <c r="E34" s="104"/>
      <c r="F34" s="104"/>
      <c r="G34" s="10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04"/>
      <c r="F35" s="104"/>
      <c r="G35" s="108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04"/>
      <c r="F36" s="104"/>
      <c r="G36" s="10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04"/>
      <c r="F37" s="104"/>
      <c r="G37" s="10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04"/>
      <c r="F38" s="104"/>
      <c r="G38" s="108"/>
      <c r="H38" s="81"/>
      <c r="I38" s="48"/>
      <c r="J38" s="49" t="str">
        <f t="shared" si="0"/>
        <v/>
      </c>
      <c r="L38" s="9">
        <v>606500</v>
      </c>
      <c r="M38" s="28">
        <f t="shared" si="2"/>
        <v>397.88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04"/>
      <c r="F39" s="104"/>
      <c r="G39" s="108"/>
      <c r="H39" s="81"/>
      <c r="I39" s="48"/>
      <c r="J39" s="49" t="str">
        <f t="shared" si="0"/>
        <v/>
      </c>
      <c r="L39" s="9">
        <v>606300</v>
      </c>
      <c r="M39" s="28">
        <f t="shared" si="2"/>
        <v>56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04"/>
      <c r="F40" s="104"/>
      <c r="G40" s="10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04"/>
      <c r="F41" s="104"/>
      <c r="G41" s="10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04"/>
      <c r="F42" s="104"/>
      <c r="G42" s="10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04"/>
      <c r="F43" s="62"/>
      <c r="G43" s="10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79"/>
      <c r="B44" s="180"/>
      <c r="C44" s="208"/>
      <c r="D44" s="209"/>
      <c r="E44" s="104"/>
      <c r="F44" s="104"/>
      <c r="G44" s="10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04"/>
      <c r="F45" s="104"/>
      <c r="G45" s="10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04"/>
      <c r="F46" s="104"/>
      <c r="G46" s="10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04"/>
      <c r="F47" s="104"/>
      <c r="G47" s="10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79"/>
      <c r="B48" s="180"/>
      <c r="C48" s="208"/>
      <c r="D48" s="209"/>
      <c r="E48" s="104"/>
      <c r="F48" s="104"/>
      <c r="G48" s="10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04"/>
      <c r="F49" s="104"/>
      <c r="G49" s="10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04"/>
      <c r="F50" s="104"/>
      <c r="G50" s="10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04"/>
      <c r="F51" s="104"/>
      <c r="G51" s="10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04"/>
      <c r="F52" s="104"/>
      <c r="G52" s="10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04"/>
      <c r="F53" s="104"/>
      <c r="G53" s="10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04"/>
      <c r="F54" s="104"/>
      <c r="G54" s="108"/>
      <c r="H54" s="81"/>
      <c r="I54" s="48"/>
      <c r="J54" s="49" t="str">
        <f t="shared" si="0"/>
        <v/>
      </c>
      <c r="L54" s="27" t="s">
        <v>21</v>
      </c>
      <c r="M54" s="188">
        <f>SUM(M15:N53)</f>
        <v>5335.0700000000006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04"/>
      <c r="F55" s="104"/>
      <c r="G55" s="10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04"/>
      <c r="F56" s="104"/>
      <c r="G56" s="108"/>
      <c r="H56" s="81"/>
      <c r="I56" s="48"/>
      <c r="J56" s="49" t="str">
        <f t="shared" si="0"/>
        <v/>
      </c>
      <c r="L56" s="9">
        <v>445860</v>
      </c>
      <c r="M56" s="28">
        <f>+SUM(M15:M53)*0.2</f>
        <v>1067.0140000000001</v>
      </c>
      <c r="N56" s="28"/>
      <c r="O56" s="83"/>
    </row>
    <row r="57" spans="1:15" x14ac:dyDescent="0.2">
      <c r="A57" s="179"/>
      <c r="B57" s="180"/>
      <c r="C57" s="208"/>
      <c r="D57" s="209"/>
      <c r="E57" s="104"/>
      <c r="F57" s="104"/>
      <c r="G57" s="10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04"/>
      <c r="F58" s="104"/>
      <c r="G58" s="10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04"/>
      <c r="F59" s="104"/>
      <c r="G59" s="10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6402.0840000000007</v>
      </c>
      <c r="O59" s="83"/>
    </row>
    <row r="60" spans="1:15" x14ac:dyDescent="0.2">
      <c r="A60" s="179"/>
      <c r="B60" s="180"/>
      <c r="C60" s="208"/>
      <c r="D60" s="209"/>
      <c r="E60" s="104"/>
      <c r="F60" s="104"/>
      <c r="G60" s="10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04"/>
      <c r="F61" s="104"/>
      <c r="G61" s="10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04"/>
      <c r="F62" s="104"/>
      <c r="G62" s="10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0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04"/>
      <c r="F64" s="104"/>
      <c r="G64" s="10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04"/>
      <c r="F65" s="104"/>
      <c r="G65" s="10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04"/>
      <c r="F66" s="104"/>
      <c r="G66" s="10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05"/>
      <c r="F67" s="105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5335.07</v>
      </c>
      <c r="I68" s="190"/>
      <c r="J68" s="191"/>
      <c r="L68" s="8" t="s">
        <v>6</v>
      </c>
      <c r="M68" s="34">
        <f>SUM(M15:M53)+SUM(M56:M66)</f>
        <v>6402.0840000000007</v>
      </c>
      <c r="N68" s="35">
        <f>SUM(N15:N53)+SUM(N56:N66)</f>
        <v>6402.0840000000007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8">
    <pageSetUpPr fitToPage="1"/>
  </sheetPr>
  <dimension ref="A1:U89"/>
  <sheetViews>
    <sheetView zoomScale="90" zoomScaleNormal="90" workbookViewId="0">
      <selection activeCell="A4" sqref="A4:A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104</v>
      </c>
      <c r="E9" s="56"/>
      <c r="F9" s="12" t="s">
        <v>11</v>
      </c>
      <c r="G9" s="125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103</v>
      </c>
      <c r="C10" s="11" t="s">
        <v>8</v>
      </c>
      <c r="D10" s="3"/>
      <c r="E10" s="56"/>
      <c r="F10" s="13" t="s">
        <v>1</v>
      </c>
      <c r="G10" s="130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29" t="s">
        <v>3</v>
      </c>
      <c r="F14" s="129" t="s">
        <v>14</v>
      </c>
      <c r="G14" s="129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27"/>
      <c r="F15" s="127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26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27"/>
      <c r="F17" s="127"/>
      <c r="G17" s="131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27"/>
      <c r="F18" s="127"/>
      <c r="G18" s="131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/>
      <c r="B19" s="180"/>
      <c r="C19" s="208"/>
      <c r="D19" s="209"/>
      <c r="E19" s="127"/>
      <c r="F19" s="127"/>
      <c r="G19" s="131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79" t="s">
        <v>45</v>
      </c>
      <c r="B20" s="180"/>
      <c r="C20" s="208" t="s">
        <v>35</v>
      </c>
      <c r="D20" s="209"/>
      <c r="E20" s="145" t="s">
        <v>36</v>
      </c>
      <c r="F20" s="145" t="s">
        <v>27</v>
      </c>
      <c r="G20" s="146">
        <v>43018</v>
      </c>
      <c r="H20" s="81">
        <f>106.45</f>
        <v>106.45</v>
      </c>
      <c r="I20" s="48">
        <v>2712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79"/>
      <c r="B21" s="180"/>
      <c r="C21" s="208"/>
      <c r="D21" s="209"/>
      <c r="E21" s="145"/>
      <c r="F21" s="145"/>
      <c r="G21" s="146"/>
      <c r="H21" s="80"/>
      <c r="I21" s="48"/>
      <c r="J21" s="49" t="str">
        <f t="shared" si="0"/>
        <v/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06" t="s">
        <v>75</v>
      </c>
      <c r="B22" s="207"/>
      <c r="C22" s="208" t="s">
        <v>30</v>
      </c>
      <c r="D22" s="209"/>
      <c r="E22" s="46" t="s">
        <v>36</v>
      </c>
      <c r="F22" s="92" t="s">
        <v>27</v>
      </c>
      <c r="G22" s="126">
        <v>43159</v>
      </c>
      <c r="H22" s="82">
        <f>25+59</f>
        <v>84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 t="s">
        <v>42</v>
      </c>
      <c r="B23" s="180"/>
      <c r="C23" s="208" t="s">
        <v>35</v>
      </c>
      <c r="D23" s="209"/>
      <c r="E23" s="145">
        <v>24861</v>
      </c>
      <c r="F23" s="145" t="s">
        <v>27</v>
      </c>
      <c r="G23" s="146">
        <v>43117</v>
      </c>
      <c r="H23" s="81">
        <v>77.77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79" t="s">
        <v>62</v>
      </c>
      <c r="B24" s="180"/>
      <c r="C24" s="208" t="s">
        <v>37</v>
      </c>
      <c r="D24" s="209"/>
      <c r="E24" s="127" t="s">
        <v>36</v>
      </c>
      <c r="F24" s="127" t="s">
        <v>27</v>
      </c>
      <c r="G24" s="131">
        <v>43069</v>
      </c>
      <c r="H24" s="80">
        <f>250</f>
        <v>250</v>
      </c>
      <c r="I24" s="48">
        <v>2308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700</v>
      </c>
      <c r="N24" s="28">
        <v>0</v>
      </c>
      <c r="O24" s="42">
        <v>2308</v>
      </c>
    </row>
    <row r="25" spans="1:15" x14ac:dyDescent="0.2">
      <c r="A25" s="179" t="s">
        <v>41</v>
      </c>
      <c r="B25" s="180"/>
      <c r="C25" s="208" t="s">
        <v>30</v>
      </c>
      <c r="D25" s="209"/>
      <c r="E25" s="127" t="s">
        <v>46</v>
      </c>
      <c r="F25" s="127" t="s">
        <v>27</v>
      </c>
      <c r="G25" s="131">
        <v>43039</v>
      </c>
      <c r="H25" s="81">
        <f>56.5+640+9.5+118.57</f>
        <v>824.56999999999994</v>
      </c>
      <c r="I25" s="48">
        <v>3118</v>
      </c>
      <c r="J25" s="49">
        <f t="shared" si="0"/>
        <v>613520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56</v>
      </c>
      <c r="B26" s="180"/>
      <c r="C26" s="208" t="s">
        <v>37</v>
      </c>
      <c r="D26" s="209"/>
      <c r="E26" s="127">
        <v>18422</v>
      </c>
      <c r="F26" s="127" t="s">
        <v>27</v>
      </c>
      <c r="G26" s="131">
        <v>42853</v>
      </c>
      <c r="H26" s="81">
        <f>3*150</f>
        <v>450</v>
      </c>
      <c r="I26" s="48">
        <v>2308</v>
      </c>
      <c r="J26" s="49">
        <f t="shared" si="0"/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 t="s">
        <v>76</v>
      </c>
      <c r="B27" s="180"/>
      <c r="C27" s="208" t="s">
        <v>30</v>
      </c>
      <c r="D27" s="209"/>
      <c r="E27" s="127" t="s">
        <v>36</v>
      </c>
      <c r="F27" s="127" t="s">
        <v>27</v>
      </c>
      <c r="G27" s="131">
        <v>43039</v>
      </c>
      <c r="H27" s="81">
        <f>326.03</f>
        <v>326.02999999999997</v>
      </c>
      <c r="I27" s="48">
        <v>3118</v>
      </c>
      <c r="J27" s="49">
        <f t="shared" si="0"/>
        <v>613520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 t="s">
        <v>43</v>
      </c>
      <c r="B28" s="180"/>
      <c r="C28" s="208" t="s">
        <v>35</v>
      </c>
      <c r="D28" s="209"/>
      <c r="E28" s="127" t="s">
        <v>36</v>
      </c>
      <c r="F28" s="127" t="s">
        <v>27</v>
      </c>
      <c r="G28" s="131">
        <v>43039</v>
      </c>
      <c r="H28" s="81">
        <f>96.41</f>
        <v>96.41</v>
      </c>
      <c r="I28" s="48">
        <v>2712</v>
      </c>
      <c r="J28" s="49">
        <f t="shared" si="0"/>
        <v>606100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/>
      <c r="B29" s="180"/>
      <c r="C29" s="208"/>
      <c r="D29" s="209"/>
      <c r="E29" s="127"/>
      <c r="F29" s="127"/>
      <c r="G29" s="131"/>
      <c r="H29" s="81"/>
      <c r="I29" s="48"/>
      <c r="J29" s="49" t="str">
        <f t="shared" si="0"/>
        <v/>
      </c>
      <c r="L29" s="9">
        <v>606100</v>
      </c>
      <c r="M29" s="28">
        <f t="shared" si="2"/>
        <v>280.63</v>
      </c>
      <c r="N29" s="28">
        <v>0</v>
      </c>
      <c r="O29" s="42">
        <v>2712</v>
      </c>
    </row>
    <row r="30" spans="1:15" x14ac:dyDescent="0.2">
      <c r="A30" s="179"/>
      <c r="B30" s="180"/>
      <c r="C30" s="208"/>
      <c r="D30" s="209"/>
      <c r="E30" s="127"/>
      <c r="F30" s="127"/>
      <c r="G30" s="131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27"/>
      <c r="F31" s="127"/>
      <c r="G31" s="131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79"/>
      <c r="B32" s="180"/>
      <c r="C32" s="208"/>
      <c r="D32" s="209"/>
      <c r="E32" s="127"/>
      <c r="F32" s="127"/>
      <c r="G32" s="131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27"/>
      <c r="F33" s="127"/>
      <c r="G33" s="131"/>
      <c r="H33" s="81"/>
      <c r="I33" s="48"/>
      <c r="J33" s="49" t="str">
        <f t="shared" si="0"/>
        <v/>
      </c>
      <c r="L33" s="9">
        <v>613520</v>
      </c>
      <c r="M33" s="28">
        <f t="shared" si="2"/>
        <v>1234.5999999999999</v>
      </c>
      <c r="N33" s="28">
        <v>0</v>
      </c>
      <c r="O33" s="42">
        <v>3118</v>
      </c>
    </row>
    <row r="34" spans="1:15" x14ac:dyDescent="0.2">
      <c r="A34" s="179"/>
      <c r="B34" s="180"/>
      <c r="C34" s="208"/>
      <c r="D34" s="209"/>
      <c r="E34" s="127"/>
      <c r="F34" s="127"/>
      <c r="G34" s="131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27"/>
      <c r="F35" s="127"/>
      <c r="G35" s="131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27"/>
      <c r="F36" s="127"/>
      <c r="G36" s="131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27"/>
      <c r="F37" s="127"/>
      <c r="G37" s="131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27"/>
      <c r="F38" s="127"/>
      <c r="G38" s="131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27"/>
      <c r="F39" s="127"/>
      <c r="G39" s="131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27"/>
      <c r="F40" s="127"/>
      <c r="G40" s="131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27"/>
      <c r="F41" s="127"/>
      <c r="G41" s="131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27"/>
      <c r="F42" s="127"/>
      <c r="G42" s="131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27"/>
      <c r="F43" s="62"/>
      <c r="G43" s="131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79"/>
      <c r="B44" s="180"/>
      <c r="C44" s="208"/>
      <c r="D44" s="209"/>
      <c r="E44" s="127"/>
      <c r="F44" s="127"/>
      <c r="G44" s="126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27"/>
      <c r="F45" s="127"/>
      <c r="G45" s="131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27"/>
      <c r="F46" s="127"/>
      <c r="G46" s="131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27"/>
      <c r="F47" s="127"/>
      <c r="G47" s="131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79"/>
      <c r="B48" s="180"/>
      <c r="C48" s="208"/>
      <c r="D48" s="209"/>
      <c r="E48" s="127"/>
      <c r="F48" s="127"/>
      <c r="G48" s="131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27"/>
      <c r="F49" s="127"/>
      <c r="G49" s="131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27"/>
      <c r="F50" s="127"/>
      <c r="G50" s="131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27"/>
      <c r="F51" s="127"/>
      <c r="G51" s="131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27"/>
      <c r="F52" s="127"/>
      <c r="G52" s="131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27"/>
      <c r="F53" s="127"/>
      <c r="G53" s="131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27"/>
      <c r="F54" s="127"/>
      <c r="G54" s="131"/>
      <c r="H54" s="81"/>
      <c r="I54" s="48"/>
      <c r="J54" s="49" t="str">
        <f t="shared" si="0"/>
        <v/>
      </c>
      <c r="L54" s="27" t="s">
        <v>21</v>
      </c>
      <c r="M54" s="188">
        <f>SUM(M15:N53)</f>
        <v>2215.23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27"/>
      <c r="F55" s="127"/>
      <c r="G55" s="131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27"/>
      <c r="F56" s="127"/>
      <c r="G56" s="131"/>
      <c r="H56" s="81"/>
      <c r="I56" s="48"/>
      <c r="J56" s="49" t="str">
        <f t="shared" si="0"/>
        <v/>
      </c>
      <c r="L56" s="9">
        <v>445860</v>
      </c>
      <c r="M56" s="28">
        <f>+SUM(M15:M53)*0.2</f>
        <v>443.04600000000005</v>
      </c>
      <c r="N56" s="28"/>
      <c r="O56" s="83"/>
    </row>
    <row r="57" spans="1:15" x14ac:dyDescent="0.2">
      <c r="A57" s="179"/>
      <c r="B57" s="180"/>
      <c r="C57" s="208"/>
      <c r="D57" s="209"/>
      <c r="E57" s="127"/>
      <c r="F57" s="127"/>
      <c r="G57" s="131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27"/>
      <c r="F58" s="127"/>
      <c r="G58" s="131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27"/>
      <c r="F59" s="127"/>
      <c r="G59" s="131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2658.2759999999998</v>
      </c>
      <c r="O59" s="83"/>
    </row>
    <row r="60" spans="1:15" x14ac:dyDescent="0.2">
      <c r="A60" s="179"/>
      <c r="B60" s="180"/>
      <c r="C60" s="208"/>
      <c r="D60" s="209"/>
      <c r="E60" s="127"/>
      <c r="F60" s="127"/>
      <c r="G60" s="131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27"/>
      <c r="F61" s="127"/>
      <c r="G61" s="131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27"/>
      <c r="F62" s="127"/>
      <c r="G62" s="131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26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27"/>
      <c r="F64" s="127"/>
      <c r="G64" s="131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27"/>
      <c r="F65" s="127"/>
      <c r="G65" s="131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27"/>
      <c r="F66" s="127"/>
      <c r="G66" s="131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28"/>
      <c r="F67" s="128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2215.2299999999996</v>
      </c>
      <c r="I68" s="190"/>
      <c r="J68" s="191"/>
      <c r="L68" s="8" t="s">
        <v>6</v>
      </c>
      <c r="M68" s="34">
        <f>SUM(M15:M53)+SUM(M56:M66)</f>
        <v>2658.2759999999998</v>
      </c>
      <c r="N68" s="35">
        <f>SUM(N15:N53)+SUM(N56:N66)</f>
        <v>2658.2759999999998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M54:N54"/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9">
    <pageSetUpPr fitToPage="1"/>
  </sheetPr>
  <dimension ref="A1:U89"/>
  <sheetViews>
    <sheetView zoomScale="90" zoomScaleNormal="90" workbookViewId="0">
      <selection activeCell="A4" sqref="A4:B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106</v>
      </c>
      <c r="E9" s="56"/>
      <c r="F9" s="12" t="s">
        <v>11</v>
      </c>
      <c r="G9" s="136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105</v>
      </c>
      <c r="C10" s="11" t="s">
        <v>8</v>
      </c>
      <c r="D10" s="3"/>
      <c r="E10" s="56"/>
      <c r="F10" s="13" t="s">
        <v>1</v>
      </c>
      <c r="G10" s="132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34" t="s">
        <v>3</v>
      </c>
      <c r="F14" s="134" t="s">
        <v>14</v>
      </c>
      <c r="G14" s="134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35"/>
      <c r="F15" s="135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18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3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35"/>
      <c r="F17" s="135"/>
      <c r="G17" s="13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35"/>
      <c r="F18" s="135"/>
      <c r="G18" s="13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/>
      <c r="B19" s="180"/>
      <c r="C19" s="208"/>
      <c r="D19" s="209"/>
      <c r="E19" s="135"/>
      <c r="F19" s="135"/>
      <c r="G19" s="138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79" t="s">
        <v>39</v>
      </c>
      <c r="B20" s="180"/>
      <c r="C20" s="208" t="s">
        <v>37</v>
      </c>
      <c r="D20" s="209"/>
      <c r="E20" s="135" t="s">
        <v>38</v>
      </c>
      <c r="F20" s="135" t="s">
        <v>26</v>
      </c>
      <c r="G20" s="138">
        <v>42886</v>
      </c>
      <c r="H20" s="81">
        <f>(0.5+0.5)*150</f>
        <v>150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3824</v>
      </c>
      <c r="N20" s="28">
        <v>0</v>
      </c>
      <c r="O20" s="42">
        <v>1104</v>
      </c>
    </row>
    <row r="21" spans="1:15" x14ac:dyDescent="0.2">
      <c r="A21" s="179" t="s">
        <v>60</v>
      </c>
      <c r="B21" s="180"/>
      <c r="C21" s="208" t="s">
        <v>81</v>
      </c>
      <c r="D21" s="209"/>
      <c r="E21" s="135" t="s">
        <v>82</v>
      </c>
      <c r="F21" s="135" t="s">
        <v>33</v>
      </c>
      <c r="G21" s="138">
        <v>42886</v>
      </c>
      <c r="H21" s="81">
        <f>(41+16.5+30.5+31.5)*32</f>
        <v>3824</v>
      </c>
      <c r="I21" s="48">
        <v>1104</v>
      </c>
      <c r="J21" s="49">
        <f t="shared" si="0"/>
        <v>621100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06" t="s">
        <v>47</v>
      </c>
      <c r="B22" s="207"/>
      <c r="C22" s="208" t="s">
        <v>44</v>
      </c>
      <c r="D22" s="209"/>
      <c r="E22" s="46" t="s">
        <v>36</v>
      </c>
      <c r="F22" s="92" t="s">
        <v>27</v>
      </c>
      <c r="G22" s="133">
        <v>42886</v>
      </c>
      <c r="H22" s="82">
        <f>777.05+84.56</f>
        <v>861.6099999999999</v>
      </c>
      <c r="I22" s="48">
        <v>4148</v>
      </c>
      <c r="J22" s="49">
        <f t="shared" si="0"/>
        <v>606300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/>
      <c r="B23" s="180"/>
      <c r="C23" s="208"/>
      <c r="D23" s="209"/>
      <c r="E23" s="135"/>
      <c r="F23" s="138"/>
      <c r="G23" s="138"/>
      <c r="H23" s="81"/>
      <c r="I23" s="48"/>
      <c r="J23" s="49" t="str">
        <f t="shared" si="0"/>
        <v/>
      </c>
      <c r="L23" s="9"/>
      <c r="M23" s="28"/>
      <c r="N23" s="28"/>
      <c r="O23" s="42"/>
    </row>
    <row r="24" spans="1:15" x14ac:dyDescent="0.2">
      <c r="A24" s="179" t="s">
        <v>41</v>
      </c>
      <c r="B24" s="180"/>
      <c r="C24" s="208" t="s">
        <v>30</v>
      </c>
      <c r="D24" s="209"/>
      <c r="E24" s="135">
        <v>19664</v>
      </c>
      <c r="F24" s="135" t="s">
        <v>27</v>
      </c>
      <c r="G24" s="138">
        <v>42855</v>
      </c>
      <c r="H24" s="80">
        <v>482.96</v>
      </c>
      <c r="I24" s="48">
        <v>3118</v>
      </c>
      <c r="J24" s="49">
        <f t="shared" si="0"/>
        <v>613520</v>
      </c>
      <c r="L24" s="9">
        <v>606100</v>
      </c>
      <c r="M24" s="28">
        <f t="shared" ref="M24:M47" si="2">+SUMIFS($H$15:$H$65,$I$15:$I$65,O24)</f>
        <v>150</v>
      </c>
      <c r="N24" s="28">
        <v>0</v>
      </c>
      <c r="O24" s="42">
        <v>2308</v>
      </c>
    </row>
    <row r="25" spans="1:15" x14ac:dyDescent="0.2">
      <c r="A25" s="179"/>
      <c r="B25" s="180"/>
      <c r="C25" s="208"/>
      <c r="D25" s="209"/>
      <c r="E25" s="135"/>
      <c r="F25" s="135"/>
      <c r="G25" s="138"/>
      <c r="H25" s="81"/>
      <c r="I25" s="48"/>
      <c r="J25" s="49" t="str">
        <f t="shared" si="0"/>
        <v/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28</v>
      </c>
      <c r="B26" s="180"/>
      <c r="C26" s="208" t="s">
        <v>70</v>
      </c>
      <c r="D26" s="209"/>
      <c r="E26" s="135" t="s">
        <v>71</v>
      </c>
      <c r="F26" s="135" t="s">
        <v>26</v>
      </c>
      <c r="G26" s="138">
        <v>42844</v>
      </c>
      <c r="H26" s="81">
        <v>3930</v>
      </c>
      <c r="I26" s="48">
        <v>2712</v>
      </c>
      <c r="J26" s="49">
        <f t="shared" si="0"/>
        <v>606100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 t="s">
        <v>34</v>
      </c>
      <c r="B27" s="180"/>
      <c r="C27" s="208" t="s">
        <v>30</v>
      </c>
      <c r="D27" s="209"/>
      <c r="E27" s="135" t="s">
        <v>36</v>
      </c>
      <c r="F27" s="135" t="s">
        <v>27</v>
      </c>
      <c r="G27" s="138">
        <v>43039</v>
      </c>
      <c r="H27" s="81">
        <f>425+200+725+505</f>
        <v>1855</v>
      </c>
      <c r="I27" s="48">
        <v>3118</v>
      </c>
      <c r="J27" s="49">
        <f t="shared" si="0"/>
        <v>613520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/>
      <c r="B28" s="180"/>
      <c r="C28" s="208"/>
      <c r="D28" s="209"/>
      <c r="E28" s="142"/>
      <c r="F28" s="142"/>
      <c r="G28" s="143"/>
      <c r="H28" s="81"/>
      <c r="I28" s="48"/>
      <c r="J28" s="49" t="str">
        <f t="shared" si="0"/>
        <v/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 t="s">
        <v>69</v>
      </c>
      <c r="B29" s="180"/>
      <c r="C29" s="208" t="s">
        <v>35</v>
      </c>
      <c r="D29" s="209"/>
      <c r="E29" s="135" t="s">
        <v>36</v>
      </c>
      <c r="F29" s="135" t="s">
        <v>27</v>
      </c>
      <c r="G29" s="138">
        <v>42886</v>
      </c>
      <c r="H29" s="81">
        <f>37.26</f>
        <v>37.26</v>
      </c>
      <c r="I29" s="48">
        <v>2712</v>
      </c>
      <c r="J29" s="49">
        <f t="shared" si="0"/>
        <v>606100</v>
      </c>
      <c r="L29" s="9">
        <v>606100</v>
      </c>
      <c r="M29" s="28">
        <f t="shared" si="2"/>
        <v>3967.26</v>
      </c>
      <c r="N29" s="28">
        <v>0</v>
      </c>
      <c r="O29" s="42">
        <v>2712</v>
      </c>
    </row>
    <row r="30" spans="1:15" x14ac:dyDescent="0.2">
      <c r="A30" s="179"/>
      <c r="B30" s="180"/>
      <c r="C30" s="208"/>
      <c r="D30" s="209"/>
      <c r="E30" s="135"/>
      <c r="F30" s="135"/>
      <c r="G30" s="138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35"/>
      <c r="F31" s="135"/>
      <c r="G31" s="13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79"/>
      <c r="B32" s="180"/>
      <c r="C32" s="208"/>
      <c r="D32" s="209"/>
      <c r="E32" s="135"/>
      <c r="F32" s="135"/>
      <c r="G32" s="138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35"/>
      <c r="F33" s="135"/>
      <c r="G33" s="138"/>
      <c r="H33" s="81"/>
      <c r="I33" s="48"/>
      <c r="J33" s="49" t="str">
        <f t="shared" si="0"/>
        <v/>
      </c>
      <c r="L33" s="9">
        <v>613520</v>
      </c>
      <c r="M33" s="28">
        <f t="shared" si="2"/>
        <v>2337.96</v>
      </c>
      <c r="N33" s="28">
        <v>0</v>
      </c>
      <c r="O33" s="42">
        <v>3118</v>
      </c>
    </row>
    <row r="34" spans="1:15" x14ac:dyDescent="0.2">
      <c r="A34" s="179"/>
      <c r="B34" s="180"/>
      <c r="C34" s="208"/>
      <c r="D34" s="209"/>
      <c r="E34" s="135"/>
      <c r="F34" s="135"/>
      <c r="G34" s="13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35"/>
      <c r="F35" s="135"/>
      <c r="G35" s="138"/>
      <c r="H35" s="81"/>
      <c r="I35" s="48"/>
      <c r="J35" s="49"/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35"/>
      <c r="F36" s="135"/>
      <c r="G36" s="13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35"/>
      <c r="F37" s="135"/>
      <c r="G37" s="13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35"/>
      <c r="F38" s="135"/>
      <c r="G38" s="138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35"/>
      <c r="F39" s="135"/>
      <c r="G39" s="138"/>
      <c r="H39" s="81"/>
      <c r="I39" s="48"/>
      <c r="J39" s="49" t="str">
        <f t="shared" si="0"/>
        <v/>
      </c>
      <c r="L39" s="9">
        <v>606300</v>
      </c>
      <c r="M39" s="28">
        <f t="shared" si="2"/>
        <v>861.6099999999999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35"/>
      <c r="F40" s="135"/>
      <c r="G40" s="13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35"/>
      <c r="F41" s="135"/>
      <c r="G41" s="13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35"/>
      <c r="F42" s="135"/>
      <c r="G42" s="13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35"/>
      <c r="F43" s="62"/>
      <c r="G43" s="13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79"/>
      <c r="B44" s="180"/>
      <c r="C44" s="208"/>
      <c r="D44" s="209"/>
      <c r="E44" s="135"/>
      <c r="F44" s="135"/>
      <c r="G44" s="13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35"/>
      <c r="F45" s="135"/>
      <c r="G45" s="13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35"/>
      <c r="F46" s="135"/>
      <c r="G46" s="13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35"/>
      <c r="F47" s="135"/>
      <c r="G47" s="13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79"/>
      <c r="B48" s="180"/>
      <c r="C48" s="208"/>
      <c r="D48" s="209"/>
      <c r="E48" s="135"/>
      <c r="F48" s="135"/>
      <c r="G48" s="13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35"/>
      <c r="F49" s="135"/>
      <c r="G49" s="13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35"/>
      <c r="F50" s="135"/>
      <c r="G50" s="13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35"/>
      <c r="F51" s="135"/>
      <c r="G51" s="13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35"/>
      <c r="F52" s="135"/>
      <c r="G52" s="13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35"/>
      <c r="F53" s="135"/>
      <c r="G53" s="13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35"/>
      <c r="F54" s="135"/>
      <c r="G54" s="138"/>
      <c r="H54" s="81"/>
      <c r="I54" s="48"/>
      <c r="J54" s="49" t="str">
        <f t="shared" si="0"/>
        <v/>
      </c>
      <c r="L54" s="27" t="s">
        <v>21</v>
      </c>
      <c r="M54" s="188">
        <f>SUM(M15:N53)</f>
        <v>11140.830000000002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35"/>
      <c r="F55" s="135"/>
      <c r="G55" s="13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35"/>
      <c r="F56" s="135"/>
      <c r="G56" s="138"/>
      <c r="H56" s="81"/>
      <c r="I56" s="48"/>
      <c r="J56" s="49" t="str">
        <f t="shared" si="0"/>
        <v/>
      </c>
      <c r="L56" s="9">
        <v>445860</v>
      </c>
      <c r="M56" s="28">
        <f>+SUM(M15:M53)*0.2</f>
        <v>2228.1660000000006</v>
      </c>
      <c r="N56" s="28"/>
      <c r="O56" s="83"/>
    </row>
    <row r="57" spans="1:15" x14ac:dyDescent="0.2">
      <c r="A57" s="179"/>
      <c r="B57" s="180"/>
      <c r="C57" s="208"/>
      <c r="D57" s="209"/>
      <c r="E57" s="135"/>
      <c r="F57" s="135"/>
      <c r="G57" s="13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35"/>
      <c r="F58" s="135"/>
      <c r="G58" s="13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35"/>
      <c r="F59" s="135"/>
      <c r="G59" s="13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13368.996000000003</v>
      </c>
      <c r="O59" s="83"/>
    </row>
    <row r="60" spans="1:15" x14ac:dyDescent="0.2">
      <c r="A60" s="179"/>
      <c r="B60" s="180"/>
      <c r="C60" s="208"/>
      <c r="D60" s="209"/>
      <c r="E60" s="135"/>
      <c r="F60" s="135"/>
      <c r="G60" s="13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35"/>
      <c r="F61" s="135"/>
      <c r="G61" s="13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35"/>
      <c r="F62" s="135"/>
      <c r="G62" s="13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3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35"/>
      <c r="F64" s="135"/>
      <c r="G64" s="13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35"/>
      <c r="F65" s="135"/>
      <c r="G65" s="13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35"/>
      <c r="F66" s="135"/>
      <c r="G66" s="13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37"/>
      <c r="F67" s="137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11140.83</v>
      </c>
      <c r="I68" s="190"/>
      <c r="J68" s="191"/>
      <c r="L68" s="8" t="s">
        <v>6</v>
      </c>
      <c r="M68" s="34">
        <f>SUM(M15:M53)+SUM(M56:M66)</f>
        <v>13368.996000000003</v>
      </c>
      <c r="N68" s="35">
        <f>SUM(N15:N53)+SUM(N56:N66)</f>
        <v>13368.996000000003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0">
    <pageSetUpPr fitToPage="1"/>
  </sheetPr>
  <dimension ref="A1:U89"/>
  <sheetViews>
    <sheetView zoomScale="90" zoomScaleNormal="90" workbookViewId="0">
      <selection activeCell="A5" sqref="A5:B6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108</v>
      </c>
      <c r="E9" s="56"/>
      <c r="F9" s="12" t="s">
        <v>11</v>
      </c>
      <c r="G9" s="136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107</v>
      </c>
      <c r="C10" s="11" t="s">
        <v>8</v>
      </c>
      <c r="D10" s="3"/>
      <c r="E10" s="56"/>
      <c r="F10" s="13" t="s">
        <v>1</v>
      </c>
      <c r="G10" s="132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34" t="s">
        <v>3</v>
      </c>
      <c r="F14" s="134" t="s">
        <v>14</v>
      </c>
      <c r="G14" s="134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35"/>
      <c r="F15" s="135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33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35"/>
      <c r="F17" s="135"/>
      <c r="G17" s="138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35"/>
      <c r="F18" s="135"/>
      <c r="G18" s="138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 t="s">
        <v>45</v>
      </c>
      <c r="B19" s="180"/>
      <c r="C19" s="208" t="s">
        <v>35</v>
      </c>
      <c r="D19" s="209"/>
      <c r="E19" s="135" t="s">
        <v>36</v>
      </c>
      <c r="F19" s="135" t="s">
        <v>27</v>
      </c>
      <c r="G19" s="138">
        <v>42886</v>
      </c>
      <c r="H19" s="80">
        <f>421.75</f>
        <v>421.75</v>
      </c>
      <c r="I19" s="48">
        <v>2712</v>
      </c>
      <c r="J19" s="49">
        <f t="shared" si="0"/>
        <v>606100</v>
      </c>
      <c r="L19" s="9"/>
      <c r="M19" s="28"/>
      <c r="N19" s="28"/>
      <c r="O19" s="42"/>
    </row>
    <row r="20" spans="1:15" x14ac:dyDescent="0.2">
      <c r="A20" s="179" t="s">
        <v>29</v>
      </c>
      <c r="B20" s="180"/>
      <c r="C20" s="208" t="s">
        <v>37</v>
      </c>
      <c r="D20" s="209"/>
      <c r="E20" s="135" t="s">
        <v>36</v>
      </c>
      <c r="F20" s="135" t="s">
        <v>27</v>
      </c>
      <c r="G20" s="138">
        <v>42947</v>
      </c>
      <c r="H20" s="81">
        <f>23.75</f>
        <v>23.75</v>
      </c>
      <c r="I20" s="48">
        <v>2308</v>
      </c>
      <c r="J20" s="49">
        <f t="shared" si="0"/>
        <v>606100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79" t="s">
        <v>72</v>
      </c>
      <c r="B21" s="180"/>
      <c r="C21" s="208" t="s">
        <v>51</v>
      </c>
      <c r="D21" s="209"/>
      <c r="E21" s="135" t="s">
        <v>52</v>
      </c>
      <c r="F21" s="135" t="s">
        <v>33</v>
      </c>
      <c r="G21" s="138" t="s">
        <v>33</v>
      </c>
      <c r="H21" s="81">
        <f>(37+29.5+37)*35</f>
        <v>3622.5</v>
      </c>
      <c r="I21" s="48">
        <v>1106</v>
      </c>
      <c r="J21" s="49">
        <f t="shared" si="0"/>
        <v>621400</v>
      </c>
      <c r="L21" s="9">
        <v>621400</v>
      </c>
      <c r="M21" s="28">
        <f>+SUMIFS($H$15:$H$65,$I$15:$I$65,O21)</f>
        <v>3622.5</v>
      </c>
      <c r="N21" s="28">
        <v>0</v>
      </c>
      <c r="O21" s="42">
        <v>1106</v>
      </c>
    </row>
    <row r="22" spans="1:15" x14ac:dyDescent="0.2">
      <c r="A22" s="206" t="s">
        <v>41</v>
      </c>
      <c r="B22" s="207"/>
      <c r="C22" s="208" t="s">
        <v>30</v>
      </c>
      <c r="D22" s="209"/>
      <c r="E22" s="46" t="s">
        <v>36</v>
      </c>
      <c r="F22" s="92" t="s">
        <v>27</v>
      </c>
      <c r="G22" s="133">
        <v>43039</v>
      </c>
      <c r="H22" s="82">
        <f>259+18</f>
        <v>277</v>
      </c>
      <c r="I22" s="48">
        <v>3118</v>
      </c>
      <c r="J22" s="49">
        <f t="shared" si="0"/>
        <v>613520</v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/>
      <c r="B23" s="180"/>
      <c r="C23" s="208"/>
      <c r="D23" s="209"/>
      <c r="E23" s="135"/>
      <c r="F23" s="138"/>
      <c r="G23" s="138"/>
      <c r="H23" s="141"/>
      <c r="I23" s="48"/>
      <c r="J23" s="49" t="str">
        <f t="shared" si="0"/>
        <v/>
      </c>
      <c r="L23" s="9"/>
      <c r="M23" s="28"/>
      <c r="N23" s="28"/>
      <c r="O23" s="42"/>
    </row>
    <row r="24" spans="1:15" x14ac:dyDescent="0.2">
      <c r="A24" s="179" t="s">
        <v>74</v>
      </c>
      <c r="B24" s="180"/>
      <c r="C24" s="208" t="s">
        <v>35</v>
      </c>
      <c r="D24" s="209"/>
      <c r="E24" s="139">
        <v>17914</v>
      </c>
      <c r="F24" s="139" t="s">
        <v>27</v>
      </c>
      <c r="G24" s="140">
        <v>42874</v>
      </c>
      <c r="H24" s="81">
        <v>241.92</v>
      </c>
      <c r="I24" s="48">
        <v>2712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23.75</v>
      </c>
      <c r="N24" s="28">
        <v>0</v>
      </c>
      <c r="O24" s="42">
        <v>2308</v>
      </c>
    </row>
    <row r="25" spans="1:15" x14ac:dyDescent="0.2">
      <c r="A25" s="179" t="s">
        <v>77</v>
      </c>
      <c r="B25" s="180"/>
      <c r="C25" s="208" t="s">
        <v>78</v>
      </c>
      <c r="D25" s="209"/>
      <c r="E25" s="135" t="s">
        <v>36</v>
      </c>
      <c r="F25" s="135" t="s">
        <v>27</v>
      </c>
      <c r="G25" s="138">
        <v>42926</v>
      </c>
      <c r="H25" s="81">
        <f>225.26+248.75</f>
        <v>474.01</v>
      </c>
      <c r="I25" s="48">
        <v>2712</v>
      </c>
      <c r="J25" s="49">
        <f t="shared" si="0"/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76</v>
      </c>
      <c r="B26" s="180"/>
      <c r="C26" s="208" t="s">
        <v>30</v>
      </c>
      <c r="D26" s="209"/>
      <c r="E26" s="135" t="s">
        <v>36</v>
      </c>
      <c r="F26" s="135" t="s">
        <v>27</v>
      </c>
      <c r="G26" s="138">
        <v>42947</v>
      </c>
      <c r="H26" s="81">
        <f>180+216</f>
        <v>396</v>
      </c>
      <c r="I26" s="48">
        <v>3118</v>
      </c>
      <c r="J26" s="49">
        <f t="shared" si="0"/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 t="s">
        <v>32</v>
      </c>
      <c r="B27" s="180"/>
      <c r="C27" s="208" t="s">
        <v>35</v>
      </c>
      <c r="D27" s="209"/>
      <c r="E27" s="135">
        <v>17930</v>
      </c>
      <c r="F27" s="135" t="s">
        <v>27</v>
      </c>
      <c r="G27" s="138">
        <v>42906</v>
      </c>
      <c r="H27" s="81">
        <v>36.01</v>
      </c>
      <c r="I27" s="48">
        <v>2712</v>
      </c>
      <c r="J27" s="49">
        <f t="shared" si="0"/>
        <v>606100</v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/>
      <c r="B28" s="180"/>
      <c r="C28" s="208"/>
      <c r="D28" s="209"/>
      <c r="E28" s="135"/>
      <c r="F28" s="135"/>
      <c r="G28" s="138"/>
      <c r="H28" s="81"/>
      <c r="I28" s="48"/>
      <c r="J28" s="49" t="str">
        <f t="shared" si="0"/>
        <v/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/>
      <c r="B29" s="180"/>
      <c r="C29" s="208"/>
      <c r="D29" s="209"/>
      <c r="E29" s="135"/>
      <c r="F29" s="135"/>
      <c r="G29" s="138"/>
      <c r="H29" s="81"/>
      <c r="I29" s="48"/>
      <c r="J29" s="49" t="str">
        <f t="shared" si="0"/>
        <v/>
      </c>
      <c r="L29" s="9">
        <v>606100</v>
      </c>
      <c r="M29" s="28">
        <f t="shared" si="2"/>
        <v>1173.6899999999998</v>
      </c>
      <c r="N29" s="28">
        <v>0</v>
      </c>
      <c r="O29" s="42">
        <v>2712</v>
      </c>
    </row>
    <row r="30" spans="1:15" x14ac:dyDescent="0.2">
      <c r="A30" s="179"/>
      <c r="B30" s="180"/>
      <c r="C30" s="208"/>
      <c r="D30" s="209"/>
      <c r="E30" s="135"/>
      <c r="F30" s="135"/>
      <c r="G30" s="138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35"/>
      <c r="F31" s="135"/>
      <c r="G31" s="138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79"/>
      <c r="B32" s="180"/>
      <c r="C32" s="208"/>
      <c r="D32" s="209"/>
      <c r="E32" s="135"/>
      <c r="F32" s="135"/>
      <c r="G32" s="138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35"/>
      <c r="F33" s="135"/>
      <c r="G33" s="138"/>
      <c r="H33" s="81"/>
      <c r="I33" s="48"/>
      <c r="J33" s="49" t="str">
        <f t="shared" si="0"/>
        <v/>
      </c>
      <c r="L33" s="9">
        <v>613520</v>
      </c>
      <c r="M33" s="28">
        <f t="shared" si="2"/>
        <v>673</v>
      </c>
      <c r="N33" s="28">
        <v>0</v>
      </c>
      <c r="O33" s="42">
        <v>3118</v>
      </c>
    </row>
    <row r="34" spans="1:15" x14ac:dyDescent="0.2">
      <c r="A34" s="179"/>
      <c r="B34" s="180"/>
      <c r="C34" s="208"/>
      <c r="D34" s="209"/>
      <c r="E34" s="135"/>
      <c r="F34" s="135"/>
      <c r="G34" s="138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35"/>
      <c r="F35" s="135"/>
      <c r="G35" s="138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35"/>
      <c r="F36" s="135"/>
      <c r="G36" s="138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35"/>
      <c r="F37" s="135"/>
      <c r="G37" s="138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35"/>
      <c r="F38" s="135"/>
      <c r="G38" s="138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35"/>
      <c r="F39" s="135"/>
      <c r="G39" s="138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35"/>
      <c r="F40" s="135"/>
      <c r="G40" s="138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35"/>
      <c r="F41" s="135"/>
      <c r="G41" s="138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35"/>
      <c r="F42" s="135"/>
      <c r="G42" s="138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35"/>
      <c r="F43" s="62"/>
      <c r="G43" s="138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79"/>
      <c r="B44" s="180"/>
      <c r="C44" s="208"/>
      <c r="D44" s="209"/>
      <c r="E44" s="135"/>
      <c r="F44" s="135"/>
      <c r="G44" s="133"/>
      <c r="H44" s="81"/>
      <c r="I44" s="48"/>
      <c r="J44" s="49" t="str">
        <f t="shared" si="0"/>
        <v/>
      </c>
      <c r="L44" s="9">
        <v>613520</v>
      </c>
      <c r="M44" s="28">
        <f t="shared" si="2"/>
        <v>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35"/>
      <c r="F45" s="135"/>
      <c r="G45" s="138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35"/>
      <c r="F46" s="135"/>
      <c r="G46" s="138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35"/>
      <c r="F47" s="135"/>
      <c r="G47" s="138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79"/>
      <c r="B48" s="180"/>
      <c r="C48" s="208"/>
      <c r="D48" s="209"/>
      <c r="E48" s="135"/>
      <c r="F48" s="135"/>
      <c r="G48" s="138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35"/>
      <c r="F49" s="135"/>
      <c r="G49" s="138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35"/>
      <c r="F50" s="135"/>
      <c r="G50" s="138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35"/>
      <c r="F51" s="135"/>
      <c r="G51" s="138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35"/>
      <c r="F52" s="135"/>
      <c r="G52" s="138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35"/>
      <c r="F53" s="135"/>
      <c r="G53" s="138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35"/>
      <c r="F54" s="135"/>
      <c r="G54" s="138"/>
      <c r="H54" s="81"/>
      <c r="I54" s="48"/>
      <c r="J54" s="49" t="str">
        <f t="shared" si="0"/>
        <v/>
      </c>
      <c r="L54" s="27" t="s">
        <v>21</v>
      </c>
      <c r="M54" s="188">
        <f>SUM(M15:N53)</f>
        <v>5492.94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35"/>
      <c r="F55" s="135"/>
      <c r="G55" s="138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35"/>
      <c r="F56" s="135"/>
      <c r="G56" s="138"/>
      <c r="H56" s="81"/>
      <c r="I56" s="48"/>
      <c r="J56" s="49" t="str">
        <f t="shared" si="0"/>
        <v/>
      </c>
      <c r="L56" s="9">
        <v>445860</v>
      </c>
      <c r="M56" s="28">
        <f>+SUM(M15:M53)*0.2</f>
        <v>1098.588</v>
      </c>
      <c r="N56" s="28"/>
      <c r="O56" s="83"/>
    </row>
    <row r="57" spans="1:15" x14ac:dyDescent="0.2">
      <c r="A57" s="179"/>
      <c r="B57" s="180"/>
      <c r="C57" s="208"/>
      <c r="D57" s="209"/>
      <c r="E57" s="135"/>
      <c r="F57" s="135"/>
      <c r="G57" s="138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35"/>
      <c r="F58" s="135"/>
      <c r="G58" s="138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35"/>
      <c r="F59" s="135"/>
      <c r="G59" s="138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6591.5279999999993</v>
      </c>
      <c r="O59" s="83"/>
    </row>
    <row r="60" spans="1:15" x14ac:dyDescent="0.2">
      <c r="A60" s="179"/>
      <c r="B60" s="180"/>
      <c r="C60" s="208"/>
      <c r="D60" s="209"/>
      <c r="E60" s="135"/>
      <c r="F60" s="135"/>
      <c r="G60" s="138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35"/>
      <c r="F61" s="135"/>
      <c r="G61" s="138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35"/>
      <c r="F62" s="135"/>
      <c r="G62" s="138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33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35"/>
      <c r="F64" s="135"/>
      <c r="G64" s="138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35"/>
      <c r="F65" s="135"/>
      <c r="G65" s="138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35"/>
      <c r="F66" s="135"/>
      <c r="G66" s="138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37"/>
      <c r="F67" s="137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5492.9400000000005</v>
      </c>
      <c r="I68" s="190"/>
      <c r="J68" s="191"/>
      <c r="L68" s="8" t="s">
        <v>6</v>
      </c>
      <c r="M68" s="34">
        <f>SUM(M15:M53)+SUM(M56:M66)</f>
        <v>6591.5279999999993</v>
      </c>
      <c r="N68" s="35">
        <f>SUM(N15:N53)+SUM(N56:N66)</f>
        <v>6591.5279999999993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M54:N54"/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1">
    <pageSetUpPr fitToPage="1"/>
  </sheetPr>
  <dimension ref="A1:U89"/>
  <sheetViews>
    <sheetView zoomScale="90" zoomScaleNormal="90" workbookViewId="0">
      <selection activeCell="D10" sqref="D10"/>
    </sheetView>
  </sheetViews>
  <sheetFormatPr baseColWidth="10" defaultRowHeight="12.75" x14ac:dyDescent="0.2"/>
  <cols>
    <col min="1" max="6" width="17.140625" customWidth="1"/>
    <col min="7" max="10" width="12.85546875" customWidth="1"/>
    <col min="11" max="11" width="6.85546875" customWidth="1"/>
    <col min="12" max="15" width="12.85546875" customWidth="1"/>
  </cols>
  <sheetData>
    <row r="1" spans="1:21" x14ac:dyDescent="0.2">
      <c r="A1" s="53"/>
      <c r="B1" s="53"/>
      <c r="E1" s="75"/>
      <c r="F1" s="73"/>
      <c r="G1" s="74"/>
      <c r="H1" s="73"/>
      <c r="I1" s="72"/>
      <c r="J1" s="56"/>
      <c r="K1" s="56"/>
      <c r="L1" s="56"/>
      <c r="M1" s="56"/>
      <c r="N1" s="56"/>
      <c r="O1" s="50"/>
      <c r="P1" s="50"/>
      <c r="Q1" s="50"/>
      <c r="R1" s="50"/>
      <c r="S1" s="50"/>
      <c r="T1" s="50"/>
      <c r="U1" s="50"/>
    </row>
    <row r="2" spans="1:21" x14ac:dyDescent="0.2">
      <c r="A2" s="53"/>
      <c r="B2" s="53"/>
      <c r="E2" s="165" t="s">
        <v>16</v>
      </c>
      <c r="F2" s="166"/>
      <c r="G2" s="166"/>
      <c r="H2" s="166"/>
      <c r="I2" s="167"/>
      <c r="J2" s="56"/>
      <c r="N2" s="56"/>
      <c r="O2" s="50"/>
      <c r="P2" s="50"/>
      <c r="Q2" s="50"/>
      <c r="R2" s="50"/>
      <c r="S2" s="50"/>
      <c r="T2" s="50"/>
      <c r="U2" s="50"/>
    </row>
    <row r="3" spans="1:21" ht="13.5" thickBot="1" x14ac:dyDescent="0.25">
      <c r="A3" s="53"/>
      <c r="B3" s="53"/>
      <c r="E3" s="71"/>
      <c r="F3" s="70"/>
      <c r="G3" s="70"/>
      <c r="H3" s="17"/>
      <c r="I3" s="69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</row>
    <row r="4" spans="1:21" x14ac:dyDescent="0.2">
      <c r="A4" s="53"/>
      <c r="B4" s="53"/>
      <c r="E4" s="56"/>
      <c r="F4" s="56"/>
      <c r="G4" s="50"/>
      <c r="H4" s="2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</row>
    <row r="5" spans="1:21" x14ac:dyDescent="0.2">
      <c r="A5" s="68"/>
      <c r="B5" s="53"/>
      <c r="C5" s="50"/>
      <c r="D5" s="50"/>
      <c r="E5" s="50"/>
      <c r="F5" s="50"/>
      <c r="I5" s="50"/>
      <c r="J5" s="50"/>
      <c r="K5" s="50"/>
      <c r="P5" s="50"/>
      <c r="Q5" s="50"/>
      <c r="R5" s="50"/>
      <c r="S5" s="50"/>
      <c r="T5" s="50"/>
      <c r="U5" s="50"/>
    </row>
    <row r="6" spans="1:21" x14ac:dyDescent="0.2">
      <c r="A6" s="68"/>
      <c r="B6" s="53"/>
      <c r="C6" s="50"/>
      <c r="D6" s="50"/>
      <c r="E6" s="56"/>
      <c r="G6" s="50"/>
      <c r="H6" s="51"/>
      <c r="I6" s="67"/>
      <c r="J6" s="56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</row>
    <row r="7" spans="1:21" x14ac:dyDescent="0.2">
      <c r="A7" s="68"/>
      <c r="B7" s="53"/>
      <c r="C7" s="50"/>
      <c r="D7" s="50"/>
      <c r="E7" s="56"/>
      <c r="F7" s="56"/>
      <c r="G7" s="56"/>
      <c r="H7" s="67"/>
      <c r="I7" s="50"/>
      <c r="J7" s="56"/>
      <c r="K7" s="50"/>
      <c r="O7" s="50"/>
      <c r="P7" s="50"/>
      <c r="Q7" s="50"/>
      <c r="R7" s="50"/>
      <c r="S7" s="50"/>
      <c r="T7" s="50"/>
      <c r="U7" s="50"/>
    </row>
    <row r="8" spans="1:21" ht="13.5" thickBot="1" x14ac:dyDescent="0.25">
      <c r="A8" s="68"/>
      <c r="B8" s="53"/>
      <c r="C8" s="50"/>
      <c r="D8" s="50"/>
      <c r="E8" s="56"/>
      <c r="F8" s="56"/>
      <c r="G8" s="56"/>
      <c r="H8" s="67"/>
      <c r="I8" s="50"/>
      <c r="J8" s="56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</row>
    <row r="9" spans="1:21" x14ac:dyDescent="0.2">
      <c r="A9" s="10" t="s">
        <v>93</v>
      </c>
      <c r="B9" s="153" t="s">
        <v>94</v>
      </c>
      <c r="C9" s="11" t="s">
        <v>10</v>
      </c>
      <c r="D9" s="153" t="s">
        <v>110</v>
      </c>
      <c r="E9" s="56"/>
      <c r="F9" s="12" t="s">
        <v>11</v>
      </c>
      <c r="G9" s="120" t="s">
        <v>63</v>
      </c>
      <c r="H9" s="14" t="s">
        <v>12</v>
      </c>
      <c r="I9" s="168">
        <v>43646</v>
      </c>
      <c r="J9" s="169"/>
      <c r="K9" s="50"/>
      <c r="L9" s="50"/>
      <c r="M9" s="50"/>
      <c r="N9" s="10" t="s">
        <v>0</v>
      </c>
      <c r="O9" s="2">
        <f>+I9</f>
        <v>43646</v>
      </c>
      <c r="P9" s="50"/>
      <c r="Q9" s="50"/>
      <c r="R9" s="50"/>
      <c r="S9" s="50"/>
      <c r="T9" s="50"/>
      <c r="U9" s="50"/>
    </row>
    <row r="10" spans="1:21" ht="13.5" thickBot="1" x14ac:dyDescent="0.25">
      <c r="A10" s="10" t="s">
        <v>97</v>
      </c>
      <c r="B10" s="3" t="s">
        <v>109</v>
      </c>
      <c r="C10" s="11" t="s">
        <v>8</v>
      </c>
      <c r="D10" s="3"/>
      <c r="E10" s="56"/>
      <c r="F10" s="13" t="s">
        <v>1</v>
      </c>
      <c r="G10" s="116" t="s">
        <v>63</v>
      </c>
      <c r="H10" s="15" t="s">
        <v>13</v>
      </c>
      <c r="I10" s="170"/>
      <c r="J10" s="171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</row>
    <row r="11" spans="1:21" x14ac:dyDescent="0.2">
      <c r="B11" s="66"/>
      <c r="C11" s="65"/>
      <c r="D11" s="65"/>
      <c r="E11" s="56"/>
      <c r="F11" s="56"/>
      <c r="G11" s="56"/>
      <c r="H11" s="67"/>
      <c r="I11" s="50"/>
      <c r="J11" s="56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</row>
    <row r="12" spans="1:21" ht="13.5" thickBot="1" x14ac:dyDescent="0.25">
      <c r="B12" s="66"/>
      <c r="C12" s="65"/>
      <c r="D12" s="65"/>
      <c r="E12" s="50"/>
      <c r="F12" s="4"/>
      <c r="G12" s="50"/>
      <c r="H12" s="51"/>
      <c r="I12" s="50"/>
      <c r="J12" s="50"/>
      <c r="K12" s="1"/>
      <c r="L12" s="5"/>
      <c r="M12" s="5"/>
      <c r="N12" s="5"/>
      <c r="O12" s="50"/>
      <c r="P12" s="50"/>
      <c r="Q12" s="50"/>
      <c r="R12" s="50"/>
      <c r="S12" s="50"/>
      <c r="T12" s="50"/>
      <c r="U12" s="50"/>
    </row>
    <row r="13" spans="1:21" ht="13.5" thickBot="1" x14ac:dyDescent="0.25">
      <c r="A13" s="172" t="s">
        <v>17</v>
      </c>
      <c r="B13" s="173"/>
      <c r="C13" s="173"/>
      <c r="D13" s="173"/>
      <c r="E13" s="173"/>
      <c r="F13" s="173"/>
      <c r="G13" s="173"/>
      <c r="H13" s="173"/>
      <c r="I13" s="173"/>
      <c r="J13" s="174"/>
      <c r="K13" s="50"/>
      <c r="L13" s="172" t="s">
        <v>24</v>
      </c>
      <c r="M13" s="173"/>
      <c r="N13" s="173"/>
      <c r="O13" s="174"/>
      <c r="P13" s="50"/>
      <c r="Q13" s="50"/>
      <c r="R13" s="50"/>
      <c r="S13" s="50"/>
      <c r="T13" s="50"/>
      <c r="U13" s="50"/>
    </row>
    <row r="14" spans="1:21" s="20" customFormat="1" ht="26.25" thickBot="1" x14ac:dyDescent="0.25">
      <c r="A14" s="183" t="s">
        <v>2</v>
      </c>
      <c r="B14" s="184"/>
      <c r="C14" s="185" t="s">
        <v>15</v>
      </c>
      <c r="D14" s="186"/>
      <c r="E14" s="118" t="s">
        <v>3</v>
      </c>
      <c r="F14" s="118" t="s">
        <v>14</v>
      </c>
      <c r="G14" s="118" t="s">
        <v>4</v>
      </c>
      <c r="H14" s="40" t="s">
        <v>5</v>
      </c>
      <c r="I14" s="40" t="s">
        <v>7</v>
      </c>
      <c r="J14" s="40" t="s">
        <v>18</v>
      </c>
      <c r="K14" s="7"/>
      <c r="L14" s="41" t="s">
        <v>18</v>
      </c>
      <c r="M14" s="41" t="s">
        <v>19</v>
      </c>
      <c r="N14" s="41" t="s">
        <v>20</v>
      </c>
      <c r="O14" s="40" t="s">
        <v>7</v>
      </c>
      <c r="P14" s="7"/>
      <c r="Q14" s="7"/>
      <c r="R14" s="7"/>
      <c r="S14" s="7"/>
      <c r="T14" s="7"/>
      <c r="U14" s="7"/>
    </row>
    <row r="15" spans="1:21" x14ac:dyDescent="0.2">
      <c r="A15" s="202"/>
      <c r="B15" s="203"/>
      <c r="C15" s="204"/>
      <c r="D15" s="205"/>
      <c r="E15" s="119"/>
      <c r="F15" s="119"/>
      <c r="G15" s="47"/>
      <c r="H15" s="80"/>
      <c r="I15" s="48"/>
      <c r="J15" s="49" t="str">
        <f t="shared" ref="J15:J67" si="0">IF(I15="","",+LOOKUP(I15,$O$15:$O$50,$L$15:$L$50))</f>
        <v/>
      </c>
      <c r="K15" s="56"/>
      <c r="L15" s="154">
        <v>708310</v>
      </c>
      <c r="M15" s="155">
        <v>0</v>
      </c>
      <c r="N15" s="156">
        <f t="shared" ref="N15:N20" si="1">+SUMIFS($H$15:$H$65,$I$15:$I$65,O15)</f>
        <v>0</v>
      </c>
      <c r="O15" s="157">
        <v>550</v>
      </c>
      <c r="P15" s="56"/>
      <c r="Q15" s="56"/>
      <c r="R15" s="56"/>
      <c r="S15" s="56"/>
      <c r="T15" s="56"/>
      <c r="U15" s="56"/>
    </row>
    <row r="16" spans="1:21" x14ac:dyDescent="0.2">
      <c r="A16" s="206"/>
      <c r="B16" s="207"/>
      <c r="C16" s="208"/>
      <c r="D16" s="209"/>
      <c r="E16" s="46"/>
      <c r="F16" s="45"/>
      <c r="G16" s="117"/>
      <c r="H16" s="91"/>
      <c r="I16" s="48"/>
      <c r="J16" s="49" t="str">
        <f t="shared" si="0"/>
        <v/>
      </c>
      <c r="L16" s="158">
        <v>708335</v>
      </c>
      <c r="M16" s="155">
        <v>0</v>
      </c>
      <c r="N16" s="155">
        <f t="shared" si="1"/>
        <v>0</v>
      </c>
      <c r="O16" s="159">
        <v>810</v>
      </c>
    </row>
    <row r="17" spans="1:15" x14ac:dyDescent="0.2">
      <c r="A17" s="179"/>
      <c r="B17" s="180"/>
      <c r="C17" s="208"/>
      <c r="D17" s="209"/>
      <c r="E17" s="119"/>
      <c r="F17" s="119"/>
      <c r="G17" s="122"/>
      <c r="H17" s="90"/>
      <c r="I17" s="48"/>
      <c r="J17" s="49" t="str">
        <f t="shared" si="0"/>
        <v/>
      </c>
      <c r="L17" s="158">
        <v>708405</v>
      </c>
      <c r="M17" s="155">
        <v>0</v>
      </c>
      <c r="N17" s="155">
        <f t="shared" si="1"/>
        <v>0</v>
      </c>
      <c r="O17" s="159">
        <v>1210</v>
      </c>
    </row>
    <row r="18" spans="1:15" x14ac:dyDescent="0.2">
      <c r="A18" s="179"/>
      <c r="B18" s="180"/>
      <c r="C18" s="208"/>
      <c r="D18" s="209"/>
      <c r="E18" s="119"/>
      <c r="F18" s="119"/>
      <c r="G18" s="122"/>
      <c r="H18" s="90"/>
      <c r="I18" s="48"/>
      <c r="J18" s="49" t="str">
        <f t="shared" si="0"/>
        <v/>
      </c>
      <c r="L18" s="158">
        <v>708400</v>
      </c>
      <c r="M18" s="155">
        <v>0</v>
      </c>
      <c r="N18" s="155">
        <f t="shared" si="1"/>
        <v>0</v>
      </c>
      <c r="O18" s="160">
        <v>1110</v>
      </c>
    </row>
    <row r="19" spans="1:15" x14ac:dyDescent="0.2">
      <c r="A19" s="179"/>
      <c r="B19" s="180"/>
      <c r="C19" s="208"/>
      <c r="D19" s="209"/>
      <c r="E19" s="119"/>
      <c r="F19" s="119"/>
      <c r="G19" s="122"/>
      <c r="H19" s="80"/>
      <c r="I19" s="48"/>
      <c r="J19" s="49" t="str">
        <f t="shared" si="0"/>
        <v/>
      </c>
      <c r="L19" s="9"/>
      <c r="M19" s="28"/>
      <c r="N19" s="28"/>
      <c r="O19" s="42"/>
    </row>
    <row r="20" spans="1:15" x14ac:dyDescent="0.2">
      <c r="A20" s="179" t="s">
        <v>73</v>
      </c>
      <c r="B20" s="180"/>
      <c r="C20" s="208" t="s">
        <v>30</v>
      </c>
      <c r="D20" s="209"/>
      <c r="E20" s="119">
        <v>18423</v>
      </c>
      <c r="F20" s="119" t="s">
        <v>27</v>
      </c>
      <c r="G20" s="122">
        <v>42853</v>
      </c>
      <c r="H20" s="81">
        <f>(3*110)</f>
        <v>330</v>
      </c>
      <c r="I20" s="48">
        <v>3118</v>
      </c>
      <c r="J20" s="49">
        <f t="shared" si="0"/>
        <v>613520</v>
      </c>
      <c r="L20" s="9">
        <v>621100</v>
      </c>
      <c r="M20" s="28">
        <f>+SUMIFS($H$15:$H$65,$I$15:$I$65,O20)</f>
        <v>0</v>
      </c>
      <c r="N20" s="28">
        <f t="shared" si="1"/>
        <v>0</v>
      </c>
      <c r="O20" s="42">
        <v>1104</v>
      </c>
    </row>
    <row r="21" spans="1:15" x14ac:dyDescent="0.2">
      <c r="A21" s="179" t="s">
        <v>86</v>
      </c>
      <c r="B21" s="180"/>
      <c r="C21" s="208" t="s">
        <v>87</v>
      </c>
      <c r="D21" s="209"/>
      <c r="E21" s="147">
        <v>22536</v>
      </c>
      <c r="F21" s="147" t="s">
        <v>27</v>
      </c>
      <c r="G21" s="148">
        <v>43038</v>
      </c>
      <c r="H21" s="81">
        <v>30</v>
      </c>
      <c r="I21" s="48">
        <v>2712</v>
      </c>
      <c r="J21" s="49">
        <f t="shared" si="0"/>
        <v>606100</v>
      </c>
      <c r="L21" s="9">
        <v>621400</v>
      </c>
      <c r="M21" s="28">
        <f>+SUMIFS($H$15:$H$65,$I$15:$I$65,O21)</f>
        <v>0</v>
      </c>
      <c r="N21" s="28">
        <v>0</v>
      </c>
      <c r="O21" s="42">
        <v>1106</v>
      </c>
    </row>
    <row r="22" spans="1:15" x14ac:dyDescent="0.2">
      <c r="A22" s="206"/>
      <c r="B22" s="207"/>
      <c r="C22" s="208"/>
      <c r="D22" s="209"/>
      <c r="E22" s="46"/>
      <c r="F22" s="92"/>
      <c r="G22" s="117"/>
      <c r="H22" s="82"/>
      <c r="I22" s="48"/>
      <c r="J22" s="49" t="str">
        <f t="shared" si="0"/>
        <v/>
      </c>
      <c r="L22" s="9">
        <v>621400</v>
      </c>
      <c r="M22" s="28">
        <f>+SUMIFS($H$15:$H$65,$I$15:$I$65,O22)</f>
        <v>0</v>
      </c>
      <c r="N22" s="28">
        <v>0</v>
      </c>
      <c r="O22" s="42">
        <v>1206</v>
      </c>
    </row>
    <row r="23" spans="1:15" x14ac:dyDescent="0.2">
      <c r="A23" s="179" t="s">
        <v>43</v>
      </c>
      <c r="B23" s="180"/>
      <c r="C23" s="208" t="s">
        <v>35</v>
      </c>
      <c r="D23" s="209"/>
      <c r="E23" s="139" t="s">
        <v>36</v>
      </c>
      <c r="F23" s="139" t="s">
        <v>27</v>
      </c>
      <c r="G23" s="140">
        <v>43039</v>
      </c>
      <c r="H23" s="81">
        <f>118.57+69.12+65.48</f>
        <v>253.17000000000002</v>
      </c>
      <c r="I23" s="48">
        <v>2712</v>
      </c>
      <c r="J23" s="49">
        <f t="shared" si="0"/>
        <v>606100</v>
      </c>
      <c r="L23" s="9"/>
      <c r="M23" s="28"/>
      <c r="N23" s="28"/>
      <c r="O23" s="42"/>
    </row>
    <row r="24" spans="1:15" x14ac:dyDescent="0.2">
      <c r="A24" s="179" t="s">
        <v>59</v>
      </c>
      <c r="B24" s="180"/>
      <c r="C24" s="208" t="s">
        <v>35</v>
      </c>
      <c r="D24" s="209"/>
      <c r="E24" s="119">
        <v>18002</v>
      </c>
      <c r="F24" s="119" t="s">
        <v>27</v>
      </c>
      <c r="G24" s="122">
        <v>42977</v>
      </c>
      <c r="H24" s="80">
        <v>66</v>
      </c>
      <c r="I24" s="48">
        <v>2712</v>
      </c>
      <c r="J24" s="49">
        <f t="shared" si="0"/>
        <v>606100</v>
      </c>
      <c r="L24" s="9">
        <v>606100</v>
      </c>
      <c r="M24" s="28">
        <f t="shared" ref="M24:M47" si="2">+SUMIFS($H$15:$H$65,$I$15:$I$65,O24)</f>
        <v>0</v>
      </c>
      <c r="N24" s="28">
        <v>0</v>
      </c>
      <c r="O24" s="42">
        <v>2308</v>
      </c>
    </row>
    <row r="25" spans="1:15" x14ac:dyDescent="0.2">
      <c r="A25" s="179" t="s">
        <v>55</v>
      </c>
      <c r="B25" s="180"/>
      <c r="C25" s="208" t="s">
        <v>35</v>
      </c>
      <c r="D25" s="209"/>
      <c r="E25" s="119" t="s">
        <v>36</v>
      </c>
      <c r="F25" s="119" t="s">
        <v>27</v>
      </c>
      <c r="G25" s="122">
        <v>43069</v>
      </c>
      <c r="H25" s="81">
        <f>18.61+38.87</f>
        <v>57.48</v>
      </c>
      <c r="I25" s="48">
        <v>2712</v>
      </c>
      <c r="J25" s="49">
        <f>IF(I25="","",+LOOKUP(I25,$O$15:$O$50,$L$15:$L$50))</f>
        <v>606100</v>
      </c>
      <c r="L25" s="9">
        <v>606100</v>
      </c>
      <c r="M25" s="28">
        <f t="shared" si="2"/>
        <v>0</v>
      </c>
      <c r="N25" s="28">
        <v>0</v>
      </c>
      <c r="O25" s="42">
        <v>2222</v>
      </c>
    </row>
    <row r="26" spans="1:15" x14ac:dyDescent="0.2">
      <c r="A26" s="179" t="s">
        <v>48</v>
      </c>
      <c r="B26" s="180"/>
      <c r="C26" s="208" t="s">
        <v>49</v>
      </c>
      <c r="D26" s="209"/>
      <c r="E26" s="119" t="s">
        <v>38</v>
      </c>
      <c r="F26" s="119" t="s">
        <v>26</v>
      </c>
      <c r="G26" s="122">
        <v>42978</v>
      </c>
      <c r="H26" s="81">
        <f>200+450</f>
        <v>650</v>
      </c>
      <c r="I26" s="48">
        <v>4500</v>
      </c>
      <c r="J26" s="49">
        <v>613520</v>
      </c>
      <c r="L26" s="9">
        <v>606100</v>
      </c>
      <c r="M26" s="28">
        <f t="shared" si="2"/>
        <v>0</v>
      </c>
      <c r="N26" s="28">
        <v>0</v>
      </c>
      <c r="O26" s="42">
        <v>2224</v>
      </c>
    </row>
    <row r="27" spans="1:15" x14ac:dyDescent="0.2">
      <c r="A27" s="179"/>
      <c r="B27" s="180"/>
      <c r="C27" s="208"/>
      <c r="D27" s="209"/>
      <c r="E27" s="119"/>
      <c r="F27" s="119"/>
      <c r="G27" s="122"/>
      <c r="H27" s="81"/>
      <c r="I27" s="48"/>
      <c r="J27" s="49" t="str">
        <f t="shared" si="0"/>
        <v/>
      </c>
      <c r="L27" s="9">
        <v>606840</v>
      </c>
      <c r="M27" s="28">
        <f t="shared" si="2"/>
        <v>0</v>
      </c>
      <c r="N27" s="28">
        <f>+SUMIFS($H$15:$H$65,$I$15:$I$65,O27)</f>
        <v>0</v>
      </c>
      <c r="O27" s="42">
        <v>2406</v>
      </c>
    </row>
    <row r="28" spans="1:15" x14ac:dyDescent="0.2">
      <c r="A28" s="179" t="s">
        <v>41</v>
      </c>
      <c r="B28" s="180"/>
      <c r="C28" s="208" t="s">
        <v>30</v>
      </c>
      <c r="D28" s="209"/>
      <c r="E28" s="119" t="s">
        <v>36</v>
      </c>
      <c r="F28" s="119" t="s">
        <v>27</v>
      </c>
      <c r="G28" s="122">
        <v>43039</v>
      </c>
      <c r="H28" s="81">
        <f>200+336</f>
        <v>536</v>
      </c>
      <c r="I28" s="48">
        <v>3118</v>
      </c>
      <c r="J28" s="49">
        <f t="shared" si="0"/>
        <v>613520</v>
      </c>
      <c r="L28" s="9">
        <v>606100</v>
      </c>
      <c r="M28" s="28">
        <f t="shared" si="2"/>
        <v>0</v>
      </c>
      <c r="N28" s="28">
        <f>+SUMIFS($H$15:$H$65,$I$15:$I$65,O28)</f>
        <v>0</v>
      </c>
      <c r="O28" s="42">
        <v>2700</v>
      </c>
    </row>
    <row r="29" spans="1:15" x14ac:dyDescent="0.2">
      <c r="A29" s="179"/>
      <c r="B29" s="180"/>
      <c r="C29" s="208"/>
      <c r="D29" s="209"/>
      <c r="E29" s="119"/>
      <c r="F29" s="119"/>
      <c r="G29" s="122"/>
      <c r="H29" s="81"/>
      <c r="I29" s="48"/>
      <c r="J29" s="49" t="str">
        <f t="shared" si="0"/>
        <v/>
      </c>
      <c r="L29" s="9">
        <v>606100</v>
      </c>
      <c r="M29" s="28">
        <f t="shared" si="2"/>
        <v>406.65000000000003</v>
      </c>
      <c r="N29" s="28">
        <v>0</v>
      </c>
      <c r="O29" s="42">
        <v>2712</v>
      </c>
    </row>
    <row r="30" spans="1:15" x14ac:dyDescent="0.2">
      <c r="A30" s="179"/>
      <c r="B30" s="180"/>
      <c r="C30" s="208"/>
      <c r="D30" s="209"/>
      <c r="E30" s="119"/>
      <c r="F30" s="119"/>
      <c r="G30" s="122"/>
      <c r="H30" s="81"/>
      <c r="I30" s="48"/>
      <c r="J30" s="49" t="str">
        <f t="shared" si="0"/>
        <v/>
      </c>
      <c r="L30" s="9">
        <v>613500</v>
      </c>
      <c r="M30" s="28">
        <f t="shared" si="2"/>
        <v>0</v>
      </c>
      <c r="N30" s="28">
        <v>0</v>
      </c>
      <c r="O30" s="42">
        <v>3112</v>
      </c>
    </row>
    <row r="31" spans="1:15" x14ac:dyDescent="0.2">
      <c r="A31" s="179"/>
      <c r="B31" s="180"/>
      <c r="C31" s="208"/>
      <c r="D31" s="209"/>
      <c r="E31" s="119"/>
      <c r="F31" s="119"/>
      <c r="G31" s="122"/>
      <c r="H31" s="81"/>
      <c r="I31" s="48"/>
      <c r="J31" s="49" t="str">
        <f t="shared" si="0"/>
        <v/>
      </c>
      <c r="L31" s="9">
        <v>606800</v>
      </c>
      <c r="M31" s="28">
        <f t="shared" si="2"/>
        <v>0</v>
      </c>
      <c r="N31" s="28">
        <f t="shared" ref="N31:N37" si="3">+SUMIFS($H$15:$H$65,$I$15:$I$65,O31)</f>
        <v>0</v>
      </c>
      <c r="O31" s="42">
        <v>3008</v>
      </c>
    </row>
    <row r="32" spans="1:15" x14ac:dyDescent="0.2">
      <c r="A32" s="179"/>
      <c r="B32" s="180"/>
      <c r="C32" s="208"/>
      <c r="D32" s="209"/>
      <c r="E32" s="119"/>
      <c r="F32" s="119"/>
      <c r="G32" s="122"/>
      <c r="H32" s="81"/>
      <c r="I32" s="48"/>
      <c r="J32" s="49" t="str">
        <f t="shared" si="0"/>
        <v/>
      </c>
      <c r="L32" s="9">
        <v>606800</v>
      </c>
      <c r="M32" s="28">
        <f t="shared" si="2"/>
        <v>0</v>
      </c>
      <c r="N32" s="28">
        <f t="shared" si="3"/>
        <v>0</v>
      </c>
      <c r="O32" s="42">
        <v>3020</v>
      </c>
    </row>
    <row r="33" spans="1:15" x14ac:dyDescent="0.2">
      <c r="A33" s="179"/>
      <c r="B33" s="180"/>
      <c r="C33" s="208"/>
      <c r="D33" s="209"/>
      <c r="E33" s="119"/>
      <c r="F33" s="119"/>
      <c r="G33" s="122"/>
      <c r="H33" s="81"/>
      <c r="I33" s="48"/>
      <c r="J33" s="49" t="str">
        <f t="shared" si="0"/>
        <v/>
      </c>
      <c r="L33" s="9">
        <v>613520</v>
      </c>
      <c r="M33" s="28">
        <f t="shared" si="2"/>
        <v>866</v>
      </c>
      <c r="N33" s="28"/>
      <c r="O33" s="42">
        <v>3118</v>
      </c>
    </row>
    <row r="34" spans="1:15" x14ac:dyDescent="0.2">
      <c r="A34" s="179"/>
      <c r="B34" s="180"/>
      <c r="C34" s="208"/>
      <c r="D34" s="209"/>
      <c r="E34" s="119"/>
      <c r="F34" s="119"/>
      <c r="G34" s="122"/>
      <c r="H34" s="81"/>
      <c r="I34" s="48"/>
      <c r="J34" s="49" t="str">
        <f t="shared" si="0"/>
        <v/>
      </c>
      <c r="L34" s="9">
        <v>613520</v>
      </c>
      <c r="M34" s="28">
        <f t="shared" si="2"/>
        <v>0</v>
      </c>
      <c r="N34" s="28">
        <f t="shared" si="3"/>
        <v>0</v>
      </c>
      <c r="O34" s="42">
        <v>3152</v>
      </c>
    </row>
    <row r="35" spans="1:15" x14ac:dyDescent="0.2">
      <c r="A35" s="179"/>
      <c r="B35" s="180"/>
      <c r="C35" s="208"/>
      <c r="D35" s="209"/>
      <c r="E35" s="119"/>
      <c r="F35" s="119"/>
      <c r="G35" s="122"/>
      <c r="H35" s="81"/>
      <c r="I35" s="48"/>
      <c r="J35" s="49" t="str">
        <f t="shared" si="0"/>
        <v/>
      </c>
      <c r="L35" s="9">
        <v>615400</v>
      </c>
      <c r="M35" s="28">
        <f t="shared" si="2"/>
        <v>0</v>
      </c>
      <c r="N35" s="28">
        <f t="shared" si="3"/>
        <v>0</v>
      </c>
      <c r="O35" s="42">
        <v>3200</v>
      </c>
    </row>
    <row r="36" spans="1:15" x14ac:dyDescent="0.2">
      <c r="A36" s="179"/>
      <c r="B36" s="180"/>
      <c r="C36" s="208"/>
      <c r="D36" s="209"/>
      <c r="E36" s="119"/>
      <c r="F36" s="119"/>
      <c r="G36" s="122"/>
      <c r="H36" s="81"/>
      <c r="I36" s="48"/>
      <c r="J36" s="49" t="str">
        <f t="shared" si="0"/>
        <v/>
      </c>
      <c r="L36" s="9">
        <v>624050</v>
      </c>
      <c r="M36" s="28">
        <f t="shared" si="2"/>
        <v>0</v>
      </c>
      <c r="N36" s="28">
        <f t="shared" si="3"/>
        <v>0</v>
      </c>
      <c r="O36" s="42">
        <v>3406</v>
      </c>
    </row>
    <row r="37" spans="1:15" x14ac:dyDescent="0.2">
      <c r="A37" s="179"/>
      <c r="B37" s="180"/>
      <c r="C37" s="208"/>
      <c r="D37" s="209"/>
      <c r="E37" s="119"/>
      <c r="F37" s="119"/>
      <c r="G37" s="122"/>
      <c r="H37" s="81"/>
      <c r="I37" s="48"/>
      <c r="J37" s="49" t="str">
        <f t="shared" si="0"/>
        <v/>
      </c>
      <c r="L37" s="161">
        <v>606500</v>
      </c>
      <c r="M37" s="28">
        <f t="shared" si="2"/>
        <v>0</v>
      </c>
      <c r="N37" s="64">
        <f t="shared" si="3"/>
        <v>0</v>
      </c>
      <c r="O37" s="63">
        <v>4100</v>
      </c>
    </row>
    <row r="38" spans="1:15" x14ac:dyDescent="0.2">
      <c r="A38" s="179"/>
      <c r="B38" s="180"/>
      <c r="C38" s="208"/>
      <c r="D38" s="209"/>
      <c r="E38" s="119"/>
      <c r="F38" s="119"/>
      <c r="G38" s="122"/>
      <c r="H38" s="81"/>
      <c r="I38" s="48"/>
      <c r="J38" s="49" t="str">
        <f t="shared" si="0"/>
        <v/>
      </c>
      <c r="L38" s="9">
        <v>606500</v>
      </c>
      <c r="M38" s="28">
        <f t="shared" si="2"/>
        <v>0</v>
      </c>
      <c r="N38" s="28">
        <v>0</v>
      </c>
      <c r="O38" s="42">
        <v>4104</v>
      </c>
    </row>
    <row r="39" spans="1:15" x14ac:dyDescent="0.2">
      <c r="A39" s="179"/>
      <c r="B39" s="180"/>
      <c r="C39" s="208"/>
      <c r="D39" s="209"/>
      <c r="E39" s="119"/>
      <c r="F39" s="119"/>
      <c r="G39" s="122"/>
      <c r="H39" s="81"/>
      <c r="I39" s="48"/>
      <c r="J39" s="49" t="str">
        <f t="shared" si="0"/>
        <v/>
      </c>
      <c r="L39" s="9">
        <v>606300</v>
      </c>
      <c r="M39" s="28">
        <f t="shared" si="2"/>
        <v>0</v>
      </c>
      <c r="N39" s="28">
        <v>0</v>
      </c>
      <c r="O39" s="42">
        <v>4148</v>
      </c>
    </row>
    <row r="40" spans="1:15" x14ac:dyDescent="0.2">
      <c r="A40" s="179"/>
      <c r="B40" s="180"/>
      <c r="C40" s="208"/>
      <c r="D40" s="209"/>
      <c r="E40" s="119"/>
      <c r="F40" s="119"/>
      <c r="G40" s="122"/>
      <c r="H40" s="81"/>
      <c r="I40" s="48"/>
      <c r="J40" s="49" t="str">
        <f t="shared" si="0"/>
        <v/>
      </c>
      <c r="L40" s="9">
        <v>626100</v>
      </c>
      <c r="M40" s="28">
        <f t="shared" si="2"/>
        <v>0</v>
      </c>
      <c r="N40" s="28">
        <v>0</v>
      </c>
      <c r="O40" s="42">
        <v>4214</v>
      </c>
    </row>
    <row r="41" spans="1:15" x14ac:dyDescent="0.2">
      <c r="A41" s="179"/>
      <c r="B41" s="180"/>
      <c r="C41" s="208"/>
      <c r="D41" s="209"/>
      <c r="E41" s="119"/>
      <c r="F41" s="119"/>
      <c r="G41" s="122"/>
      <c r="H41" s="81"/>
      <c r="I41" s="48"/>
      <c r="J41" s="49" t="str">
        <f t="shared" si="0"/>
        <v/>
      </c>
      <c r="L41" s="9">
        <v>606400</v>
      </c>
      <c r="M41" s="28">
        <f t="shared" si="2"/>
        <v>0</v>
      </c>
      <c r="N41" s="28">
        <v>0</v>
      </c>
      <c r="O41" s="42">
        <v>4226</v>
      </c>
    </row>
    <row r="42" spans="1:15" x14ac:dyDescent="0.2">
      <c r="A42" s="179"/>
      <c r="B42" s="180"/>
      <c r="C42" s="208"/>
      <c r="D42" s="209"/>
      <c r="E42" s="119"/>
      <c r="F42" s="119"/>
      <c r="G42" s="122"/>
      <c r="H42" s="81"/>
      <c r="I42" s="48"/>
      <c r="J42" s="49" t="str">
        <f t="shared" si="0"/>
        <v/>
      </c>
      <c r="L42" s="9">
        <v>606800</v>
      </c>
      <c r="M42" s="28">
        <f t="shared" si="2"/>
        <v>0</v>
      </c>
      <c r="N42" s="28">
        <v>0</v>
      </c>
      <c r="O42" s="42">
        <v>4240</v>
      </c>
    </row>
    <row r="43" spans="1:15" x14ac:dyDescent="0.2">
      <c r="A43" s="179"/>
      <c r="B43" s="180"/>
      <c r="C43" s="208"/>
      <c r="D43" s="209"/>
      <c r="E43" s="119"/>
      <c r="F43" s="62"/>
      <c r="G43" s="122"/>
      <c r="H43" s="81"/>
      <c r="I43" s="48"/>
      <c r="J43" s="49" t="str">
        <f t="shared" si="0"/>
        <v/>
      </c>
      <c r="L43" s="9">
        <v>611110</v>
      </c>
      <c r="M43" s="28">
        <f t="shared" si="2"/>
        <v>0</v>
      </c>
      <c r="N43" s="28">
        <f>+SUMIFS($H$15:$H$65,$I$15:$I$65,O43)</f>
        <v>0</v>
      </c>
      <c r="O43" s="42">
        <v>4248</v>
      </c>
    </row>
    <row r="44" spans="1:15" x14ac:dyDescent="0.2">
      <c r="A44" s="179"/>
      <c r="B44" s="180"/>
      <c r="C44" s="208"/>
      <c r="D44" s="209"/>
      <c r="E44" s="119"/>
      <c r="F44" s="119"/>
      <c r="G44" s="117"/>
      <c r="H44" s="81"/>
      <c r="I44" s="48"/>
      <c r="J44" s="49" t="str">
        <f t="shared" si="0"/>
        <v/>
      </c>
      <c r="L44" s="9">
        <v>613520</v>
      </c>
      <c r="M44" s="28">
        <f t="shared" si="2"/>
        <v>650</v>
      </c>
      <c r="N44" s="28">
        <v>0</v>
      </c>
      <c r="O44" s="42">
        <v>4500</v>
      </c>
    </row>
    <row r="45" spans="1:15" x14ac:dyDescent="0.2">
      <c r="A45" s="179"/>
      <c r="B45" s="180"/>
      <c r="C45" s="208"/>
      <c r="D45" s="209"/>
      <c r="E45" s="119"/>
      <c r="F45" s="119"/>
      <c r="G45" s="122"/>
      <c r="H45" s="81"/>
      <c r="I45" s="48"/>
      <c r="J45" s="49" t="str">
        <f t="shared" si="0"/>
        <v/>
      </c>
      <c r="L45" s="9">
        <v>611110</v>
      </c>
      <c r="M45" s="28">
        <f t="shared" si="2"/>
        <v>0</v>
      </c>
      <c r="N45" s="28">
        <v>0</v>
      </c>
      <c r="O45" s="42">
        <v>4502</v>
      </c>
    </row>
    <row r="46" spans="1:15" x14ac:dyDescent="0.2">
      <c r="A46" s="179"/>
      <c r="B46" s="180"/>
      <c r="C46" s="208"/>
      <c r="D46" s="209"/>
      <c r="E46" s="119"/>
      <c r="F46" s="119"/>
      <c r="G46" s="122"/>
      <c r="H46" s="81"/>
      <c r="I46" s="48"/>
      <c r="J46" s="49" t="str">
        <f t="shared" si="0"/>
        <v/>
      </c>
      <c r="L46" s="9">
        <v>622610</v>
      </c>
      <c r="M46" s="28">
        <f t="shared" si="2"/>
        <v>0</v>
      </c>
      <c r="N46" s="28">
        <f>+SUMIFS($H$15:$H$65,$I$15:$I$65,O46)</f>
        <v>0</v>
      </c>
      <c r="O46" s="42">
        <v>6290</v>
      </c>
    </row>
    <row r="47" spans="1:15" x14ac:dyDescent="0.2">
      <c r="A47" s="179"/>
      <c r="B47" s="180"/>
      <c r="C47" s="208"/>
      <c r="D47" s="209"/>
      <c r="E47" s="119"/>
      <c r="F47" s="119"/>
      <c r="G47" s="122"/>
      <c r="H47" s="81"/>
      <c r="I47" s="48"/>
      <c r="J47" s="49" t="str">
        <f t="shared" si="0"/>
        <v/>
      </c>
      <c r="L47" s="9">
        <v>605500</v>
      </c>
      <c r="M47" s="28">
        <f t="shared" si="2"/>
        <v>0</v>
      </c>
      <c r="N47" s="28">
        <f>+SUMIFS($H$15:$H$65,$I$15:$I$65,O47)</f>
        <v>0</v>
      </c>
      <c r="O47" s="42">
        <v>5500</v>
      </c>
    </row>
    <row r="48" spans="1:15" x14ac:dyDescent="0.2">
      <c r="A48" s="179"/>
      <c r="B48" s="180"/>
      <c r="C48" s="208"/>
      <c r="D48" s="209"/>
      <c r="E48" s="119"/>
      <c r="F48" s="119"/>
      <c r="G48" s="122"/>
      <c r="H48" s="81"/>
      <c r="I48" s="48"/>
      <c r="J48" s="49" t="str">
        <f t="shared" si="0"/>
        <v/>
      </c>
      <c r="L48" s="9"/>
      <c r="M48" s="28"/>
      <c r="N48" s="28"/>
      <c r="O48" s="42"/>
    </row>
    <row r="49" spans="1:15" x14ac:dyDescent="0.2">
      <c r="A49" s="179"/>
      <c r="B49" s="180"/>
      <c r="C49" s="208"/>
      <c r="D49" s="209"/>
      <c r="E49" s="119"/>
      <c r="F49" s="119"/>
      <c r="G49" s="122"/>
      <c r="H49" s="81"/>
      <c r="I49" s="48"/>
      <c r="J49" s="49" t="str">
        <f t="shared" si="0"/>
        <v/>
      </c>
      <c r="L49" s="9"/>
      <c r="M49" s="28"/>
      <c r="N49" s="28"/>
      <c r="O49" s="42"/>
    </row>
    <row r="50" spans="1:15" x14ac:dyDescent="0.2">
      <c r="A50" s="179"/>
      <c r="B50" s="180"/>
      <c r="C50" s="208"/>
      <c r="D50" s="209"/>
      <c r="E50" s="119"/>
      <c r="F50" s="119"/>
      <c r="G50" s="122"/>
      <c r="H50" s="81"/>
      <c r="I50" s="48"/>
      <c r="J50" s="49" t="str">
        <f t="shared" si="0"/>
        <v/>
      </c>
      <c r="L50" s="9"/>
      <c r="M50" s="28"/>
      <c r="N50" s="28"/>
      <c r="O50" s="42"/>
    </row>
    <row r="51" spans="1:15" x14ac:dyDescent="0.2">
      <c r="A51" s="179"/>
      <c r="B51" s="180"/>
      <c r="C51" s="208"/>
      <c r="D51" s="209"/>
      <c r="E51" s="119"/>
      <c r="F51" s="119"/>
      <c r="G51" s="122"/>
      <c r="H51" s="81"/>
      <c r="I51" s="48"/>
      <c r="J51" s="49" t="str">
        <f t="shared" si="0"/>
        <v/>
      </c>
      <c r="L51" s="9"/>
      <c r="M51" s="28"/>
      <c r="N51" s="28"/>
      <c r="O51" s="42"/>
    </row>
    <row r="52" spans="1:15" x14ac:dyDescent="0.2">
      <c r="A52" s="179"/>
      <c r="B52" s="180"/>
      <c r="C52" s="208"/>
      <c r="D52" s="209"/>
      <c r="E52" s="119"/>
      <c r="F52" s="119"/>
      <c r="G52" s="122"/>
      <c r="H52" s="81"/>
      <c r="I52" s="48"/>
      <c r="J52" s="49" t="str">
        <f t="shared" si="0"/>
        <v/>
      </c>
      <c r="L52" s="9"/>
      <c r="M52" s="28"/>
      <c r="N52" s="28"/>
      <c r="O52" s="42"/>
    </row>
    <row r="53" spans="1:15" ht="13.5" thickBot="1" x14ac:dyDescent="0.25">
      <c r="A53" s="179"/>
      <c r="B53" s="180"/>
      <c r="C53" s="208"/>
      <c r="D53" s="209"/>
      <c r="E53" s="119"/>
      <c r="F53" s="119"/>
      <c r="G53" s="122"/>
      <c r="H53" s="81"/>
      <c r="I53" s="48"/>
      <c r="J53" s="49" t="str">
        <f t="shared" si="0"/>
        <v/>
      </c>
      <c r="L53" s="22"/>
      <c r="M53" s="29"/>
      <c r="N53" s="29"/>
      <c r="O53" s="43"/>
    </row>
    <row r="54" spans="1:15" ht="14.25" thickTop="1" thickBot="1" x14ac:dyDescent="0.25">
      <c r="A54" s="179"/>
      <c r="B54" s="180"/>
      <c r="C54" s="208"/>
      <c r="D54" s="209"/>
      <c r="E54" s="119"/>
      <c r="F54" s="119"/>
      <c r="G54" s="122"/>
      <c r="H54" s="81"/>
      <c r="I54" s="48"/>
      <c r="J54" s="49" t="str">
        <f t="shared" si="0"/>
        <v/>
      </c>
      <c r="L54" s="27" t="s">
        <v>21</v>
      </c>
      <c r="M54" s="188">
        <f>SUM(M15:N53)</f>
        <v>1922.65</v>
      </c>
      <c r="N54" s="189"/>
      <c r="O54" s="26"/>
    </row>
    <row r="55" spans="1:15" ht="13.5" thickTop="1" x14ac:dyDescent="0.2">
      <c r="A55" s="179"/>
      <c r="B55" s="180"/>
      <c r="C55" s="208"/>
      <c r="D55" s="209"/>
      <c r="E55" s="119"/>
      <c r="F55" s="119"/>
      <c r="G55" s="122"/>
      <c r="H55" s="81"/>
      <c r="I55" s="48"/>
      <c r="J55" s="49" t="str">
        <f t="shared" si="0"/>
        <v/>
      </c>
      <c r="L55" s="24"/>
      <c r="M55" s="30"/>
      <c r="N55" s="31"/>
      <c r="O55" s="25"/>
    </row>
    <row r="56" spans="1:15" x14ac:dyDescent="0.2">
      <c r="A56" s="179"/>
      <c r="B56" s="180"/>
      <c r="C56" s="208"/>
      <c r="D56" s="209"/>
      <c r="E56" s="119"/>
      <c r="F56" s="119"/>
      <c r="G56" s="122"/>
      <c r="H56" s="81"/>
      <c r="I56" s="48"/>
      <c r="J56" s="49" t="str">
        <f t="shared" si="0"/>
        <v/>
      </c>
      <c r="L56" s="9">
        <v>445860</v>
      </c>
      <c r="M56" s="28">
        <f>+SUM(M15:M53)*0.2</f>
        <v>384.53000000000003</v>
      </c>
      <c r="N56" s="28"/>
      <c r="O56" s="83"/>
    </row>
    <row r="57" spans="1:15" x14ac:dyDescent="0.2">
      <c r="A57" s="179"/>
      <c r="B57" s="180"/>
      <c r="C57" s="208"/>
      <c r="D57" s="209"/>
      <c r="E57" s="119"/>
      <c r="F57" s="119"/>
      <c r="G57" s="122"/>
      <c r="H57" s="81"/>
      <c r="I57" s="48"/>
      <c r="J57" s="49" t="str">
        <f t="shared" si="0"/>
        <v/>
      </c>
      <c r="L57" s="9">
        <v>445870</v>
      </c>
      <c r="M57" s="21"/>
      <c r="N57" s="28">
        <f>+SUM($N$15:$N$53)*0.2</f>
        <v>0</v>
      </c>
      <c r="O57" s="83"/>
    </row>
    <row r="58" spans="1:15" x14ac:dyDescent="0.2">
      <c r="A58" s="179"/>
      <c r="B58" s="180"/>
      <c r="C58" s="208"/>
      <c r="D58" s="209"/>
      <c r="E58" s="119"/>
      <c r="F58" s="119"/>
      <c r="G58" s="122"/>
      <c r="H58" s="81"/>
      <c r="I58" s="48"/>
      <c r="J58" s="49" t="str">
        <f t="shared" si="0"/>
        <v/>
      </c>
      <c r="L58" s="9"/>
      <c r="M58" s="21"/>
      <c r="N58" s="28"/>
      <c r="O58" s="83"/>
    </row>
    <row r="59" spans="1:15" x14ac:dyDescent="0.2">
      <c r="A59" s="179"/>
      <c r="B59" s="180"/>
      <c r="C59" s="208"/>
      <c r="D59" s="209"/>
      <c r="E59" s="119"/>
      <c r="F59" s="119"/>
      <c r="G59" s="122"/>
      <c r="H59" s="81"/>
      <c r="I59" s="59"/>
      <c r="J59" s="49" t="str">
        <f t="shared" si="0"/>
        <v/>
      </c>
      <c r="L59" s="9">
        <v>408100</v>
      </c>
      <c r="M59" s="21"/>
      <c r="N59" s="28">
        <f>SUM(M15:M53)+M56</f>
        <v>2307.1800000000003</v>
      </c>
      <c r="O59" s="83"/>
    </row>
    <row r="60" spans="1:15" x14ac:dyDescent="0.2">
      <c r="A60" s="179"/>
      <c r="B60" s="180"/>
      <c r="C60" s="208"/>
      <c r="D60" s="209"/>
      <c r="E60" s="119"/>
      <c r="F60" s="119"/>
      <c r="G60" s="122"/>
      <c r="H60" s="81"/>
      <c r="I60" s="59"/>
      <c r="J60" s="49" t="str">
        <f t="shared" si="0"/>
        <v/>
      </c>
      <c r="L60" s="9"/>
      <c r="M60" s="21"/>
      <c r="N60" s="28"/>
      <c r="O60" s="83"/>
    </row>
    <row r="61" spans="1:15" x14ac:dyDescent="0.2">
      <c r="A61" s="179"/>
      <c r="B61" s="180"/>
      <c r="C61" s="208"/>
      <c r="D61" s="209"/>
      <c r="E61" s="119"/>
      <c r="F61" s="119"/>
      <c r="G61" s="122"/>
      <c r="H61" s="81"/>
      <c r="I61" s="59"/>
      <c r="J61" s="49" t="str">
        <f t="shared" si="0"/>
        <v/>
      </c>
      <c r="L61" s="9"/>
      <c r="M61" s="21"/>
      <c r="N61" s="28"/>
      <c r="O61" s="83"/>
    </row>
    <row r="62" spans="1:15" x14ac:dyDescent="0.2">
      <c r="A62" s="179"/>
      <c r="B62" s="180"/>
      <c r="C62" s="208"/>
      <c r="D62" s="209"/>
      <c r="E62" s="119"/>
      <c r="F62" s="119"/>
      <c r="G62" s="122"/>
      <c r="H62" s="81"/>
      <c r="I62" s="59"/>
      <c r="J62" s="49" t="str">
        <f t="shared" si="0"/>
        <v/>
      </c>
      <c r="L62" s="9"/>
      <c r="M62" s="21"/>
      <c r="N62" s="28"/>
      <c r="O62" s="83"/>
    </row>
    <row r="63" spans="1:15" x14ac:dyDescent="0.2">
      <c r="A63" s="179"/>
      <c r="B63" s="180"/>
      <c r="C63" s="208"/>
      <c r="D63" s="209"/>
      <c r="E63" s="46"/>
      <c r="F63" s="45"/>
      <c r="G63" s="117"/>
      <c r="H63" s="81"/>
      <c r="I63" s="59"/>
      <c r="J63" s="49" t="str">
        <f t="shared" si="0"/>
        <v/>
      </c>
      <c r="L63" s="9"/>
      <c r="M63" s="21"/>
      <c r="N63" s="28"/>
      <c r="O63" s="83"/>
    </row>
    <row r="64" spans="1:15" x14ac:dyDescent="0.2">
      <c r="A64" s="179"/>
      <c r="B64" s="180"/>
      <c r="C64" s="208"/>
      <c r="D64" s="209"/>
      <c r="E64" s="119"/>
      <c r="F64" s="119"/>
      <c r="G64" s="122"/>
      <c r="H64" s="81"/>
      <c r="I64" s="59"/>
      <c r="J64" s="49" t="str">
        <f t="shared" si="0"/>
        <v/>
      </c>
      <c r="L64" s="9"/>
      <c r="M64" s="21"/>
      <c r="N64" s="28"/>
      <c r="O64" s="83"/>
    </row>
    <row r="65" spans="1:15" x14ac:dyDescent="0.2">
      <c r="A65" s="179"/>
      <c r="B65" s="180"/>
      <c r="C65" s="208"/>
      <c r="D65" s="209"/>
      <c r="E65" s="119"/>
      <c r="F65" s="119"/>
      <c r="G65" s="122"/>
      <c r="H65" s="80"/>
      <c r="I65" s="59"/>
      <c r="J65" s="49" t="str">
        <f t="shared" si="0"/>
        <v/>
      </c>
      <c r="L65" s="9">
        <v>418100</v>
      </c>
      <c r="M65" s="21">
        <f>SUM(N15:N53)+N57-M66</f>
        <v>0</v>
      </c>
      <c r="N65" s="28"/>
      <c r="O65" s="61"/>
    </row>
    <row r="66" spans="1:15" x14ac:dyDescent="0.2">
      <c r="A66" s="179"/>
      <c r="B66" s="180"/>
      <c r="C66" s="208"/>
      <c r="D66" s="209"/>
      <c r="E66" s="119"/>
      <c r="F66" s="119"/>
      <c r="G66" s="122"/>
      <c r="H66" s="80"/>
      <c r="I66" s="59"/>
      <c r="J66" s="49" t="str">
        <f t="shared" si="0"/>
        <v/>
      </c>
      <c r="L66" s="9">
        <v>486100</v>
      </c>
      <c r="M66" s="21">
        <f>+N43*1.196</f>
        <v>0</v>
      </c>
      <c r="N66" s="28"/>
      <c r="O66" s="83"/>
    </row>
    <row r="67" spans="1:15" ht="13.5" thickBot="1" x14ac:dyDescent="0.25">
      <c r="A67" s="195"/>
      <c r="B67" s="196"/>
      <c r="C67" s="197"/>
      <c r="D67" s="198"/>
      <c r="E67" s="121"/>
      <c r="F67" s="121"/>
      <c r="G67" s="60"/>
      <c r="H67" s="79"/>
      <c r="I67" s="59"/>
      <c r="J67" s="58" t="str">
        <f t="shared" si="0"/>
        <v/>
      </c>
      <c r="L67" s="18"/>
      <c r="M67" s="32"/>
      <c r="N67" s="33"/>
      <c r="O67" s="19"/>
    </row>
    <row r="68" spans="1:15" ht="13.5" thickBot="1" x14ac:dyDescent="0.25">
      <c r="A68" s="199" t="s">
        <v>25</v>
      </c>
      <c r="B68" s="200"/>
      <c r="C68" s="200"/>
      <c r="D68" s="200"/>
      <c r="E68" s="200"/>
      <c r="F68" s="200"/>
      <c r="G68" s="201"/>
      <c r="H68" s="78">
        <f>SUM(H15:H67)</f>
        <v>1922.65</v>
      </c>
      <c r="I68" s="190"/>
      <c r="J68" s="191"/>
      <c r="L68" s="8" t="s">
        <v>6</v>
      </c>
      <c r="M68" s="34">
        <f>SUM(M15:M53)+SUM(M56:M66)</f>
        <v>2307.1800000000003</v>
      </c>
      <c r="N68" s="35">
        <f>SUM(N15:N53)+SUM(N56:N66)</f>
        <v>2307.1800000000003</v>
      </c>
      <c r="O68" s="23"/>
    </row>
    <row r="69" spans="1:15" x14ac:dyDescent="0.2">
      <c r="A69" s="50"/>
      <c r="B69" s="50"/>
      <c r="C69" s="50"/>
      <c r="D69" s="50"/>
      <c r="E69" s="50"/>
      <c r="F69" s="50"/>
      <c r="G69" s="50"/>
      <c r="H69" s="6"/>
      <c r="J69" s="50"/>
    </row>
    <row r="70" spans="1:15" ht="13.5" thickBot="1" x14ac:dyDescent="0.25">
      <c r="A70" s="166"/>
      <c r="B70" s="166"/>
      <c r="C70" s="56"/>
      <c r="D70" s="56"/>
      <c r="E70" s="56"/>
      <c r="F70" s="56"/>
      <c r="G70" s="57"/>
      <c r="H70" s="57"/>
      <c r="I70" s="16"/>
      <c r="J70" s="57"/>
    </row>
    <row r="71" spans="1:15" x14ac:dyDescent="0.2">
      <c r="A71" s="56"/>
      <c r="B71" s="56"/>
      <c r="C71" s="56"/>
      <c r="D71" s="56"/>
      <c r="E71" s="56"/>
      <c r="F71" s="56"/>
      <c r="G71" s="192" t="s">
        <v>23</v>
      </c>
      <c r="H71" s="193"/>
      <c r="I71" s="193"/>
      <c r="J71" s="194"/>
      <c r="L71" s="192" t="s">
        <v>22</v>
      </c>
      <c r="M71" s="193"/>
      <c r="N71" s="193"/>
      <c r="O71" s="194"/>
    </row>
    <row r="72" spans="1:15" x14ac:dyDescent="0.2">
      <c r="A72" s="56"/>
      <c r="B72" s="56"/>
      <c r="C72" s="56"/>
      <c r="D72" s="56"/>
      <c r="E72" s="56"/>
      <c r="F72" s="56"/>
      <c r="G72" s="36"/>
      <c r="H72" s="16"/>
      <c r="I72" s="16"/>
      <c r="J72" s="37"/>
      <c r="L72" s="36"/>
      <c r="M72" s="16"/>
      <c r="N72" s="16"/>
      <c r="O72" s="37"/>
    </row>
    <row r="73" spans="1:15" x14ac:dyDescent="0.2">
      <c r="A73" s="50"/>
      <c r="B73" s="50"/>
      <c r="C73" s="50"/>
      <c r="D73" s="50"/>
      <c r="E73" s="50"/>
      <c r="F73" s="50"/>
      <c r="G73" s="36"/>
      <c r="H73" s="16"/>
      <c r="I73" s="16"/>
      <c r="J73" s="37"/>
      <c r="L73" s="36"/>
      <c r="M73" s="16"/>
      <c r="N73" s="16"/>
      <c r="O73" s="37"/>
    </row>
    <row r="74" spans="1:15" ht="13.5" thickBot="1" x14ac:dyDescent="0.25">
      <c r="A74" s="50"/>
      <c r="B74" s="50"/>
      <c r="C74" s="50"/>
      <c r="D74" s="50"/>
      <c r="E74" s="50"/>
      <c r="F74" s="50"/>
      <c r="G74" s="38"/>
      <c r="H74" s="17"/>
      <c r="I74" s="17"/>
      <c r="J74" s="39"/>
      <c r="L74" s="38"/>
      <c r="M74" s="17"/>
      <c r="N74" s="17"/>
      <c r="O74" s="39"/>
    </row>
    <row r="75" spans="1:15" x14ac:dyDescent="0.2">
      <c r="A75" s="50"/>
      <c r="B75" s="50"/>
      <c r="C75" s="50"/>
      <c r="D75" s="50"/>
      <c r="E75" s="50"/>
      <c r="F75" s="50"/>
      <c r="G75" s="50"/>
      <c r="H75" s="51"/>
      <c r="J75" s="50"/>
    </row>
    <row r="76" spans="1:15" x14ac:dyDescent="0.2">
      <c r="A76" s="50"/>
      <c r="B76" s="50"/>
      <c r="C76" s="50"/>
      <c r="D76" s="50"/>
      <c r="E76" s="50"/>
      <c r="F76" s="50"/>
      <c r="G76" s="50"/>
      <c r="H76" s="51"/>
      <c r="J76" s="50"/>
    </row>
    <row r="77" spans="1:15" x14ac:dyDescent="0.2">
      <c r="A77" s="50"/>
      <c r="B77" s="50"/>
      <c r="C77" s="50"/>
      <c r="D77" s="50"/>
      <c r="E77" s="50"/>
      <c r="F77" s="50"/>
      <c r="G77" s="50"/>
      <c r="H77" s="51"/>
      <c r="J77" s="50"/>
    </row>
    <row r="78" spans="1:15" x14ac:dyDescent="0.2">
      <c r="A78" s="55"/>
      <c r="B78" s="55"/>
      <c r="C78" s="52"/>
      <c r="D78" s="52"/>
      <c r="E78" s="50"/>
      <c r="F78" s="52"/>
      <c r="G78" s="52"/>
      <c r="H78" s="54"/>
      <c r="J78" s="52"/>
    </row>
    <row r="79" spans="1:15" x14ac:dyDescent="0.2">
      <c r="A79" s="55"/>
      <c r="B79" s="55"/>
      <c r="C79" s="52"/>
      <c r="D79" s="52"/>
      <c r="E79" s="52"/>
      <c r="F79" s="52"/>
      <c r="G79" s="52"/>
      <c r="H79" s="54"/>
      <c r="J79" s="52"/>
    </row>
    <row r="80" spans="1:15" x14ac:dyDescent="0.2">
      <c r="A80" s="55"/>
      <c r="B80" s="55"/>
      <c r="C80" s="52"/>
      <c r="D80" s="52"/>
      <c r="E80" s="52"/>
      <c r="F80" s="52"/>
      <c r="G80" s="52"/>
      <c r="H80" s="54"/>
      <c r="J80" s="52"/>
    </row>
    <row r="81" spans="1:10" x14ac:dyDescent="0.2">
      <c r="A81" s="55"/>
      <c r="B81" s="55"/>
      <c r="C81" s="52"/>
      <c r="D81" s="52"/>
      <c r="E81" s="52"/>
      <c r="F81" s="52"/>
      <c r="G81" s="52"/>
      <c r="H81" s="54"/>
      <c r="J81" s="52"/>
    </row>
    <row r="82" spans="1:10" x14ac:dyDescent="0.2">
      <c r="A82" s="55"/>
      <c r="B82" s="55"/>
      <c r="C82" s="52"/>
      <c r="D82" s="52"/>
      <c r="E82" s="52"/>
      <c r="F82" s="52"/>
      <c r="G82" s="52"/>
      <c r="H82" s="54"/>
      <c r="J82" s="52"/>
    </row>
    <row r="83" spans="1:10" x14ac:dyDescent="0.2">
      <c r="A83" s="55"/>
      <c r="B83" s="55"/>
      <c r="C83" s="52"/>
      <c r="D83" s="52"/>
      <c r="E83" s="52"/>
      <c r="F83" s="52"/>
      <c r="G83" s="52"/>
      <c r="H83" s="54"/>
      <c r="J83" s="52"/>
    </row>
    <row r="84" spans="1:10" x14ac:dyDescent="0.2">
      <c r="A84" s="55"/>
      <c r="B84" s="55"/>
      <c r="C84" s="52"/>
      <c r="D84" s="52"/>
      <c r="E84" s="52"/>
      <c r="F84" s="52"/>
      <c r="G84" s="52"/>
      <c r="H84" s="54"/>
      <c r="J84" s="52"/>
    </row>
    <row r="85" spans="1:10" x14ac:dyDescent="0.2">
      <c r="A85" s="55"/>
      <c r="B85" s="55"/>
      <c r="C85" s="52"/>
      <c r="D85" s="52"/>
      <c r="E85" s="52"/>
      <c r="F85" s="52"/>
      <c r="G85" s="52"/>
      <c r="H85" s="54"/>
      <c r="J85" s="52"/>
    </row>
    <row r="86" spans="1:10" x14ac:dyDescent="0.2">
      <c r="A86" s="55"/>
      <c r="B86" s="55"/>
      <c r="C86" s="52"/>
      <c r="D86" s="52"/>
      <c r="E86" s="52"/>
      <c r="F86" s="52"/>
      <c r="G86" s="52"/>
      <c r="H86" s="54"/>
      <c r="J86" s="52"/>
    </row>
    <row r="87" spans="1:10" x14ac:dyDescent="0.2">
      <c r="A87" s="55"/>
      <c r="B87" s="55"/>
      <c r="C87" s="52"/>
      <c r="D87" s="52"/>
      <c r="E87" s="52"/>
      <c r="F87" s="52"/>
      <c r="G87" s="52"/>
      <c r="H87" s="54"/>
      <c r="J87" s="52"/>
    </row>
    <row r="88" spans="1:10" x14ac:dyDescent="0.2">
      <c r="A88" s="55"/>
      <c r="B88" s="55"/>
      <c r="C88" s="52"/>
      <c r="D88" s="52"/>
      <c r="E88" s="52"/>
      <c r="F88" s="52"/>
      <c r="G88" s="52"/>
      <c r="H88" s="54"/>
      <c r="J88" s="52"/>
    </row>
    <row r="89" spans="1:10" x14ac:dyDescent="0.2">
      <c r="A89" s="53"/>
      <c r="B89" s="53"/>
      <c r="C89" s="50"/>
      <c r="D89" s="50"/>
      <c r="E89" s="52"/>
      <c r="F89" s="50"/>
      <c r="G89" s="50"/>
      <c r="H89" s="51"/>
      <c r="J89" s="50"/>
    </row>
  </sheetData>
  <mergeCells count="119">
    <mergeCell ref="L13:O13"/>
    <mergeCell ref="A14:B14"/>
    <mergeCell ref="C14:D14"/>
    <mergeCell ref="A15:B15"/>
    <mergeCell ref="C15:D15"/>
    <mergeCell ref="A16:B16"/>
    <mergeCell ref="C16:D16"/>
    <mergeCell ref="A17:B17"/>
    <mergeCell ref="C17:D17"/>
    <mergeCell ref="E2:I2"/>
    <mergeCell ref="I9:J9"/>
    <mergeCell ref="I10:J10"/>
    <mergeCell ref="A13:J13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39:B39"/>
    <mergeCell ref="C39:D39"/>
    <mergeCell ref="A40:B40"/>
    <mergeCell ref="C40:D40"/>
    <mergeCell ref="A41:B41"/>
    <mergeCell ref="C41:D41"/>
    <mergeCell ref="A36:B36"/>
    <mergeCell ref="C36:D36"/>
    <mergeCell ref="A37:B37"/>
    <mergeCell ref="C37:D37"/>
    <mergeCell ref="A38:B38"/>
    <mergeCell ref="C38:D38"/>
    <mergeCell ref="A45:B45"/>
    <mergeCell ref="C45:D45"/>
    <mergeCell ref="A46:B46"/>
    <mergeCell ref="C46:D46"/>
    <mergeCell ref="A47:B47"/>
    <mergeCell ref="C47:D47"/>
    <mergeCell ref="A42:B42"/>
    <mergeCell ref="C42:D42"/>
    <mergeCell ref="A43:B43"/>
    <mergeCell ref="C43:D43"/>
    <mergeCell ref="A44:B44"/>
    <mergeCell ref="C44:D44"/>
    <mergeCell ref="A51:B51"/>
    <mergeCell ref="C51:D51"/>
    <mergeCell ref="A52:B52"/>
    <mergeCell ref="C52:D52"/>
    <mergeCell ref="A53:B53"/>
    <mergeCell ref="C53:D53"/>
    <mergeCell ref="A48:B48"/>
    <mergeCell ref="C48:D48"/>
    <mergeCell ref="A49:B49"/>
    <mergeCell ref="C49:D49"/>
    <mergeCell ref="A50:B50"/>
    <mergeCell ref="C50:D50"/>
    <mergeCell ref="A58:B58"/>
    <mergeCell ref="C58:D58"/>
    <mergeCell ref="A59:B59"/>
    <mergeCell ref="C59:D59"/>
    <mergeCell ref="A54:B54"/>
    <mergeCell ref="C54:D54"/>
    <mergeCell ref="A55:B55"/>
    <mergeCell ref="C55:D55"/>
    <mergeCell ref="A56:B56"/>
    <mergeCell ref="C56:D56"/>
    <mergeCell ref="M54:N54"/>
    <mergeCell ref="A70:B70"/>
    <mergeCell ref="G71:J71"/>
    <mergeCell ref="L71:O71"/>
    <mergeCell ref="A66:B66"/>
    <mergeCell ref="C66:D66"/>
    <mergeCell ref="A67:B67"/>
    <mergeCell ref="C67:D67"/>
    <mergeCell ref="A68:G68"/>
    <mergeCell ref="I68:J68"/>
    <mergeCell ref="A63:B63"/>
    <mergeCell ref="C63:D63"/>
    <mergeCell ref="A64:B64"/>
    <mergeCell ref="C64:D64"/>
    <mergeCell ref="A65:B65"/>
    <mergeCell ref="C65:D65"/>
    <mergeCell ref="A60:B60"/>
    <mergeCell ref="C60:D60"/>
    <mergeCell ref="A61:B61"/>
    <mergeCell ref="C61:D61"/>
    <mergeCell ref="A62:B62"/>
    <mergeCell ref="C62:D62"/>
    <mergeCell ref="A57:B57"/>
    <mergeCell ref="C57:D57"/>
  </mergeCells>
  <printOptions horizontalCentered="1" verticalCentered="1"/>
  <pageMargins left="0.19685039370078741" right="0.19685039370078741" top="0.39370078740157483" bottom="0.39370078740157483" header="0.51181102362204722" footer="0.51181102362204722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FF1113E-1DE6-48B5-B4F0-A65F203B4C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Feuil1</vt:lpstr>
      <vt:lpstr>0012240</vt:lpstr>
      <vt:lpstr>0011946</vt:lpstr>
      <vt:lpstr>0011947</vt:lpstr>
      <vt:lpstr>0011948</vt:lpstr>
      <vt:lpstr>0011949</vt:lpstr>
      <vt:lpstr>0011950</vt:lpstr>
      <vt:lpstr>0011951</vt:lpstr>
      <vt:lpstr>'0011946'!Zone_d_impression</vt:lpstr>
      <vt:lpstr>'0011947'!Zone_d_impression</vt:lpstr>
      <vt:lpstr>'0011948'!Zone_d_impression</vt:lpstr>
      <vt:lpstr>'0011949'!Zone_d_impression</vt:lpstr>
      <vt:lpstr>'0011950'!Zone_d_impression</vt:lpstr>
      <vt:lpstr>'0011951'!Zone_d_impression</vt:lpstr>
      <vt:lpstr>'0012240'!Zone_d_impression</vt:lpstr>
    </vt:vector>
  </TitlesOfParts>
  <Company>SOGEA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jmoreau</dc:creator>
  <cp:lastModifiedBy>KILANI Karim</cp:lastModifiedBy>
  <cp:lastPrinted>2019-06-14T08:53:09Z</cp:lastPrinted>
  <dcterms:created xsi:type="dcterms:W3CDTF">2008-03-17T10:11:42Z</dcterms:created>
  <dcterms:modified xsi:type="dcterms:W3CDTF">2019-07-29T14:40:16Z</dcterms:modified>
</cp:coreProperties>
</file>