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tables/table6.xml" ContentType="application/vnd.openxmlformats-officedocument.spreadsheetml.table+xml"/>
  <Override PartName="/xl/drawings/drawing9.xml" ContentType="application/vnd.openxmlformats-officedocument.drawing+xml"/>
  <Override PartName="/xl/tables/table7.xml" ContentType="application/vnd.openxmlformats-officedocument.spreadsheetml.table+xml"/>
  <Override PartName="/xl/drawings/drawing10.xml" ContentType="application/vnd.openxmlformats-officedocument.drawing+xml"/>
  <Override PartName="/xl/tables/table8.xml" ContentType="application/vnd.openxmlformats-officedocument.spreadsheetml.table+xml"/>
  <Override PartName="/xl/drawings/drawing11.xml" ContentType="application/vnd.openxmlformats-officedocument.drawing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KUITO\Desktop\Gestionnaire Cecile\"/>
    </mc:Choice>
  </mc:AlternateContent>
  <bookViews>
    <workbookView xWindow="0" yWindow="0" windowWidth="25200" windowHeight="12135" tabRatio="887" activeTab="13"/>
  </bookViews>
  <sheets>
    <sheet name="Acceuil" sheetId="1" r:id="rId1"/>
    <sheet name="Clients" sheetId="2" r:id="rId2"/>
    <sheet name="Fournisseurs" sheetId="3" r:id="rId3"/>
    <sheet name="Stocks" sheetId="7" r:id="rId4"/>
    <sheet name="Commander" sheetId="18" r:id="rId5"/>
    <sheet name="Facturer" sheetId="12" r:id="rId6"/>
    <sheet name="Pro-Forma" sheetId="11" r:id="rId7"/>
    <sheet name="Pro Forma" sheetId="8" r:id="rId8"/>
    <sheet name="Facture" sheetId="10" r:id="rId9"/>
    <sheet name="Bon de Commande" sheetId="19" r:id="rId10"/>
    <sheet name="Mouvement Stock" sheetId="13" r:id="rId11"/>
    <sheet name="Suivi Pro Forma" sheetId="14" r:id="rId12"/>
    <sheet name="Suivi Facture" sheetId="16" r:id="rId13"/>
    <sheet name="Config" sheetId="17" r:id="rId14"/>
  </sheets>
  <functionGroups builtInGroupCount="18"/>
  <definedNames>
    <definedName name="Article" localSheetId="9">Tableau_Stocks[ID Article]</definedName>
    <definedName name="Article">Tableau_Stocks[ID Article]</definedName>
    <definedName name="Clients" localSheetId="9">Tableau_Client[Nom de l''Entité]</definedName>
    <definedName name="Clients">Tableau_Client[Nom de l''Entité]</definedName>
    <definedName name="Commande">Tableau_Commande[ID Commande]</definedName>
    <definedName name="Coursier">Tableau11[Nom]</definedName>
    <definedName name="Fournisseurs" localSheetId="9">Tableau_Fournisseurs[Nom du Fournisseur]</definedName>
    <definedName name="Fournisseurs">Tableau_Fournisseurs[Nom du Fournisseur]</definedName>
    <definedName name="localisation">Config!$P$5:$P$6</definedName>
    <definedName name="Pays">Config!$O$5:$O$238</definedName>
    <definedName name="produit" localSheetId="9">Tableau_Stocks[Nom du Produit]</definedName>
    <definedName name="produit">Tableau_Stocks[Nom du Produit]</definedName>
    <definedName name="user">Tableau9[User]</definedName>
    <definedName name="_xlnm.Print_Area" localSheetId="9">'Bon de Commande'!$A$2:$G$47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7" l="1"/>
  <c r="E25" i="10" l="1" a="1"/>
  <c r="E25" i="10" s="1"/>
  <c r="E26" i="10" a="1"/>
  <c r="E26" i="10" s="1"/>
  <c r="E27" i="10" a="1"/>
  <c r="E27" i="10" s="1"/>
  <c r="E28" i="10" a="1"/>
  <c r="E28" i="10" s="1"/>
  <c r="E29" i="10" a="1"/>
  <c r="E29" i="10" s="1"/>
  <c r="D25" i="10" a="1"/>
  <c r="D25" i="10" s="1"/>
  <c r="D26" i="10" a="1"/>
  <c r="D26" i="10" s="1"/>
  <c r="D27" i="10" a="1"/>
  <c r="D27" i="10" s="1"/>
  <c r="D28" i="10" a="1"/>
  <c r="D28" i="10" s="1"/>
  <c r="D29" i="10" a="1"/>
  <c r="D29" i="10" s="1"/>
  <c r="C25" i="10" a="1"/>
  <c r="C25" i="10" s="1"/>
  <c r="C26" i="10" a="1"/>
  <c r="C26" i="10" s="1"/>
  <c r="C27" i="10" a="1"/>
  <c r="C27" i="10" s="1"/>
  <c r="C28" i="10" a="1"/>
  <c r="C28" i="10" s="1"/>
  <c r="C29" i="10" a="1"/>
  <c r="C29" i="10" s="1"/>
  <c r="A23" i="10"/>
  <c r="B24" i="10" a="1"/>
  <c r="B24" i="10" s="1"/>
  <c r="A24" i="10" s="1"/>
  <c r="B25" i="10" a="1"/>
  <c r="B25" i="10" s="1"/>
  <c r="A25" i="10" s="1"/>
  <c r="B26" i="10" a="1"/>
  <c r="B26" i="10" s="1"/>
  <c r="A26" i="10" s="1"/>
  <c r="B27" i="10" a="1"/>
  <c r="B27" i="10" s="1"/>
  <c r="A27" i="10" s="1"/>
  <c r="B28" i="10" a="1"/>
  <c r="B28" i="10" s="1"/>
  <c r="A28" i="10" s="1"/>
  <c r="B29" i="10" a="1"/>
  <c r="B29" i="10" s="1"/>
  <c r="A29" i="10" s="1"/>
  <c r="C20" i="19"/>
  <c r="G27" i="8"/>
  <c r="C43" i="17"/>
  <c r="F27" i="10" l="1"/>
  <c r="C44" i="17"/>
  <c r="F29" i="10"/>
  <c r="F28" i="10"/>
  <c r="F25" i="10"/>
  <c r="F26" i="10"/>
  <c r="G28" i="8"/>
  <c r="G29" i="8" s="1"/>
  <c r="G8" i="13"/>
  <c r="C41" i="17"/>
  <c r="F30" i="10" l="1"/>
  <c r="F31" i="10" s="1"/>
  <c r="F32" i="10" s="1"/>
  <c r="D45" i="17" a="1"/>
  <c r="D45" i="17" s="1"/>
  <c r="C45" i="17" a="1"/>
  <c r="C45" i="17" s="1"/>
  <c r="E45" i="17" a="1"/>
  <c r="E45" i="17" s="1"/>
  <c r="G45" i="17" a="1"/>
  <c r="G45" i="17" s="1"/>
  <c r="F45" i="17" a="1"/>
  <c r="F45" i="17" s="1"/>
  <c r="E12" i="17"/>
  <c r="E11" i="17"/>
  <c r="E10" i="17"/>
  <c r="E9" i="17"/>
  <c r="E8" i="17"/>
  <c r="E7" i="17"/>
  <c r="E6" i="17"/>
  <c r="E5" i="17"/>
  <c r="E33" i="19" a="1"/>
  <c r="E33" i="19" s="1"/>
  <c r="D33" i="19" a="1"/>
  <c r="D33" i="19" s="1"/>
  <c r="C33" i="19" a="1"/>
  <c r="C33" i="19" s="1"/>
  <c r="B33" i="19" a="1"/>
  <c r="B33" i="19" s="1"/>
  <c r="A33" i="19" s="1"/>
  <c r="E32" i="19" a="1"/>
  <c r="E32" i="19" s="1"/>
  <c r="D32" i="19" a="1"/>
  <c r="D32" i="19" s="1"/>
  <c r="C32" i="19" a="1"/>
  <c r="C32" i="19" s="1"/>
  <c r="B32" i="19" a="1"/>
  <c r="B32" i="19" s="1"/>
  <c r="A32" i="19" s="1"/>
  <c r="E31" i="19" a="1"/>
  <c r="E31" i="19" s="1"/>
  <c r="D31" i="19" a="1"/>
  <c r="D31" i="19" s="1"/>
  <c r="C31" i="19" a="1"/>
  <c r="C31" i="19" s="1"/>
  <c r="B31" i="19" a="1"/>
  <c r="B31" i="19" s="1"/>
  <c r="A31" i="19" s="1"/>
  <c r="E30" i="19" a="1"/>
  <c r="E30" i="19" s="1"/>
  <c r="D30" i="19" a="1"/>
  <c r="D30" i="19" s="1"/>
  <c r="C30" i="19" a="1"/>
  <c r="C30" i="19" s="1"/>
  <c r="B30" i="19" a="1"/>
  <c r="B30" i="19" s="1"/>
  <c r="A30" i="19" s="1"/>
  <c r="E29" i="19" a="1"/>
  <c r="E29" i="19" s="1"/>
  <c r="D29" i="19" a="1"/>
  <c r="D29" i="19" s="1"/>
  <c r="C29" i="19" a="1"/>
  <c r="C29" i="19" s="1"/>
  <c r="B29" i="19" a="1"/>
  <c r="B29" i="19" s="1"/>
  <c r="A29" i="19" s="1"/>
  <c r="E28" i="19" a="1"/>
  <c r="E28" i="19" s="1"/>
  <c r="D28" i="19" a="1"/>
  <c r="D28" i="19" s="1"/>
  <c r="C28" i="19" a="1"/>
  <c r="C28" i="19" s="1"/>
  <c r="B28" i="19" a="1"/>
  <c r="B28" i="19" s="1"/>
  <c r="A28" i="19" s="1"/>
  <c r="E27" i="19" a="1"/>
  <c r="E27" i="19" s="1"/>
  <c r="D27" i="19" a="1"/>
  <c r="D27" i="19" s="1"/>
  <c r="C27" i="19" a="1"/>
  <c r="C27" i="19" s="1"/>
  <c r="B27" i="19" a="1"/>
  <c r="B27" i="19" s="1"/>
  <c r="A27" i="19" s="1"/>
  <c r="E26" i="19" a="1"/>
  <c r="E26" i="19" s="1"/>
  <c r="D26" i="19" a="1"/>
  <c r="D26" i="19" s="1"/>
  <c r="C26" i="19" a="1"/>
  <c r="C26" i="19" s="1"/>
  <c r="B26" i="19" a="1"/>
  <c r="B26" i="19" s="1"/>
  <c r="A26" i="19" s="1"/>
  <c r="E25" i="19" a="1"/>
  <c r="E25" i="19" s="1"/>
  <c r="D25" i="19" a="1"/>
  <c r="D25" i="19" s="1"/>
  <c r="C25" i="19" a="1"/>
  <c r="C25" i="19" s="1"/>
  <c r="B25" i="19" a="1"/>
  <c r="B25" i="19" s="1"/>
  <c r="A25" i="19" s="1"/>
  <c r="E24" i="19" a="1"/>
  <c r="E24" i="19" s="1"/>
  <c r="D24" i="19" a="1"/>
  <c r="D24" i="19" s="1"/>
  <c r="C24" i="19" a="1"/>
  <c r="C24" i="19" s="1"/>
  <c r="B24" i="19" a="1"/>
  <c r="B24" i="19" s="1"/>
  <c r="A24" i="19" s="1"/>
  <c r="E23" i="19" a="1"/>
  <c r="E23" i="19" s="1"/>
  <c r="D23" i="19" a="1"/>
  <c r="D23" i="19" s="1"/>
  <c r="C23" i="19" a="1"/>
  <c r="C23" i="19" s="1"/>
  <c r="B23" i="19" a="1"/>
  <c r="B23" i="19" s="1"/>
  <c r="A23" i="19" s="1"/>
  <c r="C19" i="19"/>
  <c r="C18" i="19"/>
  <c r="C17" i="19"/>
  <c r="E16" i="19"/>
  <c r="E18" i="19" s="1"/>
  <c r="C16" i="19"/>
  <c r="F6" i="19"/>
  <c r="E8" i="10"/>
  <c r="F5" i="10"/>
  <c r="C39" i="10" s="1"/>
  <c r="B26" i="8"/>
  <c r="B25" i="8"/>
  <c r="B24" i="8"/>
  <c r="B23" i="8"/>
  <c r="B22" i="8"/>
  <c r="B21" i="8"/>
  <c r="B20" i="8"/>
  <c r="F5" i="8"/>
  <c r="D36" i="8" s="1"/>
  <c r="A36" i="10"/>
  <c r="C42" i="17" l="1"/>
  <c r="F32" i="19" a="1"/>
  <c r="F32" i="19" s="1"/>
  <c r="E11" i="10"/>
  <c r="E10" i="10"/>
  <c r="E9" i="10"/>
  <c r="F33" i="19" a="1"/>
  <c r="F33" i="19" s="1"/>
  <c r="F24" i="19" a="1"/>
  <c r="F24" i="19" s="1"/>
  <c r="F25" i="19" a="1"/>
  <c r="F25" i="19" s="1"/>
  <c r="F30" i="19" a="1"/>
  <c r="F30" i="19" s="1"/>
  <c r="E19" i="19"/>
  <c r="F28" i="19" a="1"/>
  <c r="F28" i="19" s="1"/>
  <c r="C40" i="17"/>
  <c r="F29" i="19" a="1"/>
  <c r="F29" i="19" s="1"/>
  <c r="F23" i="19" a="1"/>
  <c r="F23" i="19" s="1"/>
  <c r="F26" i="19" a="1"/>
  <c r="F26" i="19" s="1"/>
  <c r="F31" i="19" a="1"/>
  <c r="F31" i="19" s="1"/>
  <c r="F27" i="19" a="1"/>
  <c r="F27" i="19" s="1"/>
  <c r="E20" i="19"/>
  <c r="E17" i="19"/>
  <c r="B32" i="8"/>
  <c r="F34" i="19" l="1"/>
  <c r="F35" i="19" l="1"/>
  <c r="F36" i="19" s="1"/>
</calcChain>
</file>

<file path=xl/sharedStrings.xml><?xml version="1.0" encoding="utf-8"?>
<sst xmlns="http://schemas.openxmlformats.org/spreadsheetml/2006/main" count="406" uniqueCount="368">
  <si>
    <t>ID Client</t>
  </si>
  <si>
    <t>Nom de l'Entité</t>
  </si>
  <si>
    <t>Adresse</t>
  </si>
  <si>
    <t>Contact</t>
  </si>
  <si>
    <t>Mail</t>
  </si>
  <si>
    <t>Référence Interne</t>
  </si>
  <si>
    <t>Contact2</t>
  </si>
  <si>
    <t>Mail3</t>
  </si>
  <si>
    <t>BP</t>
  </si>
  <si>
    <t>ID Fournisseur</t>
  </si>
  <si>
    <t>Nom du Fournisseur</t>
  </si>
  <si>
    <t>Position</t>
  </si>
  <si>
    <t>Nom du Produit</t>
  </si>
  <si>
    <t>Description</t>
  </si>
  <si>
    <t>Prix Unitaire</t>
  </si>
  <si>
    <t>Qté en Stock</t>
  </si>
  <si>
    <t>Valeur du Stock</t>
  </si>
  <si>
    <t>Stock Min</t>
  </si>
  <si>
    <t>&gt;10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</si>
  <si>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</si>
  <si>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</si>
  <si>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</si>
  <si>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</si>
  <si>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</si>
  <si>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</si>
  <si>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</si>
  <si>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</si>
  <si>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</si>
  <si>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</si>
  <si>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Adresse Direction Générale</t>
  </si>
  <si>
    <t>Mail Support</t>
  </si>
  <si>
    <t>Etranger</t>
  </si>
  <si>
    <t>Pays</t>
  </si>
  <si>
    <t>Adress Complète</t>
  </si>
  <si>
    <t>Douala, le</t>
  </si>
  <si>
    <t>Messieurs,</t>
  </si>
  <si>
    <t>Nous vous remercions de vous être adressés à nous.</t>
  </si>
  <si>
    <t>Trouvez ci-joint notre meilleure offre :</t>
  </si>
  <si>
    <t>Ref Article</t>
  </si>
  <si>
    <t>Désignation</t>
  </si>
  <si>
    <t>Qté</t>
  </si>
  <si>
    <t>Prix U. HT</t>
  </si>
  <si>
    <t>Prix T. HT</t>
  </si>
  <si>
    <t>DIRECTION COMMECIALE</t>
  </si>
  <si>
    <t>Montant TTC</t>
  </si>
  <si>
    <t>Total HT</t>
  </si>
  <si>
    <t>Taxe (19,25%)</t>
  </si>
  <si>
    <t>Arrêtée la présente Pro Forma à la somme de :</t>
  </si>
  <si>
    <t>Objet :</t>
  </si>
  <si>
    <t>Modalité de règlement :</t>
  </si>
  <si>
    <t>70% à la commande, le reste à la livraison</t>
  </si>
  <si>
    <t>Délai de livraison :</t>
  </si>
  <si>
    <t>14 jrs ouvrables, dès réception du BC, Acompte et BAT validé.</t>
  </si>
  <si>
    <t>Arrêtée la présente Facture à la somme de :</t>
  </si>
  <si>
    <t>Trouvez ci-joint la facture pour le bon de commande :</t>
  </si>
  <si>
    <t>Date limite :</t>
  </si>
  <si>
    <t>Compte N° :</t>
  </si>
  <si>
    <t>Banque :</t>
  </si>
  <si>
    <t>DIRECTION GENERALE</t>
  </si>
  <si>
    <t>Colonne1</t>
  </si>
  <si>
    <t>Suffixe</t>
  </si>
  <si>
    <t>Article</t>
  </si>
  <si>
    <t>Client</t>
  </si>
  <si>
    <t>Fournisseur</t>
  </si>
  <si>
    <t>Pro Forma</t>
  </si>
  <si>
    <t>Facture</t>
  </si>
  <si>
    <t>FACTURE N°</t>
  </si>
  <si>
    <t>PRO FORMA N°</t>
  </si>
  <si>
    <t xml:space="preserve">ART- </t>
  </si>
  <si>
    <t xml:space="preserve">CLT- </t>
  </si>
  <si>
    <t xml:space="preserve">FOUR - </t>
  </si>
  <si>
    <t>ID Commande</t>
  </si>
  <si>
    <t>Commande</t>
  </si>
  <si>
    <t xml:space="preserve">ORDER - </t>
  </si>
  <si>
    <t>Date Emission</t>
  </si>
  <si>
    <t>Ref. Article</t>
  </si>
  <si>
    <t>Quantité</t>
  </si>
  <si>
    <t>Prix d'achat</t>
  </si>
  <si>
    <t>Prix Total</t>
  </si>
  <si>
    <t>Founisseur</t>
  </si>
  <si>
    <t>Services</t>
  </si>
  <si>
    <t xml:space="preserve">SERV - </t>
  </si>
  <si>
    <t>Infos Compagnie</t>
  </si>
  <si>
    <t>Nom</t>
  </si>
  <si>
    <t>Boite Postale</t>
  </si>
  <si>
    <t>Liste Pays</t>
  </si>
  <si>
    <t>Localisation</t>
  </si>
  <si>
    <t>Local</t>
  </si>
  <si>
    <t>AFGHANISTAN</t>
  </si>
  <si>
    <t>AFRIQUE DU SUD</t>
  </si>
  <si>
    <t>ALBANIE</t>
  </si>
  <si>
    <t>ALGERIE</t>
  </si>
  <si>
    <t>ALLEMAGNE</t>
  </si>
  <si>
    <t>ANDORRE</t>
  </si>
  <si>
    <t>ANGOLA</t>
  </si>
  <si>
    <t>ANGUILLA</t>
  </si>
  <si>
    <t>ANTIGUA-ET-BARBUDA</t>
  </si>
  <si>
    <t>ANTILLES NEERLANDAISES</t>
  </si>
  <si>
    <t>ARABIE SAOUDITE</t>
  </si>
  <si>
    <t>ARGENTINE</t>
  </si>
  <si>
    <t>ARMENIE</t>
  </si>
  <si>
    <t>ARUBA</t>
  </si>
  <si>
    <t>ASCENSION</t>
  </si>
  <si>
    <t>AUSTRALIE</t>
  </si>
  <si>
    <t>AUTRICHE</t>
  </si>
  <si>
    <t>AZERBAÏDJAN</t>
  </si>
  <si>
    <t>BAHAMAS</t>
  </si>
  <si>
    <t>BAHREÏN</t>
  </si>
  <si>
    <t>BANGLADESH</t>
  </si>
  <si>
    <t>BARBADE</t>
  </si>
  <si>
    <t>BELGIQUE</t>
  </si>
  <si>
    <t>BELIZE</t>
  </si>
  <si>
    <t>BENIN</t>
  </si>
  <si>
    <t>BERMUDES</t>
  </si>
  <si>
    <t>BHOUTAN</t>
  </si>
  <si>
    <t>BIELORUSSIE</t>
  </si>
  <si>
    <t>BIRMANIE</t>
  </si>
  <si>
    <t>BOLIVIE</t>
  </si>
  <si>
    <t>BOSNIE-HERZEGOVINE</t>
  </si>
  <si>
    <t>BOTSWANA</t>
  </si>
  <si>
    <t>BRESIL</t>
  </si>
  <si>
    <t>BRUNEI DARUSSALAM</t>
  </si>
  <si>
    <t>BULGARIE</t>
  </si>
  <si>
    <t>BURKINA-FASO</t>
  </si>
  <si>
    <t>BURUNDI</t>
  </si>
  <si>
    <t>CAMBODGE</t>
  </si>
  <si>
    <t>CAMEROUN</t>
  </si>
  <si>
    <t>CANADA</t>
  </si>
  <si>
    <t>CANADA-QUEBEC</t>
  </si>
  <si>
    <t>CAP-VERT</t>
  </si>
  <si>
    <t>CAYMAN (Iles)</t>
  </si>
  <si>
    <t>CENTRAFRICAINE (République)</t>
  </si>
  <si>
    <t>CHILI</t>
  </si>
  <si>
    <t>CHINE</t>
  </si>
  <si>
    <t>CHYPRE</t>
  </si>
  <si>
    <t>COLOMBIE</t>
  </si>
  <si>
    <t>COMORES</t>
  </si>
  <si>
    <t>CONGO</t>
  </si>
  <si>
    <t>CONGO (Rép. Démocratique)</t>
  </si>
  <si>
    <t>COOK (Iles)</t>
  </si>
  <si>
    <t>CORÉE (Rép. Populaire Démocratique)</t>
  </si>
  <si>
    <t>CORÉE (République de)</t>
  </si>
  <si>
    <t>COSTA RICA</t>
  </si>
  <si>
    <t>COTE D'IVOIRE</t>
  </si>
  <si>
    <t>CROATIE</t>
  </si>
  <si>
    <t>CUBA</t>
  </si>
  <si>
    <t>DANEMARK</t>
  </si>
  <si>
    <t>DJIBOUTI</t>
  </si>
  <si>
    <t>DOMINICAINE (République)</t>
  </si>
  <si>
    <t>DOMINIQUE</t>
  </si>
  <si>
    <t>EGYPTE</t>
  </si>
  <si>
    <t>EL SALVADOR</t>
  </si>
  <si>
    <t>EMIRATS ARABES UNIS</t>
  </si>
  <si>
    <t>EQUATEUR</t>
  </si>
  <si>
    <t>ERYTHREE</t>
  </si>
  <si>
    <t>ESPAGNE</t>
  </si>
  <si>
    <t>ESTONIE</t>
  </si>
  <si>
    <t>ETATS-UNIS</t>
  </si>
  <si>
    <t>ETHIOPIE</t>
  </si>
  <si>
    <t>FALKLAND (Iles)</t>
  </si>
  <si>
    <t>FEROE (Iles)</t>
  </si>
  <si>
    <t>FIDJI</t>
  </si>
  <si>
    <t>FINLANDE</t>
  </si>
  <si>
    <t>FRANCE</t>
  </si>
  <si>
    <t>GABON</t>
  </si>
  <si>
    <t>GAMBIE</t>
  </si>
  <si>
    <t>GEORGIE</t>
  </si>
  <si>
    <t>GHANA</t>
  </si>
  <si>
    <t>GIBRALTAR</t>
  </si>
  <si>
    <t>GRECE</t>
  </si>
  <si>
    <t>GRENADE</t>
  </si>
  <si>
    <t>GROENLAND</t>
  </si>
  <si>
    <t>GUADELOUPE</t>
  </si>
  <si>
    <t>GUAM</t>
  </si>
  <si>
    <t>GUATEMALA</t>
  </si>
  <si>
    <t>GUINEE</t>
  </si>
  <si>
    <t>GUINEE EQUATORIALE</t>
  </si>
  <si>
    <t>GUINEE-BISSAO</t>
  </si>
  <si>
    <t>GUYANA</t>
  </si>
  <si>
    <t>GUYANE FRANCAISE</t>
  </si>
  <si>
    <t>HAÏTI</t>
  </si>
  <si>
    <t>HONDURAS</t>
  </si>
  <si>
    <t>HONG-KONG</t>
  </si>
  <si>
    <t>HONGRIE</t>
  </si>
  <si>
    <t>ILES VIERGES AMERICAINES</t>
  </si>
  <si>
    <t>ILES VIERGES BRITANNIQUES</t>
  </si>
  <si>
    <t>INDE</t>
  </si>
  <si>
    <t>INDONESIE</t>
  </si>
  <si>
    <t>IRAK</t>
  </si>
  <si>
    <t>IRAN</t>
  </si>
  <si>
    <t>IRLANDE</t>
  </si>
  <si>
    <t>ISLANDE</t>
  </si>
  <si>
    <t>ISRAËL</t>
  </si>
  <si>
    <t>ITALIE</t>
  </si>
  <si>
    <t>JAMAÏQUE</t>
  </si>
  <si>
    <t>JAPON</t>
  </si>
  <si>
    <t>JERUSALEM</t>
  </si>
  <si>
    <t>JORDANIE</t>
  </si>
  <si>
    <t>KAZAKHSTAN</t>
  </si>
  <si>
    <t>KENYA</t>
  </si>
  <si>
    <t>KIRGHIZISTAN</t>
  </si>
  <si>
    <t>KIRIBATI</t>
  </si>
  <si>
    <t>KOSOVO</t>
  </si>
  <si>
    <t>KOWEÏT</t>
  </si>
  <si>
    <t>LAOS</t>
  </si>
  <si>
    <t>LESOTHO</t>
  </si>
  <si>
    <t>LETTONIE</t>
  </si>
  <si>
    <t>LIBAN</t>
  </si>
  <si>
    <t>LIBERIA</t>
  </si>
  <si>
    <t>LIBYE</t>
  </si>
  <si>
    <t>LIECHTENSTEIN</t>
  </si>
  <si>
    <t>LITUANIE</t>
  </si>
  <si>
    <t>LUXEMBOURG</t>
  </si>
  <si>
    <t>MACAO</t>
  </si>
  <si>
    <t>MACEDOINE</t>
  </si>
  <si>
    <t>MADAGASCAR</t>
  </si>
  <si>
    <t>MALAISIE</t>
  </si>
  <si>
    <t>MALAWI</t>
  </si>
  <si>
    <t>MALDIVES (Iles)</t>
  </si>
  <si>
    <t>MALI</t>
  </si>
  <si>
    <t>MALTE</t>
  </si>
  <si>
    <t>MARIANNES (Iles)</t>
  </si>
  <si>
    <t>MAROC</t>
  </si>
  <si>
    <t>MARSHALL (Iles)</t>
  </si>
  <si>
    <t>MARTINIQUE</t>
  </si>
  <si>
    <t>MAURICE</t>
  </si>
  <si>
    <t>MAURITANIE</t>
  </si>
  <si>
    <t>MAYOTTE</t>
  </si>
  <si>
    <t>MEXIQUE</t>
  </si>
  <si>
    <t>MICRONESIE</t>
  </si>
  <si>
    <t>MOLDAVIE</t>
  </si>
  <si>
    <t>MONACO</t>
  </si>
  <si>
    <t>MONGOLIE</t>
  </si>
  <si>
    <t>MONTENEGRO</t>
  </si>
  <si>
    <t>MONTSERRAT</t>
  </si>
  <si>
    <t>MOZAMBIQUE</t>
  </si>
  <si>
    <t>NAMIBIE</t>
  </si>
  <si>
    <t>NAURU</t>
  </si>
  <si>
    <t>NEPAL</t>
  </si>
  <si>
    <t>NICARAGUA</t>
  </si>
  <si>
    <t>NIGER</t>
  </si>
  <si>
    <t>NIGERIA</t>
  </si>
  <si>
    <t>NIUE</t>
  </si>
  <si>
    <t>NORFOLK (Ile)</t>
  </si>
  <si>
    <t>NORVEGE</t>
  </si>
  <si>
    <t>NOUVELLE CALEDONIE</t>
  </si>
  <si>
    <t>NOUVELLE-ZELANDE</t>
  </si>
  <si>
    <t>OMAN</t>
  </si>
  <si>
    <t>OUGANDA</t>
  </si>
  <si>
    <t>OUZBEKISTAN</t>
  </si>
  <si>
    <t>PAKISTAN</t>
  </si>
  <si>
    <t>PALAOS</t>
  </si>
  <si>
    <t>PANAMA</t>
  </si>
  <si>
    <t>PAPOUASIE-NOUVELLE-GUINEE</t>
  </si>
  <si>
    <t>PARAGUAY</t>
  </si>
  <si>
    <t>pays non précisé</t>
  </si>
  <si>
    <t>PAYS-BAS</t>
  </si>
  <si>
    <t>PEROU</t>
  </si>
  <si>
    <t>PHILIPPINES</t>
  </si>
  <si>
    <t>POLOGNE</t>
  </si>
  <si>
    <t>POLYNESIE FRANCAISE</t>
  </si>
  <si>
    <t>PORTO RICO, USA</t>
  </si>
  <si>
    <t>PORTUGAL</t>
  </si>
  <si>
    <t>QATAR</t>
  </si>
  <si>
    <t>REUNION</t>
  </si>
  <si>
    <t>ROUMANIE</t>
  </si>
  <si>
    <t>ROYAUME-UNI</t>
  </si>
  <si>
    <t>RUSSIE</t>
  </si>
  <si>
    <t>RWANDA</t>
  </si>
  <si>
    <t>SAINTE-HELENE</t>
  </si>
  <si>
    <t>SAINTE-LUCIE</t>
  </si>
  <si>
    <t>SAINT-KITTS-ET-NEVIS</t>
  </si>
  <si>
    <t>SAINT-MARIN</t>
  </si>
  <si>
    <t>SAINT-PIERRE-ET-MIQUELON</t>
  </si>
  <si>
    <t>SAINT-VINCENT-ET-LES-GRENADINES</t>
  </si>
  <si>
    <t>SALOMON (Iles)</t>
  </si>
  <si>
    <t>SAMOA AMERICAINES</t>
  </si>
  <si>
    <t>SAMOA OCCIDENTALES</t>
  </si>
  <si>
    <t>SAO TOME ET PRINCIPE</t>
  </si>
  <si>
    <t>SENEGAL</t>
  </si>
  <si>
    <t>SERBIE</t>
  </si>
  <si>
    <t>SERBIE ET MONTENEGRO</t>
  </si>
  <si>
    <t>SEYCHELLES</t>
  </si>
  <si>
    <t>SIERRA LEONE</t>
  </si>
  <si>
    <t>SINGAPOUR</t>
  </si>
  <si>
    <t>SLOVAQUIE</t>
  </si>
  <si>
    <t>SLOVENIE</t>
  </si>
  <si>
    <t>SOMALIE</t>
  </si>
  <si>
    <t>SOUDAN</t>
  </si>
  <si>
    <t>SOUDAN DU SUD</t>
  </si>
  <si>
    <t>SRI LANKA</t>
  </si>
  <si>
    <t>SUEDE</t>
  </si>
  <si>
    <t>SUISSE</t>
  </si>
  <si>
    <t>SURINAME</t>
  </si>
  <si>
    <t>SWAZILAND</t>
  </si>
  <si>
    <t>SYRIE</t>
  </si>
  <si>
    <t>TADJIKISTAN</t>
  </si>
  <si>
    <t>TAIWAN</t>
  </si>
  <si>
    <t>TANZANIE</t>
  </si>
  <si>
    <t>TCHAD</t>
  </si>
  <si>
    <t>TCHEQUE (République)</t>
  </si>
  <si>
    <t>TERRITOIRES PALESTINIENS</t>
  </si>
  <si>
    <t>THAÏLANDE</t>
  </si>
  <si>
    <t>TIMOR ORIENTAL</t>
  </si>
  <si>
    <t>TOGO</t>
  </si>
  <si>
    <t>TOKELAU</t>
  </si>
  <si>
    <t>TONGA (Iles)</t>
  </si>
  <si>
    <t>TRINITE-ET-TOBAGO</t>
  </si>
  <si>
    <t>TUNISIE</t>
  </si>
  <si>
    <t>TURKMENISTAN</t>
  </si>
  <si>
    <t>TURKS ET CAICOS</t>
  </si>
  <si>
    <t>TURQUIE</t>
  </si>
  <si>
    <t>TUVALU</t>
  </si>
  <si>
    <t>UKRAINE</t>
  </si>
  <si>
    <t>URUGUAY</t>
  </si>
  <si>
    <t>VANUATU</t>
  </si>
  <si>
    <t>VENEZUELA</t>
  </si>
  <si>
    <t>VIETNAM</t>
  </si>
  <si>
    <t>WALLIS-ET-FUTUNA</t>
  </si>
  <si>
    <t>YEMEN</t>
  </si>
  <si>
    <t>ZAMBIE</t>
  </si>
  <si>
    <t>ZIMBABWE</t>
  </si>
  <si>
    <t>Livrer à :</t>
  </si>
  <si>
    <t>BP :</t>
  </si>
  <si>
    <t>Tél :</t>
  </si>
  <si>
    <t>Mail :</t>
  </si>
  <si>
    <t>Nom :</t>
  </si>
  <si>
    <t>Adresse :</t>
  </si>
  <si>
    <t>Le numéro suivant doit apparaitre sur toute la correspondance annexe, les papiers de livraison et les facture.</t>
  </si>
  <si>
    <t>N°</t>
  </si>
  <si>
    <t>Tax</t>
  </si>
  <si>
    <t>Condition</t>
  </si>
  <si>
    <t>BON DE COMMANDE :</t>
  </si>
  <si>
    <t>PRO - FORMA :</t>
  </si>
  <si>
    <t>Délai de validité : (1mois)</t>
  </si>
  <si>
    <t>TVA (19,26%)</t>
  </si>
  <si>
    <t>Log de Connection</t>
  </si>
  <si>
    <t>User</t>
  </si>
  <si>
    <t>Password</t>
  </si>
  <si>
    <t>Role</t>
  </si>
  <si>
    <t>Widget</t>
  </si>
  <si>
    <t>Article en Commande</t>
  </si>
  <si>
    <t>Article Critiques</t>
  </si>
  <si>
    <t>Nombre d'Article en Stock</t>
  </si>
  <si>
    <t>Volume du Stock</t>
  </si>
  <si>
    <t>Top 3 Article vendus</t>
  </si>
  <si>
    <t>Type</t>
  </si>
  <si>
    <t>Réf Article</t>
  </si>
  <si>
    <t>Statut</t>
  </si>
  <si>
    <t>ORDER - 0002</t>
  </si>
  <si>
    <t>ID Facture</t>
  </si>
  <si>
    <t>FACTURE N°0002</t>
  </si>
  <si>
    <t>Bonjour, Ravie de te revoir</t>
  </si>
  <si>
    <t>Sortie</t>
  </si>
  <si>
    <t>BON DE SORTIE N°</t>
  </si>
  <si>
    <t xml:space="preserve"> </t>
  </si>
  <si>
    <t xml:space="preserve">  </t>
  </si>
  <si>
    <t>Classement</t>
  </si>
  <si>
    <t>Control</t>
  </si>
  <si>
    <t>ID Article</t>
  </si>
  <si>
    <t>Alerte</t>
  </si>
  <si>
    <t>Date Limite</t>
  </si>
  <si>
    <t>Status</t>
  </si>
  <si>
    <t>Référence Transaction</t>
  </si>
  <si>
    <t>Nom Fournisseur / Client (Responsable)</t>
  </si>
  <si>
    <t>Entrée</t>
  </si>
  <si>
    <t>BON D'ENTREE N°</t>
  </si>
  <si>
    <t>Coursier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</si>
</sst>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[$-40C]d\ mmmm\ yyyy;@"/>
    <numFmt numFmtId="165" formatCode="#,##0\ [$XAF]"/>
    <numFmt numFmtId="166" formatCode="0#&quot; &quot;##&quot; &quot;##&quot; &quot;##&quot; &quot;##"/>
    <numFmt numFmtId="167" formatCode="[$-409]d/m/yy\ h:mm\ AM/PM;@"/>
    <numFmt numFmtId="168" formatCode="[$(+237)]\ #&quot; &quot;00&quot; &quot;00&quot; &quot;00"/>
    <numFmt numFmtId="169" formatCode="#,##0\ [$FCFA]"/>
    <numFmt numFmtId="170" formatCode="#&quot; &quot;00&quot; &quot;00&quot; &quot;00"/>
    <numFmt numFmtId="171" formatCode="[$Douala le -40C]d\ mmmm\ yyyy;@"/>
    <numFmt numFmtId="172" formatCode="#,##0\ [$FCFA-2C0C]"/>
  </numFmts>
  <fonts count="27">
    <font>
      <sz val="11"/>
      <color theme="1"/>
      <name val="Calibri"/>
      <family val="2"/>
      <scheme val="minor"/>
    </font>
    <font>
      <sz val="11"/>
      <color theme="1"/>
      <name val="Gill Sans MT"/>
      <family val="2"/>
    </font>
    <font>
      <u/>
      <sz val="11"/>
      <color theme="10"/>
      <name val="Calibri"/>
      <family val="2"/>
      <scheme val="minor"/>
    </font>
    <font>
      <sz val="11"/>
      <color theme="1"/>
      <name val="Fortheenas_01 Bold"/>
    </font>
    <font>
      <sz val="10"/>
      <color theme="1"/>
      <name val="Fortheenas_01 Bold"/>
    </font>
    <font>
      <b/>
      <sz val="10"/>
      <name val="Fortheenas_01 Bold"/>
    </font>
    <font>
      <sz val="12"/>
      <color theme="1"/>
      <name val="AmpleSoft Pro Regular"/>
      <family val="3"/>
    </font>
    <font>
      <u/>
      <sz val="12"/>
      <color theme="10"/>
      <name val="AmpleSoft Pro Regular"/>
      <family val="3"/>
    </font>
    <font>
      <sz val="12"/>
      <name val="AmpleSoft Pro Medium"/>
      <family val="3"/>
    </font>
    <font>
      <sz val="10"/>
      <color theme="1"/>
      <name val="AmpleSoft Pro Regular"/>
      <family val="3"/>
    </font>
    <font>
      <sz val="11"/>
      <color theme="1"/>
      <name val="AmpleSoft Pro Regular"/>
      <family val="3"/>
    </font>
    <font>
      <sz val="36"/>
      <color theme="1"/>
      <name val="AmpleSoft Pro Medium"/>
      <family val="3"/>
    </font>
    <font>
      <i/>
      <sz val="11"/>
      <color theme="1"/>
      <name val="AmpleSoft Pro Regular"/>
      <family val="3"/>
    </font>
    <font>
      <u/>
      <sz val="11"/>
      <color theme="10"/>
      <name val="AmpleSoft Pro Regular"/>
      <family val="3"/>
    </font>
    <font>
      <b/>
      <sz val="11"/>
      <color theme="0"/>
      <name val="AmpleSoft Pro Regular"/>
      <family val="3"/>
    </font>
    <font>
      <sz val="11"/>
      <name val="Fortheenas_01 Bold"/>
    </font>
    <font>
      <i/>
      <sz val="11"/>
      <color theme="1"/>
      <name val="Fortheenas_01 Bold"/>
    </font>
    <font>
      <sz val="11"/>
      <name val="AmpleSoft Pro Regular"/>
      <family val="3"/>
    </font>
    <font>
      <sz val="11"/>
      <color theme="0"/>
      <name val="Fortheenas_01 Bold"/>
    </font>
    <font>
      <b/>
      <sz val="11"/>
      <color theme="1"/>
      <name val="AmpleSoft Pro Regular"/>
      <family val="3"/>
    </font>
    <font>
      <u/>
      <sz val="11"/>
      <color theme="1"/>
      <name val="AmpleSoft Pro Medium"/>
      <family val="3"/>
    </font>
    <font>
      <u/>
      <sz val="11"/>
      <color theme="1"/>
      <name val="AmpleSoft Pro Regular"/>
      <family val="3"/>
    </font>
    <font>
      <u/>
      <sz val="12"/>
      <color theme="1"/>
      <name val="AmpleSoft Pro Medium"/>
      <family val="3"/>
    </font>
    <font>
      <b/>
      <u/>
      <sz val="11"/>
      <color theme="1"/>
      <name val="AmpleSoft Pro Regular"/>
      <family val="3"/>
    </font>
    <font>
      <u/>
      <sz val="11"/>
      <color theme="1"/>
      <name val="Linowrite"/>
      <family val="1"/>
    </font>
    <font>
      <sz val="11"/>
      <color theme="0"/>
      <name val="AmpleSoft Pro Regular"/>
      <family val="3"/>
    </font>
    <font>
      <sz val="10"/>
      <color theme="1"/>
      <name val="Gill Sans MT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7" fontId="1" fillId="0" borderId="0" xfId="0" applyNumberFormat="1" applyFont="1" applyAlignment="1">
      <alignment vertical="center"/>
    </xf>
    <xf numFmtId="0" fontId="0" fillId="8" borderId="0" xfId="0" applyFill="1"/>
    <xf numFmtId="0" fontId="0" fillId="8" borderId="0" xfId="0" applyFill="1" applyAlignment="1">
      <alignment horizontal="center" vertical="top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7" borderId="1" xfId="0" applyFont="1" applyFill="1" applyBorder="1" applyAlignment="1">
      <alignment horizontal="right" vertical="center"/>
    </xf>
    <xf numFmtId="0" fontId="6" fillId="6" borderId="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10" borderId="11" xfId="0" applyFont="1" applyFill="1" applyBorder="1" applyAlignment="1">
      <alignment horizontal="center" vertical="center"/>
    </xf>
    <xf numFmtId="0" fontId="10" fillId="10" borderId="12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3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165" fontId="6" fillId="2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right" vertical="center"/>
    </xf>
    <xf numFmtId="0" fontId="10" fillId="0" borderId="0" xfId="0" applyFont="1"/>
    <xf numFmtId="0" fontId="14" fillId="0" borderId="0" xfId="0" applyNumberFormat="1" applyFont="1" applyAlignment="1">
      <alignment horizontal="center" vertical="center"/>
    </xf>
    <xf numFmtId="0" fontId="15" fillId="5" borderId="0" xfId="0" applyFont="1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170" fontId="10" fillId="0" borderId="0" xfId="0" applyNumberFormat="1" applyFont="1" applyAlignment="1">
      <alignment horizontal="center" vertical="center"/>
    </xf>
    <xf numFmtId="0" fontId="10" fillId="0" borderId="0" xfId="0" applyNumberFormat="1" applyFont="1" applyAlignment="1">
      <alignment horizontal="center" vertical="center"/>
    </xf>
    <xf numFmtId="166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165" fontId="10" fillId="0" borderId="0" xfId="0" applyNumberFormat="1" applyFont="1" applyAlignment="1">
      <alignment horizontal="center" vertical="center"/>
    </xf>
    <xf numFmtId="0" fontId="17" fillId="5" borderId="0" xfId="0" applyFont="1" applyFill="1" applyAlignment="1">
      <alignment horizontal="center" vertical="center"/>
    </xf>
    <xf numFmtId="165" fontId="10" fillId="10" borderId="12" xfId="0" applyNumberFormat="1" applyFont="1" applyFill="1" applyBorder="1" applyAlignment="1">
      <alignment horizontal="center" vertical="center"/>
    </xf>
    <xf numFmtId="22" fontId="10" fillId="0" borderId="0" xfId="0" applyNumberFormat="1" applyFont="1" applyAlignment="1">
      <alignment horizontal="center" vertical="center"/>
    </xf>
    <xf numFmtId="0" fontId="18" fillId="9" borderId="8" xfId="0" applyFont="1" applyFill="1" applyBorder="1" applyAlignment="1">
      <alignment horizontal="center" vertical="center"/>
    </xf>
    <xf numFmtId="0" fontId="18" fillId="9" borderId="9" xfId="0" applyFont="1" applyFill="1" applyBorder="1" applyAlignment="1">
      <alignment horizontal="center" vertical="center"/>
    </xf>
    <xf numFmtId="0" fontId="18" fillId="9" borderId="10" xfId="0" applyFont="1" applyFill="1" applyBorder="1" applyAlignment="1">
      <alignment horizontal="center" vertical="center"/>
    </xf>
    <xf numFmtId="22" fontId="10" fillId="10" borderId="12" xfId="0" applyNumberFormat="1" applyFont="1" applyFill="1" applyBorder="1" applyAlignment="1">
      <alignment horizontal="center" vertical="center"/>
    </xf>
    <xf numFmtId="165" fontId="10" fillId="10" borderId="13" xfId="0" applyNumberFormat="1" applyFont="1" applyFill="1" applyBorder="1" applyAlignment="1">
      <alignment horizontal="center" vertical="center"/>
    </xf>
    <xf numFmtId="0" fontId="3" fillId="0" borderId="0" xfId="0" applyFont="1"/>
    <xf numFmtId="0" fontId="10" fillId="0" borderId="0" xfId="0" applyFont="1" applyAlignment="1">
      <alignment horizontal="right" vertical="center"/>
    </xf>
    <xf numFmtId="165" fontId="19" fillId="3" borderId="0" xfId="0" applyNumberFormat="1" applyFont="1" applyFill="1" applyAlignment="1">
      <alignment vertical="center"/>
    </xf>
    <xf numFmtId="165" fontId="10" fillId="2" borderId="0" xfId="0" applyNumberFormat="1" applyFont="1" applyFill="1" applyAlignment="1">
      <alignment vertical="center"/>
    </xf>
    <xf numFmtId="165" fontId="19" fillId="4" borderId="0" xfId="0" applyNumberFormat="1" applyFont="1" applyFill="1" applyAlignment="1">
      <alignment vertical="center"/>
    </xf>
    <xf numFmtId="164" fontId="10" fillId="0" borderId="0" xfId="0" applyNumberFormat="1" applyFont="1" applyAlignment="1">
      <alignment horizontal="left" vertical="center"/>
    </xf>
    <xf numFmtId="0" fontId="21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164" fontId="6" fillId="0" borderId="0" xfId="0" applyNumberFormat="1" applyFont="1" applyAlignment="1">
      <alignment horizontal="left" vertical="center"/>
    </xf>
    <xf numFmtId="169" fontId="10" fillId="2" borderId="0" xfId="0" applyNumberFormat="1" applyFont="1" applyFill="1" applyAlignment="1">
      <alignment horizontal="right" vertical="center"/>
    </xf>
    <xf numFmtId="169" fontId="19" fillId="4" borderId="0" xfId="0" applyNumberFormat="1" applyFont="1" applyFill="1" applyAlignment="1">
      <alignment horizontal="right" vertical="center"/>
    </xf>
    <xf numFmtId="169" fontId="19" fillId="2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23" fillId="0" borderId="0" xfId="0" applyFont="1" applyAlignment="1">
      <alignment vertical="center"/>
    </xf>
    <xf numFmtId="0" fontId="10" fillId="4" borderId="5" xfId="0" applyFont="1" applyFill="1" applyBorder="1" applyAlignment="1">
      <alignment vertical="center"/>
    </xf>
    <xf numFmtId="0" fontId="10" fillId="0" borderId="5" xfId="0" applyFont="1" applyBorder="1" applyAlignment="1">
      <alignment horizontal="center" vertical="center"/>
    </xf>
    <xf numFmtId="165" fontId="10" fillId="3" borderId="0" xfId="0" applyNumberFormat="1" applyFont="1" applyFill="1" applyAlignment="1">
      <alignment horizontal="right" vertical="center"/>
    </xf>
    <xf numFmtId="165" fontId="19" fillId="4" borderId="0" xfId="0" applyNumberFormat="1" applyFont="1" applyFill="1" applyAlignment="1">
      <alignment horizontal="right" vertical="center"/>
    </xf>
    <xf numFmtId="165" fontId="19" fillId="2" borderId="0" xfId="0" applyNumberFormat="1" applyFont="1" applyFill="1" applyAlignment="1">
      <alignment horizontal="right" vertical="center"/>
    </xf>
    <xf numFmtId="0" fontId="25" fillId="0" borderId="0" xfId="0" applyFont="1" applyAlignment="1">
      <alignment horizontal="center" vertical="center"/>
    </xf>
    <xf numFmtId="0" fontId="10" fillId="10" borderId="14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21" fillId="0" borderId="0" xfId="0" applyFont="1" applyAlignment="1">
      <alignment horizontal="right" vertical="center"/>
    </xf>
    <xf numFmtId="0" fontId="24" fillId="0" borderId="0" xfId="0" applyFont="1" applyAlignment="1">
      <alignment horizontal="center" vertical="center" wrapText="1"/>
    </xf>
    <xf numFmtId="164" fontId="10" fillId="0" borderId="0" xfId="0" applyNumberFormat="1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172" fontId="10" fillId="0" borderId="0" xfId="0" applyNumberFormat="1" applyFont="1" applyAlignment="1">
      <alignment horizontal="center" vertical="center"/>
    </xf>
    <xf numFmtId="0" fontId="11" fillId="8" borderId="0" xfId="0" applyFont="1" applyFill="1" applyAlignment="1">
      <alignment horizontal="center" vertical="center"/>
    </xf>
    <xf numFmtId="0" fontId="0" fillId="8" borderId="0" xfId="0" applyFont="1" applyFill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right" vertical="center"/>
    </xf>
    <xf numFmtId="171" fontId="6" fillId="0" borderId="0" xfId="0" applyNumberFormat="1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170" fontId="10" fillId="0" borderId="0" xfId="0" applyNumberFormat="1" applyFont="1" applyAlignment="1">
      <alignment horizontal="left" vertical="center"/>
    </xf>
    <xf numFmtId="164" fontId="10" fillId="0" borderId="0" xfId="0" applyNumberFormat="1" applyFont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68" fontId="10" fillId="0" borderId="0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7" fillId="6" borderId="3" xfId="1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18">
    <dxf>
      <fill>
        <patternFill>
          <bgColor theme="9" tint="0.39994506668294322"/>
        </patternFill>
      </fill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numFmt numFmtId="165" formatCode="#,##0\ [$XAF]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numFmt numFmtId="165" formatCode="#,##0\ [$XAF]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ortheenas_01 Bold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ortheenas_01 Bold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ortheenas_01 Bold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ortheenas_01 Bold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ortheenas_01 Bold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ortheenas_01 Bold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ortheenas_01 Bold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ortheenas_01 Bold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ortheenas_01 Bold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ortheenas_01 Bold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numFmt numFmtId="172" formatCode="#,##0\ [$FCFA-2C0C]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numFmt numFmtId="172" formatCode="#,##0\ [$FCFA-2C0C]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ortheenas_01 Bold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ortheenas_01 Bold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numFmt numFmtId="165" formatCode="#,##0\ [$XAF]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numFmt numFmtId="165" formatCode="#,##0\ [$XAF]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numFmt numFmtId="27" formatCode="dd/mm/yyyy\ hh:mm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numFmt numFmtId="27" formatCode="dd/mm/yyyy\ hh:mm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/>
      </border>
    </dxf>
    <dxf>
      <border outline="0">
        <top style="thin">
          <color theme="0"/>
        </top>
      </border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</dxf>
    <dxf>
      <border outline="0"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Fortheenas_01 Bold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numFmt numFmtId="165" formatCode="#,##0\ [$XAF]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numFmt numFmtId="165" formatCode="#,##0\ [$XAF]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ortheenas_01 Bold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mpleSoft Pro Regular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mpleSoft Pro Regular"/>
        <scheme val="none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mpleSoft Pro Regular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ortheenas_01 Bold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i val="0"/>
        <strike val="0"/>
        <outline val="0"/>
        <shadow val="0"/>
        <u/>
        <vertAlign val="baseline"/>
        <sz val="11"/>
        <color theme="10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numFmt numFmtId="166" formatCode="0#&quot; &quot;##&quot; &quot;##&quot; &quot;##&quot; &quot;##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ortheenas_01 Bold"/>
        <scheme val="none"/>
      </font>
      <alignment horizontal="center" vertical="center" textRotation="0" wrapText="0" indent="0" justifyLastLine="0" shrinkToFit="0" readingOrder="0"/>
    </dxf>
    <dxf>
      <font>
        <i val="0"/>
        <strike val="0"/>
        <outline val="0"/>
        <shadow val="0"/>
        <vertAlign val="baseline"/>
        <sz val="1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numFmt numFmtId="170" formatCode="#&quot; &quot;00&quot; &quot;00&quot; &quot;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i val="0"/>
        <strike val="0"/>
        <outline val="0"/>
        <shadow val="0"/>
        <vertAlign val="baseline"/>
        <sz val="1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numFmt numFmtId="170" formatCode="#&quot; &quot;00&quot; &quot;00&quot; &quot;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pleSoft Pro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ortheenas_01 Bold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295275</xdr:colOff>
      <xdr:row>4</xdr:row>
      <xdr:rowOff>161924</xdr:rowOff>
    </xdr:from>
    <xdr:to>
      <xdr:col>9</xdr:col>
      <xdr:colOff>714375</xdr:colOff>
      <xdr:row>35</xdr:row>
      <xdr:rowOff>152399</xdr:rowOff>
    </xdr:to>
    <xdr:sp macro="" textlink="">
      <xdr:nvSpPr>
        <xdr:cNvPr id="15" name="Rectangle à coins arrondis 14"/>
        <xdr:cNvSpPr/>
      </xdr:nvSpPr>
      <xdr:spPr>
        <a:xfrm>
          <a:off x="4105275" y="1057274"/>
          <a:ext cx="3467100" cy="5895975"/>
        </a:xfrm>
        <a:prstGeom prst="roundRect">
          <a:avLst/>
        </a:prstGeom>
        <a:solidFill>
          <a:schemeClr val="accent5">
            <a:lumMod val="50000"/>
          </a:schemeClr>
        </a:solidFill>
        <a:ln/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352425</xdr:colOff>
      <xdr:row>4</xdr:row>
      <xdr:rowOff>161924</xdr:rowOff>
    </xdr:from>
    <xdr:to>
      <xdr:col>15</xdr:col>
      <xdr:colOff>9525</xdr:colOff>
      <xdr:row>35</xdr:row>
      <xdr:rowOff>152399</xdr:rowOff>
    </xdr:to>
    <xdr:sp macro="" textlink="">
      <xdr:nvSpPr>
        <xdr:cNvPr id="16" name="Rectangle à coins arrondis 15"/>
        <xdr:cNvSpPr/>
      </xdr:nvSpPr>
      <xdr:spPr>
        <a:xfrm>
          <a:off x="7972425" y="1057274"/>
          <a:ext cx="3467100" cy="5895975"/>
        </a:xfrm>
        <a:prstGeom prst="roundRect">
          <a:avLst/>
        </a:prstGeom>
        <a:solidFill>
          <a:schemeClr val="accent5">
            <a:lumMod val="50000"/>
          </a:schemeClr>
        </a:solidFill>
        <a:ln/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371475</xdr:colOff>
      <xdr:row>4</xdr:row>
      <xdr:rowOff>161924</xdr:rowOff>
    </xdr:from>
    <xdr:to>
      <xdr:col>20</xdr:col>
      <xdr:colOff>28575</xdr:colOff>
      <xdr:row>35</xdr:row>
      <xdr:rowOff>152399</xdr:rowOff>
    </xdr:to>
    <xdr:sp macro="" textlink="">
      <xdr:nvSpPr>
        <xdr:cNvPr id="18" name="Rectangle à coins arrondis 17"/>
        <xdr:cNvSpPr/>
      </xdr:nvSpPr>
      <xdr:spPr>
        <a:xfrm>
          <a:off x="11801475" y="1057274"/>
          <a:ext cx="3467100" cy="5895975"/>
        </a:xfrm>
        <a:prstGeom prst="roundRect">
          <a:avLst/>
        </a:prstGeom>
        <a:solidFill>
          <a:schemeClr val="accent5">
            <a:lumMod val="50000"/>
          </a:schemeClr>
        </a:solidFill>
        <a:ln/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314325</xdr:colOff>
      <xdr:row>4</xdr:row>
      <xdr:rowOff>161924</xdr:rowOff>
    </xdr:from>
    <xdr:to>
      <xdr:col>4</xdr:col>
      <xdr:colOff>733425</xdr:colOff>
      <xdr:row>35</xdr:row>
      <xdr:rowOff>152399</xdr:rowOff>
    </xdr:to>
    <xdr:sp macro="" textlink="">
      <xdr:nvSpPr>
        <xdr:cNvPr id="2" name="Rectangle à coins arrondis 1"/>
        <xdr:cNvSpPr/>
      </xdr:nvSpPr>
      <xdr:spPr>
        <a:xfrm>
          <a:off x="314325" y="1057274"/>
          <a:ext cx="3467100" cy="5895975"/>
        </a:xfrm>
        <a:prstGeom prst="roundRect">
          <a:avLst/>
        </a:prstGeom>
        <a:solidFill>
          <a:schemeClr val="accent5">
            <a:lumMod val="50000"/>
          </a:schemeClr>
        </a:solidFill>
        <a:ln/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476249</xdr:colOff>
      <xdr:row>19</xdr:row>
      <xdr:rowOff>180975</xdr:rowOff>
    </xdr:from>
    <xdr:to>
      <xdr:col>9</xdr:col>
      <xdr:colOff>533400</xdr:colOff>
      <xdr:row>23</xdr:row>
      <xdr:rowOff>38100</xdr:rowOff>
    </xdr:to>
    <xdr:sp macro="[0]!facturer" textlink="">
      <xdr:nvSpPr>
        <xdr:cNvPr id="17" name="Rectangle à coins arrondis 16"/>
        <xdr:cNvSpPr/>
      </xdr:nvSpPr>
      <xdr:spPr>
        <a:xfrm>
          <a:off x="4286249" y="3800475"/>
          <a:ext cx="3105151" cy="619125"/>
        </a:xfrm>
        <a:prstGeom prst="roundRect">
          <a:avLst/>
        </a:prstGeom>
        <a:effectLst/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>
              <a:latin typeface="AmpleSoft Pro Regular" panose="02000000000000000000" pitchFamily="50" charset="0"/>
            </a:rPr>
            <a:t>FACTURER</a:t>
          </a:r>
        </a:p>
      </xdr:txBody>
    </xdr:sp>
    <xdr:clientData/>
  </xdr:twoCellAnchor>
  <xdr:twoCellAnchor>
    <xdr:from>
      <xdr:col>0</xdr:col>
      <xdr:colOff>495299</xdr:colOff>
      <xdr:row>19</xdr:row>
      <xdr:rowOff>180975</xdr:rowOff>
    </xdr:from>
    <xdr:to>
      <xdr:col>4</xdr:col>
      <xdr:colOff>552450</xdr:colOff>
      <xdr:row>23</xdr:row>
      <xdr:rowOff>57150</xdr:rowOff>
    </xdr:to>
    <xdr:sp macro="[0]!faire_une_commande" textlink="">
      <xdr:nvSpPr>
        <xdr:cNvPr id="19" name="Rectangle à coins arrondis 18"/>
        <xdr:cNvSpPr/>
      </xdr:nvSpPr>
      <xdr:spPr>
        <a:xfrm>
          <a:off x="495299" y="3800475"/>
          <a:ext cx="3105151" cy="638175"/>
        </a:xfrm>
        <a:prstGeom prst="roundRect">
          <a:avLst/>
        </a:prstGeom>
        <a:effectLst/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>
              <a:latin typeface="AmpleSoft Pro Regular" panose="02000000000000000000" pitchFamily="50" charset="0"/>
            </a:rPr>
            <a:t>COMMANDER</a:t>
          </a:r>
        </a:p>
      </xdr:txBody>
    </xdr:sp>
    <xdr:clientData/>
  </xdr:twoCellAnchor>
  <xdr:twoCellAnchor>
    <xdr:from>
      <xdr:col>15</xdr:col>
      <xdr:colOff>561974</xdr:colOff>
      <xdr:row>7</xdr:row>
      <xdr:rowOff>28575</xdr:rowOff>
    </xdr:from>
    <xdr:to>
      <xdr:col>19</xdr:col>
      <xdr:colOff>619125</xdr:colOff>
      <xdr:row>10</xdr:row>
      <xdr:rowOff>95250</xdr:rowOff>
    </xdr:to>
    <xdr:sp macro="" textlink="">
      <xdr:nvSpPr>
        <xdr:cNvPr id="20" name="Rectangle à coins arrondis 19"/>
        <xdr:cNvSpPr/>
      </xdr:nvSpPr>
      <xdr:spPr>
        <a:xfrm>
          <a:off x="11991974" y="1362075"/>
          <a:ext cx="3105151" cy="638175"/>
        </a:xfrm>
        <a:prstGeom prst="roundRect">
          <a:avLst/>
        </a:prstGeom>
        <a:effectLst/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>
              <a:latin typeface="AmpleSoft Pro Regular" panose="02000000000000000000" pitchFamily="50" charset="0"/>
            </a:rPr>
            <a:t>DEVIS</a:t>
          </a:r>
        </a:p>
      </xdr:txBody>
    </xdr:sp>
    <xdr:clientData/>
  </xdr:twoCellAnchor>
  <xdr:twoCellAnchor>
    <xdr:from>
      <xdr:col>10</xdr:col>
      <xdr:colOff>533399</xdr:colOff>
      <xdr:row>7</xdr:row>
      <xdr:rowOff>47624</xdr:rowOff>
    </xdr:from>
    <xdr:to>
      <xdr:col>14</xdr:col>
      <xdr:colOff>590550</xdr:colOff>
      <xdr:row>13</xdr:row>
      <xdr:rowOff>19049</xdr:rowOff>
    </xdr:to>
    <xdr:sp macro="[0]!add_fourniseur" textlink="">
      <xdr:nvSpPr>
        <xdr:cNvPr id="21" name="Rectangle à coins arrondis 20"/>
        <xdr:cNvSpPr/>
      </xdr:nvSpPr>
      <xdr:spPr>
        <a:xfrm>
          <a:off x="8153399" y="1381124"/>
          <a:ext cx="3105151" cy="1114425"/>
        </a:xfrm>
        <a:prstGeom prst="roundRect">
          <a:avLst/>
        </a:prstGeom>
        <a:effectLst/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>
              <a:latin typeface="AmpleSoft Pro Regular" panose="02000000000000000000" pitchFamily="50" charset="0"/>
            </a:rPr>
            <a:t>AJOUTER</a:t>
          </a:r>
          <a:r>
            <a:rPr lang="en-US" sz="2800" baseline="0">
              <a:latin typeface="AmpleSoft Pro Regular" panose="02000000000000000000" pitchFamily="50" charset="0"/>
            </a:rPr>
            <a:t> UN</a:t>
          </a:r>
        </a:p>
        <a:p>
          <a:pPr algn="ctr"/>
          <a:r>
            <a:rPr lang="en-US" sz="2800" baseline="0">
              <a:latin typeface="AmpleSoft Pro Regular" panose="02000000000000000000" pitchFamily="50" charset="0"/>
            </a:rPr>
            <a:t>FOURNISSEUR</a:t>
          </a:r>
          <a:endParaRPr lang="en-US" sz="2800">
            <a:latin typeface="AmpleSoft Pro Regular" panose="02000000000000000000" pitchFamily="50" charset="0"/>
          </a:endParaRPr>
        </a:p>
      </xdr:txBody>
    </xdr:sp>
    <xdr:clientData/>
  </xdr:twoCellAnchor>
  <xdr:twoCellAnchor>
    <xdr:from>
      <xdr:col>10</xdr:col>
      <xdr:colOff>542924</xdr:colOff>
      <xdr:row>13</xdr:row>
      <xdr:rowOff>114299</xdr:rowOff>
    </xdr:from>
    <xdr:to>
      <xdr:col>14</xdr:col>
      <xdr:colOff>600075</xdr:colOff>
      <xdr:row>19</xdr:row>
      <xdr:rowOff>85724</xdr:rowOff>
    </xdr:to>
    <xdr:sp macro="[0]!Print_Suppler_List" textlink="">
      <xdr:nvSpPr>
        <xdr:cNvPr id="22" name="Rectangle à coins arrondis 21"/>
        <xdr:cNvSpPr/>
      </xdr:nvSpPr>
      <xdr:spPr>
        <a:xfrm>
          <a:off x="8162924" y="2590799"/>
          <a:ext cx="3105151" cy="1114425"/>
        </a:xfrm>
        <a:prstGeom prst="roundRect">
          <a:avLst/>
        </a:prstGeom>
        <a:effectLst/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>
              <a:latin typeface="AmpleSoft Pro Regular" panose="02000000000000000000" pitchFamily="50" charset="0"/>
            </a:rPr>
            <a:t>LA LISTE DES</a:t>
          </a:r>
          <a:endParaRPr lang="en-US" sz="2800" baseline="0">
            <a:latin typeface="AmpleSoft Pro Regular" panose="02000000000000000000" pitchFamily="50" charset="0"/>
          </a:endParaRPr>
        </a:p>
        <a:p>
          <a:pPr algn="ctr"/>
          <a:r>
            <a:rPr lang="en-US" sz="2800" baseline="0">
              <a:latin typeface="AmpleSoft Pro Regular" panose="02000000000000000000" pitchFamily="50" charset="0"/>
            </a:rPr>
            <a:t>FOURNISSEURS</a:t>
          </a:r>
          <a:endParaRPr lang="en-US" sz="2800">
            <a:latin typeface="AmpleSoft Pro Regular" panose="02000000000000000000" pitchFamily="50" charset="0"/>
          </a:endParaRPr>
        </a:p>
      </xdr:txBody>
    </xdr:sp>
    <xdr:clientData/>
  </xdr:twoCellAnchor>
  <xdr:twoCellAnchor>
    <xdr:from>
      <xdr:col>5</xdr:col>
      <xdr:colOff>476249</xdr:colOff>
      <xdr:row>13</xdr:row>
      <xdr:rowOff>114299</xdr:rowOff>
    </xdr:from>
    <xdr:to>
      <xdr:col>9</xdr:col>
      <xdr:colOff>533400</xdr:colOff>
      <xdr:row>19</xdr:row>
      <xdr:rowOff>85724</xdr:rowOff>
    </xdr:to>
    <xdr:sp macro="[0]!Print_Customer_List" textlink="">
      <xdr:nvSpPr>
        <xdr:cNvPr id="23" name="Rectangle à coins arrondis 22"/>
        <xdr:cNvSpPr/>
      </xdr:nvSpPr>
      <xdr:spPr>
        <a:xfrm>
          <a:off x="4286249" y="2590799"/>
          <a:ext cx="3105151" cy="1114425"/>
        </a:xfrm>
        <a:prstGeom prst="roundRect">
          <a:avLst/>
        </a:prstGeom>
        <a:effectLst/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>
              <a:latin typeface="AmpleSoft Pro Regular" panose="02000000000000000000" pitchFamily="50" charset="0"/>
            </a:rPr>
            <a:t>LA LISTE DES</a:t>
          </a:r>
          <a:endParaRPr lang="en-US" sz="2800" baseline="0">
            <a:latin typeface="AmpleSoft Pro Regular" panose="02000000000000000000" pitchFamily="50" charset="0"/>
          </a:endParaRPr>
        </a:p>
        <a:p>
          <a:pPr algn="ctr"/>
          <a:r>
            <a:rPr lang="en-US" sz="2800" baseline="0">
              <a:latin typeface="AmpleSoft Pro Regular" panose="02000000000000000000" pitchFamily="50" charset="0"/>
            </a:rPr>
            <a:t>CLIENTS</a:t>
          </a:r>
          <a:endParaRPr lang="en-US" sz="2800">
            <a:latin typeface="AmpleSoft Pro Regular" panose="02000000000000000000" pitchFamily="50" charset="0"/>
          </a:endParaRPr>
        </a:p>
      </xdr:txBody>
    </xdr:sp>
    <xdr:clientData/>
  </xdr:twoCellAnchor>
  <xdr:twoCellAnchor>
    <xdr:from>
      <xdr:col>5</xdr:col>
      <xdr:colOff>485774</xdr:colOff>
      <xdr:row>7</xdr:row>
      <xdr:rowOff>47624</xdr:rowOff>
    </xdr:from>
    <xdr:to>
      <xdr:col>9</xdr:col>
      <xdr:colOff>542925</xdr:colOff>
      <xdr:row>13</xdr:row>
      <xdr:rowOff>19049</xdr:rowOff>
    </xdr:to>
    <xdr:sp macro="[0]!add_client" textlink="">
      <xdr:nvSpPr>
        <xdr:cNvPr id="24" name="Rectangle à coins arrondis 23"/>
        <xdr:cNvSpPr/>
      </xdr:nvSpPr>
      <xdr:spPr>
        <a:xfrm>
          <a:off x="4295774" y="1381124"/>
          <a:ext cx="3105151" cy="1114425"/>
        </a:xfrm>
        <a:prstGeom prst="roundRect">
          <a:avLst/>
        </a:prstGeom>
        <a:effectLst/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>
              <a:latin typeface="AmpleSoft Pro Regular" panose="02000000000000000000" pitchFamily="50" charset="0"/>
            </a:rPr>
            <a:t>AJOUTER</a:t>
          </a:r>
          <a:r>
            <a:rPr lang="en-US" sz="2800" baseline="0">
              <a:latin typeface="AmpleSoft Pro Regular" panose="02000000000000000000" pitchFamily="50" charset="0"/>
            </a:rPr>
            <a:t> UN</a:t>
          </a:r>
        </a:p>
        <a:p>
          <a:pPr algn="ctr"/>
          <a:r>
            <a:rPr lang="en-US" sz="2800" baseline="0">
              <a:latin typeface="AmpleSoft Pro Regular" panose="02000000000000000000" pitchFamily="50" charset="0"/>
            </a:rPr>
            <a:t>CLIENT</a:t>
          </a:r>
          <a:endParaRPr lang="en-US" sz="2800">
            <a:latin typeface="AmpleSoft Pro Regular" panose="02000000000000000000" pitchFamily="50" charset="0"/>
          </a:endParaRPr>
        </a:p>
      </xdr:txBody>
    </xdr:sp>
    <xdr:clientData/>
  </xdr:twoCellAnchor>
  <xdr:twoCellAnchor>
    <xdr:from>
      <xdr:col>0</xdr:col>
      <xdr:colOff>495299</xdr:colOff>
      <xdr:row>7</xdr:row>
      <xdr:rowOff>38099</xdr:rowOff>
    </xdr:from>
    <xdr:to>
      <xdr:col>4</xdr:col>
      <xdr:colOff>552450</xdr:colOff>
      <xdr:row>13</xdr:row>
      <xdr:rowOff>9524</xdr:rowOff>
    </xdr:to>
    <xdr:sp macro="[0]!add_product" textlink="">
      <xdr:nvSpPr>
        <xdr:cNvPr id="28" name="Rectangle à coins arrondis 27"/>
        <xdr:cNvSpPr/>
      </xdr:nvSpPr>
      <xdr:spPr>
        <a:xfrm>
          <a:off x="495299" y="1371599"/>
          <a:ext cx="3105151" cy="1114425"/>
        </a:xfrm>
        <a:prstGeom prst="roundRect">
          <a:avLst/>
        </a:prstGeom>
        <a:effectLst/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>
              <a:latin typeface="AmpleSoft Pro Regular" panose="02000000000000000000" pitchFamily="50" charset="0"/>
            </a:rPr>
            <a:t>AJOUTER</a:t>
          </a:r>
          <a:r>
            <a:rPr lang="en-US" sz="2800" baseline="0">
              <a:latin typeface="AmpleSoft Pro Regular" panose="02000000000000000000" pitchFamily="50" charset="0"/>
            </a:rPr>
            <a:t> UN</a:t>
          </a:r>
        </a:p>
        <a:p>
          <a:pPr algn="ctr"/>
          <a:r>
            <a:rPr lang="en-US" sz="2800">
              <a:latin typeface="AmpleSoft Pro Regular" panose="02000000000000000000" pitchFamily="50" charset="0"/>
            </a:rPr>
            <a:t>ARTICLE</a:t>
          </a:r>
        </a:p>
      </xdr:txBody>
    </xdr:sp>
    <xdr:clientData/>
  </xdr:twoCellAnchor>
  <xdr:twoCellAnchor>
    <xdr:from>
      <xdr:col>0</xdr:col>
      <xdr:colOff>485774</xdr:colOff>
      <xdr:row>13</xdr:row>
      <xdr:rowOff>114299</xdr:rowOff>
    </xdr:from>
    <xdr:to>
      <xdr:col>4</xdr:col>
      <xdr:colOff>542925</xdr:colOff>
      <xdr:row>19</xdr:row>
      <xdr:rowOff>85724</xdr:rowOff>
    </xdr:to>
    <xdr:sp macro="[0]!Print_Stock_List" textlink="">
      <xdr:nvSpPr>
        <xdr:cNvPr id="29" name="Rectangle à coins arrondis 28"/>
        <xdr:cNvSpPr/>
      </xdr:nvSpPr>
      <xdr:spPr>
        <a:xfrm>
          <a:off x="485774" y="2590799"/>
          <a:ext cx="3105151" cy="1114425"/>
        </a:xfrm>
        <a:prstGeom prst="roundRect">
          <a:avLst/>
        </a:prstGeom>
        <a:effectLst/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>
              <a:latin typeface="AmpleSoft Pro Regular" panose="02000000000000000000" pitchFamily="50" charset="0"/>
            </a:rPr>
            <a:t>LA LISTE DES</a:t>
          </a:r>
          <a:endParaRPr lang="en-US" sz="2800" baseline="0">
            <a:latin typeface="AmpleSoft Pro Regular" panose="02000000000000000000" pitchFamily="50" charset="0"/>
          </a:endParaRPr>
        </a:p>
        <a:p>
          <a:pPr algn="ctr"/>
          <a:r>
            <a:rPr lang="en-US" sz="2800" baseline="0">
              <a:latin typeface="AmpleSoft Pro Regular" panose="02000000000000000000" pitchFamily="50" charset="0"/>
            </a:rPr>
            <a:t>ARTICLES</a:t>
          </a:r>
          <a:endParaRPr lang="en-US" sz="2800">
            <a:latin typeface="AmpleSoft Pro Regular" panose="02000000000000000000" pitchFamily="50" charset="0"/>
          </a:endParaRPr>
        </a:p>
      </xdr:txBody>
    </xdr:sp>
    <xdr:clientData/>
  </xdr:twoCellAnchor>
  <xdr:twoCellAnchor>
    <xdr:from>
      <xdr:col>0</xdr:col>
      <xdr:colOff>495299</xdr:colOff>
      <xdr:row>24</xdr:row>
      <xdr:rowOff>0</xdr:rowOff>
    </xdr:from>
    <xdr:to>
      <xdr:col>4</xdr:col>
      <xdr:colOff>552450</xdr:colOff>
      <xdr:row>27</xdr:row>
      <xdr:rowOff>66675</xdr:rowOff>
    </xdr:to>
    <xdr:sp macro="" textlink="">
      <xdr:nvSpPr>
        <xdr:cNvPr id="12" name="Rectangle à coins arrondis 11"/>
        <xdr:cNvSpPr/>
      </xdr:nvSpPr>
      <xdr:spPr>
        <a:xfrm>
          <a:off x="495299" y="4572000"/>
          <a:ext cx="3105151" cy="638175"/>
        </a:xfrm>
        <a:prstGeom prst="roundRect">
          <a:avLst/>
        </a:prstGeom>
        <a:effectLst/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>
              <a:latin typeface="AmpleSoft Pro Regular" panose="02000000000000000000" pitchFamily="50" charset="0"/>
            </a:rPr>
            <a:t>ENTREE</a:t>
          </a:r>
          <a:r>
            <a:rPr lang="en-US" sz="2800" baseline="0">
              <a:latin typeface="AmpleSoft Pro Regular" panose="02000000000000000000" pitchFamily="50" charset="0"/>
            </a:rPr>
            <a:t> DU STOCK</a:t>
          </a:r>
          <a:endParaRPr lang="en-US" sz="2800">
            <a:latin typeface="AmpleSoft Pro Regular" panose="02000000000000000000" pitchFamily="50" charset="0"/>
          </a:endParaRPr>
        </a:p>
      </xdr:txBody>
    </xdr:sp>
    <xdr:clientData/>
  </xdr:twoCellAnchor>
  <xdr:twoCellAnchor>
    <xdr:from>
      <xdr:col>0</xdr:col>
      <xdr:colOff>485774</xdr:colOff>
      <xdr:row>27</xdr:row>
      <xdr:rowOff>171450</xdr:rowOff>
    </xdr:from>
    <xdr:to>
      <xdr:col>4</xdr:col>
      <xdr:colOff>542925</xdr:colOff>
      <xdr:row>33</xdr:row>
      <xdr:rowOff>142875</xdr:rowOff>
    </xdr:to>
    <xdr:sp macro="[0]!Stock_Move" textlink="">
      <xdr:nvSpPr>
        <xdr:cNvPr id="13" name="Rectangle à coins arrondis 12"/>
        <xdr:cNvSpPr/>
      </xdr:nvSpPr>
      <xdr:spPr>
        <a:xfrm>
          <a:off x="485774" y="5314950"/>
          <a:ext cx="3105151" cy="1114425"/>
        </a:xfrm>
        <a:prstGeom prst="roundRect">
          <a:avLst/>
        </a:prstGeom>
        <a:effectLst/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>
              <a:latin typeface="AmpleSoft Pro Regular" panose="02000000000000000000" pitchFamily="50" charset="0"/>
            </a:rPr>
            <a:t>MOUVEMENT</a:t>
          </a:r>
          <a:r>
            <a:rPr lang="en-US" sz="2800" baseline="0">
              <a:latin typeface="AmpleSoft Pro Regular" panose="02000000000000000000" pitchFamily="50" charset="0"/>
            </a:rPr>
            <a:t> DU STOCK</a:t>
          </a:r>
          <a:endParaRPr lang="en-US" sz="2800">
            <a:latin typeface="AmpleSoft Pro Regular" panose="02000000000000000000" pitchFamily="50" charset="0"/>
          </a:endParaRPr>
        </a:p>
      </xdr:txBody>
    </xdr:sp>
    <xdr:clientData/>
  </xdr:twoCellAnchor>
  <xdr:twoCellAnchor>
    <xdr:from>
      <xdr:col>5</xdr:col>
      <xdr:colOff>476249</xdr:colOff>
      <xdr:row>24</xdr:row>
      <xdr:rowOff>0</xdr:rowOff>
    </xdr:from>
    <xdr:to>
      <xdr:col>9</xdr:col>
      <xdr:colOff>533400</xdr:colOff>
      <xdr:row>27</xdr:row>
      <xdr:rowOff>47625</xdr:rowOff>
    </xdr:to>
    <xdr:sp macro="[0]!Print_Last_Invoice" textlink="">
      <xdr:nvSpPr>
        <xdr:cNvPr id="25" name="Rectangle à coins arrondis 24"/>
        <xdr:cNvSpPr/>
      </xdr:nvSpPr>
      <xdr:spPr>
        <a:xfrm>
          <a:off x="4286249" y="4705350"/>
          <a:ext cx="3105151" cy="619125"/>
        </a:xfrm>
        <a:prstGeom prst="roundRect">
          <a:avLst/>
        </a:prstGeom>
        <a:effectLst/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>
              <a:latin typeface="AmpleSoft Pro Regular" panose="02000000000000000000" pitchFamily="50" charset="0"/>
            </a:rPr>
            <a:t>Dernière Facture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200026</xdr:colOff>
      <xdr:row>0</xdr:row>
      <xdr:rowOff>161924</xdr:rowOff>
    </xdr:from>
    <xdr:to>
      <xdr:col>10</xdr:col>
      <xdr:colOff>9525</xdr:colOff>
      <xdr:row>5</xdr:row>
      <xdr:rowOff>76199</xdr:rowOff>
    </xdr:to>
    <xdr:sp macro="" textlink="">
      <xdr:nvSpPr>
        <xdr:cNvPr id="2" name="Rectangle à coins arrondis 1"/>
        <xdr:cNvSpPr/>
      </xdr:nvSpPr>
      <xdr:spPr>
        <a:xfrm>
          <a:off x="200026" y="161924"/>
          <a:ext cx="14992349" cy="847725"/>
        </a:xfrm>
        <a:prstGeom prst="roundRect">
          <a:avLst/>
        </a:prstGeom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6000">
              <a:latin typeface="AmpleSoft Pro Regular" panose="02000000000000000000" pitchFamily="50" charset="0"/>
            </a:rPr>
            <a:t>Base</a:t>
          </a:r>
          <a:r>
            <a:rPr lang="en-US" sz="6000" baseline="0">
              <a:latin typeface="AmpleSoft Pro Regular" panose="02000000000000000000" pitchFamily="50" charset="0"/>
            </a:rPr>
            <a:t> de Données Client</a:t>
          </a:r>
          <a:endParaRPr lang="en-US" sz="6000">
            <a:latin typeface="AmpleSoft Pro Regular" panose="02000000000000000000" pitchFamily="50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114300</xdr:rowOff>
    </xdr:from>
    <xdr:to>
      <xdr:col>10</xdr:col>
      <xdr:colOff>28575</xdr:colOff>
      <xdr:row>4</xdr:row>
      <xdr:rowOff>114300</xdr:rowOff>
    </xdr:to>
    <xdr:sp macro="" textlink="">
      <xdr:nvSpPr>
        <xdr:cNvPr id="2" name="Rectangle à coins arrondis 1"/>
        <xdr:cNvSpPr/>
      </xdr:nvSpPr>
      <xdr:spPr>
        <a:xfrm>
          <a:off x="285750" y="114300"/>
          <a:ext cx="14830425" cy="742950"/>
        </a:xfrm>
        <a:prstGeom prst="roundRect">
          <a:avLst/>
        </a:prstGeom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5400">
              <a:latin typeface="AmpleSoft Pro Regular" panose="02000000000000000000" pitchFamily="50" charset="0"/>
            </a:rPr>
            <a:t>Base</a:t>
          </a:r>
          <a:r>
            <a:rPr lang="en-US" sz="5400" baseline="0">
              <a:latin typeface="AmpleSoft Pro Regular" panose="02000000000000000000" pitchFamily="50" charset="0"/>
            </a:rPr>
            <a:t> de Données Fournisseurs</a:t>
          </a:r>
          <a:endParaRPr lang="en-US" sz="5400">
            <a:latin typeface="AmpleSoft Pro Regular" panose="02000000000000000000" pitchFamily="50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200025</xdr:colOff>
      <xdr:row>0</xdr:row>
      <xdr:rowOff>171450</xdr:rowOff>
    </xdr:from>
    <xdr:to>
      <xdr:col>10</xdr:col>
      <xdr:colOff>1</xdr:colOff>
      <xdr:row>5</xdr:row>
      <xdr:rowOff>28575</xdr:rowOff>
    </xdr:to>
    <xdr:sp macro="" textlink="">
      <xdr:nvSpPr>
        <xdr:cNvPr id="2" name="Rectangle à coins arrondis 1"/>
        <xdr:cNvSpPr/>
      </xdr:nvSpPr>
      <xdr:spPr>
        <a:xfrm>
          <a:off x="200025" y="171450"/>
          <a:ext cx="11896726" cy="762000"/>
        </a:xfrm>
        <a:prstGeom prst="roundRect">
          <a:avLst/>
        </a:prstGeom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5400">
              <a:latin typeface="AmpleSoft Pro Regular" panose="02000000000000000000" pitchFamily="50" charset="0"/>
            </a:rPr>
            <a:t>Base</a:t>
          </a:r>
          <a:r>
            <a:rPr lang="en-US" sz="5400" baseline="0">
              <a:latin typeface="AmpleSoft Pro Regular" panose="02000000000000000000" pitchFamily="50" charset="0"/>
            </a:rPr>
            <a:t> de Données du Stock et Services</a:t>
          </a:r>
          <a:endParaRPr lang="en-US" sz="5400">
            <a:latin typeface="AmpleSoft Pro Regular" panose="02000000000000000000" pitchFamily="50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9526</xdr:colOff>
      <xdr:row>0</xdr:row>
      <xdr:rowOff>161925</xdr:rowOff>
    </xdr:from>
    <xdr:to>
      <xdr:col>11</xdr:col>
      <xdr:colOff>28575</xdr:colOff>
      <xdr:row>5</xdr:row>
      <xdr:rowOff>85725</xdr:rowOff>
    </xdr:to>
    <xdr:sp macro="" textlink="">
      <xdr:nvSpPr>
        <xdr:cNvPr id="2" name="Rectangle à coins arrondis 1"/>
        <xdr:cNvSpPr/>
      </xdr:nvSpPr>
      <xdr:spPr>
        <a:xfrm>
          <a:off x="209551" y="161925"/>
          <a:ext cx="14982824" cy="762000"/>
        </a:xfrm>
        <a:prstGeom prst="roundRect">
          <a:avLst/>
        </a:prstGeom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5400">
              <a:latin typeface="AmpleSoft Pro Regular" panose="02000000000000000000" pitchFamily="50" charset="0"/>
            </a:rPr>
            <a:t>Historique </a:t>
          </a:r>
          <a:r>
            <a:rPr lang="en-US" sz="5400" baseline="0">
              <a:latin typeface="AmpleSoft Pro Regular" panose="02000000000000000000" pitchFamily="50" charset="0"/>
            </a:rPr>
            <a:t>des Commandes Exterieurs</a:t>
          </a:r>
          <a:endParaRPr lang="en-US" sz="5400">
            <a:latin typeface="AmpleSoft Pro Regular" panose="02000000000000000000" pitchFamily="50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152400</xdr:rowOff>
    </xdr:from>
    <xdr:to>
      <xdr:col>10</xdr:col>
      <xdr:colOff>1038225</xdr:colOff>
      <xdr:row>5</xdr:row>
      <xdr:rowOff>85725</xdr:rowOff>
    </xdr:to>
    <xdr:sp macro="" textlink="">
      <xdr:nvSpPr>
        <xdr:cNvPr id="4" name="Rectangle à coins arrondis 3"/>
        <xdr:cNvSpPr/>
      </xdr:nvSpPr>
      <xdr:spPr>
        <a:xfrm>
          <a:off x="257175" y="152400"/>
          <a:ext cx="15030450" cy="762000"/>
        </a:xfrm>
        <a:prstGeom prst="roundRect">
          <a:avLst/>
        </a:prstGeom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5400">
              <a:latin typeface="AmpleSoft Pro Regular" panose="02000000000000000000" pitchFamily="50" charset="0"/>
            </a:rPr>
            <a:t>Historique </a:t>
          </a:r>
          <a:r>
            <a:rPr lang="en-US" sz="5400" baseline="0">
              <a:latin typeface="AmpleSoft Pro Regular" panose="02000000000000000000" pitchFamily="50" charset="0"/>
            </a:rPr>
            <a:t>des Facturations</a:t>
          </a:r>
          <a:endParaRPr lang="en-US" sz="5400">
            <a:latin typeface="AmpleSoft Pro Regular" panose="02000000000000000000" pitchFamily="50" charset="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276226</xdr:colOff>
      <xdr:row>0</xdr:row>
      <xdr:rowOff>180975</xdr:rowOff>
    </xdr:from>
    <xdr:to>
      <xdr:col>18</xdr:col>
      <xdr:colOff>638176</xdr:colOff>
      <xdr:row>4</xdr:row>
      <xdr:rowOff>180975</xdr:rowOff>
    </xdr:to>
    <xdr:sp macro="" textlink="">
      <xdr:nvSpPr>
        <xdr:cNvPr id="2" name="Rectangle à coins arrondis 1"/>
        <xdr:cNvSpPr/>
      </xdr:nvSpPr>
      <xdr:spPr>
        <a:xfrm>
          <a:off x="276226" y="180975"/>
          <a:ext cx="13601700" cy="762000"/>
        </a:xfrm>
        <a:prstGeom prst="roundRect">
          <a:avLst/>
        </a:prstGeom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5400">
              <a:latin typeface="AmpleSoft Pro Regular" panose="02000000000000000000" pitchFamily="50" charset="0"/>
            </a:rPr>
            <a:t>Historique des</a:t>
          </a:r>
          <a:r>
            <a:rPr lang="en-US" sz="5400" baseline="0">
              <a:latin typeface="AmpleSoft Pro Regular" panose="02000000000000000000" pitchFamily="50" charset="0"/>
            </a:rPr>
            <a:t> Dévis</a:t>
          </a:r>
          <a:endParaRPr lang="en-US" sz="5400">
            <a:latin typeface="AmpleSoft Pro Regular" panose="02000000000000000000" pitchFamily="50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5</xdr:row>
      <xdr:rowOff>9525</xdr:rowOff>
    </xdr:from>
    <xdr:to>
      <xdr:col>6</xdr:col>
      <xdr:colOff>76200</xdr:colOff>
      <xdr:row>5</xdr:row>
      <xdr:rowOff>9525</xdr:rowOff>
    </xdr:to>
    <xdr:cxnSp macro="">
      <xdr:nvCxnSpPr>
        <xdr:cNvPr id="3" name="Connecteur droit 2"/>
        <xdr:cNvCxnSpPr/>
      </xdr:nvCxnSpPr>
      <xdr:spPr>
        <a:xfrm>
          <a:off x="5286375" y="962025"/>
          <a:ext cx="70485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447675</xdr:colOff>
      <xdr:row>5</xdr:row>
      <xdr:rowOff>0</xdr:rowOff>
    </xdr:from>
    <xdr:to>
      <xdr:col>5</xdr:col>
      <xdr:colOff>495300</xdr:colOff>
      <xdr:row>5</xdr:row>
      <xdr:rowOff>0</xdr:rowOff>
    </xdr:to>
    <xdr:cxnSp macro="">
      <xdr:nvCxnSpPr>
        <xdr:cNvPr id="2" name="Connecteur droit 1"/>
        <xdr:cNvCxnSpPr/>
      </xdr:nvCxnSpPr>
      <xdr:spPr>
        <a:xfrm>
          <a:off x="4886325" y="1123950"/>
          <a:ext cx="86677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447675</xdr:colOff>
      <xdr:row>6</xdr:row>
      <xdr:rowOff>0</xdr:rowOff>
    </xdr:from>
    <xdr:to>
      <xdr:col>5</xdr:col>
      <xdr:colOff>495300</xdr:colOff>
      <xdr:row>6</xdr:row>
      <xdr:rowOff>0</xdr:rowOff>
    </xdr:to>
    <xdr:cxnSp macro="">
      <xdr:nvCxnSpPr>
        <xdr:cNvPr id="2" name="Connecteur droit 1"/>
        <xdr:cNvCxnSpPr/>
      </xdr:nvCxnSpPr>
      <xdr:spPr>
        <a:xfrm>
          <a:off x="4714875" y="1123950"/>
          <a:ext cx="86677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276224</xdr:colOff>
      <xdr:row>0</xdr:row>
      <xdr:rowOff>161925</xdr:rowOff>
    </xdr:from>
    <xdr:to>
      <xdr:col>6</xdr:col>
      <xdr:colOff>1447799</xdr:colOff>
      <xdr:row>5</xdr:row>
      <xdr:rowOff>28575</xdr:rowOff>
    </xdr:to>
    <xdr:sp macro="" textlink="">
      <xdr:nvSpPr>
        <xdr:cNvPr id="3" name="Rectangle à coins arrondis 2"/>
        <xdr:cNvSpPr/>
      </xdr:nvSpPr>
      <xdr:spPr>
        <a:xfrm>
          <a:off x="276224" y="161925"/>
          <a:ext cx="11782425" cy="762000"/>
        </a:xfrm>
        <a:prstGeom prst="roundRect">
          <a:avLst/>
        </a:prstGeom>
        <a:gradFill rotWithShape="1">
          <a:gsLst>
            <a:gs pos="0">
              <a:srgbClr val="4472C4">
                <a:satMod val="103000"/>
                <a:lumMod val="102000"/>
                <a:tint val="94000"/>
              </a:srgbClr>
            </a:gs>
            <a:gs pos="50000">
              <a:srgbClr val="4472C4">
                <a:satMod val="110000"/>
                <a:lumMod val="100000"/>
                <a:shade val="100000"/>
              </a:srgbClr>
            </a:gs>
            <a:gs pos="100000">
              <a:srgbClr val="4472C4">
                <a:lumMod val="99000"/>
                <a:satMod val="120000"/>
                <a:shade val="78000"/>
              </a:srgbClr>
            </a:gs>
          </a:gsLst>
          <a:lin ang="5400000" scaled="0"/>
        </a:gra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54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mpleSoft Pro Regular" panose="02000000000000000000" pitchFamily="50" charset="0"/>
            </a:rPr>
            <a:t>Mouvement du Stock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_Client" displayName="Tableau_Client" ref="B7:J8" insertRow="1" totalsRowShown="0" headerRowDxfId="117" dataDxfId="116">
  <autoFilter ref="B7:J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ID Client" dataDxfId="115"/>
    <tableColumn id="2" name="Nom de l'Entité" dataDxfId="114"/>
    <tableColumn id="3" name="BP" dataDxfId="113"/>
    <tableColumn id="4" name="Adresse Direction Générale" dataDxfId="112"/>
    <tableColumn id="5" name="Contact" dataDxfId="111"/>
    <tableColumn id="6" name="Mail Support" dataDxfId="110" dataCellStyle="Lien hypertexte"/>
    <tableColumn id="8" name="Référence Interne" dataDxfId="109"/>
    <tableColumn id="9" name="Contact2" dataDxfId="108"/>
    <tableColumn id="10" name="Mail3" dataDxfId="107" dataCellStyle="Lien hypertext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_Fournisseurs" displayName="Tableau_Fournisseurs" ref="B7:J8" insertRow="1" totalsRowShown="0" headerRowDxfId="106" dataDxfId="105">
  <autoFilter ref="B7:J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ID Fournisseur" dataDxfId="104"/>
    <tableColumn id="2" name="Nom du Fournisseur" dataDxfId="103"/>
    <tableColumn id="3" name="Position" dataDxfId="102"/>
    <tableColumn id="7" name="BP" dataDxfId="101"/>
    <tableColumn id="4" name="Adresse" dataDxfId="100"/>
    <tableColumn id="8" name="Pays" dataDxfId="99"/>
    <tableColumn id="5" name="Contact" dataDxfId="98"/>
    <tableColumn id="6" name="Mail" dataDxfId="97" dataCellStyle="Lien hypertexte"/>
    <tableColumn id="9" name="Adress Complète" dataDxfId="96">
      <calculatedColumnFormula>CONCATENATE(Tableau_Fournisseurs[Adresse]," - ",Tableau_Fournisseurs[Pays])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_Stocks" displayName="Tableau_Stocks" ref="B7:V8" insertRow="1" totalsRowShown="0" headerRowDxfId="95" dataDxfId="94">
  <autoFilter ref="B7:V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</autoFilter>
  <tableColumns count="21">
    <tableColumn id="1" name="ID Article" dataDxfId="12"/>
    <tableColumn id="2" name="Nom du Produit" dataDxfId="11"/>
    <tableColumn id="3" name="Description" dataDxfId="10"/>
    <tableColumn id="4" name="Prix Unitaire" dataDxfId="9"/>
    <tableColumn id="5" name="Qté en Stock" dataDxfId="8">
      <calculatedColumnFormula array="1">SUMIFS(Tableau8[Quantité],Tableau8[Réf Article],Tableau_Stocks[[#This Row],[ID Article]],Tableau8[Type],"Entrée")-SUMIFS(Tableau8[Quantité],Tableau8[Réf Article],Tableau_Stocks[[#This Row],[ID Article]],Tableau8[Type],"Sortie")</calculatedColumnFormula>
    </tableColumn>
    <tableColumn id="6" name="Valeur du Stock" dataDxfId="7">
      <calculatedColumnFormula>Tableau_Stocks[Prix Unitaire]*Tableau_Stocks[Qté en Stock]</calculatedColumnFormula>
    </tableColumn>
    <tableColumn id="7" name="Stock Min" dataDxfId="6"/>
    <tableColumn id="8" name="Alerte" dataDxfId="93">
      <calculatedColumnFormula>IF(Tableau_Stocks[Qté en Stock]&lt;Tableau_Stocks[Stock Min],1,0)</calculatedColumnFormula>
    </tableColumn>
    <tableColumn id="21" name="Statut" dataDxfId="92"/>
    <tableColumn id="20" name="Colonne1" dataDxfId="91"/>
    <tableColumn id="9" name="1" dataDxfId="90"/>
    <tableColumn id="10" name="2" dataDxfId="89"/>
    <tableColumn id="11" name="3" dataDxfId="88"/>
    <tableColumn id="12" name="4" dataDxfId="87"/>
    <tableColumn id="13" name="5" dataDxfId="86"/>
    <tableColumn id="14" name="6" dataDxfId="85"/>
    <tableColumn id="15" name="7" dataDxfId="84"/>
    <tableColumn id="16" name="8" dataDxfId="83"/>
    <tableColumn id="17" name="9" dataDxfId="82"/>
    <tableColumn id="18" name="10" dataDxfId="81"/>
    <tableColumn id="19" name="&gt;10" dataDxfId="80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6" name="Tableau_Commande" displayName="Tableau_Commande" ref="B7:K8" insertRow="1" totalsRowShown="0" headerRowDxfId="79" dataDxfId="78">
  <autoFilter ref="B7:K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name="ID Commande" dataDxfId="77"/>
    <tableColumn id="2" name="Date Emission" dataDxfId="76"/>
    <tableColumn id="8" name="Founisseur" dataDxfId="75"/>
    <tableColumn id="3" name="Ref. Article" dataDxfId="74"/>
    <tableColumn id="4" name="Nom du Produit" dataDxfId="73"/>
    <tableColumn id="5" name="Quantité" dataDxfId="72"/>
    <tableColumn id="6" name="Prix d'achat" dataDxfId="71"/>
    <tableColumn id="7" name="Prix Total" dataDxfId="70">
      <calculatedColumnFormula>Tableau_Commande[[#This Row],[Prix d''achat]]*Tableau_Commande[[#This Row],[Quantité]]</calculatedColumnFormula>
    </tableColumn>
    <tableColumn id="9" name="Control" dataDxfId="69">
      <calculatedColumnFormula array="1">IFERROR(INDEX(Tableau8[Quantité],MATCH(1,(Tableau_Commande[ID Commande]=Tableau8[Référence Transaction])*(Tableau_Commande[ID Commande]=Tableau8[Réf Article]),0)),"")</calculatedColumnFormula>
    </tableColumn>
    <tableColumn id="10" name="Statut" dataDxfId="68">
      <calculatedColumnFormula>IF(Tableau_Commande[[#This Row],[Control]]=Tableau_Commande[[#This Row],[Quantité]],1,0)</calculatedColumnFormula>
    </tableColumn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10" name="Tableau_Facturation" displayName="Tableau_Facturation" ref="B7:K8" insertRow="1" totalsRowShown="0" headerRowDxfId="67" dataDxfId="65" headerRowBorderDxfId="66" tableBorderDxfId="64" totalsRowBorderDxfId="63">
  <autoFilter ref="B7:K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name="ID Facture" dataDxfId="62"/>
    <tableColumn id="2" name="Date Emission" dataDxfId="61"/>
    <tableColumn id="9" name="Date Limite" dataDxfId="60">
      <calculatedColumnFormula>Tableau_Facturation[[#This Row],[Date Emission]]+15</calculatedColumnFormula>
    </tableColumn>
    <tableColumn id="3" name="Client" dataDxfId="59"/>
    <tableColumn id="4" name="Ref. Article" dataDxfId="58"/>
    <tableColumn id="5" name="Nom du Produit" dataDxfId="57"/>
    <tableColumn id="6" name="Quantité" dataDxfId="56"/>
    <tableColumn id="7" name="Prix Unitaire" dataDxfId="55"/>
    <tableColumn id="8" name="Prix Total" dataDxfId="54">
      <calculatedColumnFormula>Tableau_Commande[[#This Row],[Prix d''achat]]*Tableau_Commande[[#This Row],[Quantité]]</calculatedColumnFormula>
    </tableColumn>
    <tableColumn id="10" name="Status" dataDxfId="53">
      <calculatedColumnFormula>IF(NOW()=(Tableau_Facturation[[#This Row],[Date Emission]]+1),"Echus","En cours")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4" name="Tableau_ProForma" displayName="Tableau_ProForma" ref="B19:G26" totalsRowShown="0" headerRowDxfId="52" dataDxfId="51">
  <autoFilter ref="B19:G2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6" name="N°" dataDxfId="50">
      <calculatedColumnFormula>IF(C20&lt;&gt;"",ROW()-19,"")</calculatedColumnFormula>
    </tableColumn>
    <tableColumn id="1" name="Ref Article" dataDxfId="49"/>
    <tableColumn id="2" name="Désignation" dataDxfId="48"/>
    <tableColumn id="3" name="Qté" dataDxfId="47"/>
    <tableColumn id="4" name="Prix U. HT" dataDxfId="46"/>
    <tableColumn id="5" name="Prix T. HT" dataDxfId="45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5" name="Tableau_Facture" displayName="Tableau_Facture" ref="A22:F29" totalsRowShown="0" headerRowDxfId="44" dataDxfId="43">
  <autoFilter ref="A22:F2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6" name="N°" dataDxfId="42">
      <calculatedColumnFormula>IF(B23&lt;&gt;"",ROW()-22,"")</calculatedColumnFormula>
    </tableColumn>
    <tableColumn id="1" name="Ref Article" dataDxfId="41">
      <calculatedColumnFormula array="1">IFERROR(INDEX(Tableau_Facturation[Ref. Article],SMALL(IF(Tableau_Facturation[ID Facture]=$C$16,ROW(Tableau_Facturation[Ref. Article])-7),ROW()-22)),"")</calculatedColumnFormula>
    </tableColumn>
    <tableColumn id="2" name="Désignation" dataDxfId="40">
      <calculatedColumnFormula array="1">IFERROR(INDEX(Tableau_Facturation[Nom du Produit],SMALL(IF(Tableau_Facturation[ID Facture]=$C$16,ROW(Tableau_Facturation[Nom du Produit])-7),ROW()-22)),"")</calculatedColumnFormula>
    </tableColumn>
    <tableColumn id="3" name="Qté" dataDxfId="39">
      <calculatedColumnFormula array="1">IFERROR(INDEX(Tableau_Facturation[Quantité],SMALL(IF(Tableau_Facturation[ID Facture]=$C$16,ROW(Tableau_Facturation[Quantité])-7),ROW()-22)),"")</calculatedColumnFormula>
    </tableColumn>
    <tableColumn id="4" name="Prix U. HT" dataDxfId="38">
      <calculatedColumnFormula array="1">IFERROR(INDEX(Tableau_Facturation[Prix Unitaire],SMALL(IF(Tableau_Facturation[ID Facture]=$C$16,ROW(Tableau_Facturation[Prix Unitaire])-7),ROW()-22)),"")</calculatedColumnFormula>
    </tableColumn>
    <tableColumn id="5" name="Prix T. HT" dataDxfId="37">
      <calculatedColumnFormula>IFERROR(Tableau_Facture[[#This Row],[Prix U. HT]]*Tableau_Facture[[#This Row],[Qté]],"")</calculatedColumnFormula>
    </tableColumn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7" name="Tableau_Bon_de_commande" displayName="Tableau_Bon_de_commande" ref="A22:F33" totalsRowShown="0" headerRowDxfId="36" dataDxfId="35">
  <autoFilter ref="A22:F3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6" name="N°" dataDxfId="34">
      <calculatedColumnFormula>IF(B23&lt;&gt;"",ROW()-22,"")</calculatedColumnFormula>
    </tableColumn>
    <tableColumn id="1" name="Ref Article" dataDxfId="33">
      <calculatedColumnFormula array="1">IFERROR(INDEX(Tableau_Commande[Ref. Article],SMALL(IF(Tableau_Commande[ID Commande]='Bon de Commande'!$C$10,ROW(Tableau_Commande[Ref. Article])-7),ROW()-22)),"")</calculatedColumnFormula>
    </tableColumn>
    <tableColumn id="2" name="Désignation" dataDxfId="32">
      <calculatedColumnFormula array="1">IFERROR(INDEX(Tableau_Commande[Nom du Produit],SMALL(IF(Tableau_Commande[ID Commande]='Bon de Commande'!$C$10,ROW(Tableau_Commande[Ref. Article])-7),ROW()-22)),"")</calculatedColumnFormula>
    </tableColumn>
    <tableColumn id="3" name="Qté" dataDxfId="31">
      <calculatedColumnFormula array="1">IFERROR(INDEX(Tableau_Commande[Quantité],SMALL(IF(Tableau_Commande[ID Commande]='Bon de Commande'!$C$10,ROW(Tableau_Commande[Ref. Article])-7),ROW()-22)),"")</calculatedColumnFormula>
    </tableColumn>
    <tableColumn id="4" name="Prix U. HT" dataDxfId="30">
      <calculatedColumnFormula array="1">IFERROR(INDEX(Tableau_Commande[Prix d''achat],SMALL(IF(Tableau_Commande[ID Commande]='Bon de Commande'!$C$10,ROW(Tableau_Commande[Ref. Article])-7),ROW()-22)),"")</calculatedColumnFormula>
    </tableColumn>
    <tableColumn id="5" name="Prix T. HT" dataDxfId="29">
      <calculatedColumnFormula array="1">IFERROR(Tableau_Bon_de_commande[[#This Row],[Prix U. HT]]*Tableau_Bon_de_commande[[#This Row],[Qté]],"")</calculatedColumnFormula>
    </tableColumn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8" name="Tableau8" displayName="Tableau8" ref="B7:G8" totalsRowShown="0" headerRowDxfId="28" dataDxfId="27">
  <autoFilter ref="B7:G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Type" dataDxfId="26"/>
    <tableColumn id="2" name="Référence Transaction" dataDxfId="25"/>
    <tableColumn id="3" name="Nom Fournisseur / Client (Responsable)" dataDxfId="24"/>
    <tableColumn id="4" name="Réf Article" dataDxfId="23"/>
    <tableColumn id="5" name="Quantité" dataDxfId="22"/>
    <tableColumn id="7" name="Classement" dataDxfId="21">
      <calculatedColumnFormula>IF(Tableau8[Type]="Sortie",COUNTIFS(Tableau8[Type],"Sortie",Tableau8[Quantité],"&lt;"&amp;Tableau8[Quantité])+1,"")</calculatedColumnFormula>
    </tableColumn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9" name="Tableau9" displayName="Tableau9" ref="S5:U28" totalsRowShown="0" headerRowDxfId="20" dataDxfId="19">
  <autoFilter ref="S5:U28"/>
  <tableColumns count="3">
    <tableColumn id="1" name="User" dataDxfId="18"/>
    <tableColumn id="2" name="Password" dataDxfId="17"/>
    <tableColumn id="3" name="Role" dataDxfId="1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leau11" displayName="Tableau11" ref="S35:S37" totalsRowShown="0" headerRowDxfId="15" dataDxfId="14">
  <autoFilter ref="S35:S37"/>
  <tableColumns count="1">
    <tableColumn id="1" name="Nom" dataDxfId="1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2:P33"/>
  <sheetViews>
    <sheetView showGridLines="0" showRowColHeaders="0" workbookViewId="0">
      <selection activeCell="K26" sqref="K26"/>
    </sheetView>
  </sheetViews>
  <sheetFormatPr baseColWidth="10" defaultRowHeight="15"/>
  <cols>
    <col min="1" max="16384" width="11.42578125" style="5"/>
  </cols>
  <sheetData>
    <row r="2" spans="2:16" ht="25.5" customHeight="1">
      <c r="B2" s="74" t="s">
        <v>352</v>
      </c>
      <c r="C2" s="74"/>
      <c r="D2" s="74"/>
      <c r="E2" s="74"/>
      <c r="F2" s="74"/>
      <c r="G2" s="74"/>
      <c r="H2" s="74"/>
      <c r="I2" s="74"/>
      <c r="J2" s="74"/>
      <c r="K2" s="75"/>
      <c r="L2" s="75"/>
      <c r="M2" s="75"/>
      <c r="N2" s="75"/>
      <c r="O2" s="75"/>
      <c r="P2" s="75"/>
    </row>
    <row r="3" spans="2:16">
      <c r="B3" s="74"/>
      <c r="C3" s="74"/>
      <c r="D3" s="74"/>
      <c r="E3" s="74"/>
      <c r="F3" s="74"/>
      <c r="G3" s="74"/>
      <c r="H3" s="74"/>
      <c r="I3" s="74"/>
      <c r="J3" s="74"/>
      <c r="K3" s="75"/>
      <c r="L3" s="75"/>
      <c r="M3" s="75"/>
      <c r="N3" s="75"/>
      <c r="O3" s="75"/>
      <c r="P3" s="75"/>
    </row>
    <row r="33" spans="14:14">
      <c r="N33" s="6"/>
    </row>
  </sheetData>
  <mergeCells count="2">
    <mergeCell ref="B2:J3"/>
    <mergeCell ref="K2:P3"/>
  </mergeCells>
  <pageMargins left="0.25" right="0.25" top="0.75" bottom="0.75" header="0.3" footer="0.3"/>
  <pageSetup paperSize="9" scale="5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J8"/>
  <sheetViews>
    <sheetView showGridLines="0" zoomScaleNormal="100" workbookViewId="0">
      <selection activeCell="B8" sqref="B8:J9"/>
    </sheetView>
  </sheetViews>
  <sheetFormatPr baseColWidth="10" defaultRowHeight="17.45" customHeight="1"/>
  <cols>
    <col min="1" max="1" width="3.28515625" style="20" customWidth="1"/>
    <col min="2" max="2" width="11.85546875" style="20" customWidth="1"/>
    <col min="3" max="3" width="27.5703125" style="20" customWidth="1"/>
    <col min="4" max="4" width="13.7109375" style="20" customWidth="1"/>
    <col min="5" max="5" width="38.42578125" style="20" customWidth="1"/>
    <col min="6" max="6" width="25.42578125" style="20" customWidth="1"/>
    <col min="7" max="7" width="25.85546875" style="20" customWidth="1"/>
    <col min="8" max="8" width="29.140625" style="20" customWidth="1"/>
    <col min="9" max="9" width="28.28515625" style="20" customWidth="1"/>
    <col min="10" max="10" width="24.140625" style="20" customWidth="1"/>
    <col min="11" max="11" width="4" style="20" customWidth="1"/>
    <col min="12" max="16384" width="11.42578125" style="20"/>
  </cols>
  <sheetData>
    <row r="3" spans="2:10" ht="16.5" customHeight="1"/>
    <row r="4" spans="2:10" ht="11.25" customHeight="1"/>
    <row r="5" spans="2:10" ht="11.25" customHeight="1"/>
    <row r="7" spans="2:10" s="30" customFormat="1" ht="17.45" customHeight="1">
      <c r="B7" s="9" t="s">
        <v>0</v>
      </c>
      <c r="C7" s="9" t="s">
        <v>1</v>
      </c>
      <c r="D7" s="9" t="s">
        <v>8</v>
      </c>
      <c r="E7" s="9" t="s">
        <v>29</v>
      </c>
      <c r="F7" s="9" t="s">
        <v>3</v>
      </c>
      <c r="G7" s="9" t="s">
        <v>30</v>
      </c>
      <c r="H7" s="9" t="s">
        <v>5</v>
      </c>
      <c r="I7" s="9" t="s">
        <v>6</v>
      </c>
      <c r="J7" s="9" t="s">
        <v>7</v>
      </c>
    </row>
    <row r="8" spans="2:10" ht="17.45" customHeight="1">
      <c r="B8" s="16"/>
      <c r="C8" s="16"/>
      <c r="D8" s="16"/>
      <c r="E8" s="21"/>
      <c r="F8" s="31"/>
      <c r="G8" s="22"/>
      <c r="H8" s="16"/>
      <c r="I8" s="31"/>
      <c r="J8" s="22"/>
    </row>
  </sheetData>
  <printOptions horizontalCentered="1"/>
  <pageMargins left="0.15748031496062992" right="0.15748031496062992" top="0.19685039370078741" bottom="0.19685039370078741" header="0.19685039370078741" footer="0.11811023622047245"/>
  <pageSetup paperSize="9" scale="60" orientation="landscape" r:id="rId1"/>
  <headerFooter>
    <oddFooter>&amp;L&amp;"Fortheenas_01 Bold,Normal"&amp;10Liste des &amp;A&amp;C&amp;"Fortheenas_01 Bold,Normal"&amp;10du &amp;D à &amp;T&amp;R&amp;"Fortheenas_01 Bold,Normal"&amp;10Page &amp;P sur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J8"/>
  <sheetViews>
    <sheetView showGridLines="0" workbookViewId="0">
      <selection activeCell="B8" sqref="B8:J9"/>
    </sheetView>
  </sheetViews>
  <sheetFormatPr baseColWidth="10" defaultRowHeight="17.45" customHeight="1"/>
  <cols>
    <col min="1" max="1" width="4.28515625" style="20" customWidth="1"/>
    <col min="2" max="2" width="16.28515625" style="20" customWidth="1"/>
    <col min="3" max="3" width="28.28515625" style="20" customWidth="1"/>
    <col min="4" max="4" width="15.85546875" style="20" customWidth="1"/>
    <col min="5" max="5" width="15" style="20" customWidth="1"/>
    <col min="6" max="6" width="34" style="20" customWidth="1"/>
    <col min="7" max="7" width="20.7109375" style="20" customWidth="1"/>
    <col min="8" max="8" width="28.140625" style="20" customWidth="1"/>
    <col min="9" max="9" width="27.28515625" style="20" customWidth="1"/>
    <col min="10" max="10" width="36.42578125" style="20" customWidth="1"/>
    <col min="11" max="11" width="4.140625" style="20" customWidth="1"/>
    <col min="12" max="16384" width="11.42578125" style="20"/>
  </cols>
  <sheetData>
    <row r="3" spans="2:10" ht="12.75" customHeight="1"/>
    <row r="4" spans="2:10" ht="11.25" customHeight="1"/>
    <row r="5" spans="2:10" ht="9.75" customHeight="1"/>
    <row r="6" spans="2:10" ht="9" customHeight="1"/>
    <row r="7" spans="2:10" s="30" customFormat="1" ht="17.45" customHeight="1">
      <c r="B7" s="9" t="s">
        <v>9</v>
      </c>
      <c r="C7" s="9" t="s">
        <v>10</v>
      </c>
      <c r="D7" s="9" t="s">
        <v>11</v>
      </c>
      <c r="E7" s="9" t="s">
        <v>8</v>
      </c>
      <c r="F7" s="9" t="s">
        <v>2</v>
      </c>
      <c r="G7" s="9" t="s">
        <v>32</v>
      </c>
      <c r="H7" s="9" t="s">
        <v>3</v>
      </c>
      <c r="I7" s="9" t="s">
        <v>4</v>
      </c>
      <c r="J7" s="9" t="s">
        <v>33</v>
      </c>
    </row>
    <row r="8" spans="2:10" ht="17.45" customHeight="1">
      <c r="B8" s="16"/>
      <c r="C8" s="16"/>
      <c r="D8" s="16"/>
      <c r="E8" s="32"/>
      <c r="F8" s="21"/>
      <c r="G8" s="16"/>
      <c r="H8" s="33"/>
      <c r="I8" s="22"/>
      <c r="J8" s="21"/>
    </row>
  </sheetData>
  <printOptions horizontalCentered="1"/>
  <pageMargins left="0.23622047244094491" right="0.23622047244094491" top="0.19685039370078741" bottom="0.19685039370078741" header="0.31496062992125984" footer="0.31496062992125984"/>
  <pageSetup paperSize="9" scale="62" orientation="landscape" r:id="rId1"/>
  <headerFooter>
    <oddFooter>&amp;L&amp;"Fortheenas_01 Bold,Normal"&amp;10Liste des &amp;A&amp;C&amp;"Fortheenas_01 Bold,Normal"&amp;10 du &amp;D à &amp;T&amp;R&amp;"Fortheenas_01 Bold,Normal"&amp;10Page &amp;P sur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V13"/>
  <sheetViews>
    <sheetView showGridLines="0" workbookViewId="0">
      <selection activeCell="F8" sqref="F8"/>
    </sheetView>
  </sheetViews>
  <sheetFormatPr baseColWidth="10" defaultRowHeight="31.5" customHeight="1"/>
  <cols>
    <col min="1" max="1" width="3.28515625" style="16" customWidth="1"/>
    <col min="2" max="2" width="14.42578125" style="16" customWidth="1"/>
    <col min="3" max="3" width="25.28515625" style="16" customWidth="1"/>
    <col min="4" max="4" width="45.7109375" style="16" customWidth="1"/>
    <col min="5" max="5" width="16.140625" style="16" customWidth="1"/>
    <col min="6" max="6" width="17.140625" style="16" customWidth="1"/>
    <col min="7" max="7" width="21" style="16" customWidth="1"/>
    <col min="8" max="8" width="14.28515625" style="16" customWidth="1"/>
    <col min="9" max="9" width="13.5703125" style="16" customWidth="1"/>
    <col min="10" max="10" width="10.5703125" style="16" customWidth="1"/>
    <col min="11" max="11" width="1" style="16" customWidth="1"/>
    <col min="12" max="22" width="4.28515625" style="16" customWidth="1"/>
    <col min="23" max="23" width="4" style="16" customWidth="1"/>
    <col min="24" max="16384" width="11.42578125" style="16"/>
  </cols>
  <sheetData>
    <row r="1" spans="2:22" ht="14.25" customHeight="1"/>
    <row r="2" spans="2:22" ht="14.25" customHeight="1"/>
    <row r="3" spans="2:22" ht="14.25" customHeight="1">
      <c r="M3" s="16" t="s">
        <v>356</v>
      </c>
    </row>
    <row r="4" spans="2:22" ht="14.25" customHeight="1"/>
    <row r="5" spans="2:22" ht="14.25" customHeight="1"/>
    <row r="6" spans="2:22" ht="14.25" customHeight="1">
      <c r="L6" s="65">
        <v>1</v>
      </c>
      <c r="M6" s="65">
        <v>2</v>
      </c>
      <c r="N6" s="65">
        <v>3</v>
      </c>
      <c r="O6" s="65">
        <v>4</v>
      </c>
      <c r="P6" s="65">
        <v>5</v>
      </c>
      <c r="Q6" s="65">
        <v>6</v>
      </c>
      <c r="R6" s="65">
        <v>7</v>
      </c>
      <c r="S6" s="65">
        <v>8</v>
      </c>
      <c r="T6" s="65">
        <v>9</v>
      </c>
      <c r="U6" s="65">
        <v>10</v>
      </c>
    </row>
    <row r="7" spans="2:22" s="9" customFormat="1" ht="17.25" customHeight="1">
      <c r="B7" s="9" t="s">
        <v>359</v>
      </c>
      <c r="C7" s="9" t="s">
        <v>12</v>
      </c>
      <c r="D7" s="9" t="s">
        <v>13</v>
      </c>
      <c r="E7" s="9" t="s">
        <v>14</v>
      </c>
      <c r="F7" s="9" t="s">
        <v>15</v>
      </c>
      <c r="G7" s="9" t="s">
        <v>16</v>
      </c>
      <c r="H7" s="9" t="s">
        <v>17</v>
      </c>
      <c r="I7" s="9" t="s">
        <v>360</v>
      </c>
      <c r="J7" s="9" t="s">
        <v>348</v>
      </c>
      <c r="K7" s="29" t="s">
        <v>59</v>
      </c>
      <c r="L7" s="7" t="s">
        <v>19</v>
      </c>
      <c r="M7" s="7" t="s">
        <v>20</v>
      </c>
      <c r="N7" s="7" t="s">
        <v>21</v>
      </c>
      <c r="O7" s="7" t="s">
        <v>22</v>
      </c>
      <c r="P7" s="7" t="s">
        <v>23</v>
      </c>
      <c r="Q7" s="7" t="s">
        <v>24</v>
      </c>
      <c r="R7" s="7" t="s">
        <v>25</v>
      </c>
      <c r="S7" s="7" t="s">
        <v>26</v>
      </c>
      <c r="T7" s="7" t="s">
        <v>27</v>
      </c>
      <c r="U7" s="7" t="s">
        <v>28</v>
      </c>
      <c r="V7" s="7" t="s">
        <v>18</v>
      </c>
    </row>
    <row r="8" spans="2:22" ht="31.5" customHeight="1">
      <c r="D8" s="34"/>
      <c r="E8" s="35"/>
      <c r="G8" s="35"/>
      <c r="I8" s="28"/>
      <c r="K8" s="36"/>
    </row>
    <row r="13" spans="2:22" ht="31.5" customHeight="1">
      <c r="J13" s="16" t="s">
        <v>355</v>
      </c>
    </row>
  </sheetData>
  <conditionalFormatting sqref="I8">
    <cfRule type="colorScale" priority="8">
      <colorScale>
        <cfvo type="num" val="0"/>
        <cfvo type="num" val="1"/>
        <color rgb="FF00B050"/>
        <color rgb="FFFF0000"/>
      </colorScale>
    </cfRule>
  </conditionalFormatting>
  <conditionalFormatting sqref="L8:V8">
    <cfRule type="expression" dxfId="5" priority="6">
      <formula>$B8&lt;&gt;""</formula>
    </cfRule>
  </conditionalFormatting>
  <conditionalFormatting sqref="L8:U8">
    <cfRule type="expression" dxfId="4" priority="4">
      <formula>AND($B8&lt;&gt;"",$F8&lt;$H8,$F8&gt;=L$6)</formula>
    </cfRule>
    <cfRule type="expression" dxfId="3" priority="5">
      <formula>AND($B8&lt;&gt;"",$F8&gt;=$H8,$F8&gt;=L$6)</formula>
    </cfRule>
  </conditionalFormatting>
  <conditionalFormatting sqref="V8">
    <cfRule type="expression" dxfId="2" priority="1">
      <formula>AND($B8&lt;&gt;"",$F8&lt;$H8,$F8&gt;$U$6)</formula>
    </cfRule>
    <cfRule type="expression" dxfId="1" priority="3">
      <formula>AND($B8&lt;&gt;"",$F8&gt;=$H8,$F8&gt;=$U$6)</formula>
    </cfRule>
  </conditionalFormatting>
  <dataValidations count="1">
    <dataValidation type="list" allowBlank="1" showInputMessage="1" showErrorMessage="1" sqref="J8:K8">
      <formula1>"Actif,Inactif"</formula1>
    </dataValidation>
  </dataValidations>
  <printOptions horizontalCentered="1"/>
  <pageMargins left="0.19685039370078741" right="0.19685039370078741" top="0.19685039370078741" bottom="0.19685039370078741" header="0.31496062992125984" footer="0.11811023622047245"/>
  <pageSetup paperSize="9" scale="80" orientation="landscape" r:id="rId1"/>
  <headerFooter>
    <oddFooter>&amp;L&amp;"Fortheenas_01 Bold,Normal"&amp;10Etat du &amp;A&amp;C&amp;"Fortheenas_01 Bold,Normal"&amp;10du &amp;D à &amp;T&amp;R&amp;"Fortheenas_01 Bold,Normal"&amp;10Page &amp;P sur &amp;N</oddFooter>
  </headerFooter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3" id="{200938E7-83E8-4A27-900A-48D98B7EBDC5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2" iconId="2"/>
              <x14:cfIcon iconSet="3Symbols2" iconId="1"/>
            </x14:iconSet>
          </x14:cfRule>
          <xm:sqref>I8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3:K8"/>
  <sheetViews>
    <sheetView showGridLines="0" workbookViewId="0">
      <selection activeCell="A8" sqref="A8:XFD11"/>
    </sheetView>
  </sheetViews>
  <sheetFormatPr baseColWidth="10" defaultRowHeight="15"/>
  <cols>
    <col min="1" max="1" width="3" style="16" customWidth="1"/>
    <col min="2" max="2" width="18" style="16" customWidth="1"/>
    <col min="3" max="3" width="21.85546875" style="16" customWidth="1"/>
    <col min="4" max="4" width="34.7109375" style="16" customWidth="1"/>
    <col min="5" max="5" width="20.140625" style="16" customWidth="1"/>
    <col min="6" max="6" width="47.42578125" style="16" customWidth="1"/>
    <col min="7" max="7" width="15.85546875" style="16" customWidth="1"/>
    <col min="8" max="9" width="18.42578125" style="16" customWidth="1"/>
    <col min="10" max="10" width="15.140625" style="16" customWidth="1"/>
    <col min="11" max="11" width="14.42578125" style="16" customWidth="1"/>
    <col min="12" max="16384" width="11.42578125" style="16"/>
  </cols>
  <sheetData>
    <row r="3" spans="2:11" ht="13.5" customHeight="1"/>
    <row r="4" spans="2:11" ht="11.25" customHeight="1"/>
    <row r="5" spans="2:11" ht="11.25" customHeight="1"/>
    <row r="6" spans="2:11" ht="17.25" customHeight="1"/>
    <row r="7" spans="2:11" s="9" customFormat="1" ht="14.25">
      <c r="B7" s="9" t="s">
        <v>71</v>
      </c>
      <c r="C7" s="9" t="s">
        <v>74</v>
      </c>
      <c r="D7" s="9" t="s">
        <v>79</v>
      </c>
      <c r="E7" s="9" t="s">
        <v>75</v>
      </c>
      <c r="F7" s="9" t="s">
        <v>12</v>
      </c>
      <c r="G7" s="9" t="s">
        <v>76</v>
      </c>
      <c r="H7" s="9" t="s">
        <v>77</v>
      </c>
      <c r="I7" s="9" t="s">
        <v>78</v>
      </c>
      <c r="J7" s="9" t="s">
        <v>358</v>
      </c>
      <c r="K7" s="9" t="s">
        <v>348</v>
      </c>
    </row>
    <row r="8" spans="2:11">
      <c r="C8" s="38"/>
      <c r="H8" s="35"/>
      <c r="I8" s="35"/>
    </row>
  </sheetData>
  <conditionalFormatting sqref="K8">
    <cfRule type="colorScale" priority="1">
      <colorScale>
        <cfvo type="num" val="0"/>
        <cfvo type="num" val="1"/>
        <color theme="0" tint="-0.249977111117893"/>
        <color rgb="FF00B050"/>
      </colorScale>
    </cfRule>
  </conditionalFormatting>
  <printOptions headings="1"/>
  <pageMargins left="0.25" right="0.25" top="0.75" bottom="0.75" header="0.3" footer="0.3"/>
  <pageSetup paperSize="9" scale="65" orientation="landscape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4:K8"/>
  <sheetViews>
    <sheetView showGridLines="0" workbookViewId="0">
      <selection activeCell="A8" sqref="A8:XFD10"/>
    </sheetView>
  </sheetViews>
  <sheetFormatPr baseColWidth="10" defaultRowHeight="17.25" customHeight="1"/>
  <cols>
    <col min="1" max="1" width="3.85546875" style="27" customWidth="1"/>
    <col min="2" max="2" width="20" style="27" customWidth="1"/>
    <col min="3" max="4" width="20.7109375" style="27" customWidth="1"/>
    <col min="5" max="5" width="35.42578125" style="27" customWidth="1"/>
    <col min="6" max="6" width="16.42578125" style="27" customWidth="1"/>
    <col min="7" max="7" width="47.42578125" style="27" customWidth="1"/>
    <col min="8" max="8" width="12.28515625" style="27" customWidth="1"/>
    <col min="9" max="10" width="18.42578125" style="27" customWidth="1"/>
    <col min="11" max="11" width="15.7109375" style="27" customWidth="1"/>
    <col min="12" max="16384" width="11.42578125" style="27"/>
  </cols>
  <sheetData>
    <row r="4" spans="2:11" ht="8.25" customHeight="1"/>
    <row r="5" spans="2:11" ht="5.25" customHeight="1"/>
    <row r="7" spans="2:11" s="44" customFormat="1" ht="17.25" customHeight="1" thickBot="1">
      <c r="B7" s="39" t="s">
        <v>350</v>
      </c>
      <c r="C7" s="40" t="s">
        <v>74</v>
      </c>
      <c r="D7" s="40" t="s">
        <v>361</v>
      </c>
      <c r="E7" s="40" t="s">
        <v>62</v>
      </c>
      <c r="F7" s="40" t="s">
        <v>75</v>
      </c>
      <c r="G7" s="40" t="s">
        <v>12</v>
      </c>
      <c r="H7" s="40" t="s">
        <v>76</v>
      </c>
      <c r="I7" s="40" t="s">
        <v>14</v>
      </c>
      <c r="J7" s="41" t="s">
        <v>78</v>
      </c>
      <c r="K7" s="40" t="s">
        <v>362</v>
      </c>
    </row>
    <row r="8" spans="2:11" ht="17.25" customHeight="1" thickTop="1">
      <c r="B8" s="18"/>
      <c r="C8" s="42"/>
      <c r="D8" s="42"/>
      <c r="E8" s="19"/>
      <c r="F8" s="19"/>
      <c r="G8" s="19"/>
      <c r="H8" s="19"/>
      <c r="I8" s="37"/>
      <c r="J8" s="43"/>
      <c r="K8" s="66"/>
    </row>
  </sheetData>
  <conditionalFormatting sqref="B8:K8">
    <cfRule type="expression" dxfId="0" priority="1">
      <formula>$K8="En Cours"</formula>
    </cfRule>
  </conditionalFormatting>
  <printOptions headings="1"/>
  <pageMargins left="0.25" right="0.25" top="0.75" bottom="0.75" header="0.3" footer="0.3"/>
  <pageSetup paperSize="9" scale="65" orientation="landscape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"/>
  <sheetViews>
    <sheetView showGridLines="0" workbookViewId="0">
      <selection activeCell="B7" sqref="B7"/>
    </sheetView>
  </sheetViews>
  <sheetFormatPr baseColWidth="10" defaultRowHeight="15"/>
  <cols>
    <col min="1" max="1" width="4.28515625" customWidth="1"/>
  </cols>
  <sheetData/>
  <pageMargins left="0.25" right="0.25" top="0.75" bottom="0.75" header="0.3" footer="0.3"/>
  <pageSetup scale="63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5:G39"/>
  <sheetViews>
    <sheetView showGridLines="0" view="pageLayout" topLeftCell="A24" zoomScaleNormal="100" workbookViewId="0">
      <selection activeCell="G9" sqref="G9"/>
    </sheetView>
  </sheetViews>
  <sheetFormatPr baseColWidth="10" defaultRowHeight="15"/>
  <cols>
    <col min="1" max="1" width="2.7109375" style="16" customWidth="1"/>
    <col min="2" max="2" width="6" style="16" customWidth="1"/>
    <col min="3" max="3" width="16.85546875" style="16" customWidth="1"/>
    <col min="4" max="4" width="37.140625" style="16" customWidth="1"/>
    <col min="5" max="5" width="6.5703125" style="16" customWidth="1"/>
    <col min="6" max="6" width="13.42578125" style="16" customWidth="1"/>
    <col min="7" max="7" width="16.5703125" style="16" customWidth="1"/>
    <col min="8" max="8" width="2.7109375" style="16" customWidth="1"/>
    <col min="9" max="16384" width="11.42578125" style="16"/>
  </cols>
  <sheetData>
    <row r="5" spans="2:7" ht="15" customHeight="1">
      <c r="E5" s="45"/>
      <c r="F5" s="80">
        <f ca="1">TODAY()</f>
        <v>43663</v>
      </c>
      <c r="G5" s="80"/>
    </row>
    <row r="13" spans="2:7">
      <c r="B13" s="79" t="s">
        <v>333</v>
      </c>
      <c r="C13" s="79"/>
      <c r="D13" s="51"/>
    </row>
    <row r="15" spans="2:7">
      <c r="B15" s="76" t="s">
        <v>35</v>
      </c>
      <c r="C15" s="76"/>
      <c r="D15" s="76"/>
    </row>
    <row r="16" spans="2:7">
      <c r="B16" s="76" t="s">
        <v>36</v>
      </c>
      <c r="C16" s="76"/>
      <c r="D16" s="76"/>
    </row>
    <row r="17" spans="2:7">
      <c r="B17" s="76" t="s">
        <v>37</v>
      </c>
      <c r="C17" s="76"/>
      <c r="D17" s="76"/>
    </row>
    <row r="19" spans="2:7">
      <c r="B19" s="9" t="s">
        <v>329</v>
      </c>
      <c r="C19" s="9" t="s">
        <v>38</v>
      </c>
      <c r="D19" s="9" t="s">
        <v>39</v>
      </c>
      <c r="E19" s="9" t="s">
        <v>40</v>
      </c>
      <c r="F19" s="9" t="s">
        <v>41</v>
      </c>
      <c r="G19" s="9" t="s">
        <v>42</v>
      </c>
    </row>
    <row r="20" spans="2:7">
      <c r="B20" s="16" t="str">
        <f t="shared" ref="B20:B26" si="0">IF(C20&lt;&gt;"",ROW()-19,"")</f>
        <v/>
      </c>
    </row>
    <row r="21" spans="2:7">
      <c r="B21" s="16" t="str">
        <f t="shared" si="0"/>
        <v/>
      </c>
    </row>
    <row r="22" spans="2:7">
      <c r="B22" s="16" t="str">
        <f t="shared" si="0"/>
        <v/>
      </c>
    </row>
    <row r="23" spans="2:7">
      <c r="B23" s="16" t="str">
        <f t="shared" si="0"/>
        <v/>
      </c>
    </row>
    <row r="24" spans="2:7">
      <c r="B24" s="16" t="str">
        <f t="shared" si="0"/>
        <v/>
      </c>
    </row>
    <row r="25" spans="2:7">
      <c r="B25" s="16" t="str">
        <f t="shared" si="0"/>
        <v/>
      </c>
    </row>
    <row r="26" spans="2:7">
      <c r="B26" s="16" t="str">
        <f t="shared" si="0"/>
        <v/>
      </c>
    </row>
    <row r="27" spans="2:7">
      <c r="F27" s="45" t="s">
        <v>45</v>
      </c>
      <c r="G27" s="46">
        <f>SUM(Tableau_ProForma[Prix T. HT])</f>
        <v>0</v>
      </c>
    </row>
    <row r="28" spans="2:7">
      <c r="F28" s="45" t="s">
        <v>46</v>
      </c>
      <c r="G28" s="47">
        <f>ROUND(G27*0.1925,0)</f>
        <v>0</v>
      </c>
    </row>
    <row r="29" spans="2:7">
      <c r="F29" s="45" t="s">
        <v>44</v>
      </c>
      <c r="G29" s="48">
        <f>ROUND(G27+G28,0)</f>
        <v>0</v>
      </c>
    </row>
    <row r="31" spans="2:7">
      <c r="B31" s="76" t="s">
        <v>47</v>
      </c>
      <c r="C31" s="76"/>
      <c r="D31" s="76"/>
      <c r="E31" s="76"/>
    </row>
    <row r="32" spans="2:7">
      <c r="B32" s="77" t="str">
        <f>ConvNumberLetter(G29,4,0,3,0)</f>
        <v>Zéro Fcfa</v>
      </c>
      <c r="C32" s="77"/>
      <c r="D32" s="77"/>
      <c r="E32" s="77"/>
      <c r="F32" s="77"/>
    </row>
    <row r="34" spans="2:7">
      <c r="B34" s="79" t="s">
        <v>49</v>
      </c>
      <c r="C34" s="79"/>
      <c r="D34" s="51" t="s">
        <v>50</v>
      </c>
    </row>
    <row r="35" spans="2:7">
      <c r="B35" s="79" t="s">
        <v>51</v>
      </c>
      <c r="C35" s="79"/>
      <c r="D35" s="76" t="s">
        <v>52</v>
      </c>
      <c r="E35" s="76"/>
      <c r="F35" s="76"/>
    </row>
    <row r="36" spans="2:7">
      <c r="B36" s="79" t="s">
        <v>334</v>
      </c>
      <c r="C36" s="79"/>
      <c r="D36" s="49">
        <f ca="1">F5+30</f>
        <v>43693</v>
      </c>
    </row>
    <row r="39" spans="2:7">
      <c r="E39" s="78" t="s">
        <v>43</v>
      </c>
      <c r="F39" s="78"/>
      <c r="G39" s="78"/>
    </row>
  </sheetData>
  <mergeCells count="12">
    <mergeCell ref="F5:G5"/>
    <mergeCell ref="B13:C13"/>
    <mergeCell ref="B15:D15"/>
    <mergeCell ref="B16:D16"/>
    <mergeCell ref="B17:D17"/>
    <mergeCell ref="B31:E31"/>
    <mergeCell ref="B32:F32"/>
    <mergeCell ref="E39:G39"/>
    <mergeCell ref="B34:C34"/>
    <mergeCell ref="B35:C35"/>
    <mergeCell ref="B36:C36"/>
    <mergeCell ref="D35:F35"/>
  </mergeCells>
  <pageMargins left="3.937007874015748E-2" right="3.937007874015748E-2" top="0.55118110236220474" bottom="0.55118110236220474" header="0.31496062992125984" footer="0.31496062992125984"/>
  <pageSetup paperSize="9" orientation="portrait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5:F45"/>
  <sheetViews>
    <sheetView showGridLines="0" view="pageLayout" zoomScaleNormal="100" workbookViewId="0">
      <selection activeCell="F27" sqref="F27"/>
    </sheetView>
  </sheetViews>
  <sheetFormatPr baseColWidth="10" defaultRowHeight="15" customHeight="1"/>
  <cols>
    <col min="1" max="1" width="6.28515625" style="16" customWidth="1"/>
    <col min="2" max="2" width="16.42578125" style="16" customWidth="1"/>
    <col min="3" max="3" width="53" style="16" customWidth="1"/>
    <col min="4" max="4" width="6.5703125" style="16" customWidth="1"/>
    <col min="5" max="5" width="12.28515625" style="16" customWidth="1"/>
    <col min="6" max="6" width="17.42578125" style="16" customWidth="1"/>
    <col min="7" max="7" width="3.5703125" style="16" customWidth="1"/>
    <col min="8" max="16384" width="11.42578125" style="16"/>
  </cols>
  <sheetData>
    <row r="5" spans="2:6" ht="15" customHeight="1">
      <c r="D5" s="45"/>
      <c r="E5" s="15" t="s">
        <v>34</v>
      </c>
      <c r="F5" s="53">
        <f ca="1">TODAY()</f>
        <v>43663</v>
      </c>
    </row>
    <row r="8" spans="2:6" ht="15" customHeight="1">
      <c r="E8" s="76" t="str">
        <f>IFERROR(INDEX(Facturer!E8:E8,MATCH(Facture!C16,Facturer!B8:B8,0)),"")</f>
        <v/>
      </c>
      <c r="F8" s="76"/>
    </row>
    <row r="9" spans="2:6" ht="15" customHeight="1">
      <c r="E9" s="76" t="str">
        <f>IFERROR(INDEX(Clients!D8:D8,MATCH(Facture!$E$8,Clients!C8:C8,0)),"")</f>
        <v/>
      </c>
      <c r="F9" s="76"/>
    </row>
    <row r="10" spans="2:6" ht="15" customHeight="1">
      <c r="E10" s="76" t="str">
        <f>IFERROR(INDEX(Clients!E8:E8,MATCH(Facture!$E$8,Clients!C8:C8,0)),"")</f>
        <v/>
      </c>
      <c r="F10" s="76"/>
    </row>
    <row r="11" spans="2:6" ht="15" customHeight="1">
      <c r="E11" s="82" t="str">
        <f>IFERROR(INDEX(Clients!F8:F8,MATCH(Facture!$E$8,Clients!C8:C8,0)),"")</f>
        <v/>
      </c>
      <c r="F11" s="82"/>
    </row>
    <row r="12" spans="2:6" ht="15" customHeight="1">
      <c r="E12" s="81"/>
      <c r="F12" s="81"/>
    </row>
    <row r="13" spans="2:6" ht="15" customHeight="1">
      <c r="E13" s="81"/>
      <c r="F13" s="81"/>
    </row>
    <row r="14" spans="2:6" ht="15" customHeight="1">
      <c r="E14" s="81"/>
      <c r="F14" s="81"/>
    </row>
    <row r="15" spans="2:6" ht="15" customHeight="1">
      <c r="E15" s="81"/>
      <c r="F15" s="81"/>
    </row>
    <row r="16" spans="2:6" ht="15" customHeight="1">
      <c r="B16" s="50" t="s">
        <v>48</v>
      </c>
      <c r="C16" s="51" t="s">
        <v>351</v>
      </c>
    </row>
    <row r="18" spans="1:6" ht="15" customHeight="1">
      <c r="A18" s="76" t="s">
        <v>35</v>
      </c>
      <c r="B18" s="76"/>
      <c r="C18" s="76"/>
    </row>
    <row r="19" spans="1:6" ht="15" customHeight="1">
      <c r="A19" s="76" t="s">
        <v>36</v>
      </c>
      <c r="B19" s="76"/>
      <c r="C19" s="76"/>
    </row>
    <row r="20" spans="1:6" ht="15" customHeight="1">
      <c r="A20" s="76" t="s">
        <v>54</v>
      </c>
      <c r="B20" s="76"/>
      <c r="C20" s="76"/>
    </row>
    <row r="22" spans="1:6" ht="15" customHeight="1">
      <c r="A22" s="9" t="s">
        <v>329</v>
      </c>
      <c r="B22" s="9" t="s">
        <v>38</v>
      </c>
      <c r="C22" s="9" t="s">
        <v>39</v>
      </c>
      <c r="D22" s="9" t="s">
        <v>40</v>
      </c>
      <c r="E22" s="9" t="s">
        <v>41</v>
      </c>
      <c r="F22" s="9" t="s">
        <v>42</v>
      </c>
    </row>
    <row r="23" spans="1:6" ht="15" customHeight="1">
      <c r="A23" s="16" t="str">
        <f t="shared" ref="A23:A29" si="0">IF(B23&lt;&gt;"",ROW()-22,"")</f>
        <v/>
      </c>
      <c r="E23" s="73"/>
      <c r="F23" s="73"/>
    </row>
    <row r="24" spans="1:6" ht="15" customHeight="1">
      <c r="A24" s="16" t="str">
        <f t="shared" si="0"/>
        <v/>
      </c>
      <c r="B24" s="16" t="str">
        <f t="array" ref="B24">IFERROR(INDEX(Tableau_Facturation[Ref. Article],SMALL(IF(Tableau_Facturation[ID Facture]=$C$16,ROW(Tableau_Facturation[Ref. Article])-7),ROW()-22)),"")</f>
        <v/>
      </c>
      <c r="E24" s="73"/>
      <c r="F24" s="73"/>
    </row>
    <row r="25" spans="1:6" ht="15" customHeight="1">
      <c r="A25" s="16" t="str">
        <f t="shared" si="0"/>
        <v/>
      </c>
      <c r="B25" s="16" t="str">
        <f t="array" ref="B25">IFERROR(INDEX(Tableau_Facturation[Ref. Article],SMALL(IF(Tableau_Facturation[ID Facture]=$C$16,ROW(Tableau_Facturation[Ref. Article])-7),ROW()-22)),"")</f>
        <v/>
      </c>
      <c r="C25" s="16" t="str">
        <f t="array" ref="C25">IFERROR(INDEX(Tableau_Facturation[Nom du Produit],SMALL(IF(Tableau_Facturation[ID Facture]=$C$16,ROW(Tableau_Facturation[Nom du Produit])-7),ROW()-22)),"")</f>
        <v/>
      </c>
      <c r="D25" s="16" t="str">
        <f t="array" ref="D25">IFERROR(INDEX(Tableau_Facturation[Quantité],SMALL(IF(Tableau_Facturation[ID Facture]=$C$16,ROW(Tableau_Facturation[Quantité])-7),ROW()-22)),"")</f>
        <v/>
      </c>
      <c r="E25" s="73" t="str">
        <f t="array" ref="E25">IFERROR(INDEX(Tableau_Facturation[Prix Unitaire],SMALL(IF(Tableau_Facturation[ID Facture]=$C$16,ROW(Tableau_Facturation[Prix Unitaire])-7),ROW()-22)),"")</f>
        <v/>
      </c>
      <c r="F25" s="73" t="str">
        <f>IFERROR(Tableau_Facture[[#This Row],[Prix U. HT]]*Tableau_Facture[[#This Row],[Qté]],"")</f>
        <v/>
      </c>
    </row>
    <row r="26" spans="1:6" ht="15" customHeight="1">
      <c r="A26" s="16" t="str">
        <f t="shared" si="0"/>
        <v/>
      </c>
      <c r="B26" s="16" t="str">
        <f t="array" ref="B26">IFERROR(INDEX(Tableau_Facturation[Ref. Article],SMALL(IF(Tableau_Facturation[ID Facture]=$C$16,ROW(Tableau_Facturation[Ref. Article])-7),ROW()-22)),"")</f>
        <v/>
      </c>
      <c r="C26" s="16" t="str">
        <f t="array" ref="C26">IFERROR(INDEX(Tableau_Facturation[Nom du Produit],SMALL(IF(Tableau_Facturation[ID Facture]=$C$16,ROW(Tableau_Facturation[Nom du Produit])-7),ROW()-22)),"")</f>
        <v/>
      </c>
      <c r="D26" s="16" t="str">
        <f t="array" ref="D26">IFERROR(INDEX(Tableau_Facturation[Quantité],SMALL(IF(Tableau_Facturation[ID Facture]=$C$16,ROW(Tableau_Facturation[Quantité])-7),ROW()-22)),"")</f>
        <v/>
      </c>
      <c r="E26" s="73" t="str">
        <f t="array" ref="E26">IFERROR(INDEX(Tableau_Facturation[Prix Unitaire],SMALL(IF(Tableau_Facturation[ID Facture]=$C$16,ROW(Tableau_Facturation[Prix Unitaire])-7),ROW()-22)),"")</f>
        <v/>
      </c>
      <c r="F26" s="73" t="str">
        <f>IFERROR(Tableau_Facture[[#This Row],[Prix U. HT]]*Tableau_Facture[[#This Row],[Qté]],"")</f>
        <v/>
      </c>
    </row>
    <row r="27" spans="1:6" ht="15" customHeight="1">
      <c r="A27" s="16" t="str">
        <f t="shared" si="0"/>
        <v/>
      </c>
      <c r="B27" s="16" t="str">
        <f t="array" ref="B27">IFERROR(INDEX(Tableau_Facturation[Ref. Article],SMALL(IF(Tableau_Facturation[ID Facture]=$C$16,ROW(Tableau_Facturation[Ref. Article])-7),ROW()-22)),"")</f>
        <v/>
      </c>
      <c r="C27" s="16" t="str">
        <f t="array" ref="C27">IFERROR(INDEX(Tableau_Facturation[Nom du Produit],SMALL(IF(Tableau_Facturation[ID Facture]=$C$16,ROW(Tableau_Facturation[Nom du Produit])-7),ROW()-22)),"")</f>
        <v/>
      </c>
      <c r="D27" s="16" t="str">
        <f t="array" ref="D27">IFERROR(INDEX(Tableau_Facturation[Quantité],SMALL(IF(Tableau_Facturation[ID Facture]=$C$16,ROW(Tableau_Facturation[Quantité])-7),ROW()-22)),"")</f>
        <v/>
      </c>
      <c r="E27" s="73" t="str">
        <f t="array" ref="E27">IFERROR(INDEX(Tableau_Facturation[Prix Unitaire],SMALL(IF(Tableau_Facturation[ID Facture]=$C$16,ROW(Tableau_Facturation[Prix Unitaire])-7),ROW()-22)),"")</f>
        <v/>
      </c>
      <c r="F27" s="73" t="str">
        <f>IFERROR(Tableau_Facture[[#This Row],[Prix U. HT]]*Tableau_Facture[[#This Row],[Qté]],"")</f>
        <v/>
      </c>
    </row>
    <row r="28" spans="1:6" ht="15" customHeight="1">
      <c r="A28" s="16" t="str">
        <f t="shared" si="0"/>
        <v/>
      </c>
      <c r="B28" s="16" t="str">
        <f t="array" ref="B28">IFERROR(INDEX(Tableau_Facturation[Ref. Article],SMALL(IF(Tableau_Facturation[ID Facture]=$C$16,ROW(Tableau_Facturation[Ref. Article])-7),ROW()-22)),"")</f>
        <v/>
      </c>
      <c r="C28" s="16" t="str">
        <f t="array" ref="C28">IFERROR(INDEX(Tableau_Facturation[Nom du Produit],SMALL(IF(Tableau_Facturation[ID Facture]=$C$16,ROW(Tableau_Facturation[Nom du Produit])-7),ROW()-22)),"")</f>
        <v/>
      </c>
      <c r="D28" s="16" t="str">
        <f t="array" ref="D28">IFERROR(INDEX(Tableau_Facturation[Quantité],SMALL(IF(Tableau_Facturation[ID Facture]=$C$16,ROW(Tableau_Facturation[Quantité])-7),ROW()-22)),"")</f>
        <v/>
      </c>
      <c r="E28" s="73" t="str">
        <f t="array" ref="E28">IFERROR(INDEX(Tableau_Facturation[Prix Unitaire],SMALL(IF(Tableau_Facturation[ID Facture]=$C$16,ROW(Tableau_Facturation[Prix Unitaire])-7),ROW()-22)),"")</f>
        <v/>
      </c>
      <c r="F28" s="73" t="str">
        <f>IFERROR(Tableau_Facture[[#This Row],[Prix U. HT]]*Tableau_Facture[[#This Row],[Qté]],"")</f>
        <v/>
      </c>
    </row>
    <row r="29" spans="1:6" ht="15" customHeight="1">
      <c r="A29" s="16" t="str">
        <f t="shared" si="0"/>
        <v/>
      </c>
      <c r="B29" s="16" t="str">
        <f t="array" ref="B29">IFERROR(INDEX(Tableau_Facturation[Ref. Article],SMALL(IF(Tableau_Facturation[ID Facture]=$C$16,ROW(Tableau_Facturation[Ref. Article])-7),ROW()-22)),"")</f>
        <v/>
      </c>
      <c r="C29" s="16" t="str">
        <f t="array" ref="C29">IFERROR(INDEX(Tableau_Facturation[Nom du Produit],SMALL(IF(Tableau_Facturation[ID Facture]=$C$16,ROW(Tableau_Facturation[Nom du Produit])-7),ROW()-22)),"")</f>
        <v/>
      </c>
      <c r="D29" s="16" t="str">
        <f t="array" ref="D29">IFERROR(INDEX(Tableau_Facturation[Quantité],SMALL(IF(Tableau_Facturation[ID Facture]=$C$16,ROW(Tableau_Facturation[Quantité])-7),ROW()-22)),"")</f>
        <v/>
      </c>
      <c r="E29" s="73" t="str">
        <f t="array" ref="E29">IFERROR(INDEX(Tableau_Facturation[Prix Unitaire],SMALL(IF(Tableau_Facturation[ID Facture]=$C$16,ROW(Tableau_Facturation[Prix Unitaire])-7),ROW()-22)),"")</f>
        <v/>
      </c>
      <c r="F29" s="73" t="str">
        <f>IFERROR(Tableau_Facture[[#This Row],[Prix U. HT]]*Tableau_Facture[[#This Row],[Qté]],"")</f>
        <v/>
      </c>
    </row>
    <row r="30" spans="1:6" ht="15" customHeight="1">
      <c r="E30" s="45" t="s">
        <v>45</v>
      </c>
      <c r="F30" s="56">
        <f>SUM(Tableau_Facture[Prix T. HT])</f>
        <v>0</v>
      </c>
    </row>
    <row r="31" spans="1:6" ht="15" customHeight="1">
      <c r="E31" s="45" t="s">
        <v>335</v>
      </c>
      <c r="F31" s="54">
        <f>ROUND(F30*0.1926,0)</f>
        <v>0</v>
      </c>
    </row>
    <row r="32" spans="1:6" ht="15" customHeight="1">
      <c r="E32" s="45" t="s">
        <v>44</v>
      </c>
      <c r="F32" s="55">
        <f>ROUND(F30+F31,0)</f>
        <v>0</v>
      </c>
    </row>
    <row r="33" spans="1:6" s="71" customFormat="1" ht="15" customHeight="1">
      <c r="E33" s="45"/>
    </row>
    <row r="35" spans="1:6" ht="15" customHeight="1">
      <c r="A35" s="76" t="s">
        <v>53</v>
      </c>
      <c r="B35" s="76"/>
      <c r="C35" s="76"/>
      <c r="D35" s="51"/>
    </row>
    <row r="36" spans="1:6" ht="15" customHeight="1">
      <c r="A36" s="77" t="str">
        <f>ConvNumberLetter(F32,4,0,3,0)</f>
        <v>Zéro Fcfa</v>
      </c>
      <c r="B36" s="77"/>
      <c r="C36" s="77"/>
      <c r="D36" s="77"/>
      <c r="E36" s="77"/>
    </row>
    <row r="37" spans="1:6" s="71" customFormat="1" ht="15" customHeight="1">
      <c r="A37" s="69"/>
      <c r="B37" s="69"/>
      <c r="C37" s="69"/>
      <c r="D37" s="69"/>
      <c r="E37" s="69"/>
    </row>
    <row r="39" spans="1:6" ht="15" customHeight="1">
      <c r="A39" s="79" t="s">
        <v>55</v>
      </c>
      <c r="B39" s="79"/>
      <c r="C39" s="83">
        <f ca="1">F5+15</f>
        <v>43678</v>
      </c>
      <c r="D39" s="76"/>
    </row>
    <row r="40" spans="1:6" ht="15" customHeight="1">
      <c r="A40" s="79" t="s">
        <v>56</v>
      </c>
      <c r="B40" s="79"/>
      <c r="C40" s="52"/>
      <c r="D40" s="52"/>
      <c r="E40" s="52"/>
    </row>
    <row r="41" spans="1:6" ht="15" customHeight="1">
      <c r="A41" s="79" t="s">
        <v>57</v>
      </c>
      <c r="B41" s="79"/>
      <c r="C41" s="49"/>
    </row>
    <row r="42" spans="1:6" s="71" customFormat="1" ht="15" customHeight="1">
      <c r="A42" s="68"/>
      <c r="B42" s="68"/>
      <c r="C42" s="70"/>
    </row>
    <row r="43" spans="1:6" s="71" customFormat="1" ht="15" customHeight="1">
      <c r="A43" s="68"/>
      <c r="B43" s="68"/>
      <c r="C43" s="70"/>
    </row>
    <row r="45" spans="1:6" ht="15" customHeight="1">
      <c r="D45" s="78" t="s">
        <v>58</v>
      </c>
      <c r="E45" s="78"/>
      <c r="F45" s="78"/>
    </row>
  </sheetData>
  <mergeCells count="18">
    <mergeCell ref="A35:C35"/>
    <mergeCell ref="A36:E36"/>
    <mergeCell ref="A40:B40"/>
    <mergeCell ref="A41:B41"/>
    <mergeCell ref="D45:F45"/>
    <mergeCell ref="A39:B39"/>
    <mergeCell ref="C39:D39"/>
    <mergeCell ref="A18:C18"/>
    <mergeCell ref="A19:C19"/>
    <mergeCell ref="A20:C20"/>
    <mergeCell ref="E15:F15"/>
    <mergeCell ref="E8:F8"/>
    <mergeCell ref="E10:F10"/>
    <mergeCell ref="E11:F11"/>
    <mergeCell ref="E12:F12"/>
    <mergeCell ref="E13:F13"/>
    <mergeCell ref="E14:F14"/>
    <mergeCell ref="E9:F9"/>
  </mergeCells>
  <pageMargins left="3.937007874015748E-2" right="3.937007874015748E-2" top="0.55118110236220474" bottom="0.55118110236220474" header="0.31496062992125984" footer="0.31496062992125984"/>
  <pageSetup paperSize="9" scale="89" orientation="portrait" r:id="rId1"/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6:F42"/>
  <sheetViews>
    <sheetView showGridLines="0" view="pageLayout" topLeftCell="A4" zoomScaleNormal="100" workbookViewId="0">
      <selection activeCell="D17" sqref="D17"/>
    </sheetView>
  </sheetViews>
  <sheetFormatPr baseColWidth="10" defaultRowHeight="15"/>
  <cols>
    <col min="1" max="1" width="7.140625" style="16" customWidth="1"/>
    <col min="2" max="2" width="18" style="16" customWidth="1"/>
    <col min="3" max="3" width="37" style="16" customWidth="1"/>
    <col min="4" max="4" width="6.5703125" style="16" customWidth="1"/>
    <col min="5" max="5" width="12.28515625" style="16" customWidth="1"/>
    <col min="6" max="6" width="18.7109375" style="16" customWidth="1"/>
    <col min="7" max="7" width="3.5703125" style="16" customWidth="1"/>
    <col min="8" max="16384" width="11.42578125" style="16"/>
  </cols>
  <sheetData>
    <row r="6" spans="1:6" ht="15.75">
      <c r="D6" s="45"/>
      <c r="E6" s="15" t="s">
        <v>34</v>
      </c>
      <c r="F6" s="53">
        <f ca="1">TODAY()</f>
        <v>43663</v>
      </c>
    </row>
    <row r="9" spans="1:6" ht="15" customHeight="1"/>
    <row r="10" spans="1:6" ht="19.5" customHeight="1">
      <c r="A10" s="79" t="s">
        <v>332</v>
      </c>
      <c r="B10" s="79"/>
      <c r="C10" s="51" t="s">
        <v>349</v>
      </c>
    </row>
    <row r="11" spans="1:6" ht="17.25" customHeight="1"/>
    <row r="12" spans="1:6" ht="17.25" customHeight="1">
      <c r="A12" s="85" t="s">
        <v>328</v>
      </c>
      <c r="B12" s="85"/>
      <c r="C12" s="85"/>
    </row>
    <row r="13" spans="1:6" ht="11.25" customHeight="1">
      <c r="A13" s="85"/>
      <c r="B13" s="85"/>
      <c r="C13" s="85"/>
    </row>
    <row r="14" spans="1:6" ht="17.25" customHeight="1">
      <c r="A14" s="52"/>
      <c r="B14" s="52"/>
      <c r="D14" s="57"/>
      <c r="E14" s="57"/>
    </row>
    <row r="15" spans="1:6" ht="17.25" customHeight="1">
      <c r="B15" s="60" t="s">
        <v>322</v>
      </c>
      <c r="C15" s="61"/>
      <c r="D15" s="58"/>
      <c r="E15" s="86" t="s">
        <v>63</v>
      </c>
      <c r="F15" s="86"/>
    </row>
    <row r="16" spans="1:6" ht="17.25" customHeight="1">
      <c r="B16" s="45" t="s">
        <v>326</v>
      </c>
      <c r="C16" s="52">
        <f>Config!C18</f>
        <v>0</v>
      </c>
      <c r="E16" s="89" t="str">
        <f>IFERROR(INDEX(Commander!D8:D8,MATCH('Bon de Commande'!C10,Commander!B8:B8,0)),"")</f>
        <v/>
      </c>
      <c r="F16" s="89"/>
    </row>
    <row r="17" spans="1:6" ht="17.25" customHeight="1">
      <c r="B17" s="45" t="s">
        <v>327</v>
      </c>
      <c r="C17" s="52">
        <f>Config!C19</f>
        <v>0</v>
      </c>
      <c r="E17" s="87" t="e">
        <f>INDEX(Tableau_Fournisseurs[Adresse],MATCH('Bon de Commande'!$E$16,Tableau_Fournisseurs[Nom du Fournisseur],0))</f>
        <v>#N/A</v>
      </c>
      <c r="F17" s="87"/>
    </row>
    <row r="18" spans="1:6" ht="17.25" customHeight="1">
      <c r="B18" s="45" t="s">
        <v>323</v>
      </c>
      <c r="C18" s="52">
        <f>Config!C20</f>
        <v>0</v>
      </c>
      <c r="E18" s="87" t="e">
        <f>INDEX(Tableau_Fournisseurs[BP],MATCH('Bon de Commande'!$E$16,Tableau_Fournisseurs[Nom du Fournisseur],0))</f>
        <v>#N/A</v>
      </c>
      <c r="F18" s="87"/>
    </row>
    <row r="19" spans="1:6" ht="17.25" customHeight="1">
      <c r="B19" s="45" t="s">
        <v>324</v>
      </c>
      <c r="C19" s="52">
        <f>Config!C21</f>
        <v>0</v>
      </c>
      <c r="E19" s="88" t="e">
        <f>INDEX(Tableau_Fournisseurs[Contact],MATCH('Bon de Commande'!$E$16,Tableau_Fournisseurs[Nom du Fournisseur],0))</f>
        <v>#N/A</v>
      </c>
      <c r="F19" s="88"/>
    </row>
    <row r="20" spans="1:6" ht="17.25" customHeight="1">
      <c r="B20" s="45" t="s">
        <v>325</v>
      </c>
      <c r="C20" s="52">
        <f>Config!C22</f>
        <v>0</v>
      </c>
      <c r="E20" s="87" t="e">
        <f>INDEX(Tableau_Fournisseurs[Mail],MATCH('Bon de Commande'!$E$16,Tableau_Fournisseurs[Nom du Fournisseur],0))</f>
        <v>#N/A</v>
      </c>
      <c r="F20" s="87"/>
    </row>
    <row r="22" spans="1:6" ht="15.75" thickBot="1">
      <c r="A22" s="11" t="s">
        <v>329</v>
      </c>
      <c r="B22" s="9" t="s">
        <v>38</v>
      </c>
      <c r="C22" s="9" t="s">
        <v>39</v>
      </c>
      <c r="D22" s="9" t="s">
        <v>40</v>
      </c>
      <c r="E22" s="9" t="s">
        <v>41</v>
      </c>
      <c r="F22" s="9" t="s">
        <v>42</v>
      </c>
    </row>
    <row r="23" spans="1:6" ht="15.75" thickTop="1">
      <c r="A23" s="16">
        <f t="shared" ref="A23:A33" si="0">IF(B23&lt;&gt;"",ROW()-22,"")</f>
        <v>1</v>
      </c>
      <c r="B23" s="16">
        <f t="array" ref="B23">IFERROR(INDEX(Tableau_Commande[Ref. Article],SMALL(IF(Tableau_Commande[ID Commande]='Bon de Commande'!$C$10,ROW(Tableau_Commande[Ref. Article])-7),ROW()-22)),"")</f>
        <v>0</v>
      </c>
      <c r="C23" s="16">
        <f t="array" ref="C23">IFERROR(INDEX(Tableau_Commande[Nom du Produit],SMALL(IF(Tableau_Commande[ID Commande]='Bon de Commande'!$C$10,ROW(Tableau_Commande[Ref. Article])-7),ROW()-22)),"")</f>
        <v>0</v>
      </c>
      <c r="D23" s="16">
        <f t="array" ref="D23">IFERROR(INDEX(Tableau_Commande[Quantité],SMALL(IF(Tableau_Commande[ID Commande]='Bon de Commande'!$C$10,ROW(Tableau_Commande[Ref. Article])-7),ROW()-22)),"")</f>
        <v>0</v>
      </c>
      <c r="E23" s="16">
        <f t="array" ref="E23">IFERROR(INDEX(Tableau_Commande[Prix d''achat],SMALL(IF(Tableau_Commande[ID Commande]='Bon de Commande'!$C$10,ROW(Tableau_Commande[Ref. Article])-7),ROW()-22)),"")</f>
        <v>0</v>
      </c>
      <c r="F23" s="16">
        <f t="array" ref="F23">IFERROR(Tableau_Bon_de_commande[[#This Row],[Prix U. HT]]*Tableau_Bon_de_commande[[#This Row],[Qté]],"")</f>
        <v>0</v>
      </c>
    </row>
    <row r="24" spans="1:6">
      <c r="A24" s="16" t="str">
        <f>IF(B24&lt;&gt;"",ROW()-22,"")</f>
        <v/>
      </c>
      <c r="B24" s="16" t="str">
        <f t="array" ref="B24">IFERROR(INDEX(Tableau_Commande[Ref. Article],SMALL(IF(Tableau_Commande[ID Commande]='Bon de Commande'!$C$10,ROW(Tableau_Commande[Ref. Article])-7),ROW()-22)),"")</f>
        <v/>
      </c>
      <c r="C24" s="16" t="str">
        <f t="array" ref="C24">IFERROR(INDEX(Tableau_Commande[Nom du Produit],SMALL(IF(Tableau_Commande[ID Commande]='Bon de Commande'!$C$10,ROW(Tableau_Commande[Ref. Article])-7),ROW()-22)),"")</f>
        <v/>
      </c>
      <c r="D24" s="16" t="str">
        <f t="array" ref="D24">IFERROR(INDEX(Tableau_Commande[Quantité],SMALL(IF(Tableau_Commande[ID Commande]='Bon de Commande'!$C$10,ROW(Tableau_Commande[Ref. Article])-7),ROW()-22)),"")</f>
        <v/>
      </c>
      <c r="E24" s="16" t="str">
        <f t="array" ref="E24">IFERROR(INDEX(Tableau_Commande[Prix d''achat],SMALL(IF(Tableau_Commande[ID Commande]='Bon de Commande'!$C$10,ROW(Tableau_Commande[Ref. Article])-7),ROW()-22)),"")</f>
        <v/>
      </c>
      <c r="F24" s="16" t="str">
        <f t="array" ref="F24">IFERROR(Tableau_Bon_de_commande[[#This Row],[Prix U. HT]]*Tableau_Bon_de_commande[[#This Row],[Qté]],"")</f>
        <v/>
      </c>
    </row>
    <row r="25" spans="1:6">
      <c r="A25" s="16" t="str">
        <f t="shared" si="0"/>
        <v/>
      </c>
      <c r="B25" s="16" t="str">
        <f t="array" ref="B25">IFERROR(INDEX(Tableau_Commande[Ref. Article],SMALL(IF(Tableau_Commande[ID Commande]='Bon de Commande'!$C$10,ROW(Tableau_Commande[Ref. Article])-7),ROW()-22)),"")</f>
        <v/>
      </c>
      <c r="C25" s="16" t="str">
        <f t="array" ref="C25">IFERROR(INDEX(Tableau_Commande[Nom du Produit],SMALL(IF(Tableau_Commande[ID Commande]='Bon de Commande'!$C$10,ROW(Tableau_Commande[Ref. Article])-7),ROW()-22)),"")</f>
        <v/>
      </c>
      <c r="D25" s="16" t="str">
        <f t="array" ref="D25">IFERROR(INDEX(Tableau_Commande[Quantité],SMALL(IF(Tableau_Commande[ID Commande]='Bon de Commande'!$C$10,ROW(Tableau_Commande[Ref. Article])-7),ROW()-22)),"")</f>
        <v/>
      </c>
      <c r="E25" s="16" t="str">
        <f t="array" ref="E25">IFERROR(INDEX(Tableau_Commande[Prix d''achat],SMALL(IF(Tableau_Commande[ID Commande]='Bon de Commande'!$C$10,ROW(Tableau_Commande[Ref. Article])-7),ROW()-22)),"")</f>
        <v/>
      </c>
      <c r="F25" s="16" t="str">
        <f t="array" ref="F25">IFERROR(Tableau_Bon_de_commande[[#This Row],[Prix U. HT]]*Tableau_Bon_de_commande[[#This Row],[Qté]],"")</f>
        <v/>
      </c>
    </row>
    <row r="26" spans="1:6">
      <c r="A26" s="16" t="str">
        <f t="shared" si="0"/>
        <v/>
      </c>
      <c r="B26" s="16" t="str">
        <f t="array" ref="B26">IFERROR(INDEX(Tableau_Commande[Ref. Article],SMALL(IF(Tableau_Commande[ID Commande]='Bon de Commande'!$C$10,ROW(Tableau_Commande[Ref. Article])-7),ROW()-22)),"")</f>
        <v/>
      </c>
      <c r="C26" s="16" t="str">
        <f t="array" ref="C26">IFERROR(INDEX(Tableau_Commande[Nom du Produit],SMALL(IF(Tableau_Commande[ID Commande]='Bon de Commande'!$C$10,ROW(Tableau_Commande[Ref. Article])-7),ROW()-22)),"")</f>
        <v/>
      </c>
      <c r="D26" s="16" t="str">
        <f t="array" ref="D26">IFERROR(INDEX(Tableau_Commande[Quantité],SMALL(IF(Tableau_Commande[ID Commande]='Bon de Commande'!$C$10,ROW(Tableau_Commande[Ref. Article])-7),ROW()-22)),"")</f>
        <v/>
      </c>
      <c r="E26" s="16" t="str">
        <f t="array" ref="E26">IFERROR(INDEX(Tableau_Commande[Prix d''achat],SMALL(IF(Tableau_Commande[ID Commande]='Bon de Commande'!$C$10,ROW(Tableau_Commande[Ref. Article])-7),ROW()-22)),"")</f>
        <v/>
      </c>
      <c r="F26" s="16" t="str">
        <f t="array" ref="F26">IFERROR(Tableau_Bon_de_commande[[#This Row],[Prix U. HT]]*Tableau_Bon_de_commande[[#This Row],[Qté]],"")</f>
        <v/>
      </c>
    </row>
    <row r="27" spans="1:6">
      <c r="A27" s="16" t="str">
        <f t="shared" si="0"/>
        <v/>
      </c>
      <c r="B27" s="16" t="str">
        <f t="array" ref="B27">IFERROR(INDEX(Tableau_Commande[Ref. Article],SMALL(IF(Tableau_Commande[ID Commande]='Bon de Commande'!$C$10,ROW(Tableau_Commande[Ref. Article])-7),ROW()-22)),"")</f>
        <v/>
      </c>
      <c r="C27" s="16" t="str">
        <f t="array" ref="C27">IFERROR(INDEX(Tableau_Commande[Nom du Produit],SMALL(IF(Tableau_Commande[ID Commande]='Bon de Commande'!$C$10,ROW(Tableau_Commande[Ref. Article])-7),ROW()-22)),"")</f>
        <v/>
      </c>
      <c r="D27" s="16" t="str">
        <f t="array" ref="D27">IFERROR(INDEX(Tableau_Commande[Quantité],SMALL(IF(Tableau_Commande[ID Commande]='Bon de Commande'!$C$10,ROW(Tableau_Commande[Ref. Article])-7),ROW()-22)),"")</f>
        <v/>
      </c>
      <c r="E27" s="16" t="str">
        <f t="array" ref="E27">IFERROR(INDEX(Tableau_Commande[Prix d''achat],SMALL(IF(Tableau_Commande[ID Commande]='Bon de Commande'!$C$10,ROW(Tableau_Commande[Ref. Article])-7),ROW()-22)),"")</f>
        <v/>
      </c>
      <c r="F27" s="16" t="str">
        <f t="array" ref="F27">IFERROR(Tableau_Bon_de_commande[[#This Row],[Prix U. HT]]*Tableau_Bon_de_commande[[#This Row],[Qté]],"")</f>
        <v/>
      </c>
    </row>
    <row r="28" spans="1:6">
      <c r="A28" s="16" t="str">
        <f t="shared" si="0"/>
        <v/>
      </c>
      <c r="B28" s="16" t="str">
        <f t="array" ref="B28">IFERROR(INDEX(Tableau_Commande[Ref. Article],SMALL(IF(Tableau_Commande[ID Commande]='Bon de Commande'!$C$10,ROW(Tableau_Commande[Ref. Article])-7),ROW()-22)),"")</f>
        <v/>
      </c>
      <c r="C28" s="16" t="str">
        <f t="array" ref="C28">IFERROR(INDEX(Tableau_Commande[Nom du Produit],SMALL(IF(Tableau_Commande[ID Commande]='Bon de Commande'!$C$10,ROW(Tableau_Commande[Ref. Article])-7),ROW()-22)),"")</f>
        <v/>
      </c>
      <c r="D28" s="16" t="str">
        <f t="array" ref="D28">IFERROR(INDEX(Tableau_Commande[Quantité],SMALL(IF(Tableau_Commande[ID Commande]='Bon de Commande'!$C$10,ROW(Tableau_Commande[Ref. Article])-7),ROW()-22)),"")</f>
        <v/>
      </c>
      <c r="E28" s="16" t="str">
        <f t="array" ref="E28">IFERROR(INDEX(Tableau_Commande[Prix d''achat],SMALL(IF(Tableau_Commande[ID Commande]='Bon de Commande'!$C$10,ROW(Tableau_Commande[Ref. Article])-7),ROW()-22)),"")</f>
        <v/>
      </c>
      <c r="F28" s="16" t="str">
        <f t="array" ref="F28">IFERROR(Tableau_Bon_de_commande[[#This Row],[Prix U. HT]]*Tableau_Bon_de_commande[[#This Row],[Qté]],"")</f>
        <v/>
      </c>
    </row>
    <row r="29" spans="1:6">
      <c r="A29" s="16" t="str">
        <f t="shared" si="0"/>
        <v/>
      </c>
      <c r="B29" s="16" t="str">
        <f t="array" ref="B29">IFERROR(INDEX(Tableau_Commande[Ref. Article],SMALL(IF(Tableau_Commande[ID Commande]='Bon de Commande'!$C$10,ROW(Tableau_Commande[Ref. Article])-7),ROW()-22)),"")</f>
        <v/>
      </c>
      <c r="C29" s="16" t="str">
        <f t="array" ref="C29">IFERROR(INDEX(Tableau_Commande[Nom du Produit],SMALL(IF(Tableau_Commande[ID Commande]='Bon de Commande'!$C$10,ROW(Tableau_Commande[Ref. Article])-7),ROW()-22)),"")</f>
        <v/>
      </c>
      <c r="D29" s="16" t="str">
        <f t="array" ref="D29">IFERROR(INDEX(Tableau_Commande[Quantité],SMALL(IF(Tableau_Commande[ID Commande]='Bon de Commande'!$C$10,ROW(Tableau_Commande[Ref. Article])-7),ROW()-22)),"")</f>
        <v/>
      </c>
      <c r="E29" s="16" t="str">
        <f t="array" ref="E29">IFERROR(INDEX(Tableau_Commande[Prix d''achat],SMALL(IF(Tableau_Commande[ID Commande]='Bon de Commande'!$C$10,ROW(Tableau_Commande[Ref. Article])-7),ROW()-22)),"")</f>
        <v/>
      </c>
      <c r="F29" s="16" t="str">
        <f t="array" ref="F29">IFERROR(Tableau_Bon_de_commande[[#This Row],[Prix U. HT]]*Tableau_Bon_de_commande[[#This Row],[Qté]],"")</f>
        <v/>
      </c>
    </row>
    <row r="30" spans="1:6">
      <c r="A30" s="16" t="str">
        <f t="shared" si="0"/>
        <v/>
      </c>
      <c r="B30" s="16" t="str">
        <f t="array" ref="B30">IFERROR(INDEX(Tableau_Commande[Ref. Article],SMALL(IF(Tableau_Commande[ID Commande]='Bon de Commande'!$C$10,ROW(Tableau_Commande[Ref. Article])-7),ROW()-22)),"")</f>
        <v/>
      </c>
      <c r="C30" s="16" t="str">
        <f t="array" ref="C30">IFERROR(INDEX(Tableau_Commande[Nom du Produit],SMALL(IF(Tableau_Commande[ID Commande]='Bon de Commande'!$C$10,ROW(Tableau_Commande[Ref. Article])-7),ROW()-22)),"")</f>
        <v/>
      </c>
      <c r="D30" s="16" t="str">
        <f t="array" ref="D30">IFERROR(INDEX(Tableau_Commande[Quantité],SMALL(IF(Tableau_Commande[ID Commande]='Bon de Commande'!$C$10,ROW(Tableau_Commande[Ref. Article])-7),ROW()-22)),"")</f>
        <v/>
      </c>
      <c r="E30" s="16" t="str">
        <f t="array" ref="E30">IFERROR(INDEX(Tableau_Commande[Prix d''achat],SMALL(IF(Tableau_Commande[ID Commande]='Bon de Commande'!$C$10,ROW(Tableau_Commande[Ref. Article])-7),ROW()-22)),"")</f>
        <v/>
      </c>
      <c r="F30" s="16" t="str">
        <f t="array" ref="F30">IFERROR(Tableau_Bon_de_commande[[#This Row],[Prix U. HT]]*Tableau_Bon_de_commande[[#This Row],[Qté]],"")</f>
        <v/>
      </c>
    </row>
    <row r="31" spans="1:6">
      <c r="A31" s="16" t="str">
        <f t="shared" si="0"/>
        <v/>
      </c>
      <c r="B31" s="16" t="str">
        <f t="array" ref="B31">IFERROR(INDEX(Tableau_Commande[Ref. Article],SMALL(IF(Tableau_Commande[ID Commande]='Bon de Commande'!$C$10,ROW(Tableau_Commande[Ref. Article])-7),ROW()-22)),"")</f>
        <v/>
      </c>
      <c r="C31" s="16" t="str">
        <f t="array" ref="C31">IFERROR(INDEX(Tableau_Commande[Nom du Produit],SMALL(IF(Tableau_Commande[ID Commande]='Bon de Commande'!$C$10,ROW(Tableau_Commande[Ref. Article])-7),ROW()-22)),"")</f>
        <v/>
      </c>
      <c r="D31" s="16" t="str">
        <f t="array" ref="D31">IFERROR(INDEX(Tableau_Commande[Quantité],SMALL(IF(Tableau_Commande[ID Commande]='Bon de Commande'!$C$10,ROW(Tableau_Commande[Ref. Article])-7),ROW()-22)),"")</f>
        <v/>
      </c>
      <c r="E31" s="16" t="str">
        <f t="array" ref="E31">IFERROR(INDEX(Tableau_Commande[Prix d''achat],SMALL(IF(Tableau_Commande[ID Commande]='Bon de Commande'!$C$10,ROW(Tableau_Commande[Ref. Article])-7),ROW()-22)),"")</f>
        <v/>
      </c>
      <c r="F31" s="16" t="str">
        <f t="array" ref="F31">IFERROR(Tableau_Bon_de_commande[[#This Row],[Prix U. HT]]*Tableau_Bon_de_commande[[#This Row],[Qté]],"")</f>
        <v/>
      </c>
    </row>
    <row r="32" spans="1:6">
      <c r="A32" s="16" t="str">
        <f t="shared" si="0"/>
        <v/>
      </c>
      <c r="B32" s="16" t="str">
        <f t="array" ref="B32">IFERROR(INDEX(Tableau_Commande[Ref. Article],SMALL(IF(Tableau_Commande[ID Commande]='Bon de Commande'!$C$10,ROW(Tableau_Commande[Ref. Article])-7),ROW()-22)),"")</f>
        <v/>
      </c>
      <c r="C32" s="16" t="str">
        <f t="array" ref="C32">IFERROR(INDEX(Tableau_Commande[Nom du Produit],SMALL(IF(Tableau_Commande[ID Commande]='Bon de Commande'!$C$10,ROW(Tableau_Commande[Ref. Article])-7),ROW()-22)),"")</f>
        <v/>
      </c>
      <c r="D32" s="16" t="str">
        <f t="array" ref="D32">IFERROR(INDEX(Tableau_Commande[Quantité],SMALL(IF(Tableau_Commande[ID Commande]='Bon de Commande'!$C$10,ROW(Tableau_Commande[Ref. Article])-7),ROW()-22)),"")</f>
        <v/>
      </c>
      <c r="E32" s="16" t="str">
        <f t="array" ref="E32">IFERROR(INDEX(Tableau_Commande[Prix d''achat],SMALL(IF(Tableau_Commande[ID Commande]='Bon de Commande'!$C$10,ROW(Tableau_Commande[Ref. Article])-7),ROW()-22)),"")</f>
        <v/>
      </c>
      <c r="F32" s="16" t="str">
        <f t="array" ref="F32">IFERROR(Tableau_Bon_de_commande[[#This Row],[Prix U. HT]]*Tableau_Bon_de_commande[[#This Row],[Qté]],"")</f>
        <v/>
      </c>
    </row>
    <row r="33" spans="1:6">
      <c r="A33" s="16" t="str">
        <f t="shared" si="0"/>
        <v/>
      </c>
      <c r="B33" s="16" t="str">
        <f t="array" ref="B33">IFERROR(INDEX(Tableau_Commande[Ref. Article],SMALL(IF(Tableau_Commande[ID Commande]='Bon de Commande'!$C$10,ROW(Tableau_Commande[Ref. Article])-7),ROW()-22)),"")</f>
        <v/>
      </c>
      <c r="C33" s="16" t="str">
        <f t="array" ref="C33">IFERROR(INDEX(Tableau_Commande[Nom du Produit],SMALL(IF(Tableau_Commande[ID Commande]='Bon de Commande'!$C$10,ROW(Tableau_Commande[Ref. Article])-7),ROW()-22)),"")</f>
        <v/>
      </c>
      <c r="D33" s="16" t="str">
        <f t="array" ref="D33">IFERROR(INDEX(Tableau_Commande[Quantité],SMALL(IF(Tableau_Commande[ID Commande]='Bon de Commande'!$C$10,ROW(Tableau_Commande[Ref. Article])-7),ROW()-22)),"")</f>
        <v/>
      </c>
      <c r="E33" s="16" t="str">
        <f t="array" ref="E33">IFERROR(INDEX(Tableau_Commande[Prix d''achat],SMALL(IF(Tableau_Commande[ID Commande]='Bon de Commande'!$C$10,ROW(Tableau_Commande[Ref. Article])-7),ROW()-22)),"")</f>
        <v/>
      </c>
      <c r="F33" s="16" t="str">
        <f t="array" ref="F33">IFERROR(Tableau_Bon_de_commande[[#This Row],[Prix U. HT]]*Tableau_Bon_de_commande[[#This Row],[Qté]],"")</f>
        <v/>
      </c>
    </row>
    <row r="34" spans="1:6">
      <c r="E34" s="45" t="s">
        <v>45</v>
      </c>
      <c r="F34" s="64">
        <f>SUM(Tableau_Bon_de_commande[Prix T. HT])</f>
        <v>0</v>
      </c>
    </row>
    <row r="35" spans="1:6">
      <c r="A35" s="85"/>
      <c r="B35" s="85"/>
      <c r="C35" s="85"/>
      <c r="E35" s="45" t="s">
        <v>330</v>
      </c>
      <c r="F35" s="62">
        <f>ROUND(F34*0.1926,0)</f>
        <v>0</v>
      </c>
    </row>
    <row r="36" spans="1:6">
      <c r="A36" s="85"/>
      <c r="B36" s="85"/>
      <c r="C36" s="85"/>
      <c r="E36" s="45" t="s">
        <v>44</v>
      </c>
      <c r="F36" s="63">
        <f>ROUND(F34+F35,0)</f>
        <v>0</v>
      </c>
    </row>
    <row r="37" spans="1:6">
      <c r="A37" s="85"/>
      <c r="B37" s="85"/>
      <c r="C37" s="85"/>
    </row>
    <row r="38" spans="1:6">
      <c r="A38" s="85"/>
      <c r="B38" s="85"/>
      <c r="C38" s="85"/>
      <c r="D38" s="52"/>
    </row>
    <row r="39" spans="1:6">
      <c r="A39" s="85"/>
      <c r="B39" s="85"/>
      <c r="C39" s="85"/>
      <c r="D39" s="59"/>
      <c r="E39" s="59"/>
    </row>
    <row r="40" spans="1:6">
      <c r="A40" s="59"/>
      <c r="B40" s="59"/>
      <c r="C40" s="49"/>
    </row>
    <row r="42" spans="1:6" ht="15.75">
      <c r="D42" s="84" t="s">
        <v>58</v>
      </c>
      <c r="E42" s="84"/>
      <c r="F42" s="84"/>
    </row>
  </sheetData>
  <mergeCells count="10">
    <mergeCell ref="D42:F42"/>
    <mergeCell ref="A35:C39"/>
    <mergeCell ref="A10:B10"/>
    <mergeCell ref="A12:C13"/>
    <mergeCell ref="E15:F15"/>
    <mergeCell ref="E20:F20"/>
    <mergeCell ref="E19:F19"/>
    <mergeCell ref="E18:F18"/>
    <mergeCell ref="E17:F17"/>
    <mergeCell ref="E16:F16"/>
  </mergeCells>
  <pageMargins left="0.31496062992125984" right="0" top="0" bottom="0" header="1.2598425196850394" footer="0.78740157480314965"/>
  <pageSetup paperSize="9" orientation="portrait" horizontalDpi="1200" r:id="rId1"/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3:G8"/>
  <sheetViews>
    <sheetView showGridLines="0" workbookViewId="0">
      <selection activeCell="E17" sqref="E17"/>
    </sheetView>
  </sheetViews>
  <sheetFormatPr baseColWidth="10" defaultRowHeight="17.25" customHeight="1"/>
  <cols>
    <col min="1" max="1" width="4.140625" style="16" customWidth="1"/>
    <col min="2" max="2" width="21.140625" style="16" customWidth="1"/>
    <col min="3" max="3" width="38.5703125" style="16" customWidth="1"/>
    <col min="4" max="4" width="49.5703125" style="16" customWidth="1"/>
    <col min="5" max="5" width="24.140625" style="16" customWidth="1"/>
    <col min="6" max="6" width="21.5703125" style="16" customWidth="1"/>
    <col min="7" max="7" width="21.7109375" style="16" customWidth="1"/>
    <col min="8" max="16384" width="11.42578125" style="16"/>
  </cols>
  <sheetData>
    <row r="3" spans="2:7" ht="9" customHeight="1"/>
    <row r="5" spans="2:7" ht="9.75" customHeight="1"/>
    <row r="6" spans="2:7" ht="12" customHeight="1"/>
    <row r="7" spans="2:7" s="17" customFormat="1" ht="17.25" customHeight="1">
      <c r="B7" s="9" t="s">
        <v>346</v>
      </c>
      <c r="C7" s="9" t="s">
        <v>363</v>
      </c>
      <c r="D7" s="9" t="s">
        <v>364</v>
      </c>
      <c r="E7" s="9" t="s">
        <v>347</v>
      </c>
      <c r="F7" s="9" t="s">
        <v>76</v>
      </c>
      <c r="G7" s="9" t="s">
        <v>357</v>
      </c>
    </row>
    <row r="8" spans="2:7" ht="17.25" customHeight="1">
      <c r="G8" s="16" t="str">
        <f>IF(Tableau8[Type]="Sortie",COUNTIFS(Tableau8[Type],"Sortie",Tableau8[Quantité],"&lt;"&amp;Tableau8[Quantité])+1,"")</f>
        <v/>
      </c>
    </row>
  </sheetData>
  <dataValidations count="1">
    <dataValidation type="list" allowBlank="1" showInputMessage="1" showErrorMessage="1" sqref="B8">
      <formula1>"Entrée,Sortie"</formula1>
    </dataValidation>
  </dataValidations>
  <printOptions headings="1"/>
  <pageMargins left="0.25" right="0.25" top="0.75" bottom="0.75" header="0.3" footer="0.3"/>
  <pageSetup paperSize="9" scale="55" orientation="portrait" r:id="rId1"/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L37" sqref="L37"/>
    </sheetView>
  </sheetViews>
  <sheetFormatPr baseColWidth="10"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O35" sqref="O35"/>
    </sheetView>
  </sheetViews>
  <sheetFormatPr baseColWidth="10" defaultRowHeight="1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:W238"/>
  <sheetViews>
    <sheetView tabSelected="1" workbookViewId="0">
      <selection activeCell="S37" sqref="S36:S37"/>
    </sheetView>
  </sheetViews>
  <sheetFormatPr baseColWidth="10" defaultRowHeight="17.25"/>
  <cols>
    <col min="1" max="1" width="11.42578125" style="1"/>
    <col min="2" max="2" width="26.42578125" style="1" customWidth="1"/>
    <col min="3" max="4" width="21.5703125" style="1" customWidth="1"/>
    <col min="5" max="5" width="26" style="1" customWidth="1"/>
    <col min="6" max="6" width="23" style="1" customWidth="1"/>
    <col min="7" max="7" width="22.7109375" style="1" customWidth="1"/>
    <col min="8" max="9" width="11.42578125" style="1"/>
    <col min="10" max="11" width="11.28515625" style="1" customWidth="1"/>
    <col min="12" max="13" width="11.42578125" style="1"/>
    <col min="14" max="14" width="4.5703125" style="1" customWidth="1"/>
    <col min="15" max="15" width="37.140625" style="7" bestFit="1" customWidth="1"/>
    <col min="16" max="16" width="17.140625" style="7" customWidth="1"/>
    <col min="17" max="18" width="11.42578125" style="1"/>
    <col min="19" max="19" width="29.5703125" style="1" customWidth="1"/>
    <col min="20" max="20" width="23" style="1" customWidth="1"/>
    <col min="21" max="21" width="22.42578125" style="1" customWidth="1"/>
    <col min="22" max="16384" width="11.42578125" style="1"/>
  </cols>
  <sheetData>
    <row r="1" spans="2:23">
      <c r="I1" s="4"/>
      <c r="J1" s="4"/>
    </row>
    <row r="3" spans="2:23" ht="18" thickBot="1">
      <c r="B3" s="14" t="s">
        <v>60</v>
      </c>
      <c r="C3" s="2"/>
      <c r="D3" s="2"/>
      <c r="E3" s="2"/>
      <c r="O3" s="10" t="s">
        <v>85</v>
      </c>
      <c r="P3" s="10" t="s">
        <v>86</v>
      </c>
      <c r="S3" s="10" t="s">
        <v>336</v>
      </c>
      <c r="T3" s="2"/>
      <c r="U3" s="2"/>
      <c r="V3" s="2"/>
      <c r="W3" s="2"/>
    </row>
    <row r="5" spans="2:23">
      <c r="B5" s="13" t="s">
        <v>62</v>
      </c>
      <c r="C5" s="13" t="s">
        <v>69</v>
      </c>
      <c r="D5" s="13">
        <v>3</v>
      </c>
      <c r="E5" s="92" t="str">
        <f t="shared" ref="E5:E12" si="0">CONCATENATE(C5,TEXT(D5,"0000"))</f>
        <v>CLT- 0003</v>
      </c>
      <c r="F5" s="92"/>
      <c r="O5" s="8" t="s">
        <v>88</v>
      </c>
      <c r="P5" s="7" t="s">
        <v>31</v>
      </c>
      <c r="S5" s="7" t="s">
        <v>337</v>
      </c>
      <c r="T5" s="7" t="s">
        <v>338</v>
      </c>
      <c r="U5" s="7" t="s">
        <v>339</v>
      </c>
    </row>
    <row r="6" spans="2:23">
      <c r="B6" s="13" t="s">
        <v>63</v>
      </c>
      <c r="C6" s="13" t="s">
        <v>70</v>
      </c>
      <c r="D6" s="13">
        <v>3</v>
      </c>
      <c r="E6" s="92" t="str">
        <f t="shared" si="0"/>
        <v>FOUR - 0003</v>
      </c>
      <c r="F6" s="92"/>
      <c r="O6" s="8" t="s">
        <v>89</v>
      </c>
      <c r="P6" s="7" t="s">
        <v>87</v>
      </c>
      <c r="S6" s="7"/>
      <c r="T6" s="7"/>
      <c r="U6" s="7"/>
    </row>
    <row r="7" spans="2:23">
      <c r="B7" s="13" t="s">
        <v>61</v>
      </c>
      <c r="C7" s="13" t="s">
        <v>68</v>
      </c>
      <c r="D7" s="13">
        <v>1</v>
      </c>
      <c r="E7" s="92" t="str">
        <f t="shared" si="0"/>
        <v>ART- 0001</v>
      </c>
      <c r="F7" s="92"/>
      <c r="O7" s="8" t="s">
        <v>90</v>
      </c>
      <c r="S7" s="7"/>
      <c r="T7" s="7"/>
      <c r="U7" s="7"/>
    </row>
    <row r="8" spans="2:23" s="3" customFormat="1">
      <c r="B8" s="13" t="s">
        <v>80</v>
      </c>
      <c r="C8" s="13" t="s">
        <v>81</v>
      </c>
      <c r="D8" s="13">
        <v>1</v>
      </c>
      <c r="E8" s="92" t="str">
        <f t="shared" si="0"/>
        <v>SERV - 0001</v>
      </c>
      <c r="F8" s="92"/>
      <c r="O8" s="8" t="s">
        <v>91</v>
      </c>
      <c r="P8" s="7"/>
      <c r="S8" s="7"/>
      <c r="T8" s="7"/>
      <c r="U8" s="7"/>
    </row>
    <row r="9" spans="2:23">
      <c r="B9" s="13" t="s">
        <v>72</v>
      </c>
      <c r="C9" s="13" t="s">
        <v>73</v>
      </c>
      <c r="D9" s="13">
        <v>3</v>
      </c>
      <c r="E9" s="92" t="str">
        <f t="shared" si="0"/>
        <v>ORDER - 0003</v>
      </c>
      <c r="F9" s="92"/>
      <c r="O9" s="8" t="s">
        <v>92</v>
      </c>
      <c r="S9" s="7"/>
      <c r="T9" s="7"/>
      <c r="U9" s="7"/>
    </row>
    <row r="10" spans="2:23">
      <c r="B10" s="13" t="s">
        <v>64</v>
      </c>
      <c r="C10" s="13" t="s">
        <v>67</v>
      </c>
      <c r="D10" s="13">
        <v>1</v>
      </c>
      <c r="E10" s="92" t="str">
        <f t="shared" si="0"/>
        <v>PRO FORMA N°0001</v>
      </c>
      <c r="F10" s="92"/>
      <c r="O10" s="8" t="s">
        <v>93</v>
      </c>
      <c r="S10" s="7"/>
      <c r="T10" s="7"/>
      <c r="U10" s="7"/>
    </row>
    <row r="11" spans="2:23">
      <c r="B11" s="13" t="s">
        <v>65</v>
      </c>
      <c r="C11" s="13" t="s">
        <v>66</v>
      </c>
      <c r="D11" s="13">
        <v>3</v>
      </c>
      <c r="E11" s="92" t="str">
        <f t="shared" si="0"/>
        <v>FACTURE N°0003</v>
      </c>
      <c r="F11" s="92"/>
      <c r="O11" s="8" t="s">
        <v>94</v>
      </c>
      <c r="S11" s="7"/>
      <c r="T11" s="7"/>
      <c r="U11" s="7"/>
    </row>
    <row r="12" spans="2:23">
      <c r="B12" s="13" t="s">
        <v>353</v>
      </c>
      <c r="C12" s="13" t="s">
        <v>354</v>
      </c>
      <c r="D12" s="13">
        <v>1</v>
      </c>
      <c r="E12" s="92" t="str">
        <f t="shared" si="0"/>
        <v>BON DE SORTIE N°0001</v>
      </c>
      <c r="F12" s="92"/>
      <c r="O12" s="8" t="s">
        <v>95</v>
      </c>
      <c r="S12" s="7"/>
      <c r="T12" s="7"/>
      <c r="U12" s="7"/>
    </row>
    <row r="13" spans="2:23">
      <c r="B13" s="67" t="s">
        <v>365</v>
      </c>
      <c r="C13" s="67" t="s">
        <v>366</v>
      </c>
      <c r="D13" s="67">
        <v>1</v>
      </c>
      <c r="E13" s="92" t="str">
        <f t="shared" ref="E13" si="1">CONCATENATE(C13,TEXT(D13,"0000"))</f>
        <v>BON D'ENTREE N°0001</v>
      </c>
      <c r="F13" s="92"/>
      <c r="O13" s="8" t="s">
        <v>96</v>
      </c>
      <c r="S13" s="7"/>
      <c r="T13" s="7"/>
      <c r="U13" s="7"/>
    </row>
    <row r="14" spans="2:23">
      <c r="O14" s="8" t="s">
        <v>97</v>
      </c>
      <c r="S14" s="7"/>
      <c r="T14" s="7"/>
      <c r="U14" s="7"/>
    </row>
    <row r="15" spans="2:23">
      <c r="O15" s="8" t="s">
        <v>98</v>
      </c>
      <c r="S15" s="7"/>
      <c r="T15" s="7"/>
      <c r="U15" s="7"/>
    </row>
    <row r="16" spans="2:23" ht="18" thickBot="1">
      <c r="B16" s="14" t="s">
        <v>82</v>
      </c>
      <c r="C16" s="2"/>
      <c r="D16" s="2"/>
      <c r="E16" s="2"/>
      <c r="O16" s="8" t="s">
        <v>99</v>
      </c>
      <c r="S16" s="7"/>
      <c r="T16" s="7"/>
      <c r="U16" s="7"/>
    </row>
    <row r="17" spans="2:21">
      <c r="O17" s="8" t="s">
        <v>100</v>
      </c>
      <c r="S17" s="7"/>
      <c r="T17" s="7"/>
      <c r="U17" s="7"/>
    </row>
    <row r="18" spans="2:21">
      <c r="B18" s="12" t="s">
        <v>83</v>
      </c>
      <c r="C18" s="93"/>
      <c r="D18" s="91"/>
      <c r="O18" s="8" t="s">
        <v>101</v>
      </c>
      <c r="S18" s="7"/>
      <c r="T18" s="7"/>
      <c r="U18" s="7"/>
    </row>
    <row r="19" spans="2:21">
      <c r="B19" s="12" t="s">
        <v>2</v>
      </c>
      <c r="C19" s="93"/>
      <c r="D19" s="91"/>
      <c r="O19" s="8" t="s">
        <v>102</v>
      </c>
      <c r="S19" s="7"/>
      <c r="T19" s="7"/>
      <c r="U19" s="7"/>
    </row>
    <row r="20" spans="2:21">
      <c r="B20" s="12" t="s">
        <v>84</v>
      </c>
      <c r="C20" s="93"/>
      <c r="D20" s="91"/>
      <c r="O20" s="8" t="s">
        <v>103</v>
      </c>
      <c r="S20" s="7"/>
      <c r="T20" s="7"/>
      <c r="U20" s="7"/>
    </row>
    <row r="21" spans="2:21">
      <c r="B21" s="12" t="s">
        <v>3</v>
      </c>
      <c r="C21" s="93"/>
      <c r="D21" s="91"/>
      <c r="O21" s="8" t="s">
        <v>104</v>
      </c>
      <c r="S21" s="7"/>
      <c r="T21" s="7"/>
      <c r="U21" s="7"/>
    </row>
    <row r="22" spans="2:21">
      <c r="B22" s="12" t="s">
        <v>4</v>
      </c>
      <c r="C22" s="90"/>
      <c r="D22" s="91"/>
      <c r="O22" s="8" t="s">
        <v>105</v>
      </c>
      <c r="S22" s="7"/>
      <c r="T22" s="7"/>
      <c r="U22" s="7"/>
    </row>
    <row r="23" spans="2:21">
      <c r="O23" s="8" t="s">
        <v>106</v>
      </c>
      <c r="S23" s="7"/>
      <c r="T23" s="7"/>
      <c r="U23" s="7"/>
    </row>
    <row r="24" spans="2:21">
      <c r="O24" s="8" t="s">
        <v>107</v>
      </c>
      <c r="S24" s="7"/>
      <c r="T24" s="7"/>
      <c r="U24" s="7"/>
    </row>
    <row r="25" spans="2:21">
      <c r="O25" s="8" t="s">
        <v>108</v>
      </c>
      <c r="S25" s="7"/>
      <c r="T25" s="7"/>
      <c r="U25" s="7"/>
    </row>
    <row r="26" spans="2:21" ht="18" thickBot="1">
      <c r="B26" s="14" t="s">
        <v>331</v>
      </c>
      <c r="C26" s="2"/>
      <c r="D26" s="2"/>
      <c r="E26" s="2"/>
      <c r="O26" s="8" t="s">
        <v>109</v>
      </c>
      <c r="S26" s="7"/>
      <c r="T26" s="7"/>
      <c r="U26" s="7"/>
    </row>
    <row r="27" spans="2:21">
      <c r="O27" s="8" t="s">
        <v>110</v>
      </c>
      <c r="S27" s="7"/>
      <c r="T27" s="7"/>
      <c r="U27" s="7"/>
    </row>
    <row r="28" spans="2:21">
      <c r="O28" s="8" t="s">
        <v>111</v>
      </c>
      <c r="S28" s="7"/>
      <c r="T28" s="7"/>
      <c r="U28" s="7"/>
    </row>
    <row r="29" spans="2:21">
      <c r="O29" s="8" t="s">
        <v>112</v>
      </c>
    </row>
    <row r="30" spans="2:21">
      <c r="O30" s="8" t="s">
        <v>113</v>
      </c>
    </row>
    <row r="31" spans="2:21">
      <c r="O31" s="8" t="s">
        <v>114</v>
      </c>
    </row>
    <row r="32" spans="2:21">
      <c r="O32" s="8" t="s">
        <v>115</v>
      </c>
      <c r="S32" s="7"/>
      <c r="T32" s="7"/>
    </row>
    <row r="33" spans="2:20" ht="18" thickBot="1">
      <c r="O33" s="8" t="s">
        <v>116</v>
      </c>
      <c r="S33" s="10" t="s">
        <v>367</v>
      </c>
      <c r="T33" s="7"/>
    </row>
    <row r="34" spans="2:20">
      <c r="O34" s="8" t="s">
        <v>117</v>
      </c>
      <c r="S34" s="7"/>
      <c r="T34" s="7"/>
    </row>
    <row r="35" spans="2:20">
      <c r="O35" s="8" t="s">
        <v>118</v>
      </c>
      <c r="S35" s="7" t="s">
        <v>83</v>
      </c>
      <c r="T35" s="7"/>
    </row>
    <row r="36" spans="2:20">
      <c r="O36" s="8" t="s">
        <v>119</v>
      </c>
      <c r="S36" s="7"/>
      <c r="T36" s="7"/>
    </row>
    <row r="37" spans="2:20">
      <c r="O37" s="8" t="s">
        <v>120</v>
      </c>
      <c r="S37" s="7"/>
      <c r="T37" s="7"/>
    </row>
    <row r="38" spans="2:20" ht="18" thickBot="1">
      <c r="B38" s="14" t="s">
        <v>340</v>
      </c>
      <c r="C38" s="2"/>
      <c r="O38" s="8" t="s">
        <v>121</v>
      </c>
      <c r="S38" s="7"/>
      <c r="T38" s="7"/>
    </row>
    <row r="39" spans="2:20">
      <c r="O39" s="8" t="s">
        <v>122</v>
      </c>
      <c r="S39" s="7"/>
      <c r="T39" s="7"/>
    </row>
    <row r="40" spans="2:20">
      <c r="B40" s="23" t="s">
        <v>16</v>
      </c>
      <c r="C40" s="24">
        <f>SUM(Tableau_Stocks[Valeur du Stock])</f>
        <v>0</v>
      </c>
      <c r="O40" s="8" t="s">
        <v>123</v>
      </c>
      <c r="S40" s="72"/>
      <c r="T40" s="72"/>
    </row>
    <row r="41" spans="2:20">
      <c r="B41" s="23" t="s">
        <v>341</v>
      </c>
      <c r="C41" s="25">
        <f>COUNTIF(Tableau_Commande[Statut],"0")</f>
        <v>0</v>
      </c>
      <c r="O41" s="8" t="s">
        <v>124</v>
      </c>
      <c r="S41" s="72"/>
      <c r="T41" s="72"/>
    </row>
    <row r="42" spans="2:20">
      <c r="B42" s="23" t="s">
        <v>342</v>
      </c>
      <c r="C42" s="26">
        <f>COUNTIF(Tableau_Stocks[Alerte],1)</f>
        <v>0</v>
      </c>
      <c r="O42" s="8" t="s">
        <v>125</v>
      </c>
    </row>
    <row r="43" spans="2:20">
      <c r="B43" s="23" t="s">
        <v>343</v>
      </c>
      <c r="C43" s="25">
        <f>COUNTIF(Tableau_Stocks[Statut],"Actif")</f>
        <v>0</v>
      </c>
      <c r="O43" s="8" t="s">
        <v>126</v>
      </c>
    </row>
    <row r="44" spans="2:20">
      <c r="B44" s="23" t="s">
        <v>344</v>
      </c>
      <c r="C44" s="26">
        <f>SUM(Tableau_Stocks[Qté en Stock])</f>
        <v>0</v>
      </c>
      <c r="O44" s="8" t="s">
        <v>127</v>
      </c>
    </row>
    <row r="45" spans="2:20">
      <c r="B45" s="23" t="s">
        <v>345</v>
      </c>
      <c r="C45" s="25" t="str">
        <f t="array" ref="C45">IFERROR(INDEX(Tableau8[Réf Article],MATCH(1,Tableau8[Classement],0)),"")</f>
        <v/>
      </c>
      <c r="D45" s="25" t="str">
        <f t="array" ref="D45">IFERROR(INDEX(Tableau8[Réf Article],MATCH(2,Tableau8[Classement],0)),"")</f>
        <v/>
      </c>
      <c r="E45" s="25" t="str">
        <f t="array" ref="E45">IFERROR(INDEX(Tableau8[Réf Article],MATCH(3,Tableau8[Classement],0)),"")</f>
        <v/>
      </c>
      <c r="F45" s="25" t="str">
        <f t="array" ref="F45">IFERROR(INDEX(Tableau8[Réf Article],MATCH(4,Tableau8[Classement],0)),"")</f>
        <v/>
      </c>
      <c r="G45" s="25" t="str">
        <f t="array" ref="G45">IFERROR(INDEX(Tableau8[Réf Article],MATCH(5,Tableau8[Classement],0)),"")</f>
        <v/>
      </c>
      <c r="O45" s="8" t="s">
        <v>128</v>
      </c>
    </row>
    <row r="46" spans="2:20">
      <c r="O46" s="8" t="s">
        <v>129</v>
      </c>
    </row>
    <row r="47" spans="2:20">
      <c r="O47" s="8" t="s">
        <v>130</v>
      </c>
    </row>
    <row r="48" spans="2:20">
      <c r="O48" s="8" t="s">
        <v>131</v>
      </c>
    </row>
    <row r="49" spans="15:15">
      <c r="O49" s="8" t="s">
        <v>132</v>
      </c>
    </row>
    <row r="50" spans="15:15">
      <c r="O50" s="8" t="s">
        <v>133</v>
      </c>
    </row>
    <row r="51" spans="15:15">
      <c r="O51" s="8" t="s">
        <v>134</v>
      </c>
    </row>
    <row r="52" spans="15:15">
      <c r="O52" s="8" t="s">
        <v>135</v>
      </c>
    </row>
    <row r="53" spans="15:15">
      <c r="O53" s="8" t="s">
        <v>136</v>
      </c>
    </row>
    <row r="54" spans="15:15">
      <c r="O54" s="8" t="s">
        <v>137</v>
      </c>
    </row>
    <row r="55" spans="15:15">
      <c r="O55" s="8" t="s">
        <v>138</v>
      </c>
    </row>
    <row r="56" spans="15:15">
      <c r="O56" s="8" t="s">
        <v>139</v>
      </c>
    </row>
    <row r="57" spans="15:15">
      <c r="O57" s="8" t="s">
        <v>140</v>
      </c>
    </row>
    <row r="58" spans="15:15">
      <c r="O58" s="8" t="s">
        <v>141</v>
      </c>
    </row>
    <row r="59" spans="15:15">
      <c r="O59" s="8" t="s">
        <v>142</v>
      </c>
    </row>
    <row r="60" spans="15:15">
      <c r="O60" s="8" t="s">
        <v>143</v>
      </c>
    </row>
    <row r="61" spans="15:15">
      <c r="O61" s="8" t="s">
        <v>144</v>
      </c>
    </row>
    <row r="62" spans="15:15">
      <c r="O62" s="8" t="s">
        <v>145</v>
      </c>
    </row>
    <row r="63" spans="15:15">
      <c r="O63" s="8" t="s">
        <v>146</v>
      </c>
    </row>
    <row r="64" spans="15:15">
      <c r="O64" s="8" t="s">
        <v>147</v>
      </c>
    </row>
    <row r="65" spans="15:15">
      <c r="O65" s="8" t="s">
        <v>148</v>
      </c>
    </row>
    <row r="66" spans="15:15">
      <c r="O66" s="8" t="s">
        <v>149</v>
      </c>
    </row>
    <row r="67" spans="15:15">
      <c r="O67" s="8" t="s">
        <v>150</v>
      </c>
    </row>
    <row r="68" spans="15:15">
      <c r="O68" s="8" t="s">
        <v>151</v>
      </c>
    </row>
    <row r="69" spans="15:15">
      <c r="O69" s="8" t="s">
        <v>152</v>
      </c>
    </row>
    <row r="70" spans="15:15">
      <c r="O70" s="8" t="s">
        <v>153</v>
      </c>
    </row>
    <row r="71" spans="15:15">
      <c r="O71" s="8" t="s">
        <v>154</v>
      </c>
    </row>
    <row r="72" spans="15:15">
      <c r="O72" s="8" t="s">
        <v>155</v>
      </c>
    </row>
    <row r="73" spans="15:15">
      <c r="O73" s="8" t="s">
        <v>156</v>
      </c>
    </row>
    <row r="74" spans="15:15">
      <c r="O74" s="8" t="s">
        <v>157</v>
      </c>
    </row>
    <row r="75" spans="15:15">
      <c r="O75" s="8" t="s">
        <v>158</v>
      </c>
    </row>
    <row r="76" spans="15:15">
      <c r="O76" s="8" t="s">
        <v>159</v>
      </c>
    </row>
    <row r="77" spans="15:15">
      <c r="O77" s="8" t="s">
        <v>160</v>
      </c>
    </row>
    <row r="78" spans="15:15">
      <c r="O78" s="8" t="s">
        <v>161</v>
      </c>
    </row>
    <row r="79" spans="15:15">
      <c r="O79" s="8" t="s">
        <v>162</v>
      </c>
    </row>
    <row r="80" spans="15:15">
      <c r="O80" s="8" t="s">
        <v>163</v>
      </c>
    </row>
    <row r="81" spans="15:15">
      <c r="O81" s="8" t="s">
        <v>164</v>
      </c>
    </row>
    <row r="82" spans="15:15">
      <c r="O82" s="8" t="s">
        <v>165</v>
      </c>
    </row>
    <row r="83" spans="15:15">
      <c r="O83" s="8" t="s">
        <v>166</v>
      </c>
    </row>
    <row r="84" spans="15:15">
      <c r="O84" s="8" t="s">
        <v>167</v>
      </c>
    </row>
    <row r="85" spans="15:15">
      <c r="O85" s="8" t="s">
        <v>168</v>
      </c>
    </row>
    <row r="86" spans="15:15">
      <c r="O86" s="8" t="s">
        <v>169</v>
      </c>
    </row>
    <row r="87" spans="15:15">
      <c r="O87" s="8" t="s">
        <v>170</v>
      </c>
    </row>
    <row r="88" spans="15:15">
      <c r="O88" s="8" t="s">
        <v>171</v>
      </c>
    </row>
    <row r="89" spans="15:15">
      <c r="O89" s="8" t="s">
        <v>172</v>
      </c>
    </row>
    <row r="90" spans="15:15">
      <c r="O90" s="8" t="s">
        <v>173</v>
      </c>
    </row>
    <row r="91" spans="15:15">
      <c r="O91" s="8" t="s">
        <v>174</v>
      </c>
    </row>
    <row r="92" spans="15:15">
      <c r="O92" s="8" t="s">
        <v>175</v>
      </c>
    </row>
    <row r="93" spans="15:15">
      <c r="O93" s="8" t="s">
        <v>176</v>
      </c>
    </row>
    <row r="94" spans="15:15">
      <c r="O94" s="8" t="s">
        <v>177</v>
      </c>
    </row>
    <row r="95" spans="15:15">
      <c r="O95" s="8" t="s">
        <v>178</v>
      </c>
    </row>
    <row r="96" spans="15:15">
      <c r="O96" s="8" t="s">
        <v>179</v>
      </c>
    </row>
    <row r="97" spans="15:15">
      <c r="O97" s="8" t="s">
        <v>180</v>
      </c>
    </row>
    <row r="98" spans="15:15">
      <c r="O98" s="8" t="s">
        <v>181</v>
      </c>
    </row>
    <row r="99" spans="15:15">
      <c r="O99" s="8" t="s">
        <v>182</v>
      </c>
    </row>
    <row r="100" spans="15:15">
      <c r="O100" s="8" t="s">
        <v>183</v>
      </c>
    </row>
    <row r="101" spans="15:15">
      <c r="O101" s="8" t="s">
        <v>184</v>
      </c>
    </row>
    <row r="102" spans="15:15">
      <c r="O102" s="8" t="s">
        <v>185</v>
      </c>
    </row>
    <row r="103" spans="15:15">
      <c r="O103" s="8" t="s">
        <v>186</v>
      </c>
    </row>
    <row r="104" spans="15:15">
      <c r="O104" s="8" t="s">
        <v>187</v>
      </c>
    </row>
    <row r="105" spans="15:15">
      <c r="O105" s="8" t="s">
        <v>188</v>
      </c>
    </row>
    <row r="106" spans="15:15">
      <c r="O106" s="8" t="s">
        <v>189</v>
      </c>
    </row>
    <row r="107" spans="15:15">
      <c r="O107" s="8" t="s">
        <v>190</v>
      </c>
    </row>
    <row r="108" spans="15:15">
      <c r="O108" s="8" t="s">
        <v>191</v>
      </c>
    </row>
    <row r="109" spans="15:15">
      <c r="O109" s="8" t="s">
        <v>192</v>
      </c>
    </row>
    <row r="110" spans="15:15">
      <c r="O110" s="8" t="s">
        <v>193</v>
      </c>
    </row>
    <row r="111" spans="15:15">
      <c r="O111" s="8" t="s">
        <v>194</v>
      </c>
    </row>
    <row r="112" spans="15:15">
      <c r="O112" s="8" t="s">
        <v>195</v>
      </c>
    </row>
    <row r="113" spans="15:15">
      <c r="O113" s="8" t="s">
        <v>196</v>
      </c>
    </row>
    <row r="114" spans="15:15">
      <c r="O114" s="8" t="s">
        <v>197</v>
      </c>
    </row>
    <row r="115" spans="15:15">
      <c r="O115" s="8" t="s">
        <v>198</v>
      </c>
    </row>
    <row r="116" spans="15:15">
      <c r="O116" s="8" t="s">
        <v>199</v>
      </c>
    </row>
    <row r="117" spans="15:15">
      <c r="O117" s="8" t="s">
        <v>200</v>
      </c>
    </row>
    <row r="118" spans="15:15">
      <c r="O118" s="8" t="s">
        <v>201</v>
      </c>
    </row>
    <row r="119" spans="15:15">
      <c r="O119" s="8" t="s">
        <v>202</v>
      </c>
    </row>
    <row r="120" spans="15:15">
      <c r="O120" s="8" t="s">
        <v>203</v>
      </c>
    </row>
    <row r="121" spans="15:15">
      <c r="O121" s="8" t="s">
        <v>204</v>
      </c>
    </row>
    <row r="122" spans="15:15">
      <c r="O122" s="8" t="s">
        <v>205</v>
      </c>
    </row>
    <row r="123" spans="15:15">
      <c r="O123" s="8" t="s">
        <v>206</v>
      </c>
    </row>
    <row r="124" spans="15:15">
      <c r="O124" s="8" t="s">
        <v>207</v>
      </c>
    </row>
    <row r="125" spans="15:15">
      <c r="O125" s="8" t="s">
        <v>208</v>
      </c>
    </row>
    <row r="126" spans="15:15">
      <c r="O126" s="8" t="s">
        <v>209</v>
      </c>
    </row>
    <row r="127" spans="15:15">
      <c r="O127" s="8" t="s">
        <v>210</v>
      </c>
    </row>
    <row r="128" spans="15:15">
      <c r="O128" s="8" t="s">
        <v>211</v>
      </c>
    </row>
    <row r="129" spans="15:15">
      <c r="O129" s="8" t="s">
        <v>212</v>
      </c>
    </row>
    <row r="130" spans="15:15">
      <c r="O130" s="8" t="s">
        <v>213</v>
      </c>
    </row>
    <row r="131" spans="15:15">
      <c r="O131" s="8" t="s">
        <v>214</v>
      </c>
    </row>
    <row r="132" spans="15:15">
      <c r="O132" s="8" t="s">
        <v>215</v>
      </c>
    </row>
    <row r="133" spans="15:15">
      <c r="O133" s="8" t="s">
        <v>216</v>
      </c>
    </row>
    <row r="134" spans="15:15">
      <c r="O134" s="8" t="s">
        <v>217</v>
      </c>
    </row>
    <row r="135" spans="15:15">
      <c r="O135" s="8" t="s">
        <v>218</v>
      </c>
    </row>
    <row r="136" spans="15:15">
      <c r="O136" s="8" t="s">
        <v>219</v>
      </c>
    </row>
    <row r="137" spans="15:15">
      <c r="O137" s="8" t="s">
        <v>220</v>
      </c>
    </row>
    <row r="138" spans="15:15">
      <c r="O138" s="8" t="s">
        <v>221</v>
      </c>
    </row>
    <row r="139" spans="15:15">
      <c r="O139" s="8" t="s">
        <v>222</v>
      </c>
    </row>
    <row r="140" spans="15:15">
      <c r="O140" s="8" t="s">
        <v>223</v>
      </c>
    </row>
    <row r="141" spans="15:15">
      <c r="O141" s="8" t="s">
        <v>224</v>
      </c>
    </row>
    <row r="142" spans="15:15">
      <c r="O142" s="8" t="s">
        <v>225</v>
      </c>
    </row>
    <row r="143" spans="15:15">
      <c r="O143" s="8" t="s">
        <v>226</v>
      </c>
    </row>
    <row r="144" spans="15:15">
      <c r="O144" s="8" t="s">
        <v>227</v>
      </c>
    </row>
    <row r="145" spans="15:15">
      <c r="O145" s="8" t="s">
        <v>228</v>
      </c>
    </row>
    <row r="146" spans="15:15">
      <c r="O146" s="8" t="s">
        <v>229</v>
      </c>
    </row>
    <row r="147" spans="15:15">
      <c r="O147" s="8" t="s">
        <v>230</v>
      </c>
    </row>
    <row r="148" spans="15:15">
      <c r="O148" s="8" t="s">
        <v>231</v>
      </c>
    </row>
    <row r="149" spans="15:15">
      <c r="O149" s="8" t="s">
        <v>232</v>
      </c>
    </row>
    <row r="150" spans="15:15">
      <c r="O150" s="8" t="s">
        <v>233</v>
      </c>
    </row>
    <row r="151" spans="15:15">
      <c r="O151" s="8" t="s">
        <v>234</v>
      </c>
    </row>
    <row r="152" spans="15:15">
      <c r="O152" s="8" t="s">
        <v>235</v>
      </c>
    </row>
    <row r="153" spans="15:15">
      <c r="O153" s="8" t="s">
        <v>236</v>
      </c>
    </row>
    <row r="154" spans="15:15">
      <c r="O154" s="8" t="s">
        <v>237</v>
      </c>
    </row>
    <row r="155" spans="15:15">
      <c r="O155" s="8" t="s">
        <v>238</v>
      </c>
    </row>
    <row r="156" spans="15:15">
      <c r="O156" s="8" t="s">
        <v>239</v>
      </c>
    </row>
    <row r="157" spans="15:15">
      <c r="O157" s="8" t="s">
        <v>240</v>
      </c>
    </row>
    <row r="158" spans="15:15">
      <c r="O158" s="8" t="s">
        <v>241</v>
      </c>
    </row>
    <row r="159" spans="15:15">
      <c r="O159" s="8" t="s">
        <v>242</v>
      </c>
    </row>
    <row r="160" spans="15:15">
      <c r="O160" s="8" t="s">
        <v>243</v>
      </c>
    </row>
    <row r="161" spans="15:15">
      <c r="O161" s="8" t="s">
        <v>244</v>
      </c>
    </row>
    <row r="162" spans="15:15">
      <c r="O162" s="8" t="s">
        <v>245</v>
      </c>
    </row>
    <row r="163" spans="15:15">
      <c r="O163" s="8" t="s">
        <v>246</v>
      </c>
    </row>
    <row r="164" spans="15:15">
      <c r="O164" s="8" t="s">
        <v>247</v>
      </c>
    </row>
    <row r="165" spans="15:15">
      <c r="O165" s="8" t="s">
        <v>248</v>
      </c>
    </row>
    <row r="166" spans="15:15">
      <c r="O166" s="8" t="s">
        <v>249</v>
      </c>
    </row>
    <row r="167" spans="15:15">
      <c r="O167" s="8" t="s">
        <v>250</v>
      </c>
    </row>
    <row r="168" spans="15:15">
      <c r="O168" s="8" t="s">
        <v>251</v>
      </c>
    </row>
    <row r="169" spans="15:15">
      <c r="O169" s="8" t="s">
        <v>252</v>
      </c>
    </row>
    <row r="170" spans="15:15">
      <c r="O170" s="8" t="s">
        <v>253</v>
      </c>
    </row>
    <row r="171" spans="15:15">
      <c r="O171" s="8" t="s">
        <v>254</v>
      </c>
    </row>
    <row r="172" spans="15:15">
      <c r="O172" s="8" t="s">
        <v>255</v>
      </c>
    </row>
    <row r="173" spans="15:15">
      <c r="O173" s="8" t="s">
        <v>256</v>
      </c>
    </row>
    <row r="174" spans="15:15">
      <c r="O174" s="8" t="s">
        <v>257</v>
      </c>
    </row>
    <row r="175" spans="15:15">
      <c r="O175" s="8" t="s">
        <v>258</v>
      </c>
    </row>
    <row r="176" spans="15:15">
      <c r="O176" s="8" t="s">
        <v>259</v>
      </c>
    </row>
    <row r="177" spans="15:15">
      <c r="O177" s="8" t="s">
        <v>260</v>
      </c>
    </row>
    <row r="178" spans="15:15">
      <c r="O178" s="8" t="s">
        <v>261</v>
      </c>
    </row>
    <row r="179" spans="15:15">
      <c r="O179" s="8" t="s">
        <v>262</v>
      </c>
    </row>
    <row r="180" spans="15:15">
      <c r="O180" s="8" t="s">
        <v>263</v>
      </c>
    </row>
    <row r="181" spans="15:15">
      <c r="O181" s="8" t="s">
        <v>264</v>
      </c>
    </row>
    <row r="182" spans="15:15">
      <c r="O182" s="8" t="s">
        <v>265</v>
      </c>
    </row>
    <row r="183" spans="15:15">
      <c r="O183" s="8" t="s">
        <v>266</v>
      </c>
    </row>
    <row r="184" spans="15:15">
      <c r="O184" s="8" t="s">
        <v>267</v>
      </c>
    </row>
    <row r="185" spans="15:15">
      <c r="O185" s="8" t="s">
        <v>268</v>
      </c>
    </row>
    <row r="186" spans="15:15">
      <c r="O186" s="8" t="s">
        <v>269</v>
      </c>
    </row>
    <row r="187" spans="15:15">
      <c r="O187" s="8" t="s">
        <v>270</v>
      </c>
    </row>
    <row r="188" spans="15:15">
      <c r="O188" s="8" t="s">
        <v>271</v>
      </c>
    </row>
    <row r="189" spans="15:15">
      <c r="O189" s="8" t="s">
        <v>272</v>
      </c>
    </row>
    <row r="190" spans="15:15">
      <c r="O190" s="8" t="s">
        <v>273</v>
      </c>
    </row>
    <row r="191" spans="15:15">
      <c r="O191" s="8" t="s">
        <v>274</v>
      </c>
    </row>
    <row r="192" spans="15:15">
      <c r="O192" s="8" t="s">
        <v>275</v>
      </c>
    </row>
    <row r="193" spans="15:15">
      <c r="O193" s="8" t="s">
        <v>276</v>
      </c>
    </row>
    <row r="194" spans="15:15">
      <c r="O194" s="8" t="s">
        <v>277</v>
      </c>
    </row>
    <row r="195" spans="15:15">
      <c r="O195" s="8" t="s">
        <v>278</v>
      </c>
    </row>
    <row r="196" spans="15:15">
      <c r="O196" s="8" t="s">
        <v>279</v>
      </c>
    </row>
    <row r="197" spans="15:15">
      <c r="O197" s="8" t="s">
        <v>280</v>
      </c>
    </row>
    <row r="198" spans="15:15">
      <c r="O198" s="8" t="s">
        <v>281</v>
      </c>
    </row>
    <row r="199" spans="15:15">
      <c r="O199" s="8" t="s">
        <v>282</v>
      </c>
    </row>
    <row r="200" spans="15:15">
      <c r="O200" s="8" t="s">
        <v>283</v>
      </c>
    </row>
    <row r="201" spans="15:15">
      <c r="O201" s="8" t="s">
        <v>284</v>
      </c>
    </row>
    <row r="202" spans="15:15">
      <c r="O202" s="8" t="s">
        <v>285</v>
      </c>
    </row>
    <row r="203" spans="15:15">
      <c r="O203" s="8" t="s">
        <v>286</v>
      </c>
    </row>
    <row r="204" spans="15:15">
      <c r="O204" s="8" t="s">
        <v>287</v>
      </c>
    </row>
    <row r="205" spans="15:15">
      <c r="O205" s="8" t="s">
        <v>288</v>
      </c>
    </row>
    <row r="206" spans="15:15">
      <c r="O206" s="8" t="s">
        <v>289</v>
      </c>
    </row>
    <row r="207" spans="15:15">
      <c r="O207" s="8" t="s">
        <v>290</v>
      </c>
    </row>
    <row r="208" spans="15:15">
      <c r="O208" s="8" t="s">
        <v>291</v>
      </c>
    </row>
    <row r="209" spans="15:15">
      <c r="O209" s="8" t="s">
        <v>292</v>
      </c>
    </row>
    <row r="210" spans="15:15">
      <c r="O210" s="8" t="s">
        <v>293</v>
      </c>
    </row>
    <row r="211" spans="15:15">
      <c r="O211" s="8" t="s">
        <v>294</v>
      </c>
    </row>
    <row r="212" spans="15:15">
      <c r="O212" s="8" t="s">
        <v>295</v>
      </c>
    </row>
    <row r="213" spans="15:15">
      <c r="O213" s="8" t="s">
        <v>296</v>
      </c>
    </row>
    <row r="214" spans="15:15">
      <c r="O214" s="8" t="s">
        <v>297</v>
      </c>
    </row>
    <row r="215" spans="15:15">
      <c r="O215" s="8" t="s">
        <v>298</v>
      </c>
    </row>
    <row r="216" spans="15:15">
      <c r="O216" s="8" t="s">
        <v>299</v>
      </c>
    </row>
    <row r="217" spans="15:15">
      <c r="O217" s="8" t="s">
        <v>300</v>
      </c>
    </row>
    <row r="218" spans="15:15">
      <c r="O218" s="8" t="s">
        <v>301</v>
      </c>
    </row>
    <row r="219" spans="15:15">
      <c r="O219" s="8" t="s">
        <v>302</v>
      </c>
    </row>
    <row r="220" spans="15:15">
      <c r="O220" s="8" t="s">
        <v>303</v>
      </c>
    </row>
    <row r="221" spans="15:15">
      <c r="O221" s="8" t="s">
        <v>304</v>
      </c>
    </row>
    <row r="222" spans="15:15">
      <c r="O222" s="8" t="s">
        <v>305</v>
      </c>
    </row>
    <row r="223" spans="15:15">
      <c r="O223" s="8" t="s">
        <v>306</v>
      </c>
    </row>
    <row r="224" spans="15:15">
      <c r="O224" s="8" t="s">
        <v>307</v>
      </c>
    </row>
    <row r="225" spans="15:15">
      <c r="O225" s="8" t="s">
        <v>308</v>
      </c>
    </row>
    <row r="226" spans="15:15">
      <c r="O226" s="8" t="s">
        <v>309</v>
      </c>
    </row>
    <row r="227" spans="15:15">
      <c r="O227" s="8" t="s">
        <v>310</v>
      </c>
    </row>
    <row r="228" spans="15:15">
      <c r="O228" s="8" t="s">
        <v>311</v>
      </c>
    </row>
    <row r="229" spans="15:15">
      <c r="O229" s="8" t="s">
        <v>312</v>
      </c>
    </row>
    <row r="230" spans="15:15">
      <c r="O230" s="8" t="s">
        <v>313</v>
      </c>
    </row>
    <row r="231" spans="15:15">
      <c r="O231" s="8" t="s">
        <v>314</v>
      </c>
    </row>
    <row r="232" spans="15:15">
      <c r="O232" s="8" t="s">
        <v>315</v>
      </c>
    </row>
    <row r="233" spans="15:15">
      <c r="O233" s="8" t="s">
        <v>316</v>
      </c>
    </row>
    <row r="234" spans="15:15">
      <c r="O234" s="8" t="s">
        <v>317</v>
      </c>
    </row>
    <row r="235" spans="15:15">
      <c r="O235" s="8" t="s">
        <v>318</v>
      </c>
    </row>
    <row r="236" spans="15:15">
      <c r="O236" s="8" t="s">
        <v>319</v>
      </c>
    </row>
    <row r="237" spans="15:15">
      <c r="O237" s="8" t="s">
        <v>320</v>
      </c>
    </row>
    <row r="238" spans="15:15">
      <c r="O238" s="8" t="s">
        <v>321</v>
      </c>
    </row>
  </sheetData>
  <mergeCells count="14">
    <mergeCell ref="C22:D22"/>
    <mergeCell ref="E10:F10"/>
    <mergeCell ref="E11:F11"/>
    <mergeCell ref="E12:F12"/>
    <mergeCell ref="E5:F5"/>
    <mergeCell ref="E6:F6"/>
    <mergeCell ref="E7:F7"/>
    <mergeCell ref="E8:F8"/>
    <mergeCell ref="E9:F9"/>
    <mergeCell ref="E13:F13"/>
    <mergeCell ref="C18:D18"/>
    <mergeCell ref="C19:D19"/>
    <mergeCell ref="C20:D20"/>
    <mergeCell ref="C21:D21"/>
  </mergeCells>
  <dataValidations count="2">
    <dataValidation type="list" allowBlank="1" showInputMessage="1" showErrorMessage="1" sqref="U8:U11">
      <formula1>"Administrator,User"</formula1>
    </dataValidation>
    <dataValidation type="list" allowBlank="1" showInputMessage="1" showErrorMessage="1" sqref="U6:U7">
      <formula1>"Administrateur,User"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14</vt:i4>
      </vt:variant>
    </vt:vector>
  </HeadingPairs>
  <TitlesOfParts>
    <vt:vector size="28" baseType="lpstr">
      <vt:lpstr>Acceuil</vt:lpstr>
      <vt:lpstr>Clients</vt:lpstr>
      <vt:lpstr>Fournisseurs</vt:lpstr>
      <vt:lpstr>Stocks</vt:lpstr>
      <vt:lpstr>Commander</vt:lpstr>
      <vt:lpstr>Facturer</vt:lpstr>
      <vt:lpstr>Pro-Forma</vt:lpstr>
      <vt:lpstr>Pro Forma</vt:lpstr>
      <vt:lpstr>Facture</vt:lpstr>
      <vt:lpstr>Bon de Commande</vt:lpstr>
      <vt:lpstr>Mouvement Stock</vt:lpstr>
      <vt:lpstr>Suivi Pro Forma</vt:lpstr>
      <vt:lpstr>Suivi Facture</vt:lpstr>
      <vt:lpstr>Config</vt:lpstr>
      <vt:lpstr>'Bon de Commande'!Article</vt:lpstr>
      <vt:lpstr>Article</vt:lpstr>
      <vt:lpstr>'Bon de Commande'!Clients</vt:lpstr>
      <vt:lpstr>Clients</vt:lpstr>
      <vt:lpstr>Commande</vt:lpstr>
      <vt:lpstr>Coursier</vt:lpstr>
      <vt:lpstr>'Bon de Commande'!Fournisseurs</vt:lpstr>
      <vt:lpstr>Fournisseurs</vt:lpstr>
      <vt:lpstr>localisation</vt:lpstr>
      <vt:lpstr>Pays</vt:lpstr>
      <vt:lpstr>'Bon de Commande'!produit</vt:lpstr>
      <vt:lpstr>produit</vt:lpstr>
      <vt:lpstr>user</vt:lpstr>
      <vt:lpstr>'Bon de Commande'!Zone_d_impression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Steven Jonhs</dc:creator>
  <cp:lastModifiedBy>KUITO Anastase Brel</cp:lastModifiedBy>
  <cp:lastPrinted>2019-07-17T18:10:42Z</cp:lastPrinted>
  <dcterms:created xsi:type="dcterms:W3CDTF">2019-05-13T12:21:18Z</dcterms:created>
  <dcterms:modified xsi:type="dcterms:W3CDTF">2019-07-17T18:11:07Z</dcterms:modified>
</cp:coreProperties>
</file>