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codeName="{9351B8E1-9728-8E5E-8161-817DCB669FF3}"/>
  <workbookPr codeName="ThisWorkbook"/>
  <mc:AlternateContent xmlns:mc="http://schemas.openxmlformats.org/markup-compatibility/2006">
    <mc:Choice Requires="x15">
      <x15ac:absPath xmlns:x15ac="http://schemas.microsoft.com/office/spreadsheetml/2010/11/ac" url="C:\0DOSSIER CHARLOTTE\"/>
    </mc:Choice>
  </mc:AlternateContent>
  <xr:revisionPtr revIDLastSave="0" documentId="13_ncr:1_{20CF9BAE-BC10-47CC-A44F-1D2DC8F1EDEC}" xr6:coauthVersionLast="43" xr6:coauthVersionMax="43" xr10:uidLastSave="{00000000-0000-0000-0000-000000000000}"/>
  <bookViews>
    <workbookView xWindow="-120" yWindow="-120" windowWidth="20730" windowHeight="11160" xr2:uid="{00000000-000D-0000-FFFF-FFFF00000000}"/>
  </bookViews>
  <sheets>
    <sheet name="BASE DONNES CLIENTS" sheetId="2" r:id="rId1"/>
    <sheet name="BASE VENTES" sheetId="3" r:id="rId2"/>
    <sheet name="RELEVE-TEMPLETE" sheetId="5" r:id="rId3"/>
    <sheet name="PARAMETRES" sheetId="6" r:id="rId4"/>
  </sheets>
  <definedNames>
    <definedName name="BASECLIENTS" localSheetId="0">Tableau2[]</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F2" i="2" l="1"/>
  <c r="A21" i="5" l="1"/>
  <c r="B17" i="5"/>
  <c r="E14" i="5"/>
  <c r="C2" i="3" l="1"/>
  <c r="F2" i="3"/>
  <c r="C3" i="3"/>
  <c r="E3" i="3"/>
  <c r="F3" i="3"/>
  <c r="C4" i="3"/>
  <c r="F4" i="3"/>
  <c r="C5" i="3"/>
  <c r="F5" i="3"/>
  <c r="C6" i="3"/>
  <c r="F6" i="3"/>
  <c r="C7" i="3"/>
  <c r="E7" i="3"/>
  <c r="F7" i="3"/>
  <c r="C8" i="3"/>
  <c r="F8" i="3"/>
  <c r="C9" i="3"/>
  <c r="F9" i="3"/>
  <c r="C10" i="3"/>
  <c r="F10" i="3"/>
  <c r="C11" i="3"/>
  <c r="F11" i="3"/>
  <c r="C12" i="3"/>
  <c r="F12" i="3"/>
  <c r="C13" i="3"/>
  <c r="F13" i="3"/>
  <c r="C14" i="3"/>
  <c r="F14" i="3"/>
  <c r="C15" i="3"/>
  <c r="F15" i="3"/>
  <c r="C16" i="3"/>
  <c r="F16" i="3"/>
  <c r="C17" i="3"/>
  <c r="F17" i="3"/>
  <c r="C18" i="3"/>
  <c r="F18" i="3"/>
  <c r="C19" i="3"/>
  <c r="F19" i="3"/>
  <c r="C20" i="3"/>
  <c r="F20" i="3"/>
  <c r="C21" i="3"/>
  <c r="F21" i="3"/>
  <c r="C22" i="3"/>
  <c r="F22" i="3"/>
  <c r="C23" i="3"/>
  <c r="F23" i="3"/>
  <c r="C24" i="3"/>
  <c r="F24" i="3"/>
  <c r="C25" i="3"/>
  <c r="E25" i="3"/>
  <c r="F25" i="3"/>
  <c r="C26" i="3"/>
  <c r="F26" i="3"/>
  <c r="C27" i="3"/>
  <c r="E27" i="3"/>
  <c r="F27" i="3"/>
  <c r="C28" i="3"/>
  <c r="E28" i="3"/>
  <c r="F28" i="3"/>
  <c r="C29" i="3"/>
  <c r="E29" i="3"/>
  <c r="F29" i="3"/>
  <c r="C30" i="3"/>
  <c r="E30" i="3"/>
  <c r="F30" i="3"/>
  <c r="C31" i="3"/>
  <c r="F31" i="3"/>
  <c r="C32" i="3"/>
  <c r="E32" i="3"/>
  <c r="F32" i="3"/>
  <c r="C33" i="3"/>
  <c r="E33" i="3"/>
  <c r="F33" i="3"/>
  <c r="C34" i="3"/>
  <c r="F34" i="3"/>
  <c r="C35" i="3"/>
  <c r="F35" i="3"/>
  <c r="C36" i="3"/>
  <c r="F36" i="3"/>
  <c r="C37" i="3"/>
  <c r="F37" i="3"/>
  <c r="C38" i="3"/>
  <c r="F38" i="3"/>
  <c r="C39" i="3"/>
  <c r="F39" i="3"/>
  <c r="C40" i="3"/>
  <c r="E40" i="3"/>
  <c r="F40" i="3"/>
  <c r="C41" i="3"/>
  <c r="E41" i="3"/>
  <c r="F41" i="3"/>
  <c r="C42" i="3"/>
  <c r="E42" i="3"/>
  <c r="F42" i="3"/>
  <c r="C43" i="3"/>
  <c r="E43" i="3"/>
  <c r="F43" i="3"/>
  <c r="C44" i="3"/>
  <c r="E44" i="3"/>
  <c r="F44" i="3"/>
  <c r="C45" i="3"/>
  <c r="F45" i="3"/>
  <c r="C46" i="3"/>
  <c r="F46" i="3"/>
  <c r="C47" i="3"/>
  <c r="F47" i="3"/>
  <c r="C48" i="3"/>
  <c r="E48" i="3"/>
  <c r="F48" i="3"/>
  <c r="C49" i="3"/>
  <c r="F49" i="3"/>
  <c r="C50" i="3"/>
  <c r="E50" i="3"/>
  <c r="F50" i="3"/>
  <c r="C51" i="3"/>
  <c r="E51" i="3"/>
  <c r="F51" i="3"/>
  <c r="C52" i="3"/>
  <c r="F52" i="3"/>
  <c r="C53" i="3"/>
  <c r="E53" i="3"/>
  <c r="F53" i="3"/>
  <c r="C54" i="3"/>
  <c r="E54" i="3"/>
  <c r="F54" i="3"/>
  <c r="C55" i="3"/>
  <c r="E55" i="3"/>
  <c r="F55" i="3"/>
  <c r="C56" i="3"/>
  <c r="F56" i="3"/>
  <c r="C57" i="3"/>
  <c r="E57" i="3"/>
  <c r="F57" i="3"/>
  <c r="C58" i="3"/>
  <c r="E58" i="3"/>
  <c r="F58" i="3"/>
  <c r="C59" i="3"/>
  <c r="E59" i="3"/>
  <c r="F59" i="3"/>
  <c r="C60" i="3"/>
  <c r="E60" i="3"/>
  <c r="F60" i="3"/>
  <c r="C61" i="3"/>
  <c r="E61" i="3"/>
  <c r="F61" i="3"/>
  <c r="C62" i="3"/>
  <c r="F62" i="3"/>
  <c r="C63" i="3"/>
  <c r="F63" i="3"/>
  <c r="C64" i="3"/>
  <c r="E64" i="3"/>
  <c r="F64" i="3"/>
  <c r="C65" i="3"/>
  <c r="E65" i="3"/>
  <c r="F65" i="3"/>
  <c r="C66" i="3"/>
  <c r="F66" i="3"/>
  <c r="C67" i="3"/>
  <c r="F67" i="3"/>
  <c r="C68" i="3"/>
  <c r="F68" i="3"/>
  <c r="C69" i="3"/>
  <c r="F69" i="3"/>
  <c r="C70" i="3"/>
  <c r="F70" i="3"/>
  <c r="C71" i="3"/>
  <c r="F71" i="3"/>
  <c r="C72" i="3"/>
  <c r="F72" i="3"/>
  <c r="C73" i="3"/>
  <c r="F73" i="3"/>
  <c r="C74" i="3"/>
  <c r="F74" i="3"/>
  <c r="C75" i="3"/>
  <c r="F75" i="3"/>
  <c r="C76" i="3"/>
  <c r="F76" i="3"/>
  <c r="C77" i="3"/>
  <c r="F77" i="3"/>
  <c r="C78" i="3"/>
  <c r="F78" i="3"/>
  <c r="C79" i="3"/>
  <c r="F79" i="3"/>
  <c r="C80" i="3"/>
  <c r="F80" i="3"/>
  <c r="C81" i="3"/>
  <c r="F81" i="3"/>
  <c r="C82" i="3"/>
  <c r="F82" i="3"/>
  <c r="C83" i="3"/>
  <c r="F83" i="3"/>
  <c r="C84" i="3"/>
  <c r="F84" i="3"/>
  <c r="C85" i="3"/>
  <c r="F85" i="3"/>
  <c r="C86" i="3"/>
  <c r="F86" i="3"/>
  <c r="C87" i="3"/>
  <c r="F87" i="3"/>
  <c r="C88" i="3"/>
  <c r="F88" i="3"/>
  <c r="C89" i="3"/>
  <c r="F89" i="3"/>
  <c r="C90" i="3"/>
  <c r="F90" i="3"/>
  <c r="C91" i="3"/>
  <c r="F91" i="3"/>
  <c r="C92" i="3"/>
  <c r="F92" i="3"/>
  <c r="C93" i="3"/>
  <c r="F93" i="3"/>
  <c r="C94" i="3"/>
  <c r="F94" i="3"/>
  <c r="C95" i="3"/>
  <c r="F95" i="3"/>
  <c r="C96" i="3"/>
  <c r="F96" i="3"/>
  <c r="C97" i="3"/>
  <c r="F97" i="3"/>
  <c r="C98" i="3"/>
  <c r="F98" i="3"/>
  <c r="C99" i="3"/>
  <c r="E99" i="3"/>
  <c r="F99" i="3"/>
  <c r="C100" i="3"/>
  <c r="E100" i="3"/>
  <c r="F100" i="3"/>
  <c r="C101" i="3"/>
  <c r="E101" i="3"/>
  <c r="F101" i="3"/>
  <c r="C102" i="3"/>
  <c r="E102" i="3"/>
  <c r="F102" i="3"/>
  <c r="C103" i="3"/>
  <c r="E103" i="3"/>
  <c r="F103" i="3"/>
  <c r="C104" i="3"/>
  <c r="E104" i="3"/>
  <c r="F104" i="3"/>
  <c r="C105" i="3"/>
  <c r="E105" i="3"/>
  <c r="F105" i="3"/>
  <c r="C106" i="3"/>
  <c r="E106" i="3"/>
  <c r="F106" i="3"/>
  <c r="C107" i="3"/>
  <c r="E107" i="3"/>
  <c r="F107" i="3"/>
  <c r="C108" i="3"/>
  <c r="E108" i="3"/>
  <c r="F108" i="3"/>
  <c r="C109" i="3"/>
  <c r="F109" i="3"/>
  <c r="C110" i="3"/>
  <c r="F110" i="3"/>
  <c r="C111" i="3"/>
  <c r="E111" i="3"/>
  <c r="F111" i="3"/>
  <c r="C112" i="3"/>
  <c r="E112" i="3"/>
  <c r="F112" i="3"/>
  <c r="C113" i="3"/>
  <c r="F113" i="3"/>
  <c r="C114" i="3"/>
  <c r="F114" i="3"/>
  <c r="C115" i="3"/>
  <c r="F115" i="3"/>
  <c r="C116" i="3"/>
  <c r="F116" i="3"/>
  <c r="C117" i="3"/>
  <c r="F117" i="3"/>
  <c r="C118" i="3"/>
  <c r="F118" i="3"/>
  <c r="C119" i="3"/>
  <c r="F119" i="3"/>
  <c r="C120" i="3"/>
  <c r="F120" i="3"/>
  <c r="C121" i="3"/>
  <c r="F121" i="3"/>
  <c r="C122" i="3"/>
  <c r="F122" i="3"/>
  <c r="C123" i="3"/>
  <c r="F123" i="3"/>
  <c r="C124" i="3"/>
  <c r="F124" i="3"/>
  <c r="C125" i="3"/>
  <c r="F125" i="3"/>
  <c r="C126" i="3"/>
  <c r="E126" i="3"/>
  <c r="F126" i="3"/>
  <c r="C127" i="3"/>
  <c r="E127" i="3"/>
  <c r="F127" i="3"/>
  <c r="C128" i="3"/>
  <c r="E128" i="3"/>
  <c r="F128" i="3"/>
  <c r="C129" i="3"/>
  <c r="F129" i="3"/>
  <c r="C130" i="3"/>
  <c r="F130" i="3"/>
  <c r="C131" i="3"/>
  <c r="F131" i="3"/>
  <c r="C132" i="3"/>
  <c r="F132" i="3"/>
  <c r="C133" i="3"/>
  <c r="F133" i="3"/>
  <c r="C134" i="3"/>
  <c r="E134" i="3"/>
  <c r="F134" i="3"/>
  <c r="C135" i="3"/>
  <c r="E135" i="3"/>
  <c r="F135" i="3"/>
  <c r="C136" i="3"/>
  <c r="F136" i="3"/>
  <c r="C137" i="3"/>
  <c r="F137" i="3"/>
  <c r="C138" i="3"/>
  <c r="F138" i="3"/>
  <c r="C139" i="3"/>
  <c r="F139" i="3"/>
  <c r="C140" i="3"/>
  <c r="E140" i="3"/>
  <c r="F140" i="3"/>
  <c r="C141" i="3"/>
  <c r="F141" i="3"/>
  <c r="C142" i="3"/>
  <c r="F142" i="3"/>
  <c r="C143" i="3"/>
  <c r="F143" i="3"/>
  <c r="C144" i="3"/>
  <c r="F144" i="3"/>
  <c r="C145" i="3"/>
  <c r="E145" i="3"/>
  <c r="F145" i="3"/>
  <c r="C146" i="3"/>
  <c r="E146" i="3"/>
  <c r="F146" i="3"/>
  <c r="C147" i="3"/>
  <c r="F147" i="3"/>
  <c r="C148" i="3"/>
  <c r="E148" i="3"/>
  <c r="F148" i="3"/>
  <c r="C149" i="3"/>
  <c r="E149" i="3"/>
  <c r="F149" i="3"/>
  <c r="C150" i="3"/>
  <c r="F150" i="3"/>
  <c r="C151" i="3"/>
  <c r="F151" i="3"/>
  <c r="C152" i="3"/>
  <c r="F152" i="3"/>
  <c r="C153" i="3"/>
  <c r="F153" i="3"/>
  <c r="C154" i="3"/>
  <c r="F154" i="3"/>
  <c r="C155" i="3"/>
  <c r="F155" i="3"/>
  <c r="C156" i="3"/>
  <c r="F156" i="3"/>
  <c r="C157" i="3"/>
  <c r="F157" i="3"/>
  <c r="C158" i="3"/>
  <c r="F158" i="3"/>
  <c r="C159" i="3"/>
  <c r="F159" i="3"/>
  <c r="C160" i="3"/>
  <c r="F160" i="3"/>
  <c r="C161" i="3"/>
  <c r="F161" i="3"/>
  <c r="C162" i="3"/>
  <c r="F162" i="3"/>
  <c r="C163" i="3"/>
  <c r="F163" i="3"/>
  <c r="C164" i="3"/>
  <c r="F164" i="3"/>
  <c r="C165" i="3"/>
  <c r="F165" i="3"/>
  <c r="C166" i="3"/>
  <c r="F166" i="3"/>
  <c r="C167" i="3"/>
  <c r="F167" i="3"/>
  <c r="C168" i="3"/>
  <c r="F168" i="3"/>
  <c r="C169" i="3"/>
  <c r="F169" i="3"/>
  <c r="C170" i="3"/>
  <c r="F170" i="3"/>
  <c r="C171" i="3"/>
  <c r="F171" i="3"/>
  <c r="C172" i="3"/>
  <c r="E172" i="3"/>
  <c r="F172" i="3"/>
  <c r="C173" i="3"/>
  <c r="E173" i="3"/>
  <c r="F173" i="3"/>
  <c r="C174" i="3"/>
  <c r="E174" i="3"/>
  <c r="F174" i="3"/>
  <c r="C175" i="3"/>
  <c r="E175" i="3"/>
  <c r="F175" i="3"/>
  <c r="C176" i="3"/>
  <c r="E176" i="3"/>
  <c r="F176" i="3"/>
  <c r="C177" i="3"/>
  <c r="E177" i="3"/>
  <c r="F177" i="3"/>
  <c r="C178" i="3"/>
  <c r="E178" i="3"/>
  <c r="F178" i="3"/>
  <c r="C179" i="3"/>
  <c r="E179" i="3"/>
  <c r="F179" i="3"/>
  <c r="C180" i="3"/>
  <c r="E180" i="3"/>
  <c r="F180" i="3"/>
  <c r="C181" i="3"/>
  <c r="E181" i="3"/>
  <c r="F181" i="3"/>
  <c r="C182" i="3"/>
  <c r="E182" i="3"/>
  <c r="F182" i="3"/>
  <c r="C183" i="3"/>
  <c r="E183" i="3"/>
  <c r="F183" i="3"/>
  <c r="C184" i="3"/>
  <c r="E184" i="3"/>
  <c r="F184" i="3"/>
  <c r="C185" i="3"/>
  <c r="E185" i="3"/>
  <c r="F185" i="3"/>
  <c r="C186" i="3"/>
  <c r="E186" i="3"/>
  <c r="F186" i="3"/>
  <c r="C187" i="3"/>
  <c r="E187" i="3"/>
  <c r="F187" i="3"/>
  <c r="C188" i="3"/>
  <c r="E188" i="3"/>
  <c r="F188" i="3"/>
  <c r="C189" i="3"/>
  <c r="E189" i="3"/>
  <c r="F189" i="3"/>
  <c r="C190" i="3"/>
  <c r="E190" i="3"/>
  <c r="F190" i="3"/>
  <c r="C191" i="3"/>
  <c r="E191" i="3"/>
  <c r="F191" i="3"/>
  <c r="C192" i="3"/>
  <c r="F192" i="3"/>
  <c r="C193" i="3"/>
  <c r="F193" i="3"/>
  <c r="C194" i="3"/>
  <c r="E194" i="3"/>
  <c r="F194" i="3"/>
  <c r="C195" i="3"/>
  <c r="E195" i="3"/>
  <c r="F195" i="3"/>
  <c r="C196" i="3"/>
  <c r="F196" i="3"/>
  <c r="C197" i="3"/>
  <c r="F197" i="3"/>
  <c r="C198" i="3"/>
  <c r="E198" i="3"/>
  <c r="F198" i="3"/>
  <c r="C199" i="3"/>
  <c r="F199" i="3"/>
  <c r="C200" i="3"/>
  <c r="F200" i="3"/>
  <c r="C201" i="3"/>
  <c r="F201" i="3"/>
  <c r="C202" i="3"/>
  <c r="F202" i="3"/>
  <c r="C203" i="3"/>
  <c r="F203" i="3"/>
  <c r="C204" i="3"/>
  <c r="F204" i="3"/>
  <c r="C205" i="3"/>
  <c r="F205" i="3"/>
  <c r="C206" i="3"/>
  <c r="F206" i="3"/>
  <c r="C207" i="3"/>
  <c r="F207" i="3"/>
  <c r="C208" i="3"/>
  <c r="F208" i="3"/>
  <c r="C209" i="3"/>
  <c r="F209" i="3"/>
  <c r="C210" i="3"/>
  <c r="E210" i="3"/>
  <c r="F210" i="3"/>
  <c r="C211" i="3"/>
  <c r="F211" i="3"/>
  <c r="C212" i="3"/>
  <c r="F212" i="3"/>
  <c r="C213" i="3"/>
  <c r="F213" i="3"/>
  <c r="C214" i="3"/>
  <c r="F214" i="3"/>
  <c r="C215" i="3"/>
  <c r="F215" i="3"/>
  <c r="C216" i="3"/>
  <c r="F216" i="3"/>
  <c r="C217" i="3"/>
  <c r="E217" i="3"/>
  <c r="F217" i="3"/>
  <c r="C218" i="3"/>
  <c r="E218" i="3"/>
  <c r="F218" i="3"/>
  <c r="C219" i="3"/>
  <c r="E219" i="3"/>
  <c r="F219" i="3"/>
  <c r="C220" i="3"/>
  <c r="E220" i="3"/>
  <c r="F220" i="3"/>
  <c r="C221" i="3"/>
  <c r="E221" i="3"/>
  <c r="F221" i="3"/>
  <c r="C222" i="3"/>
  <c r="E222" i="3"/>
  <c r="F222" i="3"/>
  <c r="C223" i="3"/>
  <c r="E223" i="3"/>
  <c r="F223" i="3"/>
  <c r="C224" i="3"/>
  <c r="F224" i="3"/>
  <c r="C225" i="3"/>
  <c r="F225" i="3"/>
  <c r="C226" i="3"/>
  <c r="F226" i="3"/>
  <c r="C227" i="3"/>
  <c r="F227" i="3"/>
  <c r="C228" i="3"/>
  <c r="F228" i="3"/>
  <c r="C229" i="3"/>
  <c r="F229" i="3"/>
  <c r="C230" i="3"/>
  <c r="F230" i="3"/>
  <c r="C231" i="3"/>
  <c r="E231" i="3"/>
  <c r="F231" i="3"/>
  <c r="C232" i="3"/>
  <c r="F232" i="3"/>
  <c r="C233" i="3"/>
  <c r="E233" i="3"/>
  <c r="F233" i="3"/>
  <c r="C234" i="3"/>
  <c r="E234" i="3"/>
  <c r="F234" i="3"/>
  <c r="C235" i="3"/>
  <c r="E235" i="3"/>
  <c r="F235" i="3"/>
  <c r="C236" i="3"/>
  <c r="F236" i="3"/>
  <c r="C237" i="3"/>
  <c r="F237" i="3"/>
  <c r="C238" i="3"/>
  <c r="F238" i="3"/>
  <c r="C239" i="3"/>
  <c r="F239" i="3"/>
  <c r="C240" i="3"/>
  <c r="E240" i="3"/>
  <c r="F240" i="3"/>
  <c r="C241" i="3"/>
  <c r="E241" i="3"/>
  <c r="F241" i="3"/>
  <c r="C242" i="3"/>
  <c r="F242" i="3"/>
  <c r="C243" i="3"/>
  <c r="F243" i="3"/>
  <c r="C244" i="3"/>
  <c r="F244" i="3"/>
  <c r="C245" i="3"/>
  <c r="F245" i="3"/>
  <c r="C246" i="3"/>
  <c r="F246" i="3"/>
  <c r="C247" i="3"/>
  <c r="F247" i="3"/>
  <c r="C248" i="3"/>
  <c r="F248" i="3"/>
  <c r="C249" i="3"/>
  <c r="F249" i="3"/>
  <c r="C250" i="3"/>
  <c r="F250" i="3"/>
  <c r="C251" i="3"/>
  <c r="F251" i="3"/>
  <c r="C252" i="3"/>
  <c r="F252" i="3"/>
  <c r="C253" i="3"/>
  <c r="E253" i="3"/>
  <c r="F253" i="3"/>
  <c r="C254" i="3"/>
  <c r="E254" i="3"/>
  <c r="F254" i="3"/>
  <c r="C255" i="3"/>
  <c r="F255" i="3"/>
  <c r="C256" i="3"/>
  <c r="F256" i="3"/>
  <c r="C257" i="3"/>
  <c r="E257" i="3"/>
  <c r="F257" i="3"/>
  <c r="C258" i="3"/>
  <c r="E258" i="3"/>
  <c r="F258" i="3"/>
  <c r="C259" i="3"/>
  <c r="E259" i="3"/>
  <c r="F259" i="3"/>
  <c r="C260" i="3"/>
  <c r="F260" i="3"/>
  <c r="C261" i="3"/>
  <c r="F261" i="3"/>
  <c r="C262" i="3"/>
  <c r="F262" i="3"/>
  <c r="C263" i="3"/>
  <c r="F263" i="3"/>
  <c r="C264" i="3"/>
  <c r="E264" i="3"/>
  <c r="F264" i="3"/>
  <c r="C265" i="3"/>
  <c r="E265" i="3"/>
  <c r="F265" i="3"/>
  <c r="C266" i="3"/>
  <c r="E266" i="3"/>
  <c r="F266" i="3"/>
  <c r="C267" i="3"/>
  <c r="E267" i="3"/>
  <c r="F267" i="3"/>
  <c r="C268" i="3"/>
  <c r="E268" i="3"/>
  <c r="F268" i="3"/>
  <c r="C269" i="3"/>
  <c r="E269" i="3"/>
  <c r="F269" i="3"/>
  <c r="C270" i="3"/>
  <c r="E270" i="3"/>
  <c r="F270" i="3"/>
  <c r="C271" i="3"/>
  <c r="E271" i="3"/>
  <c r="F271" i="3"/>
  <c r="C272" i="3"/>
  <c r="E272" i="3"/>
  <c r="F272" i="3"/>
  <c r="C273" i="3"/>
  <c r="F273" i="3"/>
  <c r="C274" i="3"/>
  <c r="E274" i="3"/>
  <c r="F274" i="3"/>
  <c r="C275" i="3"/>
  <c r="F275" i="3"/>
  <c r="C276" i="3"/>
  <c r="F276" i="3"/>
  <c r="C277" i="3"/>
  <c r="F277" i="3"/>
  <c r="C278" i="3"/>
  <c r="F278" i="3"/>
  <c r="C279" i="3"/>
  <c r="F279" i="3"/>
  <c r="C280" i="3"/>
  <c r="F280" i="3"/>
  <c r="C281" i="3"/>
  <c r="F281" i="3"/>
  <c r="C282" i="3"/>
  <c r="F282" i="3"/>
  <c r="C283" i="3"/>
  <c r="F283" i="3"/>
  <c r="C284" i="3"/>
  <c r="F284" i="3"/>
  <c r="C285" i="3"/>
  <c r="E285" i="3"/>
  <c r="F285" i="3"/>
  <c r="C286" i="3"/>
  <c r="E286" i="3"/>
  <c r="F286" i="3"/>
  <c r="C287" i="3"/>
  <c r="E287" i="3"/>
  <c r="F287" i="3"/>
  <c r="C288" i="3"/>
  <c r="E288" i="3"/>
  <c r="F288" i="3"/>
  <c r="C289" i="3"/>
  <c r="E289" i="3"/>
  <c r="F289" i="3"/>
  <c r="C290" i="3"/>
  <c r="E290" i="3"/>
  <c r="F290" i="3"/>
  <c r="C291" i="3"/>
  <c r="E291" i="3"/>
  <c r="F291" i="3"/>
  <c r="C292" i="3"/>
  <c r="E292" i="3"/>
  <c r="F292" i="3"/>
  <c r="C293" i="3"/>
  <c r="E293" i="3"/>
  <c r="F293" i="3"/>
  <c r="C294" i="3"/>
  <c r="F294" i="3"/>
  <c r="C295" i="3"/>
  <c r="E295" i="3"/>
  <c r="F295" i="3"/>
  <c r="C296" i="3"/>
  <c r="E296" i="3"/>
  <c r="F296" i="3"/>
  <c r="C297" i="3"/>
  <c r="E297" i="3"/>
  <c r="F297" i="3"/>
  <c r="C298" i="3"/>
  <c r="E298" i="3"/>
  <c r="F298" i="3"/>
  <c r="C299" i="3"/>
  <c r="E299" i="3"/>
  <c r="F299" i="3"/>
  <c r="C300" i="3"/>
  <c r="F300" i="3"/>
  <c r="C301" i="3"/>
  <c r="F301" i="3"/>
  <c r="C302" i="3"/>
  <c r="F302" i="3"/>
  <c r="C303" i="3"/>
  <c r="F303" i="3"/>
  <c r="C304" i="3"/>
  <c r="F304" i="3"/>
  <c r="C305" i="3"/>
  <c r="F305" i="3"/>
  <c r="F4" i="2" l="1"/>
  <c r="F5" i="2"/>
  <c r="F6" i="2"/>
  <c r="F7" i="2"/>
  <c r="F8" i="2"/>
  <c r="F9" i="2"/>
  <c r="F10" i="2"/>
  <c r="F11" i="2"/>
  <c r="E12" i="5" s="1"/>
  <c r="F3" i="2"/>
  <c r="E3" i="2" l="1"/>
  <c r="E4" i="2"/>
  <c r="E6" i="2"/>
  <c r="E7" i="2"/>
  <c r="E10" i="2"/>
  <c r="E11" i="2"/>
  <c r="G26" i="5" l="1"/>
  <c r="G28" i="5" s="1"/>
  <c r="G29" i="5" s="1"/>
  <c r="G30" i="5" s="1"/>
  <c r="G31" i="5" s="1"/>
  <c r="G32" i="5" s="1"/>
  <c r="G34" i="5" s="1"/>
  <c r="G35" i="5" s="1"/>
  <c r="G36" i="5" s="1"/>
  <c r="G37" i="5" s="1"/>
  <c r="G38" i="5" s="1"/>
  <c r="G39" i="5" s="1"/>
  <c r="G40" i="5" s="1"/>
  <c r="G41" i="5" s="1"/>
  <c r="G42" i="5" s="1"/>
  <c r="G43" i="5" s="1"/>
  <c r="G44" i="5" s="1"/>
  <c r="G45" i="5" s="1"/>
  <c r="G46" i="5" s="1"/>
  <c r="G47" i="5" s="1"/>
  <c r="G48" i="5" s="1"/>
  <c r="G49" i="5" s="1"/>
  <c r="G50" i="5" s="1"/>
  <c r="G51" i="5" s="1"/>
  <c r="G52" i="5" s="1"/>
  <c r="G53" i="5" s="1"/>
  <c r="G54" i="5" s="1"/>
  <c r="G55" i="5" s="1"/>
  <c r="G56" i="5" s="1"/>
  <c r="G57" i="5" s="1"/>
  <c r="G58" i="5" s="1"/>
  <c r="G59" i="5" s="1"/>
  <c r="G60" i="5" s="1"/>
  <c r="G61" i="5" s="1"/>
  <c r="G62" i="5" s="1"/>
  <c r="G63" i="5" s="1"/>
  <c r="G64" i="5" s="1"/>
  <c r="G65" i="5" s="1"/>
  <c r="G66" i="5" s="1"/>
  <c r="G67" i="5" s="1"/>
  <c r="G68" i="5" s="1"/>
  <c r="G69" i="5" s="1"/>
  <c r="G70" i="5" s="1"/>
  <c r="G71" i="5" s="1"/>
  <c r="G72" i="5" s="1"/>
  <c r="G73" i="5" s="1"/>
  <c r="G74" i="5" s="1"/>
  <c r="G75" i="5" s="1"/>
  <c r="G76" i="5" s="1"/>
  <c r="G77" i="5" s="1"/>
  <c r="G78" i="5" s="1"/>
  <c r="G79" i="5" s="1"/>
  <c r="G80" i="5" s="1"/>
  <c r="G81" i="5" s="1"/>
  <c r="G82" i="5" s="1"/>
  <c r="G83" i="5" s="1"/>
  <c r="G84" i="5" s="1"/>
  <c r="G85" i="5" s="1"/>
  <c r="G86" i="5" s="1"/>
  <c r="G87" i="5" s="1"/>
  <c r="G88" i="5" s="1"/>
  <c r="G89" i="5" s="1"/>
  <c r="G90" i="5" s="1"/>
  <c r="G91" i="5" s="1"/>
  <c r="G92" i="5" s="1"/>
  <c r="G93" i="5" s="1"/>
  <c r="G94" i="5" s="1"/>
  <c r="G95" i="5" s="1"/>
  <c r="G96" i="5" s="1"/>
  <c r="G97" i="5" s="1"/>
  <c r="G98" i="5" s="1"/>
  <c r="G99" i="5" s="1"/>
  <c r="G100" i="5" s="1"/>
  <c r="G101" i="5" s="1"/>
  <c r="G102" i="5" s="1"/>
  <c r="G103" i="5" s="1"/>
  <c r="G104" i="5" s="1"/>
  <c r="G105" i="5" s="1"/>
  <c r="G106" i="5" s="1"/>
  <c r="G107" i="5" s="1"/>
  <c r="G108" i="5" s="1"/>
  <c r="G109" i="5" s="1"/>
  <c r="G110" i="5" s="1"/>
  <c r="G111" i="5" s="1"/>
  <c r="G112" i="5" s="1"/>
  <c r="G113" i="5" s="1"/>
  <c r="G114" i="5" s="1"/>
  <c r="G115" i="5" s="1"/>
  <c r="G116" i="5" s="1"/>
  <c r="G117" i="5" s="1"/>
  <c r="G118" i="5" s="1"/>
  <c r="G119" i="5" s="1"/>
  <c r="G120" i="5" s="1"/>
  <c r="G121" i="5" s="1"/>
  <c r="G122" i="5" s="1"/>
  <c r="G123" i="5" s="1"/>
  <c r="G124" i="5" s="1"/>
  <c r="G125" i="5" s="1"/>
  <c r="G126" i="5" s="1"/>
  <c r="G127" i="5" s="1"/>
  <c r="G128" i="5" s="1"/>
  <c r="G129" i="5" s="1"/>
  <c r="G130" i="5" s="1"/>
  <c r="G131" i="5" s="1"/>
  <c r="G132" i="5" s="1"/>
  <c r="G133" i="5" s="1"/>
  <c r="G134" i="5" s="1"/>
  <c r="G135" i="5" s="1"/>
  <c r="G136" i="5" s="1"/>
  <c r="G137" i="5" s="1"/>
  <c r="G138" i="5" s="1"/>
  <c r="G139" i="5" s="1"/>
  <c r="G140" i="5" s="1"/>
  <c r="G141" i="5" s="1"/>
  <c r="G142" i="5" s="1"/>
  <c r="G143" i="5" s="1"/>
  <c r="G144" i="5" s="1"/>
  <c r="G145" i="5" s="1"/>
  <c r="G146" i="5" s="1"/>
  <c r="G147" i="5" s="1"/>
  <c r="G148" i="5" s="1"/>
  <c r="G149" i="5" s="1"/>
  <c r="G150" i="5" s="1"/>
  <c r="G151" i="5" s="1"/>
  <c r="G152" i="5" s="1"/>
  <c r="G153" i="5" s="1"/>
  <c r="G154" i="5" s="1"/>
  <c r="G155" i="5" s="1"/>
  <c r="G156" i="5" s="1"/>
  <c r="G157" i="5" s="1"/>
  <c r="G158" i="5" s="1"/>
  <c r="G159" i="5" s="1"/>
  <c r="G160" i="5" s="1"/>
  <c r="G161" i="5" s="1"/>
  <c r="G162" i="5" s="1"/>
  <c r="G163" i="5" s="1"/>
  <c r="G164" i="5" s="1"/>
  <c r="G165" i="5" s="1"/>
  <c r="G166" i="5" s="1"/>
  <c r="G167" i="5" s="1"/>
  <c r="G168" i="5" s="1"/>
  <c r="G169" i="5" s="1"/>
  <c r="G170" i="5" s="1"/>
  <c r="G171" i="5" s="1"/>
  <c r="G172" i="5" s="1"/>
  <c r="G173" i="5" s="1"/>
  <c r="G174" i="5" s="1"/>
  <c r="G175" i="5" s="1"/>
  <c r="G176" i="5" s="1"/>
  <c r="G177" i="5" s="1"/>
  <c r="G178" i="5" s="1"/>
  <c r="G179" i="5" s="1"/>
  <c r="G180" i="5" s="1"/>
  <c r="G181" i="5" s="1"/>
  <c r="G182" i="5" s="1"/>
  <c r="G183" i="5" s="1"/>
  <c r="G184" i="5" s="1"/>
  <c r="G185" i="5" s="1"/>
  <c r="G186" i="5" s="1"/>
  <c r="G187" i="5" s="1"/>
  <c r="G188" i="5" s="1"/>
  <c r="G189" i="5" s="1"/>
  <c r="G190" i="5" s="1"/>
  <c r="G191" i="5" s="1"/>
  <c r="G192" i="5" s="1"/>
  <c r="G193" i="5" s="1"/>
  <c r="G194" i="5" s="1"/>
  <c r="G195" i="5" s="1"/>
  <c r="G196" i="5" s="1"/>
  <c r="G197" i="5" s="1"/>
  <c r="G198" i="5" s="1"/>
  <c r="G199" i="5" s="1"/>
  <c r="G200" i="5" s="1"/>
  <c r="G201" i="5" s="1"/>
  <c r="G202" i="5" s="1"/>
  <c r="G203" i="5" s="1"/>
  <c r="G204" i="5" s="1"/>
  <c r="G205" i="5" s="1"/>
  <c r="G206" i="5" s="1"/>
</calcChain>
</file>

<file path=xl/sharedStrings.xml><?xml version="1.0" encoding="utf-8"?>
<sst xmlns="http://schemas.openxmlformats.org/spreadsheetml/2006/main" count="2251" uniqueCount="885">
  <si>
    <t>Type</t>
  </si>
  <si>
    <t>Numéro</t>
  </si>
  <si>
    <t>Intitulé du compte</t>
  </si>
  <si>
    <t>E-mail</t>
  </si>
  <si>
    <t>Client</t>
  </si>
  <si>
    <t>Adresse</t>
  </si>
  <si>
    <t>Code postal</t>
  </si>
  <si>
    <t>Ville</t>
  </si>
  <si>
    <t>Route des costes</t>
  </si>
  <si>
    <t>CHAFFAYER</t>
  </si>
  <si>
    <t>250 ZAE de la TouffiÞre</t>
  </si>
  <si>
    <t>ST MARTIN BELLEVUE</t>
  </si>
  <si>
    <t>ZI CHARTREUSE GUIERS</t>
  </si>
  <si>
    <t>ENTRE DEUX GUIERS</t>
  </si>
  <si>
    <t>324, rue du Chat BottÚ</t>
  </si>
  <si>
    <t>MIRIBEL CEDEX</t>
  </si>
  <si>
    <t>CS 70001</t>
  </si>
  <si>
    <t>RIVES SUR FURE CEDEX</t>
  </si>
  <si>
    <t>1 ALLEE DES CYCLADES</t>
  </si>
  <si>
    <t>CRAN GEVRIER</t>
  </si>
  <si>
    <t>Code journal</t>
  </si>
  <si>
    <t>Date</t>
  </si>
  <si>
    <t>N° pièce</t>
  </si>
  <si>
    <t>Référence</t>
  </si>
  <si>
    <t>N° compte général</t>
  </si>
  <si>
    <t>N° compte tiers</t>
  </si>
  <si>
    <t>Libellé écriture</t>
  </si>
  <si>
    <t>Mode règlement</t>
  </si>
  <si>
    <t>Date échéance</t>
  </si>
  <si>
    <t>Lettrage montant</t>
  </si>
  <si>
    <t>Période rappel</t>
  </si>
  <si>
    <t>Position</t>
  </si>
  <si>
    <t>Date pénalités</t>
  </si>
  <si>
    <t>Date relance</t>
  </si>
  <si>
    <t>Date dernier règlement</t>
  </si>
  <si>
    <t>Débit</t>
  </si>
  <si>
    <t>Crédit</t>
  </si>
  <si>
    <t>VE</t>
  </si>
  <si>
    <t>CF006650</t>
  </si>
  <si>
    <t>Fact. No F1906131 AIRA_</t>
  </si>
  <si>
    <t>Virement</t>
  </si>
  <si>
    <t>Fact. No F1906045 AIXAM_MEGA</t>
  </si>
  <si>
    <t>XC014432</t>
  </si>
  <si>
    <t>Fact. No F1906046 AIXAM_MEGA</t>
  </si>
  <si>
    <t>xc014315</t>
  </si>
  <si>
    <t>Fact. No F1906047 AIXAM_MEGA</t>
  </si>
  <si>
    <t>Fact. No F1906048 AIXAM_MEGA</t>
  </si>
  <si>
    <t>Fact. No F1906049 AIXAM_MEGA</t>
  </si>
  <si>
    <t>330 / 129190</t>
  </si>
  <si>
    <t>Fact. No F1906016 ALLIANCE_CONCEPT_</t>
  </si>
  <si>
    <t>H</t>
  </si>
  <si>
    <t>11715 / 128585</t>
  </si>
  <si>
    <t>Fact. No F1906017 ALLIANCE_CONCEPT_</t>
  </si>
  <si>
    <t>11680 / 128583</t>
  </si>
  <si>
    <t>Fact. No F1906018 ALLIANCE_CONCEPT_</t>
  </si>
  <si>
    <t>Fact. No F1906023 ALLIANCE_CONCEPT_</t>
  </si>
  <si>
    <t>11285 / 128584</t>
  </si>
  <si>
    <t>Fact. No F1906024 ALLIANCE_CONCEPT_</t>
  </si>
  <si>
    <t>Fact. No F1906025 ALLIANCE_CONCEPT_</t>
  </si>
  <si>
    <t>11761 / 128860</t>
  </si>
  <si>
    <t>Fact. No F1906026 ALLIANCE_CONCEPT_</t>
  </si>
  <si>
    <t>Fact. No F1906027 ALLIANCE_CONCEPT_</t>
  </si>
  <si>
    <t>11749 / 129090</t>
  </si>
  <si>
    <t>Fact. No F1906086 ALLIANCE_CONCEPT_</t>
  </si>
  <si>
    <t>I</t>
  </si>
  <si>
    <t>11750 / 129091</t>
  </si>
  <si>
    <t>Fact. No F1906087 ALLIANCE_CONCEPT_</t>
  </si>
  <si>
    <t>11752 / 129092</t>
  </si>
  <si>
    <t>Fact. No F1906088 ALLIANCE_CONCEPT_</t>
  </si>
  <si>
    <t>11530 / 129434</t>
  </si>
  <si>
    <t>Fact. No F1906166 ALLIANCE_CONCEPT_</t>
  </si>
  <si>
    <t>J</t>
  </si>
  <si>
    <t>11480 / 129367</t>
  </si>
  <si>
    <t>Fact. No F1906175 ALLIANCE_CONCEPT_</t>
  </si>
  <si>
    <t>Fact. No F1906176 ALLIANCE_CONCEPT_</t>
  </si>
  <si>
    <t>Fact. No F1906177 ALLIANCE_CONCEPT_</t>
  </si>
  <si>
    <t>Fact. No F1906178 ALLIANCE_CONCEPT_</t>
  </si>
  <si>
    <t>Fact. No F1906179 ALLIANCE_CONCEPT_</t>
  </si>
  <si>
    <t>Fact. No F1906284 ALLIANCE_CONCEPT_</t>
  </si>
  <si>
    <t>K</t>
  </si>
  <si>
    <t>159 / 129094</t>
  </si>
  <si>
    <t>Fact. No F1906337 ALLIANCE_CONCEPT_</t>
  </si>
  <si>
    <t>L</t>
  </si>
  <si>
    <t>Fact. No F1906083 ALPINE_ALUMINIUM</t>
  </si>
  <si>
    <t>D</t>
  </si>
  <si>
    <t>Fact. No F1906173 ALPINE_ALUMINIUM</t>
  </si>
  <si>
    <t>E</t>
  </si>
  <si>
    <t>Fact. No F1906278 ARC_FUSED_ALUMINA</t>
  </si>
  <si>
    <t>C</t>
  </si>
  <si>
    <t>Fact. No F1906346 ARC_FUSED_ALUMINA</t>
  </si>
  <si>
    <t>CD01289</t>
  </si>
  <si>
    <t>Fact. No F1906081 AMCI_PRESTATIONS_</t>
  </si>
  <si>
    <t>Fact. No F1906342 FRAMATOME</t>
  </si>
  <si>
    <t>Fact. No F1906345 FRAMATOME</t>
  </si>
  <si>
    <t xml:space="preserve">BPA ALEXANDRE le </t>
  </si>
  <si>
    <t>Fact. No F1906182 ARTI_SOLS</t>
  </si>
  <si>
    <t xml:space="preserve">BPA CÚdric MAURY </t>
  </si>
  <si>
    <t>Fact. No F1906280 ALPES_TECHNIC_BUA</t>
  </si>
  <si>
    <t>CF191356</t>
  </si>
  <si>
    <t>Fact. No F1906102 BAIKOWSKI_</t>
  </si>
  <si>
    <t>LCR Acceptée</t>
  </si>
  <si>
    <t>CF191122</t>
  </si>
  <si>
    <t>Fact. No F1906258 BCH_COMPRESSEURS</t>
  </si>
  <si>
    <t>LCR non acceptée</t>
  </si>
  <si>
    <t>B</t>
  </si>
  <si>
    <t>6500582506/KGO</t>
  </si>
  <si>
    <t>Fact. No F1906215 BIOMERIEUX</t>
  </si>
  <si>
    <t>ACHB1905388</t>
  </si>
  <si>
    <t>Fact. No F1906068 BLANCHON_SA</t>
  </si>
  <si>
    <t>Fact. No F1906044 BOURGEAT</t>
  </si>
  <si>
    <t>Fact. No F1906228 BOURGEAT</t>
  </si>
  <si>
    <t>Fact. No F1906255 BOURGEAT</t>
  </si>
  <si>
    <t>Fact. No F1906315 BOURGEAT</t>
  </si>
  <si>
    <t>Fact. No F1906324 BOURGEAT</t>
  </si>
  <si>
    <t>bon pour acciord</t>
  </si>
  <si>
    <t>Fact. No F1906252 BRASSE_MONT_BLANC</t>
  </si>
  <si>
    <t>Fact. No F1906265 BRASSE_MONT_BLANC</t>
  </si>
  <si>
    <t>BON POUR ACCORD</t>
  </si>
  <si>
    <t>Fact. No F1906257 CABLESMONTAGE</t>
  </si>
  <si>
    <t>Fact. No F1906194 CADOUX_</t>
  </si>
  <si>
    <t>Chèque</t>
  </si>
  <si>
    <t>BON POUR COMMANDE</t>
  </si>
  <si>
    <t>Fact. No F1906139 CARTONNAGE_DU_DAU</t>
  </si>
  <si>
    <t>Fact. No F1906210 RDM_LA_ROCHETTE_S</t>
  </si>
  <si>
    <t>Fact. No F1906233 RDM_LA_ROCHETTE_S</t>
  </si>
  <si>
    <t xml:space="preserve">Nicolas AYROULET </t>
  </si>
  <si>
    <t>Fact. No F1906193 CATIDOM</t>
  </si>
  <si>
    <t>Fact. No F1906290 CATIDOM</t>
  </si>
  <si>
    <t>Fact. No F1906343 CATIDOM</t>
  </si>
  <si>
    <t>Fact. No F1906344 CATIDOM</t>
  </si>
  <si>
    <t xml:space="preserve">pris ce jour par </t>
  </si>
  <si>
    <t>Fact. No F1906111 CEDIPACK</t>
  </si>
  <si>
    <t>Fact. No F1906244 CEMEX_BETON_RHONE</t>
  </si>
  <si>
    <t>Fact. No F1906254 CEMOI_CONFISEUR</t>
  </si>
  <si>
    <t>Fact. No F1906316 CEMOI_CONFISEUR</t>
  </si>
  <si>
    <t>Fact. No F1906164 CEREAL_PARTNERS_F</t>
  </si>
  <si>
    <t>F</t>
  </si>
  <si>
    <t>Fact. No F1906279 CEREAL_PARTNERS_F</t>
  </si>
  <si>
    <t>CFF19A01480   -0</t>
  </si>
  <si>
    <t>Fact. No F1906116 CGL_PACK_ANNECY_</t>
  </si>
  <si>
    <t>CF019365</t>
  </si>
  <si>
    <t>Fact. No F1906147 CI2M</t>
  </si>
  <si>
    <t>Fact. No F1906310 CIUCH_SERVICES</t>
  </si>
  <si>
    <t>Fact. No F1906326 CIUCH_SERVICES</t>
  </si>
  <si>
    <t>BL MANUEL N¦ 30 D</t>
  </si>
  <si>
    <t>Fact. No F1906340 PETELAT_SABLIERE_</t>
  </si>
  <si>
    <t>CF1162</t>
  </si>
  <si>
    <t>Fact. No F1906092 CM_INDUSTRIE</t>
  </si>
  <si>
    <t>STROMBOLI</t>
  </si>
  <si>
    <t>Fact. No F1906122 COMATEL_BUGELEC_</t>
  </si>
  <si>
    <t xml:space="preserve">BU46261/COFFRETS </t>
  </si>
  <si>
    <t>Fact. No F1906231 COMATEL_BUGELEC_</t>
  </si>
  <si>
    <t>BU46120/CBN DU 15</t>
  </si>
  <si>
    <t>Fact. No F1906232 COMATEL_BUGELEC_</t>
  </si>
  <si>
    <t>BU46456/ARMOIRE:E</t>
  </si>
  <si>
    <t>Fact. No F1906266 COMATEL_BUGELEC_</t>
  </si>
  <si>
    <t>BU46457-ARMOIRE E</t>
  </si>
  <si>
    <t>Fact. No F1906267 COMATEL_BUGELEC_</t>
  </si>
  <si>
    <t>BU46459-COFFR ZON</t>
  </si>
  <si>
    <t>Fact. No F1906268 COMATEL_BUGELEC_</t>
  </si>
  <si>
    <t>BU46460-armoire e</t>
  </si>
  <si>
    <t>Fact. No F1906269 COMATEL_BUGELEC_</t>
  </si>
  <si>
    <t>bu46461-armoir em</t>
  </si>
  <si>
    <t>Fact. No F1906271 COMATEL_BUGELEC_</t>
  </si>
  <si>
    <t>BU46463-ARMOIR EM</t>
  </si>
  <si>
    <t>Fact. No F1906306 COMATEL_BUGELEC_</t>
  </si>
  <si>
    <t>18-080-432 CD</t>
  </si>
  <si>
    <t>Fact. No F1906289 CONCEPT_INOX</t>
  </si>
  <si>
    <t>US.YM/DD.3.9160.1</t>
  </si>
  <si>
    <t>Fact. No F1906242 CROMOLOGY_RESEARC</t>
  </si>
  <si>
    <t xml:space="preserve">P5278-NOVA-168 / </t>
  </si>
  <si>
    <t>Fact. No F1906356 CRP-ELPE_PACKAGIN</t>
  </si>
  <si>
    <t>19 06 80 59 par M</t>
  </si>
  <si>
    <t>Fact. No F1906110 CURIOZ_</t>
  </si>
  <si>
    <t>19068096-ELCUR</t>
  </si>
  <si>
    <t>Fact. No F1906167 CURIOZ_</t>
  </si>
  <si>
    <t>19068126-ELCUR</t>
  </si>
  <si>
    <t>Fact. No F1906296 CURIOZ_</t>
  </si>
  <si>
    <t xml:space="preserve">21068424_4761039 </t>
  </si>
  <si>
    <t>Fact. No F1906006 SALAMANDER_GROUP_</t>
  </si>
  <si>
    <t>LC246279</t>
  </si>
  <si>
    <t>Fact. No F1906204 LE_DAUPHINE_LIBER</t>
  </si>
  <si>
    <t>MT246277</t>
  </si>
  <si>
    <t>Fact. No F1906250 LE_DAUPHINE_LIBER</t>
  </si>
  <si>
    <t>8600186651 / L. B</t>
  </si>
  <si>
    <t>Fact. No F1906036 DELPHARM_GAILLARD</t>
  </si>
  <si>
    <t>8600186609 / Lo¯c</t>
  </si>
  <si>
    <t>Fact. No F1906037 DELPHARM_GAILLARD</t>
  </si>
  <si>
    <t>Fact. No F1906082 DELPHARM_GAILLARD</t>
  </si>
  <si>
    <t>8600186849 / L. B</t>
  </si>
  <si>
    <t>Fact. No F1906281 DELPHARM_GAILLARD</t>
  </si>
  <si>
    <t>tÚl Mr DELCUSE le</t>
  </si>
  <si>
    <t>Fact. No F1906115 DERM_SARL_</t>
  </si>
  <si>
    <t>Fact. No F1906174 DERM_SARL_</t>
  </si>
  <si>
    <t>Mr DELCUSE par Te</t>
  </si>
  <si>
    <t>Fact. No F1906293 DERM_SARL_</t>
  </si>
  <si>
    <t>Fact. No F1906301 DERM_SARL_</t>
  </si>
  <si>
    <t>Fact. No F1906304 DERM_SARL_</t>
  </si>
  <si>
    <t>MAIL DU 28/05/201</t>
  </si>
  <si>
    <t>Fact. No F1906028 DST_</t>
  </si>
  <si>
    <t>CA19050227</t>
  </si>
  <si>
    <t>Fact. No F1906035 DST_</t>
  </si>
  <si>
    <t>CA19060162</t>
  </si>
  <si>
    <t>Fact. No F1906162 DST_</t>
  </si>
  <si>
    <t>CA19060085</t>
  </si>
  <si>
    <t>Fact. No F1906165 DST_</t>
  </si>
  <si>
    <t>Fact. No F1906249 EXSTO_</t>
  </si>
  <si>
    <t>Fact. No F1906010 FERROPEM_ANGLEFOR</t>
  </si>
  <si>
    <t>Fact. No F1906011 FERROPEM_ANGLEFOR</t>
  </si>
  <si>
    <t>Fact. No F1906015 FERROPEM_ANGLEFOR</t>
  </si>
  <si>
    <t>Fact. No F1906101 FERROPEM_ANGLEFOR</t>
  </si>
  <si>
    <t>Fact. No F1906104 FERROPEM_ANGLEFOR</t>
  </si>
  <si>
    <t>Fact. No F1906158 FERROPEM_ANGLEFOR</t>
  </si>
  <si>
    <t>Fact. No F1906159 FERROPEM_ANGLEFOR</t>
  </si>
  <si>
    <t>Fact. No F1906282 FERROPEM_ANGLEFOR</t>
  </si>
  <si>
    <t>Fact. No F1906012 FERROPEM_CHATEAU_</t>
  </si>
  <si>
    <t>APPEL D'OFFRE 19B</t>
  </si>
  <si>
    <t>Fact. No F1906032 FERROPEM_CHATEAU_</t>
  </si>
  <si>
    <t>Fact. No F1906033 FERROPEM_CHATEAU_</t>
  </si>
  <si>
    <t>Fact. No F1906227 FERROPEM_MONTRICH</t>
  </si>
  <si>
    <t>A</t>
  </si>
  <si>
    <t>Fact. No F1906318 FERROPEM_MONTRICH</t>
  </si>
  <si>
    <t>CDE190501648PMT</t>
  </si>
  <si>
    <t>Fact. No F1906061 FOURNIER_SA_</t>
  </si>
  <si>
    <t>S</t>
  </si>
  <si>
    <t>CDE190600134PMM</t>
  </si>
  <si>
    <t>Fact. No F1906062 FOURNIER_SA_</t>
  </si>
  <si>
    <t>CDE190501848PMT</t>
  </si>
  <si>
    <t>Fact. No F1906121 FOURNIER_SA_</t>
  </si>
  <si>
    <t>T</t>
  </si>
  <si>
    <t>CDE190502637PMT</t>
  </si>
  <si>
    <t>Fact. No F1906128 FOURNIER_SA_</t>
  </si>
  <si>
    <t>CDE190600328PMT</t>
  </si>
  <si>
    <t>Fact. No F1906138 FOURNIER_SA_</t>
  </si>
  <si>
    <t>Fact. No F1906144 FOURNIER_SA_</t>
  </si>
  <si>
    <t>U</t>
  </si>
  <si>
    <t>CDE190502456PMT</t>
  </si>
  <si>
    <t>Fact. No F1906208 FOURNIER_SA_</t>
  </si>
  <si>
    <t>V</t>
  </si>
  <si>
    <t>CDE190600284PMT</t>
  </si>
  <si>
    <t>Fact. No F1906216 FOURNIER_SA_</t>
  </si>
  <si>
    <t>CDE190600983PMO</t>
  </si>
  <si>
    <t>Fact. No F1906235 FOURNIER_SA_</t>
  </si>
  <si>
    <t>CDE190600819PMO</t>
  </si>
  <si>
    <t>Fact. No F1906236 FOURNIER_SA_</t>
  </si>
  <si>
    <t>W</t>
  </si>
  <si>
    <t>CDE190600565PMT</t>
  </si>
  <si>
    <t>Fact. No F1906241 FOURNIER_SA_</t>
  </si>
  <si>
    <t>X</t>
  </si>
  <si>
    <t>Fact. No F1906317 FOURNIER_SA_</t>
  </si>
  <si>
    <t>CDE190600114PMO</t>
  </si>
  <si>
    <t>Fact. No F1906321 FOURNIER_SA_</t>
  </si>
  <si>
    <t>Fact. No F1906014 LABORATOIRES_GALD</t>
  </si>
  <si>
    <t>Fact. No F1906181 LABORATOIRES_GALD</t>
  </si>
  <si>
    <t>Fact. No F1906339 LABORATOIRES_GALD</t>
  </si>
  <si>
    <t>M.BRESSAND</t>
  </si>
  <si>
    <t>Fact. No F1906239 G.G.I.</t>
  </si>
  <si>
    <t>AA-70091</t>
  </si>
  <si>
    <t>Fact. No F1906134 GHP</t>
  </si>
  <si>
    <t>CF7505</t>
  </si>
  <si>
    <t>Fact. No F1906109 GILSON_PIERRE</t>
  </si>
  <si>
    <t>CF7524</t>
  </si>
  <si>
    <t>Fact. No F1906156 GILSON_PIERRE</t>
  </si>
  <si>
    <t xml:space="preserve">Pris ce jour par </t>
  </si>
  <si>
    <t>4503152932/M53</t>
  </si>
  <si>
    <t>Fact. No F1906013 MAHLE_COMPOSANTS_</t>
  </si>
  <si>
    <t>Fact. No F1906191 MAPED_</t>
  </si>
  <si>
    <t>Fact. No F1906054 MARTINET_SAS</t>
  </si>
  <si>
    <t>NOV000001</t>
  </si>
  <si>
    <t>Fact. No F1906248 MAURY</t>
  </si>
  <si>
    <t>054125 du 15/05/2</t>
  </si>
  <si>
    <t>Fact. No F1906347 MAVIC</t>
  </si>
  <si>
    <t>580788 / pour THO</t>
  </si>
  <si>
    <t>Fact. No F1906114 COMPTOIR_DE_MATER</t>
  </si>
  <si>
    <t>Fact. No F1906118 COMPTOIR_DE_MATER</t>
  </si>
  <si>
    <t>Fact. No F1906184 COMPTOIR_DE_MATER</t>
  </si>
  <si>
    <t>BC027361</t>
  </si>
  <si>
    <t>Fact. No F1906246 MECANHYDRO</t>
  </si>
  <si>
    <t>MOUKTAD / Command</t>
  </si>
  <si>
    <t>Fact. No F1906135 MEGA_PRODUCTION</t>
  </si>
  <si>
    <t>MP19-195</t>
  </si>
  <si>
    <t>Fact. No F1906145 MEGA_PRODUCTION</t>
  </si>
  <si>
    <t>CF000621</t>
  </si>
  <si>
    <t>Fact. No F1906237 MERCI-SOLUTIONS_</t>
  </si>
  <si>
    <t>Fact. No F1906124 MERCK_SANTE</t>
  </si>
  <si>
    <t>Fact. No F1906245 MERCK_SANTE</t>
  </si>
  <si>
    <t>BPA le 27/06/19</t>
  </si>
  <si>
    <t>Fact. No F1906348 METALINOX_</t>
  </si>
  <si>
    <t>Fact. No F1906085 MSSA_SAS_</t>
  </si>
  <si>
    <t>Fact. No F1906187 MSSA_SAS_</t>
  </si>
  <si>
    <t>BL MANUEL N¦6 / B</t>
  </si>
  <si>
    <t>Fact. No F1906349 MTS_</t>
  </si>
  <si>
    <t>Gilles</t>
  </si>
  <si>
    <t>Fact. No F1906004 NATECH_SAS_</t>
  </si>
  <si>
    <t>Gilles par SMS du</t>
  </si>
  <si>
    <t>Fact. No F1906077 NATECH_SAS_</t>
  </si>
  <si>
    <t>Fact. No F1906097 NATECH_SAS_</t>
  </si>
  <si>
    <t>Gilles ce jour</t>
  </si>
  <si>
    <t>Fact. No F1906112 NATECH_SAS_</t>
  </si>
  <si>
    <t>Pour GILLES</t>
  </si>
  <si>
    <t>Fact. No F1906155 NATECH_SAS_</t>
  </si>
  <si>
    <t>Gilles par SMS</t>
  </si>
  <si>
    <t>Fact. No F1906283 NATECH_SAS_</t>
  </si>
  <si>
    <t>Gilles par tel</t>
  </si>
  <si>
    <t>Fact. No F1906295 NATECH_SAS_</t>
  </si>
  <si>
    <t>SO19091</t>
  </si>
  <si>
    <t>Fact. No F1906063 NOVAFIT_SOLUTIONS</t>
  </si>
  <si>
    <t>SO19095</t>
  </si>
  <si>
    <t>Fact. No F1906066 NOVAFIT_SOLUTIONS</t>
  </si>
  <si>
    <t>SO19088</t>
  </si>
  <si>
    <t>Fact. No F1906123 NOVAFIT_SOLUTIONS</t>
  </si>
  <si>
    <t>SO19079</t>
  </si>
  <si>
    <t>Fact. No F1906127 NOVAFIT_SOLUTIONS</t>
  </si>
  <si>
    <t>SO19096</t>
  </si>
  <si>
    <t>Fact. No F1906209 NOVAFIT_SOLUTIONS</t>
  </si>
  <si>
    <t>SO19073</t>
  </si>
  <si>
    <t>Fact. No F1906240 NOVAFIT_SOLUTIONS</t>
  </si>
  <si>
    <t>SO19090</t>
  </si>
  <si>
    <t>Fact. No F1906243 NOVAFIT_SOLUTIONS</t>
  </si>
  <si>
    <t>SO19093</t>
  </si>
  <si>
    <t>Fact. No F1906251 NOVAFIT_SOLUTIONS</t>
  </si>
  <si>
    <t>SO19094</t>
  </si>
  <si>
    <t>Fact. No F1906308 NOVAFIT_SOLUTIONS</t>
  </si>
  <si>
    <t>EY610 / EL192 / E</t>
  </si>
  <si>
    <t>Avoir No F1906070 NTN-SNR_CF_05954_</t>
  </si>
  <si>
    <t>FK892 DU 14/05/20</t>
  </si>
  <si>
    <t>Fact. No F1906072 NTN-SNR_CF_05954_</t>
  </si>
  <si>
    <t>FK839 DU 04/06/20</t>
  </si>
  <si>
    <t>Fact. No F1906151 NTN-SNR_CF_05954_</t>
  </si>
  <si>
    <t>FU445 / FU445 / F</t>
  </si>
  <si>
    <t>Fact. No F1906275 NTN-SNR_CF_05954_</t>
  </si>
  <si>
    <t>FU963 / FU963 / F</t>
  </si>
  <si>
    <t>Fact. No F1906359 NTN-SNR_CF_05954_</t>
  </si>
  <si>
    <t>Fact. No F1906206 OCV_CHAMBERY_FRAN</t>
  </si>
  <si>
    <t>Fact. No F1906350 OCV_CHAMBERY_FRAN</t>
  </si>
  <si>
    <t>Fact. No F1906355 OCV_CHAMBERY_FRAN</t>
  </si>
  <si>
    <t>Fact. No F1906130 OPINEL</t>
  </si>
  <si>
    <t>Fact. No F1906320 ETS_PAGET</t>
  </si>
  <si>
    <t>Fact. No F1906064 VANDEMOORTELE_BAK</t>
  </si>
  <si>
    <t>Fact. No F1906142 VANDEMOORTELE_BAK</t>
  </si>
  <si>
    <t>Fact. No F1906217 VANDEMOORTELE_BAK</t>
  </si>
  <si>
    <t>Fact. No F1906224 VANDEMOORTELE_BAK</t>
  </si>
  <si>
    <t>Fact. No F1906225 VANDEMOORTELE_BAK</t>
  </si>
  <si>
    <t>Fact. No F1906311 VANDEMOORTELE_BAK</t>
  </si>
  <si>
    <t>Fact. No F1906312 VANDEMOORTELE_BAK</t>
  </si>
  <si>
    <t>Fact. No F1906009 PAPETERIES_DU_LEM</t>
  </si>
  <si>
    <t>Fact. No F1906038 PAPETERIES_DU_LEM</t>
  </si>
  <si>
    <t>Fact. No F1906084 PAPETERIES_DU_LEM</t>
  </si>
  <si>
    <t>Fact. No F1906090 PAPETERIES_DU_LEM</t>
  </si>
  <si>
    <t>Fact. No F1906117 PAPETERIES_DU_LEM</t>
  </si>
  <si>
    <t>Fact. No F1906288 PAPETERIES_DU_LEM</t>
  </si>
  <si>
    <t>Fact. No F1906292 PAPETERIES_DU_LEM</t>
  </si>
  <si>
    <t>Fact. No F1906298 PAPETERIES_DU_LEM</t>
  </si>
  <si>
    <t>1615484+1617696</t>
  </si>
  <si>
    <t>Fact. No F1906253 BRIOCHE_PASQUIER_</t>
  </si>
  <si>
    <t>BL MANUEL N¦ 10 D</t>
  </si>
  <si>
    <t>Fact. No F1906076 PILOT'AG_SARL</t>
  </si>
  <si>
    <t>Fact. No F1906205 PLACOPLATRE</t>
  </si>
  <si>
    <t>Fact. No F1906234 PLACOPLATRE</t>
  </si>
  <si>
    <t>Mr Poncet Georges</t>
  </si>
  <si>
    <t>Fact. No F1906029 PONCET_ROGER</t>
  </si>
  <si>
    <t>P2019266</t>
  </si>
  <si>
    <t>Fact. No F1906352 POUDRES_HERMILLON</t>
  </si>
  <si>
    <t>Fact. No F1906354 PRAYON_S</t>
  </si>
  <si>
    <t>BL MANUEL N¦ 5</t>
  </si>
  <si>
    <t>Fact. No F1906001 COMPTANT_PRO_ANNE</t>
  </si>
  <si>
    <t>Espèces</t>
  </si>
  <si>
    <t>AR</t>
  </si>
  <si>
    <t>TEL MR GAUSS</t>
  </si>
  <si>
    <t>Fact. No F1906002 COMPTANT_PRO_ANNE</t>
  </si>
  <si>
    <t>AO</t>
  </si>
  <si>
    <t>BL MANUEL N¦ 8</t>
  </si>
  <si>
    <t>Fact. No F1906003 COMPTANT_PRO_ANNE</t>
  </si>
  <si>
    <t>Carte bancaire</t>
  </si>
  <si>
    <t>AK</t>
  </si>
  <si>
    <t>C190502</t>
  </si>
  <si>
    <t>Fact. No F1906073 COMPTANT_PRO_ANNE</t>
  </si>
  <si>
    <t>AP</t>
  </si>
  <si>
    <t xml:space="preserve">DEMANDE COMPTOIR </t>
  </si>
  <si>
    <t>Fact. No F1906074 COMPTANT_PRO_ANNE</t>
  </si>
  <si>
    <t>AV</t>
  </si>
  <si>
    <t>Fact. No F1906148 COMPTANT_PRO_ANNE</t>
  </si>
  <si>
    <t>BL MANUEL N¦15 DU</t>
  </si>
  <si>
    <t>Fact. No F1906149 COMPTANT_PRO_ANNE</t>
  </si>
  <si>
    <t>AQ</t>
  </si>
  <si>
    <t>BL MANUEL N¦ 17 D</t>
  </si>
  <si>
    <t>Fact. No F1906150 COMPTANT_PRO_ANNE</t>
  </si>
  <si>
    <t>BL MANUEL N¦ 22 D</t>
  </si>
  <si>
    <t>Fact. No F1906152 COMPTANT_PRO_ANNE</t>
  </si>
  <si>
    <t>AT</t>
  </si>
  <si>
    <t>BL MANUEL N¦ 23 D</t>
  </si>
  <si>
    <t>Fact. No F1906153 COMPTANT_PRO_ANNE</t>
  </si>
  <si>
    <t>AS</t>
  </si>
  <si>
    <t>BL MANUEL N¦ 25 D</t>
  </si>
  <si>
    <t>Fact. No F1906272 COMPTANT_PRO_ANNE</t>
  </si>
  <si>
    <t>Fact. No F1906273 COMPTANT_PRO_ANNE</t>
  </si>
  <si>
    <t>AU</t>
  </si>
  <si>
    <t>cde comptoir</t>
  </si>
  <si>
    <t>Fact. No F1906274 COMPTANT_PRO_ANNE</t>
  </si>
  <si>
    <t>AX</t>
  </si>
  <si>
    <t>Mr REIGNIER tÚl 0</t>
  </si>
  <si>
    <t>Fact. No F1906276 COMPTANT_PRO_ANNE</t>
  </si>
  <si>
    <t>AW</t>
  </si>
  <si>
    <t>BL MANUEL N¦ 29 d</t>
  </si>
  <si>
    <t>Fact. No F1906332 COMPTANT_PRO_ANNE</t>
  </si>
  <si>
    <t>AY</t>
  </si>
  <si>
    <t>BL MANUEL N¦ 32</t>
  </si>
  <si>
    <t>Fact. No F1906333 COMPTANT_PRO_ANNE</t>
  </si>
  <si>
    <t>BA</t>
  </si>
  <si>
    <t>BL MANUEL N¦ 35 D</t>
  </si>
  <si>
    <t>Fact. No F1906334 COMPTANT_PRO_ANNE</t>
  </si>
  <si>
    <t>Fact. No F1906007 PRODENE_KLINT_LAB</t>
  </si>
  <si>
    <t>Fact. No F1906008 PRODENE_KLINT_LAB</t>
  </si>
  <si>
    <t>Fact. No F1906103 PRODENE_KLINT_LAB</t>
  </si>
  <si>
    <t>Fact. No F1906157 PRODENE_KLINT_LAB</t>
  </si>
  <si>
    <t>Fact. No F1906183 PRODENE_KLINT_LAB</t>
  </si>
  <si>
    <t>Fact. No F1906300 PRODENE_KLINT_LAB</t>
  </si>
  <si>
    <t>Fact. No F1906005 PRODIC</t>
  </si>
  <si>
    <t>CDE CHRISTIAN</t>
  </si>
  <si>
    <t>Fact. No F1906256 COMPTANT_PRO_LA_T</t>
  </si>
  <si>
    <t>AD</t>
  </si>
  <si>
    <t>CDE M.PASSET</t>
  </si>
  <si>
    <t>Fact. No F1906277 COMPTANT_PRO_LA_T</t>
  </si>
  <si>
    <t>AE</t>
  </si>
  <si>
    <t>CF09517 du 22/05/</t>
  </si>
  <si>
    <t>Fact. No F1906041 REBOUL_SAS</t>
  </si>
  <si>
    <t>CFS00807</t>
  </si>
  <si>
    <t>Fact. No F1906022 REO_74_</t>
  </si>
  <si>
    <t>Pris par EL MILOU</t>
  </si>
  <si>
    <t>Fact. No F1906299 ROCHE_ET_CIE</t>
  </si>
  <si>
    <t>13131.11.06.19</t>
  </si>
  <si>
    <t>Fact. No F1906223 SALLETAZ_</t>
  </si>
  <si>
    <t>13133.12.06.19</t>
  </si>
  <si>
    <t>Fact. No F1906325 SALLETAZ_</t>
  </si>
  <si>
    <t>Fact. No F1906031 J.VAUDAUX</t>
  </si>
  <si>
    <t>BC2019/19SDUVE008</t>
  </si>
  <si>
    <t>Fact. No F1906202 SAVOIE_DECHETS</t>
  </si>
  <si>
    <t>Fact. No F1906065 SAVOIE_TRANSMISSI</t>
  </si>
  <si>
    <t>Fact. No F1906132 SAVOIE_TRANSMISSI</t>
  </si>
  <si>
    <t>Fact. No F1906219 SAVOIE_TRANSMISSI</t>
  </si>
  <si>
    <t>JEAN</t>
  </si>
  <si>
    <t>Fact. No F1906313 SAVOIE_YAOURT</t>
  </si>
  <si>
    <t>111-19*K939*UI573</t>
  </si>
  <si>
    <t>Fact. No F1906291 OREXADSC_</t>
  </si>
  <si>
    <t>30804 pour chanti</t>
  </si>
  <si>
    <t>Fact. No F1906154 SEICAR_</t>
  </si>
  <si>
    <t>0716-19/AKK/f174</t>
  </si>
  <si>
    <t>Fact. No F1906186 SEICAR_</t>
  </si>
  <si>
    <t>Fact. No F1906057 SERGE_FERRARI</t>
  </si>
  <si>
    <t>Fact. No F1906353 SERGE_FERRARI</t>
  </si>
  <si>
    <t>960-450174529 / 1</t>
  </si>
  <si>
    <t>Fact. No F1906080 SGL_CARBON_SAS</t>
  </si>
  <si>
    <t>19 AFF 05/023</t>
  </si>
  <si>
    <t>Fact. No F1906030 SILA_</t>
  </si>
  <si>
    <t>Fact. No F1906039 SILA_</t>
  </si>
  <si>
    <t>AT 19NG06/012 - S</t>
  </si>
  <si>
    <t>Fact. No F1906185 SILA_</t>
  </si>
  <si>
    <t>Fact. No F1906197 SILA_</t>
  </si>
  <si>
    <t>Fact. No F1906199 SILA_</t>
  </si>
  <si>
    <t>Fact. No F1906294 SILA_</t>
  </si>
  <si>
    <t>BON POUR ACCORD m</t>
  </si>
  <si>
    <t>Fact. No F1906091 SINFAL</t>
  </si>
  <si>
    <t>BPA Mr FRUME le 2</t>
  </si>
  <si>
    <t>Fact. No F1906286 SINFAL</t>
  </si>
  <si>
    <t>POR013629</t>
  </si>
  <si>
    <t>Fact. No F1906207 SINTERTECH</t>
  </si>
  <si>
    <t>POR010371</t>
  </si>
  <si>
    <t>Fact. No F1906051 SINTERTECH</t>
  </si>
  <si>
    <t>Fact. No F1906020 SIVALBP</t>
  </si>
  <si>
    <t>Fact. No F1906220 SIVALBP</t>
  </si>
  <si>
    <t>CDE810126</t>
  </si>
  <si>
    <t>Fact. No F1906172 SKIS_DYNASTAR_SAS</t>
  </si>
  <si>
    <t>1347 / 1347</t>
  </si>
  <si>
    <t>Fact. No F1906069 SME</t>
  </si>
  <si>
    <t>Fact. No F1906270 SME</t>
  </si>
  <si>
    <t>Fact. No F1906330 SME</t>
  </si>
  <si>
    <t>Fact. No F1906331 SME</t>
  </si>
  <si>
    <t>Fact. No F1906161 SOCADAL</t>
  </si>
  <si>
    <t>MNT-19-414</t>
  </si>
  <si>
    <t>Fact. No F1906096 SOCI+T+_DE_CONDIT</t>
  </si>
  <si>
    <t>bon pour accord</t>
  </si>
  <si>
    <t>Fact. No F1906055 SODEFIBRE</t>
  </si>
  <si>
    <t>COMMANDE COMPTOIR</t>
  </si>
  <si>
    <t>Fact. No F1906136 SODEFIBRE</t>
  </si>
  <si>
    <t>Fact. No F1906058 SODEVA_TDS</t>
  </si>
  <si>
    <t>Fact. No F1906140 SODEVA_TDS</t>
  </si>
  <si>
    <t>Fact. No F1906141 SODEVA_TDS</t>
  </si>
  <si>
    <t>Fact. No F1906309 SODEVA_TDS</t>
  </si>
  <si>
    <t>Fact. No F1906327 SODEVA_TDS</t>
  </si>
  <si>
    <t>Fact. No F1906200 STAUBLI_</t>
  </si>
  <si>
    <t>Fact. No F1906201 STAUBLI_</t>
  </si>
  <si>
    <t>Fact. No F1906305 STAUBLI_</t>
  </si>
  <si>
    <t>Fact. No F1906341 STAUBLI_</t>
  </si>
  <si>
    <t xml:space="preserve">Mail du 24/06/19 </t>
  </si>
  <si>
    <t>Fact. No F1906297</t>
  </si>
  <si>
    <t>Fact. No F1906106 SUP'AIR_SARL_</t>
  </si>
  <si>
    <t>9323701497 / JP F</t>
  </si>
  <si>
    <t>Fact. No F1906042 TEFAL_SAS_-_GROUP</t>
  </si>
  <si>
    <t>93237001959 / p g</t>
  </si>
  <si>
    <t>Fact. No F1906043 TEFAL_SAS_-_GROUP</t>
  </si>
  <si>
    <t>9323705809 / dcam</t>
  </si>
  <si>
    <t>Fact. No F1906108 TEFAL_SAS_-_GROUP</t>
  </si>
  <si>
    <t>9323665333 / g jo</t>
  </si>
  <si>
    <t>Fact. No F1906113 TEFAL_SAS_-_GROUP</t>
  </si>
  <si>
    <t>9323719511 /miabr</t>
  </si>
  <si>
    <t>Fact. No F1906163 TEFAL_SAS_-_GROUP</t>
  </si>
  <si>
    <t>9323714291 / e bo</t>
  </si>
  <si>
    <t>Fact. No F1906169 TEFAL_SAS_-_GROUP</t>
  </si>
  <si>
    <t>9350149757 / F. O</t>
  </si>
  <si>
    <t>Fact. No F1906170 TEFAL_SAS_-_GROUP</t>
  </si>
  <si>
    <t>9323705345 / jp f</t>
  </si>
  <si>
    <t>Fact. No F1906188 TEFAL_SAS_-_GROUP</t>
  </si>
  <si>
    <t>9323716765 / p gr</t>
  </si>
  <si>
    <t>Fact. No F1906189 TEFAL_SAS_-_GROUP</t>
  </si>
  <si>
    <t>9323718551 / D CA</t>
  </si>
  <si>
    <t>Fact. No F1906338 TEFAL_SAS_-_GROUP</t>
  </si>
  <si>
    <t>Fact. No F1906052 THERMAL_CERAMICS_</t>
  </si>
  <si>
    <t>Fact. No F1906053 THERMAL_CERAMICS_</t>
  </si>
  <si>
    <t>Fact. No F1906137 THERMAL_CERAMICS_</t>
  </si>
  <si>
    <t>Fact. No F1906221 THERMAL_CERAMICS_</t>
  </si>
  <si>
    <t>Fact. No F1906230 THERMAL_CERAMICS_</t>
  </si>
  <si>
    <t>Fact. No F1906238 THERMAL_CERAMICS_</t>
  </si>
  <si>
    <t>Fact. No F1906328 THERMAL_CERAMICS_</t>
  </si>
  <si>
    <t>Fact. No F1906146 THIMON_SAS</t>
  </si>
  <si>
    <t>Fact. No F1906322 THIMON_SAS</t>
  </si>
  <si>
    <t>commande Mr ANTON</t>
  </si>
  <si>
    <t>Fact. No F1906303 THORENS_ENERGIES</t>
  </si>
  <si>
    <t>Fact. No F1906214 TIMA_FRANCE_TRANS</t>
  </si>
  <si>
    <t>Fact. No F1906060 TRIMET_FRANCE</t>
  </si>
  <si>
    <t>Fact. No F1906212 TRIMET_FRANCE</t>
  </si>
  <si>
    <t>Fact. No F1906213 TRIMET_FRANCE</t>
  </si>
  <si>
    <t>Fact. No F1906260 TRIMET_FRANCE</t>
  </si>
  <si>
    <t>1000065612-1</t>
  </si>
  <si>
    <t>Fact. No F1906067 TROAX_SAS</t>
  </si>
  <si>
    <t>4500517687 / 23.0</t>
  </si>
  <si>
    <t>Fact. No F1906078 UGITECH</t>
  </si>
  <si>
    <t>CM-110619-10</t>
  </si>
  <si>
    <t>Fact. No F1906218 USITECH_</t>
  </si>
  <si>
    <t>suite Ó votre dem</t>
  </si>
  <si>
    <t>Fact. No F1906229 USITECH_</t>
  </si>
  <si>
    <t>CF024456</t>
  </si>
  <si>
    <t>Fact. No F1906021 VALENTE_SAS_</t>
  </si>
  <si>
    <t>CF024387</t>
  </si>
  <si>
    <t>Fact. No F1906040 VALENTE_SAS_</t>
  </si>
  <si>
    <t>PAYS</t>
  </si>
  <si>
    <t xml:space="preserve">                       CECI N'EST PAS UNE RELANCE</t>
  </si>
  <si>
    <t xml:space="preserve">     Madame, Monsieur,</t>
  </si>
  <si>
    <t>N°Facture</t>
  </si>
  <si>
    <t>Date de facture</t>
  </si>
  <si>
    <t>Date d'échéance</t>
  </si>
  <si>
    <t>Montant net en €</t>
  </si>
  <si>
    <t>En vous remerciant, veuillez agréer, Madame, Monsieur, nos salutations distinguées.</t>
  </si>
  <si>
    <r>
      <rPr>
        <b/>
        <u/>
        <sz val="12"/>
        <color theme="1"/>
        <rFont val="Times New Roman"/>
        <family val="1"/>
      </rPr>
      <t>Objet</t>
    </r>
    <r>
      <rPr>
        <b/>
        <sz val="12"/>
        <color theme="1"/>
        <rFont val="Times New Roman"/>
        <family val="1"/>
      </rPr>
      <t>:</t>
    </r>
  </si>
  <si>
    <t>Intitulé</t>
  </si>
  <si>
    <t>N° facture</t>
  </si>
  <si>
    <t>F1906131</t>
  </si>
  <si>
    <t>F1906045</t>
  </si>
  <si>
    <t>F1906046</t>
  </si>
  <si>
    <t>F1906047</t>
  </si>
  <si>
    <t>F1906048</t>
  </si>
  <si>
    <t>F1906049</t>
  </si>
  <si>
    <t>F1906016</t>
  </si>
  <si>
    <t>F1906017</t>
  </si>
  <si>
    <t>F1906018</t>
  </si>
  <si>
    <t>F1906023</t>
  </si>
  <si>
    <t>F1906024</t>
  </si>
  <si>
    <t>F1906025</t>
  </si>
  <si>
    <t>F1906026</t>
  </si>
  <si>
    <t>F1906027</t>
  </si>
  <si>
    <t>F1906086</t>
  </si>
  <si>
    <t>F1906087</t>
  </si>
  <si>
    <t>F1906088</t>
  </si>
  <si>
    <t>F1906166</t>
  </si>
  <si>
    <t>F1906175</t>
  </si>
  <si>
    <t>F1906176</t>
  </si>
  <si>
    <t>F1906177</t>
  </si>
  <si>
    <t>F1906178</t>
  </si>
  <si>
    <t>F1906179</t>
  </si>
  <si>
    <t>F1906284</t>
  </si>
  <si>
    <t>F1906337</t>
  </si>
  <si>
    <t>F1906083</t>
  </si>
  <si>
    <t>F1906173</t>
  </si>
  <si>
    <t>F1906278</t>
  </si>
  <si>
    <t>F1906346</t>
  </si>
  <si>
    <t>F1906081</t>
  </si>
  <si>
    <t>F1906342</t>
  </si>
  <si>
    <t>F1906345</t>
  </si>
  <si>
    <t>F1906182</t>
  </si>
  <si>
    <t>F1906280</t>
  </si>
  <si>
    <t>F1906102</t>
  </si>
  <si>
    <t>F1906258</t>
  </si>
  <si>
    <t>F1906215</t>
  </si>
  <si>
    <t>F1906068</t>
  </si>
  <si>
    <t>F1906044</t>
  </si>
  <si>
    <t>F1906228</t>
  </si>
  <si>
    <t>F1906255</t>
  </si>
  <si>
    <t>F1906315</t>
  </si>
  <si>
    <t>F1906324</t>
  </si>
  <si>
    <t>F1906252</t>
  </si>
  <si>
    <t>F1906265</t>
  </si>
  <si>
    <t>F1906257</t>
  </si>
  <si>
    <t>F1906194</t>
  </si>
  <si>
    <t>F1906139</t>
  </si>
  <si>
    <t>F1906210</t>
  </si>
  <si>
    <t>F1906233</t>
  </si>
  <si>
    <t>F1906193</t>
  </si>
  <si>
    <t>F1906290</t>
  </si>
  <si>
    <t>F1906343</t>
  </si>
  <si>
    <t>F1906344</t>
  </si>
  <si>
    <t>F1906111</t>
  </si>
  <si>
    <t>F1906244</t>
  </si>
  <si>
    <t>F1906254</t>
  </si>
  <si>
    <t>F1906316</t>
  </si>
  <si>
    <t>F1906164</t>
  </si>
  <si>
    <t>F1906279</t>
  </si>
  <si>
    <t>F1906116</t>
  </si>
  <si>
    <t>F1906147</t>
  </si>
  <si>
    <t>F1906310</t>
  </si>
  <si>
    <t>F1906326</t>
  </si>
  <si>
    <t>F1906340</t>
  </si>
  <si>
    <t>F1906092</t>
  </si>
  <si>
    <t>F1906122</t>
  </si>
  <si>
    <t>F1906231</t>
  </si>
  <si>
    <t>F1906232</t>
  </si>
  <si>
    <t>F1906266</t>
  </si>
  <si>
    <t>F1906267</t>
  </si>
  <si>
    <t>F1906268</t>
  </si>
  <si>
    <t>F1906269</t>
  </si>
  <si>
    <t>F1906271</t>
  </si>
  <si>
    <t>F1906306</t>
  </si>
  <si>
    <t>F1906289</t>
  </si>
  <si>
    <t>F1906242</t>
  </si>
  <si>
    <t>F1906356</t>
  </si>
  <si>
    <t>F1906110</t>
  </si>
  <si>
    <t>F1906167</t>
  </si>
  <si>
    <t>F1906296</t>
  </si>
  <si>
    <t>F1906006</t>
  </si>
  <si>
    <t>F1906204</t>
  </si>
  <si>
    <t>F1906250</t>
  </si>
  <si>
    <t>F1906036</t>
  </si>
  <si>
    <t>F1906037</t>
  </si>
  <si>
    <t>F1906082</t>
  </si>
  <si>
    <t>F1906281</t>
  </si>
  <si>
    <t>F1906115</t>
  </si>
  <si>
    <t>F1906174</t>
  </si>
  <si>
    <t>F1906293</t>
  </si>
  <si>
    <t>F1906301</t>
  </si>
  <si>
    <t>F1906304</t>
  </si>
  <si>
    <t>F1906028</t>
  </si>
  <si>
    <t>F1906035</t>
  </si>
  <si>
    <t>F1906162</t>
  </si>
  <si>
    <t>F1906165</t>
  </si>
  <si>
    <t>F1906249</t>
  </si>
  <si>
    <t>F1906010</t>
  </si>
  <si>
    <t>F1906011</t>
  </si>
  <si>
    <t>F1906015</t>
  </si>
  <si>
    <t>F1906101</t>
  </si>
  <si>
    <t>F1906104</t>
  </si>
  <si>
    <t>F1906158</t>
  </si>
  <si>
    <t>F1906159</t>
  </si>
  <si>
    <t>F1906282</t>
  </si>
  <si>
    <t>F1906012</t>
  </si>
  <si>
    <t>F1906032</t>
  </si>
  <si>
    <t>F1906033</t>
  </si>
  <si>
    <t>F1906227</t>
  </si>
  <si>
    <t>F1906318</t>
  </si>
  <si>
    <t>F1906061</t>
  </si>
  <si>
    <t>F1906062</t>
  </si>
  <si>
    <t>F1906121</t>
  </si>
  <si>
    <t>F1906128</t>
  </si>
  <si>
    <t>F1906138</t>
  </si>
  <si>
    <t>F1906144</t>
  </si>
  <si>
    <t>F1906208</t>
  </si>
  <si>
    <t>F1906216</t>
  </si>
  <si>
    <t>F1906235</t>
  </si>
  <si>
    <t>F1906236</t>
  </si>
  <si>
    <t>F1906241</t>
  </si>
  <si>
    <t>F1906317</t>
  </si>
  <si>
    <t>F1906321</t>
  </si>
  <si>
    <t>F1906014</t>
  </si>
  <si>
    <t>F1906181</t>
  </si>
  <si>
    <t>F1906339</t>
  </si>
  <si>
    <t>F1906239</t>
  </si>
  <si>
    <t>F1906134</t>
  </si>
  <si>
    <t>F1906109</t>
  </si>
  <si>
    <t>F1906156</t>
  </si>
  <si>
    <t>F1906013</t>
  </si>
  <si>
    <t>F1906191</t>
  </si>
  <si>
    <t>F1906054</t>
  </si>
  <si>
    <t>F1906248</t>
  </si>
  <si>
    <t>F1906347</t>
  </si>
  <si>
    <t>F1906114</t>
  </si>
  <si>
    <t>F1906118</t>
  </si>
  <si>
    <t>F1906184</t>
  </si>
  <si>
    <t>F1906246</t>
  </si>
  <si>
    <t>F1906135</t>
  </si>
  <si>
    <t>F1906145</t>
  </si>
  <si>
    <t>F1906237</t>
  </si>
  <si>
    <t>F1906124</t>
  </si>
  <si>
    <t>F1906245</t>
  </si>
  <si>
    <t>F1906348</t>
  </si>
  <si>
    <t>F1906085</t>
  </si>
  <si>
    <t>F1906187</t>
  </si>
  <si>
    <t>F1906349</t>
  </si>
  <si>
    <t>F1906004</t>
  </si>
  <si>
    <t>F1906077</t>
  </si>
  <si>
    <t>F1906097</t>
  </si>
  <si>
    <t>F1906112</t>
  </si>
  <si>
    <t>F1906155</t>
  </si>
  <si>
    <t>F1906283</t>
  </si>
  <si>
    <t>F1906295</t>
  </si>
  <si>
    <t>F1906063</t>
  </si>
  <si>
    <t>F1906066</t>
  </si>
  <si>
    <t>F1906123</t>
  </si>
  <si>
    <t>F1906127</t>
  </si>
  <si>
    <t>F1906209</t>
  </si>
  <si>
    <t>F1906240</t>
  </si>
  <si>
    <t>F1906243</t>
  </si>
  <si>
    <t>F1906251</t>
  </si>
  <si>
    <t>F1906308</t>
  </si>
  <si>
    <t>F1906070</t>
  </si>
  <si>
    <t>F1906072</t>
  </si>
  <si>
    <t>F1906151</t>
  </si>
  <si>
    <t>F1906275</t>
  </si>
  <si>
    <t>F1906359</t>
  </si>
  <si>
    <t>F1906206</t>
  </si>
  <si>
    <t>F1906350</t>
  </si>
  <si>
    <t>F1906355</t>
  </si>
  <si>
    <t>F1906130</t>
  </si>
  <si>
    <t>F1906320</t>
  </si>
  <si>
    <t>F1906064</t>
  </si>
  <si>
    <t>F1906142</t>
  </si>
  <si>
    <t>F1906217</t>
  </si>
  <si>
    <t>F1906224</t>
  </si>
  <si>
    <t>F1906225</t>
  </si>
  <si>
    <t>F1906311</t>
  </si>
  <si>
    <t>F1906312</t>
  </si>
  <si>
    <t>F1906009</t>
  </si>
  <si>
    <t>F1906038</t>
  </si>
  <si>
    <t>F1906084</t>
  </si>
  <si>
    <t>F1906090</t>
  </si>
  <si>
    <t>F1906117</t>
  </si>
  <si>
    <t>F1906288</t>
  </si>
  <si>
    <t>F1906292</t>
  </si>
  <si>
    <t>F1906298</t>
  </si>
  <si>
    <t>F1906253</t>
  </si>
  <si>
    <t>F1906076</t>
  </si>
  <si>
    <t>F1906205</t>
  </si>
  <si>
    <t>F1906234</t>
  </si>
  <si>
    <t>F1906029</t>
  </si>
  <si>
    <t>F1906352</t>
  </si>
  <si>
    <t>F1906354</t>
  </si>
  <si>
    <t>F1906001</t>
  </si>
  <si>
    <t>F1906002</t>
  </si>
  <si>
    <t>F1906003</t>
  </si>
  <si>
    <t>F1906073</t>
  </si>
  <si>
    <t>F1906074</t>
  </si>
  <si>
    <t>F1906148</t>
  </si>
  <si>
    <t>F1906149</t>
  </si>
  <si>
    <t>F1906150</t>
  </si>
  <si>
    <t>F1906152</t>
  </si>
  <si>
    <t>F1906153</t>
  </si>
  <si>
    <t>F1906272</t>
  </si>
  <si>
    <t>F1906273</t>
  </si>
  <si>
    <t>F1906274</t>
  </si>
  <si>
    <t>F1906276</t>
  </si>
  <si>
    <t>F1906332</t>
  </si>
  <si>
    <t>F1906333</t>
  </si>
  <si>
    <t>F1906334</t>
  </si>
  <si>
    <t>F1906360</t>
  </si>
  <si>
    <t>COMMANDE DU 14/06</t>
  </si>
  <si>
    <t>Fact. No F1906360 COMPTANT_PRO_ANNE</t>
  </si>
  <si>
    <t>BD</t>
  </si>
  <si>
    <t>F1906007</t>
  </si>
  <si>
    <t>F1906008</t>
  </si>
  <si>
    <t>F1906103</t>
  </si>
  <si>
    <t>F1906157</t>
  </si>
  <si>
    <t>F1906183</t>
  </si>
  <si>
    <t>F1906300</t>
  </si>
  <si>
    <t>F1906005</t>
  </si>
  <si>
    <t>F1906256</t>
  </si>
  <si>
    <t>F1906277</t>
  </si>
  <si>
    <t>F1906041</t>
  </si>
  <si>
    <t>F1906022</t>
  </si>
  <si>
    <t>F1906299</t>
  </si>
  <si>
    <t>F1906223</t>
  </si>
  <si>
    <t>F1906325</t>
  </si>
  <si>
    <t>F1906031</t>
  </si>
  <si>
    <t>F1906202</t>
  </si>
  <si>
    <t>F1906065</t>
  </si>
  <si>
    <t>F1906132</t>
  </si>
  <si>
    <t>F1906219</t>
  </si>
  <si>
    <t>F1906313</t>
  </si>
  <si>
    <t>F1906291</t>
  </si>
  <si>
    <t>F1906154</t>
  </si>
  <si>
    <t>F1906186</t>
  </si>
  <si>
    <t>F1906057</t>
  </si>
  <si>
    <t>F1906353</t>
  </si>
  <si>
    <t>F1906080</t>
  </si>
  <si>
    <t>F1906030</t>
  </si>
  <si>
    <t>F1906039</t>
  </si>
  <si>
    <t>F1906185</t>
  </si>
  <si>
    <t>F1906197</t>
  </si>
  <si>
    <t>F1906199</t>
  </si>
  <si>
    <t>F1906294</t>
  </si>
  <si>
    <t>F1906091</t>
  </si>
  <si>
    <t>F1906286</t>
  </si>
  <si>
    <t>F1906207</t>
  </si>
  <si>
    <t>F1906051</t>
  </si>
  <si>
    <t>F1906020</t>
  </si>
  <si>
    <t>F1906220</t>
  </si>
  <si>
    <t>F1906172</t>
  </si>
  <si>
    <t>F1906069</t>
  </si>
  <si>
    <t>F1906270</t>
  </si>
  <si>
    <t>F1906330</t>
  </si>
  <si>
    <t>F1906331</t>
  </si>
  <si>
    <t>F1906161</t>
  </si>
  <si>
    <t>F1906096</t>
  </si>
  <si>
    <t>F1906055</t>
  </si>
  <si>
    <t>F1906136</t>
  </si>
  <si>
    <t>F1906058</t>
  </si>
  <si>
    <t>F1906140</t>
  </si>
  <si>
    <t>F1906141</t>
  </si>
  <si>
    <t>F1906309</t>
  </si>
  <si>
    <t>F1906327</t>
  </si>
  <si>
    <t>F1906200</t>
  </si>
  <si>
    <t>F1906201</t>
  </si>
  <si>
    <t>F1906305</t>
  </si>
  <si>
    <t>F1906341</t>
  </si>
  <si>
    <t>F1906297</t>
  </si>
  <si>
    <t>F1906106</t>
  </si>
  <si>
    <t>F1906042</t>
  </si>
  <si>
    <t>F1906043</t>
  </si>
  <si>
    <t>F1906108</t>
  </si>
  <si>
    <t>F1906113</t>
  </si>
  <si>
    <t>F1906163</t>
  </si>
  <si>
    <t>F1906169</t>
  </si>
  <si>
    <t>F1906170</t>
  </si>
  <si>
    <t>F1906188</t>
  </si>
  <si>
    <t>F1906189</t>
  </si>
  <si>
    <t>F1906338</t>
  </si>
  <si>
    <t>F1906052</t>
  </si>
  <si>
    <t>F1906053</t>
  </si>
  <si>
    <t>F1906137</t>
  </si>
  <si>
    <t>F1906221</t>
  </si>
  <si>
    <t>F1906230</t>
  </si>
  <si>
    <t>F1906238</t>
  </si>
  <si>
    <t>F1906328</t>
  </si>
  <si>
    <t>F1906146</t>
  </si>
  <si>
    <t>F1906322</t>
  </si>
  <si>
    <t>F1906303</t>
  </si>
  <si>
    <t>F1906214</t>
  </si>
  <si>
    <t>F1906060</t>
  </si>
  <si>
    <t>F1906212</t>
  </si>
  <si>
    <t>F1906213</t>
  </si>
  <si>
    <t>F1906260</t>
  </si>
  <si>
    <t>F1906067</t>
  </si>
  <si>
    <t>F1906078</t>
  </si>
  <si>
    <t>F1906218</t>
  </si>
  <si>
    <t>F1906229</t>
  </si>
  <si>
    <t>F1906021</t>
  </si>
  <si>
    <t>F1906040</t>
  </si>
  <si>
    <t>411BIBI</t>
  </si>
  <si>
    <t>411BOBO</t>
  </si>
  <si>
    <t>BOBO</t>
  </si>
  <si>
    <t>411GOGO</t>
  </si>
  <si>
    <t>GOGO</t>
  </si>
  <si>
    <t>41FIFI</t>
  </si>
  <si>
    <t>FIFI</t>
  </si>
  <si>
    <t>411FIFI</t>
  </si>
  <si>
    <t>411FOFO</t>
  </si>
  <si>
    <t>FOFO</t>
  </si>
  <si>
    <t>BOBO3</t>
  </si>
  <si>
    <t>BOBO4</t>
  </si>
  <si>
    <t>BOBO5</t>
  </si>
  <si>
    <t>BOBO6</t>
  </si>
  <si>
    <t>BOBO7</t>
  </si>
  <si>
    <t>Total</t>
  </si>
  <si>
    <t>Emplacement des PDF</t>
  </si>
  <si>
    <t>C:\AAAA\</t>
  </si>
  <si>
    <t>luc.picot@yahoo.fr</t>
  </si>
  <si>
    <t>BIBI</t>
  </si>
  <si>
    <t>ANNECY</t>
  </si>
  <si>
    <t>Avenue de geneve</t>
  </si>
  <si>
    <t>WBOUTUE@GMAIL.com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</si>
</sst>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1"/>
      <color theme="1"/>
      <name val="Calibri"/>
      <family val="2"/>
      <scheme val="minor"/>
    </font>
    <font>
      <sz val="11"/>
      <color theme="1"/>
      <name val="Times New Roman"/>
      <family val="1"/>
    </font>
    <font>
      <sz val="14"/>
      <color theme="1"/>
      <name val="Times New Roman"/>
      <family val="1"/>
    </font>
    <font>
      <b/>
      <sz val="11"/>
      <color theme="1"/>
      <name val="Times New Roman"/>
      <family val="1"/>
    </font>
    <font>
      <sz val="12"/>
      <color theme="1"/>
      <name val="Times New Roman"/>
      <family val="1"/>
    </font>
    <font>
      <b/>
      <sz val="10"/>
      <color theme="1"/>
      <name val="Times New Roman"/>
      <family val="1"/>
    </font>
    <font>
      <sz val="10"/>
      <name val="Arial"/>
      <family val="2"/>
    </font>
    <font>
      <sz val="11"/>
      <name val="Calibri Light"/>
      <family val="2"/>
      <scheme val="major"/>
    </font>
    <font>
      <b/>
      <sz val="12"/>
      <color theme="1"/>
      <name val="Times New Roman"/>
      <family val="1"/>
    </font>
    <font>
      <b/>
      <u/>
      <sz val="12"/>
      <color theme="1"/>
      <name val="Times New Roman"/>
      <family val="1"/>
    </font>
    <font>
      <sz val="11"/>
      <color rgb="FF000000"/>
      <name val="Calibri"/>
      <family val="2"/>
    </font>
    <font>
      <u/>
      <sz val="11"/>
      <color theme="10"/>
      <name val="Calibri"/>
      <family val="2"/>
      <scheme val="minor"/>
    </font>
    <font>
      <sz val="8"/>
      <name val="Calibri"/>
      <family val="2"/>
      <scheme val="minor"/>
    </font>
    <font>
      <sz val="11"/>
      <color theme="1"/>
      <name val="Calibri"/>
      <family val="2"/>
      <scheme val="minor"/>
    </font>
    <font>
      <sz val="11"/>
      <name val="Calibri"/>
      <family val="2"/>
      <scheme val="minor"/>
    </font>
  </fonts>
  <fills count="3">
    <fill>
      <patternFill patternType="none"/>
    </fill>
    <fill>
      <patternFill patternType="gray125"/>
    </fill>
    <fill>
      <patternFill patternType="solid">
        <fgColor theme="0"/>
        <bgColor indexed="64"/>
      </patternFill>
    </fill>
  </fills>
  <borders count="1">
    <border>
      <left/>
      <right/>
      <top/>
      <bottom/>
      <diagonal/>
    </border>
  </borders>
  <cellStyleXfs count="3">
    <xf numFmtId="0" fontId="0" fillId="0" borderId="0"/>
    <xf numFmtId="0" fontId="6" fillId="0" borderId="0"/>
    <xf numFmtId="0" fontId="11" fillId="0" borderId="0" applyNumberFormat="0" applyFill="0" applyBorder="0" applyAlignment="0" applyProtection="0"/>
  </cellStyleXfs>
  <cellXfs count="31">
    <xf numFmtId="0" fontId="0" fillId="0" borderId="0" xfId="0"/>
    <xf numFmtId="14" fontId="0" fillId="0" borderId="0" xfId="0" applyNumberFormat="1"/>
    <xf numFmtId="0" fontId="2" fillId="2" borderId="0" xfId="0" applyFont="1" applyFill="1" applyBorder="1" applyAlignment="1"/>
    <xf numFmtId="0" fontId="0" fillId="2" borderId="0" xfId="0" applyFill="1" applyBorder="1" applyAlignment="1"/>
    <xf numFmtId="0" fontId="0" fillId="2" borderId="0" xfId="0" applyFill="1" applyBorder="1"/>
    <xf numFmtId="0" fontId="1" fillId="0" borderId="0" xfId="0" applyFont="1"/>
    <xf numFmtId="0" fontId="1" fillId="2" borderId="0" xfId="0" applyFont="1" applyFill="1" applyBorder="1"/>
    <xf numFmtId="0" fontId="1" fillId="2" borderId="0" xfId="0" applyFont="1" applyFill="1" applyBorder="1" applyAlignment="1">
      <alignment horizontal="center"/>
    </xf>
    <xf numFmtId="0" fontId="1" fillId="2" borderId="0" xfId="0" applyFont="1" applyFill="1" applyBorder="1" applyAlignment="1">
      <alignment horizontal="left" indent="1"/>
    </xf>
    <xf numFmtId="0" fontId="7" fillId="2" borderId="0" xfId="1" applyFont="1" applyFill="1"/>
    <xf numFmtId="0" fontId="1" fillId="2" borderId="0" xfId="0" applyFont="1" applyFill="1" applyBorder="1" applyAlignment="1">
      <alignment horizontal="left" indent="3"/>
    </xf>
    <xf numFmtId="0" fontId="8" fillId="2" borderId="0" xfId="0" applyFont="1" applyFill="1" applyBorder="1" applyAlignment="1">
      <alignment horizontal="left" indent="3"/>
    </xf>
    <xf numFmtId="0" fontId="1" fillId="2" borderId="0" xfId="0" applyFont="1" applyFill="1" applyBorder="1" applyAlignment="1">
      <alignment horizontal="right"/>
    </xf>
    <xf numFmtId="0" fontId="0" fillId="0" borderId="0" xfId="0" applyNumberFormat="1"/>
    <xf numFmtId="0" fontId="3" fillId="2" borderId="0" xfId="0" applyFont="1" applyFill="1" applyBorder="1"/>
    <xf numFmtId="0" fontId="11" fillId="0" borderId="0" xfId="2"/>
    <xf numFmtId="0" fontId="1" fillId="2" borderId="0" xfId="0" applyFont="1" applyFill="1" applyBorder="1" applyAlignment="1">
      <alignment horizontal="center"/>
    </xf>
    <xf numFmtId="0" fontId="1" fillId="2" borderId="0" xfId="0" applyFont="1" applyFill="1" applyBorder="1" applyAlignment="1"/>
    <xf numFmtId="0" fontId="14" fillId="2" borderId="0" xfId="1" applyNumberFormat="1" applyFont="1" applyFill="1" applyAlignment="1">
      <alignment horizontal="center"/>
    </xf>
    <xf numFmtId="0" fontId="13" fillId="2" borderId="0" xfId="0" applyFont="1" applyFill="1" applyBorder="1" applyAlignment="1"/>
    <xf numFmtId="14" fontId="14" fillId="2" borderId="0" xfId="1" applyNumberFormat="1" applyFont="1" applyFill="1" applyAlignment="1">
      <alignment horizontal="center" wrapText="1"/>
    </xf>
    <xf numFmtId="14" fontId="0" fillId="2" borderId="0" xfId="0" applyNumberFormat="1" applyFont="1" applyFill="1" applyBorder="1" applyAlignment="1">
      <alignment horizontal="center"/>
    </xf>
    <xf numFmtId="0" fontId="0" fillId="2" borderId="0" xfId="0" applyFont="1" applyFill="1" applyBorder="1" applyAlignment="1"/>
    <xf numFmtId="0" fontId="1" fillId="2" borderId="0" xfId="0" applyFont="1" applyFill="1" applyBorder="1" applyAlignment="1">
      <alignment horizontal="left" wrapText="1" indent="3"/>
    </xf>
    <xf numFmtId="0" fontId="1" fillId="2" borderId="0" xfId="0" applyFont="1" applyFill="1" applyBorder="1"/>
    <xf numFmtId="0" fontId="4" fillId="2" borderId="0" xfId="0" applyFont="1" applyFill="1" applyBorder="1"/>
    <xf numFmtId="0" fontId="5" fillId="2" borderId="0" xfId="0" applyFont="1" applyFill="1" applyBorder="1" applyAlignment="1">
      <alignment horizontal="left" indent="4"/>
    </xf>
    <xf numFmtId="0" fontId="1" fillId="2" borderId="0" xfId="0" applyFont="1" applyFill="1" applyBorder="1" applyAlignment="1">
      <alignment horizontal="left" indent="1"/>
    </xf>
    <xf numFmtId="0" fontId="1" fillId="2" borderId="0" xfId="0" applyFont="1" applyFill="1" applyBorder="1" applyAlignment="1">
      <alignment horizontal="right"/>
    </xf>
    <xf numFmtId="0" fontId="1" fillId="2" borderId="0" xfId="0" applyFont="1" applyFill="1" applyBorder="1" applyAlignment="1">
      <alignment horizontal="left" indent="3"/>
    </xf>
    <xf numFmtId="0" fontId="1" fillId="0" borderId="0" xfId="0" applyFont="1" applyAlignment="1">
      <alignment horizontal="left"/>
    </xf>
  </cellXfs>
  <cellStyles count="3">
    <cellStyle name="Lien hypertexte" xfId="2" builtinId="8"/>
    <cellStyle name="Normal" xfId="0" builtinId="0"/>
    <cellStyle name="Normal 2" xfId="1" xr:uid="{00000000-0005-0000-0000-000001000000}"/>
  </cellStyles>
  <dxfs count="15">
    <dxf>
      <numFmt numFmtId="19" formatCode="dd/mm/yyyy"/>
    </dxf>
    <dxf>
      <numFmt numFmtId="19" formatCode="dd/mm/yyyy"/>
    </dxf>
    <dxf>
      <numFmt numFmtId="0" formatCode="General"/>
    </dxf>
    <dxf>
      <numFmt numFmtId="0" formatCode="General"/>
    </dxf>
    <dxf>
      <numFmt numFmtId="19" formatCode="dd/mm/yyyy"/>
    </dxf>
    <dxf>
      <font>
        <strike val="0"/>
        <outline val="0"/>
        <shadow val="0"/>
        <u val="none"/>
        <vertAlign val="baseline"/>
        <sz val="11"/>
        <color theme="1"/>
        <name val="Times New Roman"/>
        <scheme val="none"/>
      </font>
    </dxf>
    <dxf>
      <font>
        <strike val="0"/>
        <outline val="0"/>
        <shadow val="0"/>
        <u val="none"/>
        <vertAlign val="baseline"/>
        <sz val="11"/>
        <color theme="1"/>
        <name val="Times New Roman"/>
        <scheme val="none"/>
      </font>
    </dxf>
    <dxf>
      <font>
        <b val="0"/>
        <i val="0"/>
        <strike val="0"/>
        <condense val="0"/>
        <extend val="0"/>
        <outline val="0"/>
        <shadow val="0"/>
        <u val="none"/>
        <vertAlign val="baseline"/>
        <sz val="11"/>
        <color theme="1"/>
        <name val="Times New Roman"/>
        <scheme val="none"/>
      </font>
    </dxf>
    <dxf>
      <font>
        <strike val="0"/>
        <outline val="0"/>
        <shadow val="0"/>
        <u val="none"/>
        <vertAlign val="baseline"/>
        <sz val="11"/>
        <color theme="1"/>
        <name val="Times New Roman"/>
        <scheme val="none"/>
      </font>
    </dxf>
    <dxf>
      <font>
        <strike val="0"/>
        <outline val="0"/>
        <shadow val="0"/>
        <u val="none"/>
        <vertAlign val="baseline"/>
        <sz val="11"/>
        <color theme="1"/>
        <name val="Times New Roman"/>
        <scheme val="none"/>
      </font>
    </dxf>
    <dxf>
      <font>
        <strike val="0"/>
        <outline val="0"/>
        <shadow val="0"/>
        <u val="none"/>
        <vertAlign val="baseline"/>
        <sz val="11"/>
        <color theme="1"/>
        <name val="Times New Roman"/>
        <scheme val="none"/>
      </font>
    </dxf>
    <dxf>
      <font>
        <strike val="0"/>
        <outline val="0"/>
        <shadow val="0"/>
        <u val="none"/>
        <vertAlign val="baseline"/>
        <sz val="11"/>
        <color theme="1"/>
        <name val="Times New Roman"/>
        <scheme val="none"/>
      </font>
    </dxf>
    <dxf>
      <font>
        <strike val="0"/>
        <outline val="0"/>
        <shadow val="0"/>
        <u val="none"/>
        <vertAlign val="baseline"/>
        <sz val="11"/>
        <color theme="1"/>
        <name val="Times New Roman"/>
        <scheme val="none"/>
      </font>
    </dxf>
    <dxf>
      <font>
        <strike val="0"/>
        <outline val="0"/>
        <shadow val="0"/>
        <u val="none"/>
        <vertAlign val="baseline"/>
        <sz val="11"/>
        <color theme="1"/>
        <name val="Times New Roman"/>
        <scheme val="none"/>
      </font>
    </dxf>
    <dxf>
      <font>
        <strike val="0"/>
        <outline val="0"/>
        <shadow val="0"/>
        <u val="none"/>
        <vertAlign val="baseline"/>
        <sz val="11"/>
        <color theme="1"/>
        <name val="Times New Roman"/>
        <scheme val="none"/>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xdr:col>
          <xdr:colOff>1171575</xdr:colOff>
          <xdr:row>0</xdr:row>
          <xdr:rowOff>0</xdr:rowOff>
        </xdr:from>
        <xdr:to>
          <xdr:col>3</xdr:col>
          <xdr:colOff>2105025</xdr:colOff>
          <xdr:row>1</xdr:row>
          <xdr:rowOff>0</xdr:rowOff>
        </xdr:to>
        <xdr:sp macro="" textlink="">
          <xdr:nvSpPr>
            <xdr:cNvPr id="3073" name="Button 1" hidden="1">
              <a:extLst>
                <a:ext uri="{63B3BB69-23CF-44E3-9099-C40C66FF867C}">
                  <a14:compatExt spid="_x0000_s3073"/>
                </a:ext>
                <a:ext uri="{FF2B5EF4-FFF2-40B4-BE49-F238E27FC236}">
                  <a16:creationId xmlns:a16="http://schemas.microsoft.com/office/drawing/2014/main" id="{00000000-0008-0000-0000-000001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RELEVÉ</a:t>
              </a:r>
            </a:p>
            <a:p>
              <a:pPr algn="ctr" rtl="0">
                <a:defRPr sz="1000"/>
              </a:pPr>
              <a:r>
                <a:rPr lang="fr-FR" sz="1100" b="0" i="0" u="none" strike="noStrike" baseline="0">
                  <a:solidFill>
                    <a:srgbClr val="000000"/>
                  </a:solidFill>
                  <a:latin typeface="Calibri"/>
                  <a:cs typeface="Calibri"/>
                </a:rPr>
                <a:t>RELEVÉ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866775</xdr:colOff>
          <xdr:row>0</xdr:row>
          <xdr:rowOff>0</xdr:rowOff>
        </xdr:from>
        <xdr:to>
          <xdr:col>5</xdr:col>
          <xdr:colOff>2143125</xdr:colOff>
          <xdr:row>1</xdr:row>
          <xdr:rowOff>9525</xdr:rowOff>
        </xdr:to>
        <xdr:sp macro="" textlink="">
          <xdr:nvSpPr>
            <xdr:cNvPr id="3074" name="Button 2" hidden="1">
              <a:extLst>
                <a:ext uri="{63B3BB69-23CF-44E3-9099-C40C66FF867C}">
                  <a14:compatExt spid="_x0000_s3074"/>
                </a:ext>
                <a:ext uri="{FF2B5EF4-FFF2-40B4-BE49-F238E27FC236}">
                  <a16:creationId xmlns:a16="http://schemas.microsoft.com/office/drawing/2014/main" id="{00000000-0008-0000-0000-000002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Envoie des Emails</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103827</xdr:rowOff>
    </xdr:from>
    <xdr:to>
      <xdr:col>3</xdr:col>
      <xdr:colOff>352425</xdr:colOff>
      <xdr:row>8</xdr:row>
      <xdr:rowOff>19050</xdr:rowOff>
    </xdr:to>
    <xdr:pic>
      <xdr:nvPicPr>
        <xdr:cNvPr id="2" name="Image 1">
          <a:extLst>
            <a:ext uri="{FF2B5EF4-FFF2-40B4-BE49-F238E27FC236}">
              <a16:creationId xmlns:a16="http://schemas.microsoft.com/office/drawing/2014/main" id="{00000000-0008-0000-0300-000002000000}"/>
            </a:ext>
          </a:extLst>
        </xdr:cNvPr>
        <xdr:cNvPicPr>
          <a:picLocks noChangeAspect="1"/>
        </xdr:cNvPicPr>
      </xdr:nvPicPr>
      <xdr:blipFill>
        <a:blip xmlns:r="http://schemas.openxmlformats.org/officeDocument/2006/relationships" r:embed="rId1"/>
        <a:stretch>
          <a:fillRect/>
        </a:stretch>
      </xdr:blipFill>
      <xdr:spPr>
        <a:xfrm>
          <a:off x="0" y="103827"/>
          <a:ext cx="2714625" cy="1486848"/>
        </a:xfrm>
        <a:prstGeom prst="rect">
          <a:avLst/>
        </a:prstGeom>
      </xdr:spPr>
    </xdr:pic>
    <xdr:clientData/>
  </xdr:twoCellAnchor>
  <xdr:twoCellAnchor editAs="oneCell">
    <xdr:from>
      <xdr:col>0</xdr:col>
      <xdr:colOff>114300</xdr:colOff>
      <xdr:row>8</xdr:row>
      <xdr:rowOff>9525</xdr:rowOff>
    </xdr:from>
    <xdr:to>
      <xdr:col>3</xdr:col>
      <xdr:colOff>239484</xdr:colOff>
      <xdr:row>12</xdr:row>
      <xdr:rowOff>174197</xdr:rowOff>
    </xdr:to>
    <xdr:pic>
      <xdr:nvPicPr>
        <xdr:cNvPr id="3" name="Image 2">
          <a:extLst>
            <a:ext uri="{FF2B5EF4-FFF2-40B4-BE49-F238E27FC236}">
              <a16:creationId xmlns:a16="http://schemas.microsoft.com/office/drawing/2014/main" id="{00000000-0008-0000-0300-000003000000}"/>
            </a:ext>
          </a:extLst>
        </xdr:cNvPr>
        <xdr:cNvPicPr>
          <a:picLocks noChangeAspect="1"/>
        </xdr:cNvPicPr>
      </xdr:nvPicPr>
      <xdr:blipFill>
        <a:blip xmlns:r="http://schemas.openxmlformats.org/officeDocument/2006/relationships" r:embed="rId2"/>
        <a:stretch>
          <a:fillRect/>
        </a:stretch>
      </xdr:blipFill>
      <xdr:spPr>
        <a:xfrm>
          <a:off x="114300" y="1581150"/>
          <a:ext cx="2487384" cy="926672"/>
        </a:xfrm>
        <a:prstGeom prst="rect">
          <a:avLst/>
        </a:prstGeom>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ableau2" displayName="Tableau2" ref="A1:H11" totalsRowShown="0" headerRowDxfId="14" dataDxfId="13">
  <autoFilter ref="A1:H11" xr:uid="{00000000-0009-0000-0100-000002000000}"/>
  <tableColumns count="8">
    <tableColumn id="1" xr3:uid="{00000000-0010-0000-0000-000001000000}" name="Type" dataDxfId="12"/>
    <tableColumn id="2" xr3:uid="{00000000-0010-0000-0000-000002000000}" name="Numéro" dataDxfId="11"/>
    <tableColumn id="3" xr3:uid="{00000000-0010-0000-0000-000003000000}" name="Intitulé du compte" dataDxfId="10"/>
    <tableColumn id="4" xr3:uid="{00000000-0010-0000-0000-000004000000}" name="Adresse" dataDxfId="9"/>
    <tableColumn id="5" xr3:uid="{00000000-0010-0000-0000-000005000000}" name="Code postal" dataDxfId="8"/>
    <tableColumn id="8" xr3:uid="{00000000-0010-0000-0000-000008000000}" name="PAYS" dataDxfId="7">
      <calculatedColumnFormula>Tableau2[[#This Row],[Ville]]&amp;" "&amp;", "&amp;"FR"</calculatedColumnFormula>
    </tableColumn>
    <tableColumn id="6" xr3:uid="{00000000-0010-0000-0000-000006000000}" name="Ville" dataDxfId="6"/>
    <tableColumn id="7" xr3:uid="{00000000-0010-0000-0000-000007000000}" name="E-mail" dataDxfId="5"/>
  </tableColumns>
  <tableStyleInfo name="TableStyleLight16"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Tableau1" displayName="Tableau1" ref="A1:S305" totalsRowShown="0">
  <autoFilter ref="A1:S305" xr:uid="{00000000-0009-0000-0100-000001000000}"/>
  <sortState xmlns:xlrd2="http://schemas.microsoft.com/office/spreadsheetml/2017/richdata2" ref="A2:R305">
    <sortCondition ref="G1:G305"/>
  </sortState>
  <tableColumns count="19">
    <tableColumn id="1" xr3:uid="{00000000-0010-0000-0100-000001000000}" name="Code journal"/>
    <tableColumn id="2" xr3:uid="{00000000-0010-0000-0100-000002000000}" name="Date" dataDxfId="4"/>
    <tableColumn id="3" xr3:uid="{00000000-0010-0000-0100-000003000000}" name="N° pièce"/>
    <tableColumn id="4" xr3:uid="{00000000-0010-0000-0100-000004000000}" name="N° facture"/>
    <tableColumn id="5" xr3:uid="{00000000-0010-0000-0100-000005000000}" name="Référence"/>
    <tableColumn id="6" xr3:uid="{00000000-0010-0000-0100-000006000000}" name="N° compte général">
      <calculatedColumnFormula>"41100000"</calculatedColumnFormula>
    </tableColumn>
    <tableColumn id="7" xr3:uid="{00000000-0010-0000-0100-000007000000}" name="N° compte tiers"/>
    <tableColumn id="19" xr3:uid="{00000000-0010-0000-0100-000013000000}" name="Intitulé" dataDxfId="3">
      <calculatedColumnFormula>INDEX(Tableau2[Intitulé du compte],MATCH(Tableau1[[#This Row],[N° compte tiers]],Tableau2[Numéro],0))</calculatedColumnFormula>
    </tableColumn>
    <tableColumn id="8" xr3:uid="{00000000-0010-0000-0100-000008000000}" name="Libellé écriture" dataDxfId="2"/>
    <tableColumn id="9" xr3:uid="{00000000-0010-0000-0100-000009000000}" name="Mode règlement"/>
    <tableColumn id="10" xr3:uid="{00000000-0010-0000-0100-00000A000000}" name="Date échéance" dataDxfId="1"/>
    <tableColumn id="11" xr3:uid="{00000000-0010-0000-0100-00000B000000}" name="Lettrage montant" dataDxfId="0"/>
    <tableColumn id="12" xr3:uid="{00000000-0010-0000-0100-00000C000000}" name="Période rappel"/>
    <tableColumn id="13" xr3:uid="{00000000-0010-0000-0100-00000D000000}" name="Position"/>
    <tableColumn id="14" xr3:uid="{00000000-0010-0000-0100-00000E000000}" name="Date pénalités"/>
    <tableColumn id="15" xr3:uid="{00000000-0010-0000-0100-00000F000000}" name="Date relance"/>
    <tableColumn id="16" xr3:uid="{00000000-0010-0000-0100-000010000000}" name="Date dernier règlement"/>
    <tableColumn id="17" xr3:uid="{00000000-0010-0000-0100-000011000000}" name="Débit"/>
    <tableColumn id="18" xr3:uid="{00000000-0010-0000-0100-000012000000}" name="Crédit"/>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1.xml"/><Relationship Id="rId3" Type="http://schemas.openxmlformats.org/officeDocument/2006/relationships/hyperlink" Target="mailto:luc.picot@yahoo.fr" TargetMode="External"/><Relationship Id="rId7" Type="http://schemas.openxmlformats.org/officeDocument/2006/relationships/vmlDrawing" Target="../drawings/vmlDrawing1.vml"/><Relationship Id="rId2" Type="http://schemas.openxmlformats.org/officeDocument/2006/relationships/hyperlink" Target="mailto:luc.picot@yahoo.fr" TargetMode="External"/><Relationship Id="rId1" Type="http://schemas.openxmlformats.org/officeDocument/2006/relationships/hyperlink" Target="mailto:WBOUTUE@GMAIL.com"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10" Type="http://schemas.openxmlformats.org/officeDocument/2006/relationships/table" Target="../tables/table1.xml"/><Relationship Id="rId4" Type="http://schemas.openxmlformats.org/officeDocument/2006/relationships/hyperlink" Target="mailto:luc.picot@yahoo.fr" TargetMode="External"/><Relationship Id="rId9" Type="http://schemas.openxmlformats.org/officeDocument/2006/relationships/ctrlProp" Target="../ctrlProps/ctrlProp2.xml"/></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H11"/>
  <sheetViews>
    <sheetView tabSelected="1" workbookViewId="0">
      <pane ySplit="1" topLeftCell="A2" activePane="bottomLeft" state="frozen"/>
      <selection activeCell="D1" sqref="D1"/>
      <selection pane="bottomLeft" activeCell="H5" sqref="H5"/>
    </sheetView>
  </sheetViews>
  <sheetFormatPr baseColWidth="10" defaultRowHeight="15" x14ac:dyDescent="0.25"/>
  <cols>
    <col min="1" max="1" width="7.42578125" style="5" customWidth="1"/>
    <col min="2" max="2" width="17.7109375" style="5" bestFit="1" customWidth="1"/>
    <col min="3" max="3" width="41.42578125" style="5" bestFit="1" customWidth="1"/>
    <col min="4" max="4" width="37.5703125" style="5" bestFit="1" customWidth="1"/>
    <col min="5" max="5" width="13.5703125" style="5" customWidth="1"/>
    <col min="6" max="6" width="42.5703125" style="5" customWidth="1"/>
    <col min="7" max="7" width="31.7109375" style="5" bestFit="1" customWidth="1"/>
    <col min="8" max="8" width="44.140625" style="5" customWidth="1"/>
    <col min="9" max="16384" width="11.42578125" style="5"/>
  </cols>
  <sheetData>
    <row r="1" spans="1:8" x14ac:dyDescent="0.25">
      <c r="A1" s="5" t="s">
        <v>0</v>
      </c>
      <c r="B1" s="5" t="s">
        <v>1</v>
      </c>
      <c r="C1" s="5" t="s">
        <v>2</v>
      </c>
      <c r="D1" s="5" t="s">
        <v>5</v>
      </c>
      <c r="E1" s="5" t="s">
        <v>6</v>
      </c>
      <c r="F1" s="5" t="s">
        <v>544</v>
      </c>
      <c r="G1" s="5" t="s">
        <v>7</v>
      </c>
      <c r="H1" s="5" t="s">
        <v>3</v>
      </c>
    </row>
    <row r="2" spans="1:8" x14ac:dyDescent="0.25">
      <c r="A2" s="5" t="s">
        <v>4</v>
      </c>
      <c r="B2" s="5" t="s">
        <v>865</v>
      </c>
      <c r="C2" s="5" t="s">
        <v>866</v>
      </c>
      <c r="D2" s="5" t="s">
        <v>883</v>
      </c>
      <c r="E2" s="30">
        <v>74000</v>
      </c>
      <c r="F2" s="5" t="str">
        <f>Tableau2[[#This Row],[Ville]]&amp;" "&amp;", "&amp;"FR"</f>
        <v>ANNECY , FR</v>
      </c>
      <c r="G2" s="5" t="s">
        <v>882</v>
      </c>
      <c r="H2" s="15" t="s">
        <v>880</v>
      </c>
    </row>
    <row r="3" spans="1:8" x14ac:dyDescent="0.25">
      <c r="A3" s="5" t="s">
        <v>4</v>
      </c>
      <c r="B3" s="5" t="s">
        <v>869</v>
      </c>
      <c r="C3" s="5" t="s">
        <v>868</v>
      </c>
      <c r="D3" s="5" t="s">
        <v>8</v>
      </c>
      <c r="E3" s="5" t="str">
        <f>"05800"</f>
        <v>05800</v>
      </c>
      <c r="F3" s="5" t="str">
        <f>Tableau2[[#This Row],[Ville]]&amp;" "&amp;", "&amp;"FR"</f>
        <v>CHAFFAYER , FR</v>
      </c>
      <c r="G3" s="5" t="s">
        <v>9</v>
      </c>
      <c r="H3" s="15" t="s">
        <v>884</v>
      </c>
    </row>
    <row r="4" spans="1:8" x14ac:dyDescent="0.25">
      <c r="A4" s="5" t="s">
        <v>4</v>
      </c>
      <c r="B4" s="5" t="s">
        <v>870</v>
      </c>
      <c r="C4" s="5" t="s">
        <v>871</v>
      </c>
      <c r="D4" s="5" t="s">
        <v>10</v>
      </c>
      <c r="E4" s="5" t="str">
        <f>"74370"</f>
        <v>74370</v>
      </c>
      <c r="F4" s="5" t="str">
        <f>Tableau2[[#This Row],[Ville]]&amp;" "&amp;", "&amp;"FR"</f>
        <v>ST MARTIN BELLEVUE , FR</v>
      </c>
      <c r="G4" s="5" t="s">
        <v>11</v>
      </c>
      <c r="H4" s="15" t="s">
        <v>880</v>
      </c>
    </row>
    <row r="5" spans="1:8" x14ac:dyDescent="0.25">
      <c r="A5" s="5" t="s">
        <v>4</v>
      </c>
      <c r="B5" s="5" t="s">
        <v>863</v>
      </c>
      <c r="C5" s="5" t="s">
        <v>864</v>
      </c>
      <c r="F5" s="5" t="str">
        <f>Tableau2[[#This Row],[Ville]]&amp;" "&amp;", "&amp;"FR"</f>
        <v xml:space="preserve"> , FR</v>
      </c>
      <c r="H5" s="15" t="s">
        <v>880</v>
      </c>
    </row>
    <row r="6" spans="1:8" x14ac:dyDescent="0.25">
      <c r="A6" s="5" t="s">
        <v>4</v>
      </c>
      <c r="B6" s="5" t="s">
        <v>863</v>
      </c>
      <c r="C6" s="5" t="s">
        <v>881</v>
      </c>
      <c r="D6" s="5" t="s">
        <v>12</v>
      </c>
      <c r="E6" s="5" t="str">
        <f>"38380"</f>
        <v>38380</v>
      </c>
      <c r="F6" s="5" t="str">
        <f>Tableau2[[#This Row],[Ville]]&amp;" "&amp;", "&amp;"FR"</f>
        <v>ENTRE DEUX GUIERS , FR</v>
      </c>
      <c r="G6" s="5" t="s">
        <v>13</v>
      </c>
      <c r="H6" s="15" t="s">
        <v>880</v>
      </c>
    </row>
    <row r="7" spans="1:8" x14ac:dyDescent="0.25">
      <c r="A7" s="5" t="s">
        <v>4</v>
      </c>
      <c r="B7" s="5" t="s">
        <v>863</v>
      </c>
      <c r="C7" s="5" t="s">
        <v>872</v>
      </c>
      <c r="D7" s="5" t="s">
        <v>14</v>
      </c>
      <c r="E7" s="5" t="str">
        <f>"01708"</f>
        <v>01708</v>
      </c>
      <c r="F7" s="5" t="str">
        <f>Tableau2[[#This Row],[Ville]]&amp;" "&amp;", "&amp;"FR"</f>
        <v>MIRIBEL CEDEX , FR</v>
      </c>
      <c r="G7" s="5" t="s">
        <v>15</v>
      </c>
      <c r="H7" s="15" t="s">
        <v>880</v>
      </c>
    </row>
    <row r="8" spans="1:8" x14ac:dyDescent="0.25">
      <c r="A8" s="5" t="s">
        <v>4</v>
      </c>
      <c r="B8" s="5" t="s">
        <v>863</v>
      </c>
      <c r="C8" s="5" t="s">
        <v>873</v>
      </c>
      <c r="F8" s="5" t="str">
        <f>Tableau2[[#This Row],[Ville]]&amp;" "&amp;", "&amp;"FR"</f>
        <v xml:space="preserve"> , FR</v>
      </c>
      <c r="H8" s="15" t="s">
        <v>880</v>
      </c>
    </row>
    <row r="9" spans="1:8" x14ac:dyDescent="0.25">
      <c r="A9" s="5" t="s">
        <v>4</v>
      </c>
      <c r="B9" s="5" t="s">
        <v>863</v>
      </c>
      <c r="C9" s="5" t="s">
        <v>874</v>
      </c>
      <c r="F9" s="5" t="str">
        <f>Tableau2[[#This Row],[Ville]]&amp;" "&amp;", "&amp;"FR"</f>
        <v xml:space="preserve"> , FR</v>
      </c>
      <c r="H9" s="15" t="s">
        <v>880</v>
      </c>
    </row>
    <row r="10" spans="1:8" x14ac:dyDescent="0.25">
      <c r="A10" s="5" t="s">
        <v>4</v>
      </c>
      <c r="B10" s="5" t="s">
        <v>863</v>
      </c>
      <c r="C10" s="5" t="s">
        <v>875</v>
      </c>
      <c r="D10" s="5" t="s">
        <v>16</v>
      </c>
      <c r="E10" s="5" t="str">
        <f>"38148"</f>
        <v>38148</v>
      </c>
      <c r="F10" s="5" t="str">
        <f>Tableau2[[#This Row],[Ville]]&amp;" "&amp;", "&amp;"FR"</f>
        <v>RIVES SUR FURE CEDEX , FR</v>
      </c>
      <c r="G10" s="5" t="s">
        <v>17</v>
      </c>
      <c r="H10" s="15" t="s">
        <v>880</v>
      </c>
    </row>
    <row r="11" spans="1:8" x14ac:dyDescent="0.25">
      <c r="A11" s="5" t="s">
        <v>4</v>
      </c>
      <c r="B11" s="5" t="s">
        <v>863</v>
      </c>
      <c r="C11" s="5" t="s">
        <v>876</v>
      </c>
      <c r="D11" s="5" t="s">
        <v>18</v>
      </c>
      <c r="E11" s="5" t="str">
        <f>"74960"</f>
        <v>74960</v>
      </c>
      <c r="F11" s="5" t="str">
        <f>Tableau2[[#This Row],[Ville]]&amp;" "&amp;", "&amp;"FR"</f>
        <v>CRAN GEVRIER , FR</v>
      </c>
      <c r="G11" s="5" t="s">
        <v>19</v>
      </c>
      <c r="H11" s="15" t="s">
        <v>880</v>
      </c>
    </row>
  </sheetData>
  <phoneticPr fontId="12" type="noConversion"/>
  <hyperlinks>
    <hyperlink ref="H3" r:id="rId1" xr:uid="{3D0444D3-279D-4A88-A225-CA0D9E9F0E5B}"/>
    <hyperlink ref="H4:H11" r:id="rId2" display="luc.picot@yahoo.fr" xr:uid="{012FB161-DB78-4B9E-87EB-91246FBA0544}"/>
    <hyperlink ref="H2" r:id="rId3" xr:uid="{F4640768-5725-4FA2-9F7E-913F65A8E816}"/>
    <hyperlink ref="H5" r:id="rId4" xr:uid="{1C3E3AA0-A5C1-43E5-AA18-637094AC0A90}"/>
  </hyperlinks>
  <pageMargins left="0.7" right="0.7" top="0.75" bottom="0.75" header="0.3" footer="0.3"/>
  <pageSetup paperSize="9" orientation="portrait" r:id="rId5"/>
  <drawing r:id="rId6"/>
  <legacyDrawing r:id="rId7"/>
  <mc:AlternateContent xmlns:mc="http://schemas.openxmlformats.org/markup-compatibility/2006">
    <mc:Choice Requires="x14">
      <controls>
        <mc:AlternateContent xmlns:mc="http://schemas.openxmlformats.org/markup-compatibility/2006">
          <mc:Choice Requires="x14">
            <control shapeId="3073" r:id="rId8" name="Button 1">
              <controlPr defaultSize="0" print="0" autoFill="0" autoPict="0" macro="[0]!RELEVE">
                <anchor moveWithCells="1">
                  <from>
                    <xdr:col>3</xdr:col>
                    <xdr:colOff>1171575</xdr:colOff>
                    <xdr:row>0</xdr:row>
                    <xdr:rowOff>0</xdr:rowOff>
                  </from>
                  <to>
                    <xdr:col>3</xdr:col>
                    <xdr:colOff>2105025</xdr:colOff>
                    <xdr:row>1</xdr:row>
                    <xdr:rowOff>0</xdr:rowOff>
                  </to>
                </anchor>
              </controlPr>
            </control>
          </mc:Choice>
        </mc:AlternateContent>
        <mc:AlternateContent xmlns:mc="http://schemas.openxmlformats.org/markup-compatibility/2006">
          <mc:Choice Requires="x14">
            <control shapeId="3074" r:id="rId9" name="Button 2">
              <controlPr defaultSize="0" print="0" autoFill="0" autoPict="0" macro="[0]!Envoid_des_Emails">
                <anchor moveWithCells="1" sizeWithCells="1">
                  <from>
                    <xdr:col>5</xdr:col>
                    <xdr:colOff>866775</xdr:colOff>
                    <xdr:row>0</xdr:row>
                    <xdr:rowOff>0</xdr:rowOff>
                  </from>
                  <to>
                    <xdr:col>5</xdr:col>
                    <xdr:colOff>2143125</xdr:colOff>
                    <xdr:row>1</xdr:row>
                    <xdr:rowOff>9525</xdr:rowOff>
                  </to>
                </anchor>
              </controlPr>
            </control>
          </mc:Choice>
        </mc:AlternateContent>
      </controls>
    </mc:Choice>
  </mc:AlternateContent>
  <tableParts count="1">
    <tablePart r:id="rId10"/>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S305"/>
  <sheetViews>
    <sheetView workbookViewId="0">
      <selection activeCell="A2" sqref="A2"/>
    </sheetView>
  </sheetViews>
  <sheetFormatPr baseColWidth="10" defaultRowHeight="15" x14ac:dyDescent="0.25"/>
  <cols>
    <col min="1" max="1" width="14.42578125" customWidth="1"/>
    <col min="4" max="5" width="12.28515625" customWidth="1"/>
    <col min="6" max="6" width="19.5703125" customWidth="1"/>
    <col min="7" max="9" width="16.85546875" customWidth="1"/>
    <col min="10" max="10" width="18.140625" customWidth="1"/>
    <col min="11" max="11" width="18" customWidth="1"/>
    <col min="12" max="13" width="18.42578125" customWidth="1"/>
    <col min="14" max="14" width="16.28515625" customWidth="1"/>
    <col min="15" max="16" width="16" customWidth="1"/>
    <col min="17" max="18" width="24" customWidth="1"/>
  </cols>
  <sheetData>
    <row r="1" spans="1:19" x14ac:dyDescent="0.25">
      <c r="A1" t="s">
        <v>20</v>
      </c>
      <c r="B1" t="s">
        <v>21</v>
      </c>
      <c r="C1" t="s">
        <v>22</v>
      </c>
      <c r="D1" t="s">
        <v>554</v>
      </c>
      <c r="E1" t="s">
        <v>23</v>
      </c>
      <c r="F1" t="s">
        <v>24</v>
      </c>
      <c r="G1" t="s">
        <v>25</v>
      </c>
      <c r="H1" t="s">
        <v>553</v>
      </c>
      <c r="I1" t="s">
        <v>26</v>
      </c>
      <c r="J1" t="s">
        <v>27</v>
      </c>
      <c r="K1" t="s">
        <v>28</v>
      </c>
      <c r="L1" t="s">
        <v>29</v>
      </c>
      <c r="M1" t="s">
        <v>30</v>
      </c>
      <c r="N1" t="s">
        <v>31</v>
      </c>
      <c r="O1" t="s">
        <v>32</v>
      </c>
      <c r="P1" t="s">
        <v>33</v>
      </c>
      <c r="Q1" t="s">
        <v>34</v>
      </c>
      <c r="R1" t="s">
        <v>35</v>
      </c>
      <c r="S1" t="s">
        <v>36</v>
      </c>
    </row>
    <row r="2" spans="1:19" x14ac:dyDescent="0.25">
      <c r="A2" t="s">
        <v>37</v>
      </c>
      <c r="B2" s="1">
        <v>43629</v>
      </c>
      <c r="C2" t="str">
        <f>"14330"</f>
        <v>14330</v>
      </c>
      <c r="D2" t="s">
        <v>555</v>
      </c>
      <c r="E2" t="s">
        <v>38</v>
      </c>
      <c r="F2" t="str">
        <f t="shared" ref="F2:F65" si="0">"41100000"</f>
        <v>41100000</v>
      </c>
      <c r="G2" t="s">
        <v>862</v>
      </c>
      <c r="H2" t="s">
        <v>881</v>
      </c>
      <c r="I2" s="13" t="s">
        <v>39</v>
      </c>
      <c r="J2" t="s">
        <v>40</v>
      </c>
      <c r="K2" s="1">
        <v>43677</v>
      </c>
      <c r="L2" s="1"/>
      <c r="N2">
        <v>1</v>
      </c>
      <c r="R2">
        <v>351</v>
      </c>
    </row>
    <row r="3" spans="1:19" x14ac:dyDescent="0.25">
      <c r="A3" t="s">
        <v>37</v>
      </c>
      <c r="B3" s="1">
        <v>43622</v>
      </c>
      <c r="C3" t="str">
        <f>"14301"</f>
        <v>14301</v>
      </c>
      <c r="D3" t="s">
        <v>556</v>
      </c>
      <c r="E3" t="str">
        <f>"3025046"</f>
        <v>3025046</v>
      </c>
      <c r="F3" t="str">
        <f t="shared" si="0"/>
        <v>41100000</v>
      </c>
      <c r="G3" t="s">
        <v>862</v>
      </c>
      <c r="H3" t="s">
        <v>881</v>
      </c>
      <c r="I3" s="13" t="s">
        <v>41</v>
      </c>
      <c r="J3" t="s">
        <v>40</v>
      </c>
      <c r="K3" s="1">
        <v>43683</v>
      </c>
      <c r="L3" s="1"/>
      <c r="N3">
        <v>1</v>
      </c>
      <c r="R3">
        <v>2026.8</v>
      </c>
    </row>
    <row r="4" spans="1:19" x14ac:dyDescent="0.25">
      <c r="A4" t="s">
        <v>37</v>
      </c>
      <c r="B4" s="1">
        <v>43622</v>
      </c>
      <c r="C4" t="str">
        <f>"14302"</f>
        <v>14302</v>
      </c>
      <c r="D4" t="s">
        <v>557</v>
      </c>
      <c r="E4" t="s">
        <v>42</v>
      </c>
      <c r="F4" t="str">
        <f t="shared" si="0"/>
        <v>41100000</v>
      </c>
      <c r="G4" t="s">
        <v>862</v>
      </c>
      <c r="H4" t="s">
        <v>881</v>
      </c>
      <c r="I4" s="13" t="s">
        <v>43</v>
      </c>
      <c r="J4" t="s">
        <v>40</v>
      </c>
      <c r="K4" s="1">
        <v>43683</v>
      </c>
      <c r="L4" s="1"/>
      <c r="N4">
        <v>1</v>
      </c>
      <c r="R4">
        <v>1320</v>
      </c>
    </row>
    <row r="5" spans="1:19" x14ac:dyDescent="0.25">
      <c r="A5" t="s">
        <v>37</v>
      </c>
      <c r="B5" s="1">
        <v>43622</v>
      </c>
      <c r="C5" t="str">
        <f>"14303"</f>
        <v>14303</v>
      </c>
      <c r="D5" t="s">
        <v>558</v>
      </c>
      <c r="E5" t="s">
        <v>44</v>
      </c>
      <c r="F5" t="str">
        <f t="shared" si="0"/>
        <v>41100000</v>
      </c>
      <c r="G5" t="s">
        <v>862</v>
      </c>
      <c r="H5" t="s">
        <v>881</v>
      </c>
      <c r="I5" s="13" t="s">
        <v>45</v>
      </c>
      <c r="J5" t="s">
        <v>40</v>
      </c>
      <c r="K5" s="1">
        <v>43683</v>
      </c>
      <c r="L5" s="1"/>
      <c r="N5">
        <v>1</v>
      </c>
      <c r="R5">
        <v>810</v>
      </c>
    </row>
    <row r="6" spans="1:19" x14ac:dyDescent="0.25">
      <c r="A6" t="s">
        <v>37</v>
      </c>
      <c r="B6" s="1">
        <v>43622</v>
      </c>
      <c r="C6" t="str">
        <f>"14304"</f>
        <v>14304</v>
      </c>
      <c r="D6" t="s">
        <v>559</v>
      </c>
      <c r="E6" t="s">
        <v>44</v>
      </c>
      <c r="F6" t="str">
        <f t="shared" si="0"/>
        <v>41100000</v>
      </c>
      <c r="G6" t="s">
        <v>862</v>
      </c>
      <c r="H6" t="s">
        <v>881</v>
      </c>
      <c r="I6" s="13" t="s">
        <v>46</v>
      </c>
      <c r="J6" t="s">
        <v>40</v>
      </c>
      <c r="K6" s="1">
        <v>43683</v>
      </c>
      <c r="L6" s="1"/>
      <c r="N6">
        <v>1</v>
      </c>
      <c r="R6">
        <v>582</v>
      </c>
    </row>
    <row r="7" spans="1:19" x14ac:dyDescent="0.25">
      <c r="A7" t="s">
        <v>37</v>
      </c>
      <c r="B7" s="1">
        <v>43622</v>
      </c>
      <c r="C7" t="str">
        <f>"14305"</f>
        <v>14305</v>
      </c>
      <c r="D7" t="s">
        <v>560</v>
      </c>
      <c r="E7" t="str">
        <f>"2022320"</f>
        <v>2022320</v>
      </c>
      <c r="F7" t="str">
        <f t="shared" si="0"/>
        <v>41100000</v>
      </c>
      <c r="G7" t="s">
        <v>862</v>
      </c>
      <c r="H7" t="s">
        <v>881</v>
      </c>
      <c r="I7" s="13" t="s">
        <v>47</v>
      </c>
      <c r="J7" t="s">
        <v>40</v>
      </c>
      <c r="K7" s="1">
        <v>43683</v>
      </c>
      <c r="L7" s="1"/>
      <c r="N7">
        <v>1</v>
      </c>
      <c r="R7">
        <v>253.8</v>
      </c>
    </row>
    <row r="8" spans="1:19" x14ac:dyDescent="0.25">
      <c r="A8" t="s">
        <v>37</v>
      </c>
      <c r="B8" s="1">
        <v>43622</v>
      </c>
      <c r="C8" t="str">
        <f>"13735"</f>
        <v>13735</v>
      </c>
      <c r="D8" t="s">
        <v>561</v>
      </c>
      <c r="E8" t="s">
        <v>48</v>
      </c>
      <c r="F8" t="str">
        <f t="shared" si="0"/>
        <v>41100000</v>
      </c>
      <c r="G8" t="s">
        <v>862</v>
      </c>
      <c r="H8" t="s">
        <v>881</v>
      </c>
      <c r="I8" s="13" t="s">
        <v>49</v>
      </c>
      <c r="J8" t="s">
        <v>40</v>
      </c>
      <c r="K8" s="1">
        <v>43677</v>
      </c>
      <c r="L8" s="1" t="s">
        <v>50</v>
      </c>
      <c r="N8">
        <v>1</v>
      </c>
      <c r="Q8" s="1">
        <v>43630</v>
      </c>
      <c r="R8">
        <v>203.52</v>
      </c>
    </row>
    <row r="9" spans="1:19" x14ac:dyDescent="0.25">
      <c r="A9" t="s">
        <v>37</v>
      </c>
      <c r="B9" s="1">
        <v>43622</v>
      </c>
      <c r="C9" t="str">
        <f>"13736"</f>
        <v>13736</v>
      </c>
      <c r="D9" t="s">
        <v>562</v>
      </c>
      <c r="E9" t="s">
        <v>51</v>
      </c>
      <c r="F9" t="str">
        <f t="shared" si="0"/>
        <v>41100000</v>
      </c>
      <c r="G9" t="s">
        <v>862</v>
      </c>
      <c r="H9" t="s">
        <v>881</v>
      </c>
      <c r="I9" s="13" t="s">
        <v>52</v>
      </c>
      <c r="J9" t="s">
        <v>40</v>
      </c>
      <c r="K9" s="1">
        <v>43677</v>
      </c>
      <c r="L9" s="1" t="s">
        <v>50</v>
      </c>
      <c r="N9">
        <v>1</v>
      </c>
      <c r="Q9" s="1">
        <v>43630</v>
      </c>
      <c r="R9">
        <v>270.38</v>
      </c>
    </row>
    <row r="10" spans="1:19" x14ac:dyDescent="0.25">
      <c r="A10" t="s">
        <v>37</v>
      </c>
      <c r="B10" s="1">
        <v>43622</v>
      </c>
      <c r="C10" t="str">
        <f>"13737"</f>
        <v>13737</v>
      </c>
      <c r="D10" t="s">
        <v>563</v>
      </c>
      <c r="E10" t="s">
        <v>53</v>
      </c>
      <c r="F10" t="str">
        <f t="shared" si="0"/>
        <v>41100000</v>
      </c>
      <c r="G10" t="s">
        <v>862</v>
      </c>
      <c r="H10" t="s">
        <v>881</v>
      </c>
      <c r="I10" s="13" t="s">
        <v>54</v>
      </c>
      <c r="J10" t="s">
        <v>40</v>
      </c>
      <c r="K10" s="1">
        <v>43677</v>
      </c>
      <c r="L10" s="1" t="s">
        <v>50</v>
      </c>
      <c r="N10">
        <v>1</v>
      </c>
      <c r="Q10" s="1">
        <v>43630</v>
      </c>
      <c r="R10">
        <v>199.13</v>
      </c>
    </row>
    <row r="11" spans="1:19" x14ac:dyDescent="0.25">
      <c r="A11" t="s">
        <v>37</v>
      </c>
      <c r="B11" s="1">
        <v>43622</v>
      </c>
      <c r="C11" t="str">
        <f>"13738"</f>
        <v>13738</v>
      </c>
      <c r="D11" t="s">
        <v>564</v>
      </c>
      <c r="E11" t="s">
        <v>53</v>
      </c>
      <c r="F11" t="str">
        <f t="shared" si="0"/>
        <v>41100000</v>
      </c>
      <c r="G11" t="s">
        <v>862</v>
      </c>
      <c r="H11" t="s">
        <v>881</v>
      </c>
      <c r="I11" s="13" t="s">
        <v>55</v>
      </c>
      <c r="J11" t="s">
        <v>40</v>
      </c>
      <c r="K11" s="1">
        <v>43677</v>
      </c>
      <c r="L11" s="1" t="s">
        <v>50</v>
      </c>
      <c r="N11">
        <v>1</v>
      </c>
      <c r="Q11" s="1">
        <v>43630</v>
      </c>
      <c r="R11">
        <v>163.9</v>
      </c>
    </row>
    <row r="12" spans="1:19" x14ac:dyDescent="0.25">
      <c r="A12" t="s">
        <v>37</v>
      </c>
      <c r="B12" s="1">
        <v>43622</v>
      </c>
      <c r="C12" t="str">
        <f>"13739"</f>
        <v>13739</v>
      </c>
      <c r="D12" t="s">
        <v>565</v>
      </c>
      <c r="E12" t="s">
        <v>56</v>
      </c>
      <c r="F12" t="str">
        <f t="shared" si="0"/>
        <v>41100000</v>
      </c>
      <c r="G12" t="s">
        <v>862</v>
      </c>
      <c r="H12" t="s">
        <v>881</v>
      </c>
      <c r="I12" s="13" t="s">
        <v>57</v>
      </c>
      <c r="J12" t="s">
        <v>40</v>
      </c>
      <c r="K12" s="1">
        <v>43677</v>
      </c>
      <c r="L12" s="1" t="s">
        <v>50</v>
      </c>
      <c r="N12">
        <v>1</v>
      </c>
      <c r="Q12" s="1">
        <v>43630</v>
      </c>
      <c r="R12">
        <v>121.2</v>
      </c>
    </row>
    <row r="13" spans="1:19" x14ac:dyDescent="0.25">
      <c r="A13" t="s">
        <v>37</v>
      </c>
      <c r="B13" s="1">
        <v>43622</v>
      </c>
      <c r="C13" t="str">
        <f>"13740"</f>
        <v>13740</v>
      </c>
      <c r="D13" t="s">
        <v>566</v>
      </c>
      <c r="E13" t="s">
        <v>51</v>
      </c>
      <c r="F13" t="str">
        <f t="shared" si="0"/>
        <v>41100000</v>
      </c>
      <c r="G13" t="s">
        <v>863</v>
      </c>
      <c r="H13" t="s">
        <v>864</v>
      </c>
      <c r="I13" s="13" t="s">
        <v>58</v>
      </c>
      <c r="J13" t="s">
        <v>40</v>
      </c>
      <c r="K13" s="1">
        <v>43677</v>
      </c>
      <c r="L13" s="1" t="s">
        <v>50</v>
      </c>
      <c r="N13">
        <v>1</v>
      </c>
      <c r="Q13" s="1">
        <v>43630</v>
      </c>
      <c r="R13">
        <v>242.59</v>
      </c>
    </row>
    <row r="14" spans="1:19" x14ac:dyDescent="0.25">
      <c r="A14" t="s">
        <v>37</v>
      </c>
      <c r="B14" s="1">
        <v>43622</v>
      </c>
      <c r="C14" t="str">
        <f>"13741"</f>
        <v>13741</v>
      </c>
      <c r="D14" t="s">
        <v>567</v>
      </c>
      <c r="E14" t="s">
        <v>59</v>
      </c>
      <c r="F14" t="str">
        <f t="shared" si="0"/>
        <v>41100000</v>
      </c>
      <c r="G14" t="s">
        <v>863</v>
      </c>
      <c r="H14" t="s">
        <v>864</v>
      </c>
      <c r="I14" s="13" t="s">
        <v>60</v>
      </c>
      <c r="J14" t="s">
        <v>40</v>
      </c>
      <c r="K14" s="1">
        <v>43677</v>
      </c>
      <c r="L14" s="1" t="s">
        <v>50</v>
      </c>
      <c r="N14">
        <v>1</v>
      </c>
      <c r="Q14" s="1">
        <v>43630</v>
      </c>
      <c r="R14">
        <v>48.32</v>
      </c>
    </row>
    <row r="15" spans="1:19" x14ac:dyDescent="0.25">
      <c r="A15" t="s">
        <v>37</v>
      </c>
      <c r="B15" s="1">
        <v>43622</v>
      </c>
      <c r="C15" t="str">
        <f>"13742"</f>
        <v>13742</v>
      </c>
      <c r="D15" t="s">
        <v>568</v>
      </c>
      <c r="E15" t="s">
        <v>48</v>
      </c>
      <c r="F15" t="str">
        <f t="shared" si="0"/>
        <v>41100000</v>
      </c>
      <c r="G15" t="s">
        <v>863</v>
      </c>
      <c r="H15" t="s">
        <v>864</v>
      </c>
      <c r="I15" s="13" t="s">
        <v>61</v>
      </c>
      <c r="J15" t="s">
        <v>40</v>
      </c>
      <c r="K15" s="1">
        <v>43677</v>
      </c>
      <c r="L15" s="1" t="s">
        <v>50</v>
      </c>
      <c r="N15">
        <v>1</v>
      </c>
      <c r="Q15" s="1">
        <v>43630</v>
      </c>
      <c r="R15">
        <v>101.76</v>
      </c>
    </row>
    <row r="16" spans="1:19" x14ac:dyDescent="0.25">
      <c r="A16" t="s">
        <v>37</v>
      </c>
      <c r="B16" s="1">
        <v>43629</v>
      </c>
      <c r="C16" t="str">
        <f>"13743"</f>
        <v>13743</v>
      </c>
      <c r="D16" t="s">
        <v>569</v>
      </c>
      <c r="E16" t="s">
        <v>62</v>
      </c>
      <c r="F16" t="str">
        <f t="shared" si="0"/>
        <v>41100000</v>
      </c>
      <c r="G16" t="s">
        <v>863</v>
      </c>
      <c r="H16" t="s">
        <v>864</v>
      </c>
      <c r="I16" s="13" t="s">
        <v>63</v>
      </c>
      <c r="J16" t="s">
        <v>40</v>
      </c>
      <c r="K16" s="1">
        <v>43677</v>
      </c>
      <c r="L16" s="1" t="s">
        <v>64</v>
      </c>
      <c r="N16">
        <v>1</v>
      </c>
      <c r="Q16" s="1">
        <v>43634</v>
      </c>
      <c r="R16">
        <v>696.61</v>
      </c>
    </row>
    <row r="17" spans="1:18" x14ac:dyDescent="0.25">
      <c r="A17" t="s">
        <v>37</v>
      </c>
      <c r="B17" s="1">
        <v>43629</v>
      </c>
      <c r="C17" t="str">
        <f>"13744"</f>
        <v>13744</v>
      </c>
      <c r="D17" t="s">
        <v>570</v>
      </c>
      <c r="E17" t="s">
        <v>65</v>
      </c>
      <c r="F17" t="str">
        <f t="shared" si="0"/>
        <v>41100000</v>
      </c>
      <c r="G17" t="s">
        <v>863</v>
      </c>
      <c r="H17" t="s">
        <v>864</v>
      </c>
      <c r="I17" s="13" t="s">
        <v>66</v>
      </c>
      <c r="J17" t="s">
        <v>40</v>
      </c>
      <c r="K17" s="1">
        <v>43677</v>
      </c>
      <c r="L17" s="1" t="s">
        <v>64</v>
      </c>
      <c r="N17">
        <v>1</v>
      </c>
      <c r="Q17" s="1">
        <v>43634</v>
      </c>
      <c r="R17">
        <v>312.72000000000003</v>
      </c>
    </row>
    <row r="18" spans="1:18" x14ac:dyDescent="0.25">
      <c r="A18" t="s">
        <v>37</v>
      </c>
      <c r="B18" s="1">
        <v>43629</v>
      </c>
      <c r="C18" t="str">
        <f>"13745"</f>
        <v>13745</v>
      </c>
      <c r="D18" t="s">
        <v>571</v>
      </c>
      <c r="E18" t="s">
        <v>67</v>
      </c>
      <c r="F18" t="str">
        <f t="shared" si="0"/>
        <v>41100000</v>
      </c>
      <c r="G18" t="s">
        <v>863</v>
      </c>
      <c r="H18" t="s">
        <v>864</v>
      </c>
      <c r="I18" s="13" t="s">
        <v>68</v>
      </c>
      <c r="J18" t="s">
        <v>40</v>
      </c>
      <c r="K18" s="1">
        <v>43677</v>
      </c>
      <c r="L18" s="1" t="s">
        <v>64</v>
      </c>
      <c r="N18">
        <v>1</v>
      </c>
      <c r="Q18" s="1">
        <v>43634</v>
      </c>
      <c r="R18">
        <v>124.93</v>
      </c>
    </row>
    <row r="19" spans="1:18" x14ac:dyDescent="0.25">
      <c r="A19" t="s">
        <v>37</v>
      </c>
      <c r="B19" s="1">
        <v>43636</v>
      </c>
      <c r="C19" t="str">
        <f>"13963"</f>
        <v>13963</v>
      </c>
      <c r="D19" t="s">
        <v>572</v>
      </c>
      <c r="E19" t="s">
        <v>69</v>
      </c>
      <c r="F19" t="str">
        <f t="shared" si="0"/>
        <v>41100000</v>
      </c>
      <c r="G19" t="s">
        <v>863</v>
      </c>
      <c r="H19" t="s">
        <v>864</v>
      </c>
      <c r="I19" s="13" t="s">
        <v>70</v>
      </c>
      <c r="J19" t="s">
        <v>40</v>
      </c>
      <c r="K19" s="1">
        <v>43677</v>
      </c>
      <c r="L19" s="1" t="s">
        <v>71</v>
      </c>
      <c r="N19">
        <v>1</v>
      </c>
      <c r="Q19" s="1">
        <v>43641</v>
      </c>
      <c r="R19">
        <v>74.88</v>
      </c>
    </row>
    <row r="20" spans="1:18" x14ac:dyDescent="0.25">
      <c r="A20" t="s">
        <v>37</v>
      </c>
      <c r="B20" s="1">
        <v>43636</v>
      </c>
      <c r="C20" t="str">
        <f>"13964"</f>
        <v>13964</v>
      </c>
      <c r="D20" t="s">
        <v>573</v>
      </c>
      <c r="E20" t="s">
        <v>72</v>
      </c>
      <c r="F20" t="str">
        <f t="shared" si="0"/>
        <v>41100000</v>
      </c>
      <c r="G20" t="s">
        <v>863</v>
      </c>
      <c r="H20" t="s">
        <v>864</v>
      </c>
      <c r="I20" s="13" t="s">
        <v>73</v>
      </c>
      <c r="J20" t="s">
        <v>40</v>
      </c>
      <c r="K20" s="1">
        <v>43677</v>
      </c>
      <c r="L20" s="1" t="s">
        <v>71</v>
      </c>
      <c r="N20">
        <v>1</v>
      </c>
      <c r="Q20" s="1">
        <v>43641</v>
      </c>
      <c r="R20">
        <v>62.93</v>
      </c>
    </row>
    <row r="21" spans="1:18" x14ac:dyDescent="0.25">
      <c r="A21" t="s">
        <v>37</v>
      </c>
      <c r="B21" s="1">
        <v>43636</v>
      </c>
      <c r="C21" t="str">
        <f>"13965"</f>
        <v>13965</v>
      </c>
      <c r="D21" t="s">
        <v>574</v>
      </c>
      <c r="E21" t="s">
        <v>65</v>
      </c>
      <c r="F21" t="str">
        <f t="shared" si="0"/>
        <v>41100000</v>
      </c>
      <c r="G21" t="s">
        <v>863</v>
      </c>
      <c r="H21" t="s">
        <v>864</v>
      </c>
      <c r="I21" s="13" t="s">
        <v>74</v>
      </c>
      <c r="J21" t="s">
        <v>40</v>
      </c>
      <c r="K21" s="1">
        <v>43677</v>
      </c>
      <c r="L21" s="1" t="s">
        <v>71</v>
      </c>
      <c r="N21">
        <v>1</v>
      </c>
      <c r="Q21" s="1">
        <v>43641</v>
      </c>
      <c r="R21">
        <v>60.86</v>
      </c>
    </row>
    <row r="22" spans="1:18" x14ac:dyDescent="0.25">
      <c r="A22" t="s">
        <v>37</v>
      </c>
      <c r="B22" s="1">
        <v>43636</v>
      </c>
      <c r="C22" t="str">
        <f>"13966"</f>
        <v>13966</v>
      </c>
      <c r="D22" t="s">
        <v>575</v>
      </c>
      <c r="E22" t="s">
        <v>62</v>
      </c>
      <c r="F22" t="str">
        <f t="shared" si="0"/>
        <v>41100000</v>
      </c>
      <c r="G22" t="s">
        <v>863</v>
      </c>
      <c r="H22" t="s">
        <v>864</v>
      </c>
      <c r="I22" s="13" t="s">
        <v>75</v>
      </c>
      <c r="J22" t="s">
        <v>40</v>
      </c>
      <c r="K22" s="1">
        <v>43677</v>
      </c>
      <c r="L22" s="1" t="s">
        <v>71</v>
      </c>
      <c r="N22">
        <v>1</v>
      </c>
      <c r="Q22" s="1">
        <v>43641</v>
      </c>
      <c r="R22">
        <v>200.39</v>
      </c>
    </row>
    <row r="23" spans="1:18" x14ac:dyDescent="0.25">
      <c r="A23" t="s">
        <v>37</v>
      </c>
      <c r="B23" s="1">
        <v>43636</v>
      </c>
      <c r="C23" t="str">
        <f>"13967"</f>
        <v>13967</v>
      </c>
      <c r="D23" t="s">
        <v>576</v>
      </c>
      <c r="E23" t="s">
        <v>67</v>
      </c>
      <c r="F23" t="str">
        <f t="shared" si="0"/>
        <v>41100000</v>
      </c>
      <c r="G23" t="s">
        <v>863</v>
      </c>
      <c r="H23" t="s">
        <v>864</v>
      </c>
      <c r="I23" s="13" t="s">
        <v>76</v>
      </c>
      <c r="J23" t="s">
        <v>40</v>
      </c>
      <c r="K23" s="1">
        <v>43677</v>
      </c>
      <c r="L23" s="1" t="s">
        <v>71</v>
      </c>
      <c r="N23">
        <v>1</v>
      </c>
      <c r="Q23" s="1">
        <v>43641</v>
      </c>
      <c r="R23">
        <v>12.7</v>
      </c>
    </row>
    <row r="24" spans="1:18" x14ac:dyDescent="0.25">
      <c r="A24" t="s">
        <v>37</v>
      </c>
      <c r="B24" s="1">
        <v>43636</v>
      </c>
      <c r="C24" t="str">
        <f>"13968"</f>
        <v>13968</v>
      </c>
      <c r="D24" t="s">
        <v>577</v>
      </c>
      <c r="E24" t="s">
        <v>65</v>
      </c>
      <c r="F24" t="str">
        <f t="shared" si="0"/>
        <v>41100000</v>
      </c>
      <c r="G24" t="s">
        <v>863</v>
      </c>
      <c r="H24" t="s">
        <v>864</v>
      </c>
      <c r="I24" s="13" t="s">
        <v>77</v>
      </c>
      <c r="J24" t="s">
        <v>40</v>
      </c>
      <c r="K24" s="1">
        <v>43677</v>
      </c>
      <c r="L24" s="1" t="s">
        <v>71</v>
      </c>
      <c r="N24">
        <v>1</v>
      </c>
      <c r="Q24" s="1">
        <v>43641</v>
      </c>
      <c r="R24">
        <v>271.39</v>
      </c>
    </row>
    <row r="25" spans="1:18" x14ac:dyDescent="0.25">
      <c r="A25" t="s">
        <v>37</v>
      </c>
      <c r="B25" s="1">
        <v>43643</v>
      </c>
      <c r="C25" t="str">
        <f>"14127"</f>
        <v>14127</v>
      </c>
      <c r="D25" t="s">
        <v>578</v>
      </c>
      <c r="E25" t="str">
        <f>"129546"</f>
        <v>129546</v>
      </c>
      <c r="F25" t="str">
        <f t="shared" si="0"/>
        <v>41100000</v>
      </c>
      <c r="G25" t="s">
        <v>863</v>
      </c>
      <c r="H25" t="s">
        <v>864</v>
      </c>
      <c r="I25" s="13" t="s">
        <v>78</v>
      </c>
      <c r="J25" t="s">
        <v>40</v>
      </c>
      <c r="K25" s="1">
        <v>43677</v>
      </c>
      <c r="L25" s="1" t="s">
        <v>79</v>
      </c>
      <c r="N25">
        <v>1</v>
      </c>
      <c r="Q25" s="1">
        <v>43648</v>
      </c>
      <c r="R25">
        <v>90.24</v>
      </c>
    </row>
    <row r="26" spans="1:18" x14ac:dyDescent="0.25">
      <c r="A26" t="s">
        <v>37</v>
      </c>
      <c r="B26" s="1">
        <v>43644</v>
      </c>
      <c r="C26" t="str">
        <f>"14286"</f>
        <v>14286</v>
      </c>
      <c r="D26" t="s">
        <v>579</v>
      </c>
      <c r="E26" t="s">
        <v>80</v>
      </c>
      <c r="F26" t="str">
        <f t="shared" si="0"/>
        <v>41100000</v>
      </c>
      <c r="G26" t="s">
        <v>863</v>
      </c>
      <c r="H26" t="s">
        <v>864</v>
      </c>
      <c r="I26" s="13" t="s">
        <v>81</v>
      </c>
      <c r="J26" t="s">
        <v>40</v>
      </c>
      <c r="K26" s="1">
        <v>43677</v>
      </c>
      <c r="L26" s="1" t="s">
        <v>82</v>
      </c>
      <c r="N26">
        <v>1</v>
      </c>
      <c r="Q26" s="1">
        <v>43651</v>
      </c>
      <c r="R26">
        <v>416.16</v>
      </c>
    </row>
    <row r="27" spans="1:18" x14ac:dyDescent="0.25">
      <c r="A27" t="s">
        <v>37</v>
      </c>
      <c r="B27" s="1">
        <v>43629</v>
      </c>
      <c r="C27" t="str">
        <f>"13701"</f>
        <v>13701</v>
      </c>
      <c r="D27" t="s">
        <v>580</v>
      </c>
      <c r="E27" t="str">
        <f>"4900296660"</f>
        <v>4900296660</v>
      </c>
      <c r="F27" t="str">
        <f t="shared" si="0"/>
        <v>41100000</v>
      </c>
      <c r="G27" t="s">
        <v>863</v>
      </c>
      <c r="H27" t="s">
        <v>864</v>
      </c>
      <c r="I27" s="13" t="s">
        <v>83</v>
      </c>
      <c r="J27" t="s">
        <v>40</v>
      </c>
      <c r="K27" s="1">
        <v>43629</v>
      </c>
      <c r="L27" s="1" t="s">
        <v>84</v>
      </c>
      <c r="N27">
        <v>1</v>
      </c>
      <c r="Q27" s="1">
        <v>43605</v>
      </c>
      <c r="R27">
        <v>2396.4</v>
      </c>
    </row>
    <row r="28" spans="1:18" x14ac:dyDescent="0.25">
      <c r="A28" t="s">
        <v>37</v>
      </c>
      <c r="B28" s="1">
        <v>43636</v>
      </c>
      <c r="C28" t="str">
        <f>"14235"</f>
        <v>14235</v>
      </c>
      <c r="D28" t="s">
        <v>581</v>
      </c>
      <c r="E28" t="str">
        <f>"4900296739"</f>
        <v>4900296739</v>
      </c>
      <c r="F28" t="str">
        <f t="shared" si="0"/>
        <v>41100000</v>
      </c>
      <c r="G28" t="s">
        <v>863</v>
      </c>
      <c r="H28" t="s">
        <v>864</v>
      </c>
      <c r="I28" s="13" t="s">
        <v>85</v>
      </c>
      <c r="J28" t="s">
        <v>40</v>
      </c>
      <c r="K28" s="1">
        <v>43636</v>
      </c>
      <c r="L28" s="1" t="s">
        <v>86</v>
      </c>
      <c r="N28">
        <v>1</v>
      </c>
      <c r="Q28" s="1">
        <v>43654</v>
      </c>
      <c r="R28">
        <v>222.96</v>
      </c>
    </row>
    <row r="29" spans="1:18" x14ac:dyDescent="0.25">
      <c r="A29" t="s">
        <v>37</v>
      </c>
      <c r="B29" s="1">
        <v>43643</v>
      </c>
      <c r="C29" t="str">
        <f>"14257"</f>
        <v>14257</v>
      </c>
      <c r="D29" t="s">
        <v>582</v>
      </c>
      <c r="E29" t="str">
        <f>"7500013269"</f>
        <v>7500013269</v>
      </c>
      <c r="F29" t="str">
        <f t="shared" si="0"/>
        <v>41100000</v>
      </c>
      <c r="G29" t="s">
        <v>863</v>
      </c>
      <c r="H29" t="s">
        <v>864</v>
      </c>
      <c r="I29" s="13" t="s">
        <v>87</v>
      </c>
      <c r="J29" t="s">
        <v>40</v>
      </c>
      <c r="K29" s="1">
        <v>43708</v>
      </c>
      <c r="L29" s="1" t="s">
        <v>88</v>
      </c>
      <c r="N29">
        <v>1</v>
      </c>
      <c r="R29">
        <v>612.48</v>
      </c>
    </row>
    <row r="30" spans="1:18" x14ac:dyDescent="0.25">
      <c r="A30" t="s">
        <v>37</v>
      </c>
      <c r="B30" s="1">
        <v>43644</v>
      </c>
      <c r="C30" t="str">
        <f>"14295"</f>
        <v>14295</v>
      </c>
      <c r="D30" t="s">
        <v>583</v>
      </c>
      <c r="E30" t="str">
        <f>"7500013269"</f>
        <v>7500013269</v>
      </c>
      <c r="F30" t="str">
        <f t="shared" si="0"/>
        <v>41100000</v>
      </c>
      <c r="G30" t="s">
        <v>863</v>
      </c>
      <c r="H30" t="s">
        <v>864</v>
      </c>
      <c r="I30" s="13" t="s">
        <v>89</v>
      </c>
      <c r="J30" t="s">
        <v>40</v>
      </c>
      <c r="K30" s="1">
        <v>43708</v>
      </c>
      <c r="L30" s="1"/>
      <c r="N30">
        <v>1</v>
      </c>
      <c r="R30">
        <v>1422</v>
      </c>
    </row>
    <row r="31" spans="1:18" x14ac:dyDescent="0.25">
      <c r="A31" t="s">
        <v>37</v>
      </c>
      <c r="B31" s="1">
        <v>43629</v>
      </c>
      <c r="C31" t="str">
        <f>"14183"</f>
        <v>14183</v>
      </c>
      <c r="D31" t="s">
        <v>584</v>
      </c>
      <c r="E31" t="s">
        <v>90</v>
      </c>
      <c r="F31" t="str">
        <f t="shared" si="0"/>
        <v>41100000</v>
      </c>
      <c r="G31" t="s">
        <v>863</v>
      </c>
      <c r="H31" t="s">
        <v>864</v>
      </c>
      <c r="I31" s="13" t="s">
        <v>91</v>
      </c>
      <c r="J31" t="s">
        <v>40</v>
      </c>
      <c r="K31" s="1">
        <v>43677</v>
      </c>
      <c r="L31" s="1"/>
      <c r="N31">
        <v>1</v>
      </c>
      <c r="R31">
        <v>535.09</v>
      </c>
    </row>
    <row r="32" spans="1:18" x14ac:dyDescent="0.25">
      <c r="A32" t="s">
        <v>37</v>
      </c>
      <c r="B32" s="1">
        <v>43644</v>
      </c>
      <c r="C32" t="str">
        <f>"14291"</f>
        <v>14291</v>
      </c>
      <c r="D32" t="s">
        <v>585</v>
      </c>
      <c r="E32" t="str">
        <f>"1019029493"</f>
        <v>1019029493</v>
      </c>
      <c r="F32" t="str">
        <f t="shared" si="0"/>
        <v>41100000</v>
      </c>
      <c r="G32" t="s">
        <v>863</v>
      </c>
      <c r="H32" t="s">
        <v>864</v>
      </c>
      <c r="I32" s="13" t="s">
        <v>92</v>
      </c>
      <c r="J32" t="s">
        <v>40</v>
      </c>
      <c r="K32" s="1">
        <v>43705</v>
      </c>
      <c r="L32" s="1"/>
      <c r="N32">
        <v>1</v>
      </c>
      <c r="R32">
        <v>1802.16</v>
      </c>
    </row>
    <row r="33" spans="1:18" x14ac:dyDescent="0.25">
      <c r="A33" t="s">
        <v>37</v>
      </c>
      <c r="B33" s="1">
        <v>43644</v>
      </c>
      <c r="C33" t="str">
        <f>"14294"</f>
        <v>14294</v>
      </c>
      <c r="D33" t="s">
        <v>586</v>
      </c>
      <c r="E33" t="str">
        <f>"1019025979"</f>
        <v>1019025979</v>
      </c>
      <c r="F33" t="str">
        <f t="shared" si="0"/>
        <v>41100000</v>
      </c>
      <c r="G33" t="s">
        <v>863</v>
      </c>
      <c r="H33" t="s">
        <v>864</v>
      </c>
      <c r="I33" s="13" t="s">
        <v>93</v>
      </c>
      <c r="J33" t="s">
        <v>40</v>
      </c>
      <c r="K33" s="1">
        <v>43705</v>
      </c>
      <c r="L33" s="1"/>
      <c r="N33">
        <v>1</v>
      </c>
      <c r="R33">
        <v>538.34</v>
      </c>
    </row>
    <row r="34" spans="1:18" x14ac:dyDescent="0.25">
      <c r="A34" t="s">
        <v>37</v>
      </c>
      <c r="B34" s="1">
        <v>43636</v>
      </c>
      <c r="C34" t="str">
        <f>"14239"</f>
        <v>14239</v>
      </c>
      <c r="D34" t="s">
        <v>587</v>
      </c>
      <c r="E34" t="s">
        <v>94</v>
      </c>
      <c r="F34" t="str">
        <f t="shared" si="0"/>
        <v>41100000</v>
      </c>
      <c r="G34" t="s">
        <v>863</v>
      </c>
      <c r="H34" t="s">
        <v>864</v>
      </c>
      <c r="I34" s="13" t="s">
        <v>95</v>
      </c>
      <c r="J34" t="s">
        <v>40</v>
      </c>
      <c r="K34" s="1">
        <v>43677</v>
      </c>
      <c r="L34" s="1"/>
      <c r="N34">
        <v>1</v>
      </c>
      <c r="R34">
        <v>44.16</v>
      </c>
    </row>
    <row r="35" spans="1:18" x14ac:dyDescent="0.25">
      <c r="A35" t="s">
        <v>37</v>
      </c>
      <c r="B35" s="1">
        <v>43643</v>
      </c>
      <c r="C35" t="str">
        <f>"14259"</f>
        <v>14259</v>
      </c>
      <c r="D35" t="s">
        <v>588</v>
      </c>
      <c r="E35" t="s">
        <v>96</v>
      </c>
      <c r="F35" t="str">
        <f t="shared" si="0"/>
        <v>41100000</v>
      </c>
      <c r="G35" t="s">
        <v>863</v>
      </c>
      <c r="H35" t="s">
        <v>864</v>
      </c>
      <c r="I35" s="13" t="s">
        <v>97</v>
      </c>
      <c r="J35" t="s">
        <v>40</v>
      </c>
      <c r="K35" s="1">
        <v>43677</v>
      </c>
      <c r="L35" s="1"/>
      <c r="N35">
        <v>1</v>
      </c>
      <c r="R35">
        <v>263.76</v>
      </c>
    </row>
    <row r="36" spans="1:18" x14ac:dyDescent="0.25">
      <c r="A36" t="s">
        <v>37</v>
      </c>
      <c r="B36" s="1">
        <v>43629</v>
      </c>
      <c r="C36" t="str">
        <f>"14199"</f>
        <v>14199</v>
      </c>
      <c r="D36" t="s">
        <v>589</v>
      </c>
      <c r="E36" t="s">
        <v>98</v>
      </c>
      <c r="F36" t="str">
        <f t="shared" si="0"/>
        <v>41100000</v>
      </c>
      <c r="G36" t="s">
        <v>863</v>
      </c>
      <c r="H36" t="s">
        <v>864</v>
      </c>
      <c r="I36" s="13" t="s">
        <v>99</v>
      </c>
      <c r="J36" t="s">
        <v>100</v>
      </c>
      <c r="K36" s="1">
        <v>43692</v>
      </c>
      <c r="L36" s="1" t="s">
        <v>88</v>
      </c>
      <c r="N36">
        <v>1</v>
      </c>
      <c r="R36">
        <v>1176</v>
      </c>
    </row>
    <row r="37" spans="1:18" x14ac:dyDescent="0.25">
      <c r="A37" t="s">
        <v>37</v>
      </c>
      <c r="B37" s="1">
        <v>43636</v>
      </c>
      <c r="C37" t="str">
        <f>"14392"</f>
        <v>14392</v>
      </c>
      <c r="D37" t="s">
        <v>590</v>
      </c>
      <c r="E37" t="s">
        <v>101</v>
      </c>
      <c r="F37" t="str">
        <f t="shared" si="0"/>
        <v>41100000</v>
      </c>
      <c r="G37" t="s">
        <v>863</v>
      </c>
      <c r="H37" t="s">
        <v>864</v>
      </c>
      <c r="I37" s="13" t="s">
        <v>102</v>
      </c>
      <c r="J37" t="s">
        <v>103</v>
      </c>
      <c r="K37" s="1">
        <v>43692</v>
      </c>
      <c r="L37" s="1" t="s">
        <v>104</v>
      </c>
      <c r="N37">
        <v>1</v>
      </c>
      <c r="R37">
        <v>568.26</v>
      </c>
    </row>
    <row r="38" spans="1:18" x14ac:dyDescent="0.25">
      <c r="A38" t="s">
        <v>37</v>
      </c>
      <c r="B38" s="1">
        <v>43636</v>
      </c>
      <c r="C38" t="str">
        <f>"14356"</f>
        <v>14356</v>
      </c>
      <c r="D38" t="s">
        <v>591</v>
      </c>
      <c r="E38" t="s">
        <v>105</v>
      </c>
      <c r="F38" t="str">
        <f t="shared" si="0"/>
        <v>41100000</v>
      </c>
      <c r="G38" t="s">
        <v>863</v>
      </c>
      <c r="H38" t="s">
        <v>864</v>
      </c>
      <c r="I38" s="13" t="s">
        <v>106</v>
      </c>
      <c r="J38" t="s">
        <v>40</v>
      </c>
      <c r="K38" s="1">
        <v>43708</v>
      </c>
      <c r="L38" s="1"/>
      <c r="N38">
        <v>1</v>
      </c>
      <c r="R38">
        <v>367.42</v>
      </c>
    </row>
    <row r="39" spans="1:18" x14ac:dyDescent="0.25">
      <c r="A39" t="s">
        <v>37</v>
      </c>
      <c r="B39" s="1">
        <v>43622</v>
      </c>
      <c r="C39" t="str">
        <f>"14319"</f>
        <v>14319</v>
      </c>
      <c r="D39" t="s">
        <v>592</v>
      </c>
      <c r="E39" t="s">
        <v>107</v>
      </c>
      <c r="F39" t="str">
        <f t="shared" si="0"/>
        <v>41100000</v>
      </c>
      <c r="G39" t="s">
        <v>863</v>
      </c>
      <c r="H39" t="s">
        <v>864</v>
      </c>
      <c r="I39" s="13" t="s">
        <v>108</v>
      </c>
      <c r="J39" t="s">
        <v>40</v>
      </c>
      <c r="K39" s="1">
        <v>43677</v>
      </c>
      <c r="L39" s="1"/>
      <c r="N39">
        <v>1</v>
      </c>
      <c r="R39">
        <v>240.12</v>
      </c>
    </row>
    <row r="40" spans="1:18" x14ac:dyDescent="0.25">
      <c r="A40" t="s">
        <v>37</v>
      </c>
      <c r="B40" s="1">
        <v>43622</v>
      </c>
      <c r="C40" t="str">
        <f>"14300"</f>
        <v>14300</v>
      </c>
      <c r="D40" t="s">
        <v>593</v>
      </c>
      <c r="E40" t="str">
        <f>"447011"</f>
        <v>447011</v>
      </c>
      <c r="F40" t="str">
        <f t="shared" si="0"/>
        <v>41100000</v>
      </c>
      <c r="G40" t="s">
        <v>863</v>
      </c>
      <c r="H40" t="s">
        <v>864</v>
      </c>
      <c r="I40" s="13" t="s">
        <v>109</v>
      </c>
      <c r="J40" t="s">
        <v>40</v>
      </c>
      <c r="K40" s="1">
        <v>43677</v>
      </c>
      <c r="L40" s="1"/>
      <c r="N40">
        <v>1</v>
      </c>
      <c r="R40">
        <v>454.8</v>
      </c>
    </row>
    <row r="41" spans="1:18" x14ac:dyDescent="0.25">
      <c r="A41" t="s">
        <v>37</v>
      </c>
      <c r="B41" s="1">
        <v>43636</v>
      </c>
      <c r="C41" t="str">
        <f>"14368"</f>
        <v>14368</v>
      </c>
      <c r="D41" t="s">
        <v>594</v>
      </c>
      <c r="E41" t="str">
        <f>"447445"</f>
        <v>447445</v>
      </c>
      <c r="F41" t="str">
        <f t="shared" si="0"/>
        <v>41100000</v>
      </c>
      <c r="G41" t="s">
        <v>863</v>
      </c>
      <c r="H41" t="s">
        <v>864</v>
      </c>
      <c r="I41" s="13" t="s">
        <v>110</v>
      </c>
      <c r="J41" t="s">
        <v>40</v>
      </c>
      <c r="K41" s="1">
        <v>43677</v>
      </c>
      <c r="L41" s="1"/>
      <c r="N41">
        <v>1</v>
      </c>
      <c r="R41">
        <v>709.2</v>
      </c>
    </row>
    <row r="42" spans="1:18" x14ac:dyDescent="0.25">
      <c r="A42" t="s">
        <v>37</v>
      </c>
      <c r="B42" s="1">
        <v>43636</v>
      </c>
      <c r="C42" t="str">
        <f>"14389"</f>
        <v>14389</v>
      </c>
      <c r="D42" t="s">
        <v>595</v>
      </c>
      <c r="E42" t="str">
        <f>"448151"</f>
        <v>448151</v>
      </c>
      <c r="F42" t="str">
        <f t="shared" si="0"/>
        <v>41100000</v>
      </c>
      <c r="G42" t="s">
        <v>863</v>
      </c>
      <c r="H42" t="s">
        <v>864</v>
      </c>
      <c r="I42" s="13" t="s">
        <v>111</v>
      </c>
      <c r="J42" t="s">
        <v>40</v>
      </c>
      <c r="K42" s="1">
        <v>43677</v>
      </c>
      <c r="L42" s="1"/>
      <c r="N42">
        <v>1</v>
      </c>
      <c r="R42">
        <v>1608.1</v>
      </c>
    </row>
    <row r="43" spans="1:18" x14ac:dyDescent="0.25">
      <c r="A43" t="s">
        <v>37</v>
      </c>
      <c r="B43" s="1">
        <v>43643</v>
      </c>
      <c r="C43" t="str">
        <f>"14415"</f>
        <v>14415</v>
      </c>
      <c r="D43" t="s">
        <v>596</v>
      </c>
      <c r="E43" t="str">
        <f>"448427"</f>
        <v>448427</v>
      </c>
      <c r="F43" t="str">
        <f t="shared" si="0"/>
        <v>41100000</v>
      </c>
      <c r="G43" t="s">
        <v>863</v>
      </c>
      <c r="H43" t="s">
        <v>864</v>
      </c>
      <c r="I43" s="13" t="s">
        <v>112</v>
      </c>
      <c r="J43" t="s">
        <v>40</v>
      </c>
      <c r="K43" s="1">
        <v>43677</v>
      </c>
      <c r="L43" s="1"/>
      <c r="N43">
        <v>1</v>
      </c>
      <c r="R43">
        <v>578.4</v>
      </c>
    </row>
    <row r="44" spans="1:18" x14ac:dyDescent="0.25">
      <c r="A44" t="s">
        <v>37</v>
      </c>
      <c r="B44" s="1">
        <v>43643</v>
      </c>
      <c r="C44" t="str">
        <f>"14424"</f>
        <v>14424</v>
      </c>
      <c r="D44" t="s">
        <v>597</v>
      </c>
      <c r="E44" t="str">
        <f>"448259"</f>
        <v>448259</v>
      </c>
      <c r="F44" t="str">
        <f t="shared" si="0"/>
        <v>41100000</v>
      </c>
      <c r="G44" t="s">
        <v>863</v>
      </c>
      <c r="H44" t="s">
        <v>864</v>
      </c>
      <c r="I44" s="13" t="s">
        <v>113</v>
      </c>
      <c r="J44" t="s">
        <v>40</v>
      </c>
      <c r="K44" s="1">
        <v>43677</v>
      </c>
      <c r="L44" s="1"/>
      <c r="N44">
        <v>1</v>
      </c>
      <c r="R44">
        <v>718.56</v>
      </c>
    </row>
    <row r="45" spans="1:18" x14ac:dyDescent="0.25">
      <c r="A45" t="s">
        <v>37</v>
      </c>
      <c r="B45" s="1">
        <v>43636</v>
      </c>
      <c r="C45" t="str">
        <f>"14386"</f>
        <v>14386</v>
      </c>
      <c r="D45" t="s">
        <v>598</v>
      </c>
      <c r="E45" t="s">
        <v>114</v>
      </c>
      <c r="F45" t="str">
        <f t="shared" si="0"/>
        <v>41100000</v>
      </c>
      <c r="G45" t="s">
        <v>863</v>
      </c>
      <c r="H45" t="s">
        <v>864</v>
      </c>
      <c r="I45" s="13" t="s">
        <v>115</v>
      </c>
      <c r="J45" t="s">
        <v>40</v>
      </c>
      <c r="K45" s="1">
        <v>43677</v>
      </c>
      <c r="L45" s="1"/>
      <c r="N45">
        <v>1</v>
      </c>
      <c r="R45">
        <v>4542</v>
      </c>
    </row>
    <row r="46" spans="1:18" x14ac:dyDescent="0.25">
      <c r="A46" t="s">
        <v>37</v>
      </c>
      <c r="B46" s="1">
        <v>43636</v>
      </c>
      <c r="C46" t="str">
        <f>"14399"</f>
        <v>14399</v>
      </c>
      <c r="D46" t="s">
        <v>599</v>
      </c>
      <c r="E46" t="s">
        <v>114</v>
      </c>
      <c r="F46" t="str">
        <f t="shared" si="0"/>
        <v>41100000</v>
      </c>
      <c r="G46" t="s">
        <v>863</v>
      </c>
      <c r="H46" t="s">
        <v>864</v>
      </c>
      <c r="I46" s="13" t="s">
        <v>116</v>
      </c>
      <c r="J46" t="s">
        <v>40</v>
      </c>
      <c r="K46" s="1">
        <v>43677</v>
      </c>
      <c r="L46" s="1"/>
      <c r="N46">
        <v>1</v>
      </c>
      <c r="R46">
        <v>1048.8</v>
      </c>
    </row>
    <row r="47" spans="1:18" x14ac:dyDescent="0.25">
      <c r="A47" t="s">
        <v>37</v>
      </c>
      <c r="B47" s="1">
        <v>43636</v>
      </c>
      <c r="C47" t="str">
        <f>"14391"</f>
        <v>14391</v>
      </c>
      <c r="D47" t="s">
        <v>600</v>
      </c>
      <c r="E47" t="s">
        <v>117</v>
      </c>
      <c r="F47" t="str">
        <f t="shared" si="0"/>
        <v>41100000</v>
      </c>
      <c r="G47" t="s">
        <v>863</v>
      </c>
      <c r="H47" t="s">
        <v>864</v>
      </c>
      <c r="I47" s="13" t="s">
        <v>118</v>
      </c>
      <c r="J47" t="s">
        <v>40</v>
      </c>
      <c r="K47" s="1">
        <v>43691</v>
      </c>
      <c r="L47" s="1"/>
      <c r="N47">
        <v>1</v>
      </c>
      <c r="R47">
        <v>5076</v>
      </c>
    </row>
    <row r="48" spans="1:18" x14ac:dyDescent="0.25">
      <c r="A48" t="s">
        <v>37</v>
      </c>
      <c r="B48" s="1">
        <v>43636</v>
      </c>
      <c r="C48" t="str">
        <f>"14250"</f>
        <v>14250</v>
      </c>
      <c r="D48" t="s">
        <v>601</v>
      </c>
      <c r="E48" t="str">
        <f>"20190605547"</f>
        <v>20190605547</v>
      </c>
      <c r="F48" t="str">
        <f t="shared" si="0"/>
        <v>41100000</v>
      </c>
      <c r="G48" t="s">
        <v>863</v>
      </c>
      <c r="H48" t="s">
        <v>864</v>
      </c>
      <c r="I48" s="13" t="s">
        <v>119</v>
      </c>
      <c r="J48" t="s">
        <v>120</v>
      </c>
      <c r="K48" s="1">
        <v>43677</v>
      </c>
      <c r="L48" s="1"/>
      <c r="N48">
        <v>1</v>
      </c>
      <c r="R48">
        <v>350.4</v>
      </c>
    </row>
    <row r="49" spans="1:18" x14ac:dyDescent="0.25">
      <c r="A49" t="s">
        <v>37</v>
      </c>
      <c r="B49" s="1">
        <v>43629</v>
      </c>
      <c r="C49" t="str">
        <f>"14337"</f>
        <v>14337</v>
      </c>
      <c r="D49" t="s">
        <v>602</v>
      </c>
      <c r="E49" t="s">
        <v>121</v>
      </c>
      <c r="F49" t="str">
        <f t="shared" si="0"/>
        <v>41100000</v>
      </c>
      <c r="G49" t="s">
        <v>863</v>
      </c>
      <c r="H49" t="s">
        <v>864</v>
      </c>
      <c r="I49" s="13" t="s">
        <v>122</v>
      </c>
      <c r="J49" t="s">
        <v>120</v>
      </c>
      <c r="K49" s="1">
        <v>43677</v>
      </c>
      <c r="L49" s="1"/>
      <c r="N49">
        <v>1</v>
      </c>
      <c r="R49">
        <v>1003.1</v>
      </c>
    </row>
    <row r="50" spans="1:18" x14ac:dyDescent="0.25">
      <c r="A50" t="s">
        <v>37</v>
      </c>
      <c r="B50" s="1">
        <v>43636</v>
      </c>
      <c r="C50" t="str">
        <f>"14351"</f>
        <v>14351</v>
      </c>
      <c r="D50" t="s">
        <v>603</v>
      </c>
      <c r="E50" t="str">
        <f>"23396000"</f>
        <v>23396000</v>
      </c>
      <c r="F50" t="str">
        <f t="shared" si="0"/>
        <v>41100000</v>
      </c>
      <c r="G50" t="s">
        <v>863</v>
      </c>
      <c r="H50" t="s">
        <v>864</v>
      </c>
      <c r="I50" s="13" t="s">
        <v>123</v>
      </c>
      <c r="J50" t="s">
        <v>40</v>
      </c>
      <c r="K50" s="1">
        <v>43692</v>
      </c>
      <c r="L50" s="1"/>
      <c r="N50">
        <v>1</v>
      </c>
      <c r="R50">
        <v>119.52</v>
      </c>
    </row>
    <row r="51" spans="1:18" x14ac:dyDescent="0.25">
      <c r="A51" t="s">
        <v>37</v>
      </c>
      <c r="B51" s="1">
        <v>43636</v>
      </c>
      <c r="C51" t="str">
        <f>"14373"</f>
        <v>14373</v>
      </c>
      <c r="D51" t="s">
        <v>604</v>
      </c>
      <c r="E51" t="str">
        <f>"23555"</f>
        <v>23555</v>
      </c>
      <c r="F51" t="str">
        <f t="shared" si="0"/>
        <v>41100000</v>
      </c>
      <c r="G51" t="s">
        <v>863</v>
      </c>
      <c r="H51" t="s">
        <v>864</v>
      </c>
      <c r="I51" s="13" t="s">
        <v>124</v>
      </c>
      <c r="J51" t="s">
        <v>40</v>
      </c>
      <c r="K51" s="1">
        <v>43692</v>
      </c>
      <c r="L51" s="1"/>
      <c r="N51">
        <v>1</v>
      </c>
      <c r="R51">
        <v>328.8</v>
      </c>
    </row>
    <row r="52" spans="1:18" x14ac:dyDescent="0.25">
      <c r="A52" t="s">
        <v>37</v>
      </c>
      <c r="B52" s="1">
        <v>43636</v>
      </c>
      <c r="C52" t="str">
        <f>"14249"</f>
        <v>14249</v>
      </c>
      <c r="D52" t="s">
        <v>605</v>
      </c>
      <c r="E52" t="s">
        <v>125</v>
      </c>
      <c r="F52" t="str">
        <f t="shared" si="0"/>
        <v>41100000</v>
      </c>
      <c r="G52" t="s">
        <v>863</v>
      </c>
      <c r="H52" t="s">
        <v>864</v>
      </c>
      <c r="I52" s="13" t="s">
        <v>126</v>
      </c>
      <c r="J52" t="s">
        <v>40</v>
      </c>
      <c r="K52" s="1">
        <v>43691</v>
      </c>
      <c r="L52" s="1"/>
      <c r="N52">
        <v>1</v>
      </c>
      <c r="R52">
        <v>449.1</v>
      </c>
    </row>
    <row r="53" spans="1:18" x14ac:dyDescent="0.25">
      <c r="A53" t="s">
        <v>37</v>
      </c>
      <c r="B53" s="1">
        <v>43643</v>
      </c>
      <c r="C53" t="str">
        <f>"14268"</f>
        <v>14268</v>
      </c>
      <c r="D53" t="s">
        <v>606</v>
      </c>
      <c r="E53" t="str">
        <f>"16187"</f>
        <v>16187</v>
      </c>
      <c r="F53" t="str">
        <f t="shared" si="0"/>
        <v>41100000</v>
      </c>
      <c r="G53" t="s">
        <v>863</v>
      </c>
      <c r="H53" t="s">
        <v>864</v>
      </c>
      <c r="I53" s="13" t="s">
        <v>127</v>
      </c>
      <c r="J53" t="s">
        <v>40</v>
      </c>
      <c r="K53" s="1">
        <v>43691</v>
      </c>
      <c r="L53" s="1"/>
      <c r="N53">
        <v>1</v>
      </c>
      <c r="R53">
        <v>601.24</v>
      </c>
    </row>
    <row r="54" spans="1:18" x14ac:dyDescent="0.25">
      <c r="A54" t="s">
        <v>37</v>
      </c>
      <c r="B54" s="1">
        <v>43644</v>
      </c>
      <c r="C54" t="str">
        <f>"14292"</f>
        <v>14292</v>
      </c>
      <c r="D54" t="s">
        <v>607</v>
      </c>
      <c r="E54" t="str">
        <f>"16265"</f>
        <v>16265</v>
      </c>
      <c r="F54" t="str">
        <f t="shared" si="0"/>
        <v>41100000</v>
      </c>
      <c r="G54" t="s">
        <v>863</v>
      </c>
      <c r="H54" t="s">
        <v>864</v>
      </c>
      <c r="I54" s="13" t="s">
        <v>128</v>
      </c>
      <c r="J54" t="s">
        <v>40</v>
      </c>
      <c r="K54" s="1">
        <v>43691</v>
      </c>
      <c r="L54" s="1"/>
      <c r="N54">
        <v>1</v>
      </c>
      <c r="R54">
        <v>650.78</v>
      </c>
    </row>
    <row r="55" spans="1:18" x14ac:dyDescent="0.25">
      <c r="A55" t="s">
        <v>37</v>
      </c>
      <c r="B55" s="1">
        <v>43644</v>
      </c>
      <c r="C55" t="str">
        <f>"14293"</f>
        <v>14293</v>
      </c>
      <c r="D55" t="s">
        <v>608</v>
      </c>
      <c r="E55" t="str">
        <f>"16187"</f>
        <v>16187</v>
      </c>
      <c r="F55" t="str">
        <f t="shared" si="0"/>
        <v>41100000</v>
      </c>
      <c r="G55" t="s">
        <v>863</v>
      </c>
      <c r="H55" t="s">
        <v>864</v>
      </c>
      <c r="I55" s="13" t="s">
        <v>129</v>
      </c>
      <c r="J55" t="s">
        <v>40</v>
      </c>
      <c r="K55" s="1">
        <v>43691</v>
      </c>
      <c r="L55" s="1"/>
      <c r="N55">
        <v>1</v>
      </c>
      <c r="R55">
        <v>1507.03</v>
      </c>
    </row>
    <row r="56" spans="1:18" x14ac:dyDescent="0.25">
      <c r="A56" t="s">
        <v>37</v>
      </c>
      <c r="B56" s="1">
        <v>43629</v>
      </c>
      <c r="C56" t="str">
        <f>"14208"</f>
        <v>14208</v>
      </c>
      <c r="D56" t="s">
        <v>609</v>
      </c>
      <c r="E56" t="s">
        <v>130</v>
      </c>
      <c r="F56" t="str">
        <f t="shared" si="0"/>
        <v>41100000</v>
      </c>
      <c r="G56" t="s">
        <v>863</v>
      </c>
      <c r="H56" t="s">
        <v>864</v>
      </c>
      <c r="I56" s="13" t="s">
        <v>131</v>
      </c>
      <c r="J56" t="s">
        <v>40</v>
      </c>
      <c r="K56" s="1">
        <v>43677</v>
      </c>
      <c r="L56" s="1"/>
      <c r="N56">
        <v>1</v>
      </c>
      <c r="R56">
        <v>18</v>
      </c>
    </row>
    <row r="57" spans="1:18" x14ac:dyDescent="0.25">
      <c r="A57" t="s">
        <v>37</v>
      </c>
      <c r="B57" s="1">
        <v>43636</v>
      </c>
      <c r="C57" t="str">
        <f>"14379"</f>
        <v>14379</v>
      </c>
      <c r="D57" t="s">
        <v>610</v>
      </c>
      <c r="E57" t="str">
        <f>"4522772628"</f>
        <v>4522772628</v>
      </c>
      <c r="F57" t="str">
        <f t="shared" si="0"/>
        <v>41100000</v>
      </c>
      <c r="G57" t="s">
        <v>863</v>
      </c>
      <c r="H57" t="s">
        <v>864</v>
      </c>
      <c r="I57" s="13" t="s">
        <v>132</v>
      </c>
      <c r="J57" t="s">
        <v>40</v>
      </c>
      <c r="K57" s="1">
        <v>43691</v>
      </c>
      <c r="L57" s="1"/>
      <c r="N57">
        <v>1</v>
      </c>
      <c r="R57">
        <v>375.34</v>
      </c>
    </row>
    <row r="58" spans="1:18" x14ac:dyDescent="0.25">
      <c r="A58" t="s">
        <v>37</v>
      </c>
      <c r="B58" s="1">
        <v>43636</v>
      </c>
      <c r="C58" t="str">
        <f>"14388"</f>
        <v>14388</v>
      </c>
      <c r="D58" t="s">
        <v>611</v>
      </c>
      <c r="E58" t="str">
        <f>"41435"</f>
        <v>41435</v>
      </c>
      <c r="F58" t="str">
        <f t="shared" si="0"/>
        <v>41100000</v>
      </c>
      <c r="G58" t="s">
        <v>863</v>
      </c>
      <c r="H58" t="s">
        <v>864</v>
      </c>
      <c r="I58" s="13" t="s">
        <v>133</v>
      </c>
      <c r="J58" t="s">
        <v>40</v>
      </c>
      <c r="K58" s="1">
        <v>43677</v>
      </c>
      <c r="L58" s="1"/>
      <c r="N58">
        <v>1</v>
      </c>
      <c r="R58">
        <v>768</v>
      </c>
    </row>
    <row r="59" spans="1:18" x14ac:dyDescent="0.25">
      <c r="A59" t="s">
        <v>37</v>
      </c>
      <c r="B59" s="1">
        <v>43643</v>
      </c>
      <c r="C59" t="str">
        <f>"14416"</f>
        <v>14416</v>
      </c>
      <c r="D59" t="s">
        <v>612</v>
      </c>
      <c r="E59" t="str">
        <f>"41404"</f>
        <v>41404</v>
      </c>
      <c r="F59" t="str">
        <f t="shared" si="0"/>
        <v>41100000</v>
      </c>
      <c r="G59" t="s">
        <v>863</v>
      </c>
      <c r="H59" t="s">
        <v>864</v>
      </c>
      <c r="I59" s="13" t="s">
        <v>134</v>
      </c>
      <c r="J59" t="s">
        <v>40</v>
      </c>
      <c r="K59" s="1">
        <v>43677</v>
      </c>
      <c r="L59" s="1"/>
      <c r="N59">
        <v>1</v>
      </c>
      <c r="R59">
        <v>337.8</v>
      </c>
    </row>
    <row r="60" spans="1:18" x14ac:dyDescent="0.25">
      <c r="A60" t="s">
        <v>37</v>
      </c>
      <c r="B60" s="1">
        <v>43636</v>
      </c>
      <c r="C60" t="str">
        <f>"14227"</f>
        <v>14227</v>
      </c>
      <c r="D60" t="s">
        <v>613</v>
      </c>
      <c r="E60" t="str">
        <f>"4560178020"</f>
        <v>4560178020</v>
      </c>
      <c r="F60" t="str">
        <f t="shared" si="0"/>
        <v>41100000</v>
      </c>
      <c r="G60" t="s">
        <v>863</v>
      </c>
      <c r="H60" t="s">
        <v>864</v>
      </c>
      <c r="I60" s="13" t="s">
        <v>135</v>
      </c>
      <c r="J60" t="s">
        <v>40</v>
      </c>
      <c r="K60" s="1">
        <v>43697</v>
      </c>
      <c r="L60" s="1" t="s">
        <v>136</v>
      </c>
      <c r="N60">
        <v>1</v>
      </c>
      <c r="R60">
        <v>258.64</v>
      </c>
    </row>
    <row r="61" spans="1:18" x14ac:dyDescent="0.25">
      <c r="A61" t="s">
        <v>37</v>
      </c>
      <c r="B61" s="1">
        <v>43643</v>
      </c>
      <c r="C61" t="str">
        <f>"14258"</f>
        <v>14258</v>
      </c>
      <c r="D61" t="s">
        <v>614</v>
      </c>
      <c r="E61" t="str">
        <f>"4560178020"</f>
        <v>4560178020</v>
      </c>
      <c r="F61" t="str">
        <f t="shared" si="0"/>
        <v>41100000</v>
      </c>
      <c r="G61" t="s">
        <v>863</v>
      </c>
      <c r="H61" t="s">
        <v>864</v>
      </c>
      <c r="I61" s="13" t="s">
        <v>137</v>
      </c>
      <c r="J61" t="s">
        <v>40</v>
      </c>
      <c r="K61" s="1">
        <v>43704</v>
      </c>
      <c r="L61" s="1" t="s">
        <v>136</v>
      </c>
      <c r="N61">
        <v>1</v>
      </c>
      <c r="R61">
        <v>61.56</v>
      </c>
    </row>
    <row r="62" spans="1:18" x14ac:dyDescent="0.25">
      <c r="A62" t="s">
        <v>37</v>
      </c>
      <c r="B62" s="1">
        <v>43629</v>
      </c>
      <c r="C62" t="str">
        <f>"14213"</f>
        <v>14213</v>
      </c>
      <c r="D62" t="s">
        <v>615</v>
      </c>
      <c r="E62" t="s">
        <v>138</v>
      </c>
      <c r="F62" t="str">
        <f t="shared" si="0"/>
        <v>41100000</v>
      </c>
      <c r="G62" t="s">
        <v>863</v>
      </c>
      <c r="H62" t="s">
        <v>864</v>
      </c>
      <c r="I62" s="13" t="s">
        <v>139</v>
      </c>
      <c r="J62" t="s">
        <v>120</v>
      </c>
      <c r="K62" s="1">
        <v>43692</v>
      </c>
      <c r="L62" s="1"/>
      <c r="N62">
        <v>1</v>
      </c>
      <c r="R62">
        <v>478.07</v>
      </c>
    </row>
    <row r="63" spans="1:18" x14ac:dyDescent="0.25">
      <c r="A63" t="s">
        <v>37</v>
      </c>
      <c r="B63" s="1">
        <v>43629</v>
      </c>
      <c r="C63" t="str">
        <f>"14344"</f>
        <v>14344</v>
      </c>
      <c r="D63" t="s">
        <v>616</v>
      </c>
      <c r="E63" t="s">
        <v>140</v>
      </c>
      <c r="F63" t="str">
        <f t="shared" si="0"/>
        <v>41100000</v>
      </c>
      <c r="G63" t="s">
        <v>863</v>
      </c>
      <c r="H63" t="s">
        <v>864</v>
      </c>
      <c r="I63" s="13" t="s">
        <v>141</v>
      </c>
      <c r="J63" t="s">
        <v>40</v>
      </c>
      <c r="K63" s="1">
        <v>43677</v>
      </c>
      <c r="L63" s="1"/>
      <c r="N63">
        <v>1</v>
      </c>
      <c r="R63">
        <v>70.739999999999995</v>
      </c>
    </row>
    <row r="64" spans="1:18" x14ac:dyDescent="0.25">
      <c r="A64" t="s">
        <v>37</v>
      </c>
      <c r="B64" s="1">
        <v>43643</v>
      </c>
      <c r="C64" t="str">
        <f>"14410"</f>
        <v>14410</v>
      </c>
      <c r="D64" t="s">
        <v>617</v>
      </c>
      <c r="E64" t="str">
        <f>"40001287"</f>
        <v>40001287</v>
      </c>
      <c r="F64" t="str">
        <f t="shared" si="0"/>
        <v>41100000</v>
      </c>
      <c r="G64" t="s">
        <v>863</v>
      </c>
      <c r="H64" t="s">
        <v>864</v>
      </c>
      <c r="I64" s="13" t="s">
        <v>142</v>
      </c>
      <c r="J64" t="s">
        <v>40</v>
      </c>
      <c r="K64" s="1">
        <v>43673</v>
      </c>
      <c r="L64" s="1"/>
      <c r="N64">
        <v>1</v>
      </c>
      <c r="R64">
        <v>7641.6</v>
      </c>
    </row>
    <row r="65" spans="1:18" x14ac:dyDescent="0.25">
      <c r="A65" t="s">
        <v>37</v>
      </c>
      <c r="B65" s="1">
        <v>43643</v>
      </c>
      <c r="C65" t="str">
        <f>"14426"</f>
        <v>14426</v>
      </c>
      <c r="D65" t="s">
        <v>618</v>
      </c>
      <c r="E65" t="str">
        <f>"40001341"</f>
        <v>40001341</v>
      </c>
      <c r="F65" t="str">
        <f t="shared" si="0"/>
        <v>41100000</v>
      </c>
      <c r="G65" t="s">
        <v>863</v>
      </c>
      <c r="H65" t="s">
        <v>864</v>
      </c>
      <c r="I65" s="13" t="s">
        <v>143</v>
      </c>
      <c r="J65" t="s">
        <v>40</v>
      </c>
      <c r="K65" s="1">
        <v>43673</v>
      </c>
      <c r="L65" s="1"/>
      <c r="N65">
        <v>1</v>
      </c>
      <c r="R65">
        <v>1338</v>
      </c>
    </row>
    <row r="66" spans="1:18" x14ac:dyDescent="0.25">
      <c r="A66" t="s">
        <v>37</v>
      </c>
      <c r="B66" s="1">
        <v>43644</v>
      </c>
      <c r="C66" t="str">
        <f>"14289"</f>
        <v>14289</v>
      </c>
      <c r="D66" t="s">
        <v>619</v>
      </c>
      <c r="E66" t="s">
        <v>144</v>
      </c>
      <c r="F66" t="str">
        <f t="shared" ref="F66:F129" si="1">"41100000"</f>
        <v>41100000</v>
      </c>
      <c r="G66" t="s">
        <v>863</v>
      </c>
      <c r="H66" t="s">
        <v>864</v>
      </c>
      <c r="I66" s="13" t="s">
        <v>145</v>
      </c>
      <c r="J66" t="s">
        <v>40</v>
      </c>
      <c r="K66" s="1">
        <v>43677</v>
      </c>
      <c r="L66" s="1"/>
      <c r="N66">
        <v>1</v>
      </c>
      <c r="R66">
        <v>309.36</v>
      </c>
    </row>
    <row r="67" spans="1:18" x14ac:dyDescent="0.25">
      <c r="A67" t="s">
        <v>37</v>
      </c>
      <c r="B67" s="1">
        <v>43629</v>
      </c>
      <c r="C67" t="str">
        <f>"14190"</f>
        <v>14190</v>
      </c>
      <c r="D67" t="s">
        <v>620</v>
      </c>
      <c r="E67" t="s">
        <v>146</v>
      </c>
      <c r="F67" t="str">
        <f t="shared" si="1"/>
        <v>41100000</v>
      </c>
      <c r="G67" t="s">
        <v>863</v>
      </c>
      <c r="H67" t="s">
        <v>864</v>
      </c>
      <c r="I67" s="13" t="s">
        <v>147</v>
      </c>
      <c r="J67" t="s">
        <v>103</v>
      </c>
      <c r="K67" s="1">
        <v>43677</v>
      </c>
      <c r="L67" s="1" t="s">
        <v>104</v>
      </c>
      <c r="N67">
        <v>1</v>
      </c>
      <c r="R67">
        <v>144</v>
      </c>
    </row>
    <row r="68" spans="1:18" x14ac:dyDescent="0.25">
      <c r="A68" t="s">
        <v>37</v>
      </c>
      <c r="B68" s="1">
        <v>43629</v>
      </c>
      <c r="C68" t="str">
        <f>"14324"</f>
        <v>14324</v>
      </c>
      <c r="D68" t="s">
        <v>621</v>
      </c>
      <c r="E68" t="s">
        <v>148</v>
      </c>
      <c r="F68" t="str">
        <f t="shared" si="1"/>
        <v>41100000</v>
      </c>
      <c r="G68" t="s">
        <v>863</v>
      </c>
      <c r="H68" t="s">
        <v>864</v>
      </c>
      <c r="I68" s="13" t="s">
        <v>149</v>
      </c>
      <c r="J68" t="s">
        <v>40</v>
      </c>
      <c r="K68" s="1">
        <v>43692</v>
      </c>
      <c r="L68" s="1"/>
      <c r="N68">
        <v>1</v>
      </c>
      <c r="R68">
        <v>1576.68</v>
      </c>
    </row>
    <row r="69" spans="1:18" x14ac:dyDescent="0.25">
      <c r="A69" t="s">
        <v>37</v>
      </c>
      <c r="B69" s="1">
        <v>43636</v>
      </c>
      <c r="C69" t="str">
        <f>"14371"</f>
        <v>14371</v>
      </c>
      <c r="D69" t="s">
        <v>622</v>
      </c>
      <c r="E69" t="s">
        <v>150</v>
      </c>
      <c r="F69" t="str">
        <f t="shared" si="1"/>
        <v>41100000</v>
      </c>
      <c r="G69" t="s">
        <v>863</v>
      </c>
      <c r="H69" t="s">
        <v>864</v>
      </c>
      <c r="I69" s="13" t="s">
        <v>151</v>
      </c>
      <c r="J69" t="s">
        <v>40</v>
      </c>
      <c r="K69" s="1">
        <v>43692</v>
      </c>
      <c r="L69" s="1"/>
      <c r="N69">
        <v>1</v>
      </c>
      <c r="R69">
        <v>47.52</v>
      </c>
    </row>
    <row r="70" spans="1:18" x14ac:dyDescent="0.25">
      <c r="A70" t="s">
        <v>37</v>
      </c>
      <c r="B70" s="1">
        <v>43636</v>
      </c>
      <c r="C70" t="str">
        <f>"14372"</f>
        <v>14372</v>
      </c>
      <c r="D70" t="s">
        <v>623</v>
      </c>
      <c r="E70" t="s">
        <v>152</v>
      </c>
      <c r="F70" t="str">
        <f t="shared" si="1"/>
        <v>41100000</v>
      </c>
      <c r="G70" t="s">
        <v>863</v>
      </c>
      <c r="H70" t="s">
        <v>864</v>
      </c>
      <c r="I70" s="13" t="s">
        <v>153</v>
      </c>
      <c r="J70" t="s">
        <v>40</v>
      </c>
      <c r="K70" s="1">
        <v>43692</v>
      </c>
      <c r="L70" s="1"/>
      <c r="N70">
        <v>1</v>
      </c>
      <c r="R70">
        <v>522.35</v>
      </c>
    </row>
    <row r="71" spans="1:18" x14ac:dyDescent="0.25">
      <c r="A71" t="s">
        <v>37</v>
      </c>
      <c r="B71" s="1">
        <v>43636</v>
      </c>
      <c r="C71" t="str">
        <f>"14400"</f>
        <v>14400</v>
      </c>
      <c r="D71" t="s">
        <v>624</v>
      </c>
      <c r="E71" t="s">
        <v>154</v>
      </c>
      <c r="F71" t="str">
        <f t="shared" si="1"/>
        <v>41100000</v>
      </c>
      <c r="G71" t="s">
        <v>863</v>
      </c>
      <c r="H71" t="s">
        <v>864</v>
      </c>
      <c r="I71" s="13" t="s">
        <v>155</v>
      </c>
      <c r="J71" t="s">
        <v>40</v>
      </c>
      <c r="K71" s="1">
        <v>43692</v>
      </c>
      <c r="L71" s="1"/>
      <c r="N71">
        <v>1</v>
      </c>
      <c r="R71">
        <v>422.51</v>
      </c>
    </row>
    <row r="72" spans="1:18" x14ac:dyDescent="0.25">
      <c r="A72" t="s">
        <v>37</v>
      </c>
      <c r="B72" s="1">
        <v>43636</v>
      </c>
      <c r="C72" t="str">
        <f>"14401"</f>
        <v>14401</v>
      </c>
      <c r="D72" t="s">
        <v>625</v>
      </c>
      <c r="E72" t="s">
        <v>156</v>
      </c>
      <c r="F72" t="str">
        <f t="shared" si="1"/>
        <v>41100000</v>
      </c>
      <c r="G72" t="s">
        <v>863</v>
      </c>
      <c r="H72" t="s">
        <v>864</v>
      </c>
      <c r="I72" s="13" t="s">
        <v>157</v>
      </c>
      <c r="J72" t="s">
        <v>40</v>
      </c>
      <c r="K72" s="1">
        <v>43692</v>
      </c>
      <c r="L72" s="1"/>
      <c r="N72">
        <v>1</v>
      </c>
      <c r="R72">
        <v>424.5</v>
      </c>
    </row>
    <row r="73" spans="1:18" x14ac:dyDescent="0.25">
      <c r="A73" t="s">
        <v>37</v>
      </c>
      <c r="B73" s="1">
        <v>43636</v>
      </c>
      <c r="C73" t="str">
        <f>"14402"</f>
        <v>14402</v>
      </c>
      <c r="D73" t="s">
        <v>626</v>
      </c>
      <c r="E73" t="s">
        <v>158</v>
      </c>
      <c r="F73" t="str">
        <f t="shared" si="1"/>
        <v>41100000</v>
      </c>
      <c r="G73" t="s">
        <v>863</v>
      </c>
      <c r="H73" t="s">
        <v>864</v>
      </c>
      <c r="I73" s="13" t="s">
        <v>159</v>
      </c>
      <c r="J73" t="s">
        <v>40</v>
      </c>
      <c r="K73" s="1">
        <v>43692</v>
      </c>
      <c r="L73" s="1"/>
      <c r="N73">
        <v>1</v>
      </c>
      <c r="R73">
        <v>73.790000000000006</v>
      </c>
    </row>
    <row r="74" spans="1:18" x14ac:dyDescent="0.25">
      <c r="A74" t="s">
        <v>37</v>
      </c>
      <c r="B74" s="1">
        <v>43636</v>
      </c>
      <c r="C74" t="str">
        <f>"14403"</f>
        <v>14403</v>
      </c>
      <c r="D74" t="s">
        <v>627</v>
      </c>
      <c r="E74" t="s">
        <v>160</v>
      </c>
      <c r="F74" t="str">
        <f t="shared" si="1"/>
        <v>41100000</v>
      </c>
      <c r="G74" t="s">
        <v>863</v>
      </c>
      <c r="H74" t="s">
        <v>864</v>
      </c>
      <c r="I74" s="13" t="s">
        <v>161</v>
      </c>
      <c r="J74" t="s">
        <v>40</v>
      </c>
      <c r="K74" s="1">
        <v>43692</v>
      </c>
      <c r="L74" s="1"/>
      <c r="N74">
        <v>1</v>
      </c>
      <c r="R74">
        <v>412.8</v>
      </c>
    </row>
    <row r="75" spans="1:18" x14ac:dyDescent="0.25">
      <c r="A75" t="s">
        <v>37</v>
      </c>
      <c r="B75" s="1">
        <v>43636</v>
      </c>
      <c r="C75" t="str">
        <f>"14405"</f>
        <v>14405</v>
      </c>
      <c r="D75" t="s">
        <v>628</v>
      </c>
      <c r="E75" t="s">
        <v>162</v>
      </c>
      <c r="F75" t="str">
        <f t="shared" si="1"/>
        <v>41100000</v>
      </c>
      <c r="G75" t="s">
        <v>863</v>
      </c>
      <c r="H75" t="s">
        <v>864</v>
      </c>
      <c r="I75" s="13" t="s">
        <v>163</v>
      </c>
      <c r="J75" t="s">
        <v>40</v>
      </c>
      <c r="K75" s="1">
        <v>43692</v>
      </c>
      <c r="L75" s="1"/>
      <c r="N75">
        <v>1</v>
      </c>
      <c r="R75">
        <v>412.8</v>
      </c>
    </row>
    <row r="76" spans="1:18" x14ac:dyDescent="0.25">
      <c r="A76" t="s">
        <v>37</v>
      </c>
      <c r="B76" s="1">
        <v>43643</v>
      </c>
      <c r="C76" t="str">
        <f>"14407"</f>
        <v>14407</v>
      </c>
      <c r="D76" t="s">
        <v>629</v>
      </c>
      <c r="E76" t="s">
        <v>164</v>
      </c>
      <c r="F76" t="str">
        <f t="shared" si="1"/>
        <v>41100000</v>
      </c>
      <c r="G76" t="s">
        <v>863</v>
      </c>
      <c r="H76" t="s">
        <v>864</v>
      </c>
      <c r="I76" s="13" t="s">
        <v>165</v>
      </c>
      <c r="J76" t="s">
        <v>40</v>
      </c>
      <c r="K76" s="1">
        <v>43692</v>
      </c>
      <c r="L76" s="1"/>
      <c r="N76">
        <v>1</v>
      </c>
      <c r="R76">
        <v>445.46</v>
      </c>
    </row>
    <row r="77" spans="1:18" x14ac:dyDescent="0.25">
      <c r="A77" t="s">
        <v>37</v>
      </c>
      <c r="B77" s="1">
        <v>43643</v>
      </c>
      <c r="C77" t="str">
        <f>"14267"</f>
        <v>14267</v>
      </c>
      <c r="D77" t="s">
        <v>630</v>
      </c>
      <c r="E77" t="s">
        <v>166</v>
      </c>
      <c r="F77" t="str">
        <f t="shared" si="1"/>
        <v>41100000</v>
      </c>
      <c r="G77" t="s">
        <v>863</v>
      </c>
      <c r="H77" t="s">
        <v>864</v>
      </c>
      <c r="I77" s="13" t="s">
        <v>167</v>
      </c>
      <c r="J77" t="s">
        <v>40</v>
      </c>
      <c r="K77" s="1">
        <v>43677</v>
      </c>
      <c r="L77" s="1"/>
      <c r="N77">
        <v>1</v>
      </c>
      <c r="R77">
        <v>72</v>
      </c>
    </row>
    <row r="78" spans="1:18" x14ac:dyDescent="0.25">
      <c r="A78" t="s">
        <v>37</v>
      </c>
      <c r="B78" s="1">
        <v>43636</v>
      </c>
      <c r="C78" t="str">
        <f>"14378"</f>
        <v>14378</v>
      </c>
      <c r="D78" t="s">
        <v>631</v>
      </c>
      <c r="E78" t="s">
        <v>168</v>
      </c>
      <c r="F78" t="str">
        <f t="shared" si="1"/>
        <v>41100000</v>
      </c>
      <c r="G78" t="s">
        <v>863</v>
      </c>
      <c r="H78" t="s">
        <v>864</v>
      </c>
      <c r="I78" s="13" t="s">
        <v>169</v>
      </c>
      <c r="J78" t="s">
        <v>40</v>
      </c>
      <c r="K78" s="1">
        <v>43692</v>
      </c>
      <c r="L78" s="1"/>
      <c r="N78">
        <v>1</v>
      </c>
      <c r="R78">
        <v>523.20000000000005</v>
      </c>
    </row>
    <row r="79" spans="1:18" x14ac:dyDescent="0.25">
      <c r="A79" t="s">
        <v>37</v>
      </c>
      <c r="B79" s="1">
        <v>43644</v>
      </c>
      <c r="C79" t="str">
        <f>"14438"</f>
        <v>14438</v>
      </c>
      <c r="D79" t="s">
        <v>632</v>
      </c>
      <c r="E79" t="s">
        <v>170</v>
      </c>
      <c r="F79" t="str">
        <f t="shared" si="1"/>
        <v>41100000</v>
      </c>
      <c r="G79" t="s">
        <v>863</v>
      </c>
      <c r="H79" t="s">
        <v>864</v>
      </c>
      <c r="I79" s="13" t="s">
        <v>171</v>
      </c>
      <c r="J79" t="s">
        <v>40</v>
      </c>
      <c r="K79" s="1">
        <v>43677</v>
      </c>
      <c r="L79" s="1"/>
      <c r="N79">
        <v>1</v>
      </c>
      <c r="R79">
        <v>336.42</v>
      </c>
    </row>
    <row r="80" spans="1:18" x14ac:dyDescent="0.25">
      <c r="A80" t="s">
        <v>37</v>
      </c>
      <c r="B80" s="1">
        <v>43629</v>
      </c>
      <c r="C80" t="str">
        <f>"14207"</f>
        <v>14207</v>
      </c>
      <c r="D80" t="s">
        <v>633</v>
      </c>
      <c r="E80" t="s">
        <v>172</v>
      </c>
      <c r="F80" t="str">
        <f t="shared" si="1"/>
        <v>41100000</v>
      </c>
      <c r="G80" t="s">
        <v>863</v>
      </c>
      <c r="H80" t="s">
        <v>864</v>
      </c>
      <c r="I80" s="13" t="s">
        <v>173</v>
      </c>
      <c r="J80" t="s">
        <v>40</v>
      </c>
      <c r="K80" s="1">
        <v>43692</v>
      </c>
      <c r="L80" s="1"/>
      <c r="N80">
        <v>1</v>
      </c>
      <c r="R80">
        <v>69.48</v>
      </c>
    </row>
    <row r="81" spans="1:18" x14ac:dyDescent="0.25">
      <c r="A81" t="s">
        <v>37</v>
      </c>
      <c r="B81" s="1">
        <v>43636</v>
      </c>
      <c r="C81" t="str">
        <f>"14229"</f>
        <v>14229</v>
      </c>
      <c r="D81" t="s">
        <v>634</v>
      </c>
      <c r="E81" t="s">
        <v>174</v>
      </c>
      <c r="F81" t="str">
        <f t="shared" si="1"/>
        <v>41100000</v>
      </c>
      <c r="G81" t="s">
        <v>863</v>
      </c>
      <c r="H81" t="s">
        <v>864</v>
      </c>
      <c r="I81" s="13" t="s">
        <v>175</v>
      </c>
      <c r="J81" t="s">
        <v>40</v>
      </c>
      <c r="K81" s="1">
        <v>43692</v>
      </c>
      <c r="L81" s="1"/>
      <c r="N81">
        <v>1</v>
      </c>
      <c r="R81">
        <v>81.06</v>
      </c>
    </row>
    <row r="82" spans="1:18" x14ac:dyDescent="0.25">
      <c r="A82" t="s">
        <v>37</v>
      </c>
      <c r="B82" s="1">
        <v>43643</v>
      </c>
      <c r="C82" t="str">
        <f>"14274"</f>
        <v>14274</v>
      </c>
      <c r="D82" t="s">
        <v>635</v>
      </c>
      <c r="E82" t="s">
        <v>176</v>
      </c>
      <c r="F82" t="str">
        <f t="shared" si="1"/>
        <v>41100000</v>
      </c>
      <c r="G82" t="s">
        <v>863</v>
      </c>
      <c r="H82" t="s">
        <v>864</v>
      </c>
      <c r="I82" s="13" t="s">
        <v>177</v>
      </c>
      <c r="J82" t="s">
        <v>40</v>
      </c>
      <c r="K82" s="1">
        <v>43692</v>
      </c>
      <c r="L82" s="1"/>
      <c r="N82">
        <v>1</v>
      </c>
      <c r="R82">
        <v>238.09</v>
      </c>
    </row>
    <row r="83" spans="1:18" x14ac:dyDescent="0.25">
      <c r="A83" t="s">
        <v>37</v>
      </c>
      <c r="B83" s="1">
        <v>43622</v>
      </c>
      <c r="C83" t="str">
        <f>"14150"</f>
        <v>14150</v>
      </c>
      <c r="D83" t="s">
        <v>636</v>
      </c>
      <c r="E83" t="s">
        <v>178</v>
      </c>
      <c r="F83" t="str">
        <f t="shared" si="1"/>
        <v>41100000</v>
      </c>
      <c r="G83" t="s">
        <v>863</v>
      </c>
      <c r="H83" t="s">
        <v>864</v>
      </c>
      <c r="I83" s="13" t="s">
        <v>179</v>
      </c>
      <c r="J83" t="s">
        <v>40</v>
      </c>
      <c r="K83" s="1">
        <v>43677</v>
      </c>
      <c r="L83" s="1"/>
      <c r="N83">
        <v>1</v>
      </c>
      <c r="R83">
        <v>86.47</v>
      </c>
    </row>
    <row r="84" spans="1:18" x14ac:dyDescent="0.25">
      <c r="A84" t="s">
        <v>37</v>
      </c>
      <c r="B84" s="1">
        <v>43636</v>
      </c>
      <c r="C84" t="str">
        <f>"14347"</f>
        <v>14347</v>
      </c>
      <c r="D84" t="s">
        <v>637</v>
      </c>
      <c r="E84" t="s">
        <v>180</v>
      </c>
      <c r="F84" t="str">
        <f t="shared" si="1"/>
        <v>41100000</v>
      </c>
      <c r="G84" t="s">
        <v>863</v>
      </c>
      <c r="H84" t="s">
        <v>864</v>
      </c>
      <c r="I84" s="13" t="s">
        <v>181</v>
      </c>
      <c r="J84" t="s">
        <v>40</v>
      </c>
      <c r="K84" s="1">
        <v>43677</v>
      </c>
      <c r="L84" s="1"/>
      <c r="N84">
        <v>1</v>
      </c>
      <c r="R84">
        <v>1197.31</v>
      </c>
    </row>
    <row r="85" spans="1:18" x14ac:dyDescent="0.25">
      <c r="A85" t="s">
        <v>37</v>
      </c>
      <c r="B85" s="1">
        <v>43636</v>
      </c>
      <c r="C85" t="str">
        <f>"14385"</f>
        <v>14385</v>
      </c>
      <c r="D85" t="s">
        <v>638</v>
      </c>
      <c r="E85" t="s">
        <v>182</v>
      </c>
      <c r="F85" t="str">
        <f t="shared" si="1"/>
        <v>41100000</v>
      </c>
      <c r="G85" t="s">
        <v>863</v>
      </c>
      <c r="H85" t="s">
        <v>864</v>
      </c>
      <c r="I85" s="13" t="s">
        <v>183</v>
      </c>
      <c r="J85" t="s">
        <v>40</v>
      </c>
      <c r="K85" s="1">
        <v>43677</v>
      </c>
      <c r="L85" s="1"/>
      <c r="N85">
        <v>1</v>
      </c>
      <c r="R85">
        <v>516</v>
      </c>
    </row>
    <row r="86" spans="1:18" x14ac:dyDescent="0.25">
      <c r="A86" t="s">
        <v>37</v>
      </c>
      <c r="B86" s="1">
        <v>43622</v>
      </c>
      <c r="C86" t="str">
        <f>"14168"</f>
        <v>14168</v>
      </c>
      <c r="D86" t="s">
        <v>639</v>
      </c>
      <c r="E86" t="s">
        <v>184</v>
      </c>
      <c r="F86" t="str">
        <f t="shared" si="1"/>
        <v>41100000</v>
      </c>
      <c r="G86" t="s">
        <v>863</v>
      </c>
      <c r="H86" t="s">
        <v>864</v>
      </c>
      <c r="I86" s="13" t="s">
        <v>185</v>
      </c>
      <c r="J86" t="s">
        <v>40</v>
      </c>
      <c r="K86" s="1">
        <v>43683</v>
      </c>
      <c r="L86" s="1" t="s">
        <v>104</v>
      </c>
      <c r="N86">
        <v>1</v>
      </c>
      <c r="R86">
        <v>209.16</v>
      </c>
    </row>
    <row r="87" spans="1:18" x14ac:dyDescent="0.25">
      <c r="A87" t="s">
        <v>37</v>
      </c>
      <c r="B87" s="1">
        <v>43622</v>
      </c>
      <c r="C87" t="str">
        <f>"14169"</f>
        <v>14169</v>
      </c>
      <c r="D87" t="s">
        <v>640</v>
      </c>
      <c r="E87" t="s">
        <v>186</v>
      </c>
      <c r="F87" t="str">
        <f t="shared" si="1"/>
        <v>41100000</v>
      </c>
      <c r="G87" t="s">
        <v>863</v>
      </c>
      <c r="H87" t="s">
        <v>864</v>
      </c>
      <c r="I87" s="13" t="s">
        <v>187</v>
      </c>
      <c r="J87" t="s">
        <v>40</v>
      </c>
      <c r="K87" s="1">
        <v>43683</v>
      </c>
      <c r="L87" s="1" t="s">
        <v>104</v>
      </c>
      <c r="N87">
        <v>1</v>
      </c>
      <c r="R87">
        <v>525.96</v>
      </c>
    </row>
    <row r="88" spans="1:18" x14ac:dyDescent="0.25">
      <c r="A88" t="s">
        <v>37</v>
      </c>
      <c r="B88" s="1">
        <v>43629</v>
      </c>
      <c r="C88" t="str">
        <f>"14184"</f>
        <v>14184</v>
      </c>
      <c r="D88" t="s">
        <v>641</v>
      </c>
      <c r="E88" t="s">
        <v>184</v>
      </c>
      <c r="F88" t="str">
        <f t="shared" si="1"/>
        <v>41100000</v>
      </c>
      <c r="G88" t="s">
        <v>863</v>
      </c>
      <c r="H88" t="s">
        <v>864</v>
      </c>
      <c r="I88" s="13" t="s">
        <v>188</v>
      </c>
      <c r="J88" t="s">
        <v>40</v>
      </c>
      <c r="K88" s="1">
        <v>43690</v>
      </c>
      <c r="L88" s="1" t="s">
        <v>104</v>
      </c>
      <c r="N88">
        <v>1</v>
      </c>
      <c r="R88">
        <v>260.86</v>
      </c>
    </row>
    <row r="89" spans="1:18" x14ac:dyDescent="0.25">
      <c r="A89" t="s">
        <v>37</v>
      </c>
      <c r="B89" s="1">
        <v>43643</v>
      </c>
      <c r="C89" t="str">
        <f>"14260"</f>
        <v>14260</v>
      </c>
      <c r="D89" t="s">
        <v>642</v>
      </c>
      <c r="E89" t="s">
        <v>189</v>
      </c>
      <c r="F89" t="str">
        <f t="shared" si="1"/>
        <v>41100000</v>
      </c>
      <c r="G89" t="s">
        <v>863</v>
      </c>
      <c r="H89" t="s">
        <v>864</v>
      </c>
      <c r="I89" s="13" t="s">
        <v>190</v>
      </c>
      <c r="J89" t="s">
        <v>40</v>
      </c>
      <c r="K89" s="1">
        <v>43704</v>
      </c>
      <c r="L89" s="1" t="s">
        <v>104</v>
      </c>
      <c r="N89">
        <v>1</v>
      </c>
      <c r="R89">
        <v>349.44</v>
      </c>
    </row>
    <row r="90" spans="1:18" x14ac:dyDescent="0.25">
      <c r="A90" t="s">
        <v>37</v>
      </c>
      <c r="B90" s="1">
        <v>43629</v>
      </c>
      <c r="C90" t="str">
        <f>"14212"</f>
        <v>14212</v>
      </c>
      <c r="D90" t="s">
        <v>643</v>
      </c>
      <c r="E90" t="s">
        <v>191</v>
      </c>
      <c r="F90" t="str">
        <f t="shared" si="1"/>
        <v>41100000</v>
      </c>
      <c r="G90" t="s">
        <v>867</v>
      </c>
      <c r="H90" t="s">
        <v>868</v>
      </c>
      <c r="I90" s="13" t="s">
        <v>192</v>
      </c>
      <c r="J90" t="s">
        <v>103</v>
      </c>
      <c r="K90" s="1">
        <v>43677</v>
      </c>
      <c r="L90" s="1" t="s">
        <v>88</v>
      </c>
      <c r="N90">
        <v>1</v>
      </c>
      <c r="R90">
        <v>162.24</v>
      </c>
    </row>
    <row r="91" spans="1:18" x14ac:dyDescent="0.25">
      <c r="A91" t="s">
        <v>37</v>
      </c>
      <c r="B91" s="1">
        <v>43636</v>
      </c>
      <c r="C91" t="str">
        <f>"14236"</f>
        <v>14236</v>
      </c>
      <c r="D91" t="s">
        <v>644</v>
      </c>
      <c r="E91" t="s">
        <v>191</v>
      </c>
      <c r="F91" t="str">
        <f t="shared" si="1"/>
        <v>41100000</v>
      </c>
      <c r="G91" t="s">
        <v>867</v>
      </c>
      <c r="H91" t="s">
        <v>868</v>
      </c>
      <c r="I91" s="13" t="s">
        <v>193</v>
      </c>
      <c r="J91" t="s">
        <v>103</v>
      </c>
      <c r="K91" s="1">
        <v>43677</v>
      </c>
      <c r="L91" s="1" t="s">
        <v>88</v>
      </c>
      <c r="N91">
        <v>1</v>
      </c>
      <c r="R91">
        <v>519</v>
      </c>
    </row>
    <row r="92" spans="1:18" x14ac:dyDescent="0.25">
      <c r="A92" t="s">
        <v>37</v>
      </c>
      <c r="B92" s="1">
        <v>43643</v>
      </c>
      <c r="C92" t="str">
        <f>"14271"</f>
        <v>14271</v>
      </c>
      <c r="D92" t="s">
        <v>645</v>
      </c>
      <c r="E92" t="s">
        <v>194</v>
      </c>
      <c r="F92" t="str">
        <f t="shared" si="1"/>
        <v>41100000</v>
      </c>
      <c r="G92" t="s">
        <v>867</v>
      </c>
      <c r="H92" t="s">
        <v>868</v>
      </c>
      <c r="I92" s="13" t="s">
        <v>195</v>
      </c>
      <c r="J92" t="s">
        <v>103</v>
      </c>
      <c r="K92" s="1">
        <v>43677</v>
      </c>
      <c r="L92" s="1" t="s">
        <v>88</v>
      </c>
      <c r="N92">
        <v>1</v>
      </c>
      <c r="R92">
        <v>193.8</v>
      </c>
    </row>
    <row r="93" spans="1:18" x14ac:dyDescent="0.25">
      <c r="A93" t="s">
        <v>37</v>
      </c>
      <c r="B93" s="1">
        <v>43643</v>
      </c>
      <c r="C93" t="str">
        <f>"14279"</f>
        <v>14279</v>
      </c>
      <c r="D93" t="s">
        <v>646</v>
      </c>
      <c r="E93" t="s">
        <v>194</v>
      </c>
      <c r="F93" t="str">
        <f t="shared" si="1"/>
        <v>41100000</v>
      </c>
      <c r="G93" t="s">
        <v>867</v>
      </c>
      <c r="H93" t="s">
        <v>868</v>
      </c>
      <c r="I93" s="13" t="s">
        <v>196</v>
      </c>
      <c r="J93" t="s">
        <v>103</v>
      </c>
      <c r="K93" s="1">
        <v>43677</v>
      </c>
      <c r="L93" s="1" t="s">
        <v>88</v>
      </c>
      <c r="N93">
        <v>1</v>
      </c>
      <c r="R93">
        <v>387.6</v>
      </c>
    </row>
    <row r="94" spans="1:18" x14ac:dyDescent="0.25">
      <c r="A94" t="s">
        <v>37</v>
      </c>
      <c r="B94" s="1">
        <v>43643</v>
      </c>
      <c r="C94" t="str">
        <f>"14282"</f>
        <v>14282</v>
      </c>
      <c r="D94" t="s">
        <v>647</v>
      </c>
      <c r="E94" t="s">
        <v>191</v>
      </c>
      <c r="F94" t="str">
        <f t="shared" si="1"/>
        <v>41100000</v>
      </c>
      <c r="G94" t="s">
        <v>867</v>
      </c>
      <c r="H94" t="s">
        <v>868</v>
      </c>
      <c r="I94" s="13" t="s">
        <v>197</v>
      </c>
      <c r="J94" t="s">
        <v>103</v>
      </c>
      <c r="K94" s="1">
        <v>43677</v>
      </c>
      <c r="L94" s="1" t="s">
        <v>88</v>
      </c>
      <c r="N94">
        <v>1</v>
      </c>
      <c r="R94">
        <v>171</v>
      </c>
    </row>
    <row r="95" spans="1:18" x14ac:dyDescent="0.25">
      <c r="A95" t="s">
        <v>37</v>
      </c>
      <c r="B95" s="1">
        <v>43622</v>
      </c>
      <c r="C95" t="str">
        <f>"14163"</f>
        <v>14163</v>
      </c>
      <c r="D95" t="s">
        <v>648</v>
      </c>
      <c r="E95" t="s">
        <v>198</v>
      </c>
      <c r="F95" t="str">
        <f t="shared" si="1"/>
        <v>41100000</v>
      </c>
      <c r="G95" t="s">
        <v>867</v>
      </c>
      <c r="H95" t="s">
        <v>868</v>
      </c>
      <c r="I95" s="13" t="s">
        <v>199</v>
      </c>
      <c r="J95" t="s">
        <v>40</v>
      </c>
      <c r="K95" s="1">
        <v>43692</v>
      </c>
      <c r="L95" s="1"/>
      <c r="N95">
        <v>1</v>
      </c>
      <c r="R95">
        <v>64.900000000000006</v>
      </c>
    </row>
    <row r="96" spans="1:18" x14ac:dyDescent="0.25">
      <c r="A96" t="s">
        <v>37</v>
      </c>
      <c r="B96" s="1">
        <v>43622</v>
      </c>
      <c r="C96" t="str">
        <f>"14167"</f>
        <v>14167</v>
      </c>
      <c r="D96" t="s">
        <v>649</v>
      </c>
      <c r="E96" t="s">
        <v>200</v>
      </c>
      <c r="F96" t="str">
        <f t="shared" si="1"/>
        <v>41100000</v>
      </c>
      <c r="G96" t="s">
        <v>867</v>
      </c>
      <c r="H96" t="s">
        <v>868</v>
      </c>
      <c r="I96" s="13" t="s">
        <v>201</v>
      </c>
      <c r="J96" t="s">
        <v>40</v>
      </c>
      <c r="K96" s="1">
        <v>43692</v>
      </c>
      <c r="L96" s="1"/>
      <c r="N96">
        <v>1</v>
      </c>
      <c r="R96">
        <v>183.72</v>
      </c>
    </row>
    <row r="97" spans="1:18" x14ac:dyDescent="0.25">
      <c r="A97" t="s">
        <v>37</v>
      </c>
      <c r="B97" s="1">
        <v>43636</v>
      </c>
      <c r="C97" t="str">
        <f>"14225"</f>
        <v>14225</v>
      </c>
      <c r="D97" t="s">
        <v>650</v>
      </c>
      <c r="E97" t="s">
        <v>202</v>
      </c>
      <c r="F97" t="str">
        <f t="shared" si="1"/>
        <v>41100000</v>
      </c>
      <c r="G97" t="s">
        <v>867</v>
      </c>
      <c r="H97" t="s">
        <v>868</v>
      </c>
      <c r="I97" s="13" t="s">
        <v>203</v>
      </c>
      <c r="J97" t="s">
        <v>40</v>
      </c>
      <c r="K97" s="1">
        <v>43692</v>
      </c>
      <c r="L97" s="1"/>
      <c r="N97">
        <v>1</v>
      </c>
      <c r="R97">
        <v>155.52000000000001</v>
      </c>
    </row>
    <row r="98" spans="1:18" x14ac:dyDescent="0.25">
      <c r="A98" t="s">
        <v>37</v>
      </c>
      <c r="B98" s="1">
        <v>43636</v>
      </c>
      <c r="C98" t="str">
        <f>"14228"</f>
        <v>14228</v>
      </c>
      <c r="D98" t="s">
        <v>651</v>
      </c>
      <c r="E98" t="s">
        <v>204</v>
      </c>
      <c r="F98" t="str">
        <f t="shared" si="1"/>
        <v>41100000</v>
      </c>
      <c r="G98" t="s">
        <v>867</v>
      </c>
      <c r="H98" t="s">
        <v>868</v>
      </c>
      <c r="I98" s="13" t="s">
        <v>205</v>
      </c>
      <c r="J98" t="s">
        <v>40</v>
      </c>
      <c r="K98" s="1">
        <v>43692</v>
      </c>
      <c r="L98" s="1"/>
      <c r="N98">
        <v>1</v>
      </c>
      <c r="R98">
        <v>35.36</v>
      </c>
    </row>
    <row r="99" spans="1:18" x14ac:dyDescent="0.25">
      <c r="A99" t="s">
        <v>37</v>
      </c>
      <c r="B99" s="1">
        <v>43636</v>
      </c>
      <c r="C99" t="str">
        <f>"14384"</f>
        <v>14384</v>
      </c>
      <c r="D99" t="s">
        <v>652</v>
      </c>
      <c r="E99" t="str">
        <f>"302900"</f>
        <v>302900</v>
      </c>
      <c r="F99" t="str">
        <f t="shared" si="1"/>
        <v>41100000</v>
      </c>
      <c r="G99" t="s">
        <v>867</v>
      </c>
      <c r="H99" t="s">
        <v>868</v>
      </c>
      <c r="I99" s="13" t="s">
        <v>206</v>
      </c>
      <c r="J99" t="s">
        <v>40</v>
      </c>
      <c r="K99" s="1">
        <v>43692</v>
      </c>
      <c r="L99" s="1"/>
      <c r="N99">
        <v>1</v>
      </c>
      <c r="R99">
        <v>456</v>
      </c>
    </row>
    <row r="100" spans="1:18" x14ac:dyDescent="0.25">
      <c r="A100" t="s">
        <v>37</v>
      </c>
      <c r="B100" s="1">
        <v>43622</v>
      </c>
      <c r="C100" t="str">
        <f>"14154"</f>
        <v>14154</v>
      </c>
      <c r="D100" t="s">
        <v>653</v>
      </c>
      <c r="E100" t="str">
        <f>"61950012"</f>
        <v>61950012</v>
      </c>
      <c r="F100" t="str">
        <f t="shared" si="1"/>
        <v>41100000</v>
      </c>
      <c r="G100" t="s">
        <v>867</v>
      </c>
      <c r="H100" t="s">
        <v>868</v>
      </c>
      <c r="I100" s="13" t="s">
        <v>207</v>
      </c>
      <c r="J100" t="s">
        <v>40</v>
      </c>
      <c r="K100" s="1">
        <v>43677</v>
      </c>
      <c r="L100" s="1" t="s">
        <v>88</v>
      </c>
      <c r="N100">
        <v>1</v>
      </c>
      <c r="R100">
        <v>110.4</v>
      </c>
    </row>
    <row r="101" spans="1:18" x14ac:dyDescent="0.25">
      <c r="A101" t="s">
        <v>37</v>
      </c>
      <c r="B101" s="1">
        <v>43622</v>
      </c>
      <c r="C101" t="str">
        <f>"14155"</f>
        <v>14155</v>
      </c>
      <c r="D101" t="s">
        <v>654</v>
      </c>
      <c r="E101" t="str">
        <f>"61950054"</f>
        <v>61950054</v>
      </c>
      <c r="F101" t="str">
        <f t="shared" si="1"/>
        <v>41100000</v>
      </c>
      <c r="G101" t="s">
        <v>867</v>
      </c>
      <c r="H101" t="s">
        <v>868</v>
      </c>
      <c r="I101" s="13" t="s">
        <v>208</v>
      </c>
      <c r="J101" t="s">
        <v>40</v>
      </c>
      <c r="K101" s="1">
        <v>43677</v>
      </c>
      <c r="L101" s="1" t="s">
        <v>88</v>
      </c>
      <c r="N101">
        <v>1</v>
      </c>
      <c r="R101">
        <v>38.4</v>
      </c>
    </row>
    <row r="102" spans="1:18" x14ac:dyDescent="0.25">
      <c r="A102" t="s">
        <v>37</v>
      </c>
      <c r="B102" s="1">
        <v>43622</v>
      </c>
      <c r="C102" t="str">
        <f>"14159"</f>
        <v>14159</v>
      </c>
      <c r="D102" t="s">
        <v>655</v>
      </c>
      <c r="E102" t="str">
        <f>"61948160"</f>
        <v>61948160</v>
      </c>
      <c r="F102" t="str">
        <f t="shared" si="1"/>
        <v>41100000</v>
      </c>
      <c r="G102" t="s">
        <v>867</v>
      </c>
      <c r="H102" t="s">
        <v>868</v>
      </c>
      <c r="I102" s="13" t="s">
        <v>209</v>
      </c>
      <c r="J102" t="s">
        <v>40</v>
      </c>
      <c r="K102" s="1">
        <v>43677</v>
      </c>
      <c r="L102" s="1" t="s">
        <v>88</v>
      </c>
      <c r="N102">
        <v>1</v>
      </c>
      <c r="R102">
        <v>666</v>
      </c>
    </row>
    <row r="103" spans="1:18" x14ac:dyDescent="0.25">
      <c r="A103" t="s">
        <v>37</v>
      </c>
      <c r="B103" s="1">
        <v>43629</v>
      </c>
      <c r="C103" t="str">
        <f>"14198"</f>
        <v>14198</v>
      </c>
      <c r="D103" t="s">
        <v>656</v>
      </c>
      <c r="E103" t="str">
        <f>"61950101"</f>
        <v>61950101</v>
      </c>
      <c r="F103" t="str">
        <f t="shared" si="1"/>
        <v>41100000</v>
      </c>
      <c r="G103" t="s">
        <v>867</v>
      </c>
      <c r="H103" t="s">
        <v>868</v>
      </c>
      <c r="I103" s="13" t="s">
        <v>210</v>
      </c>
      <c r="J103" t="s">
        <v>40</v>
      </c>
      <c r="K103" s="1">
        <v>43677</v>
      </c>
      <c r="L103" s="1" t="s">
        <v>88</v>
      </c>
      <c r="N103">
        <v>1</v>
      </c>
      <c r="R103">
        <v>240.29</v>
      </c>
    </row>
    <row r="104" spans="1:18" x14ac:dyDescent="0.25">
      <c r="A104" t="s">
        <v>37</v>
      </c>
      <c r="B104" s="1">
        <v>43629</v>
      </c>
      <c r="C104" t="str">
        <f>"14201"</f>
        <v>14201</v>
      </c>
      <c r="D104" t="s">
        <v>657</v>
      </c>
      <c r="E104" t="str">
        <f>"61950012"</f>
        <v>61950012</v>
      </c>
      <c r="F104" t="str">
        <f t="shared" si="1"/>
        <v>41100000</v>
      </c>
      <c r="G104" t="s">
        <v>867</v>
      </c>
      <c r="H104" t="s">
        <v>868</v>
      </c>
      <c r="I104" s="13" t="s">
        <v>211</v>
      </c>
      <c r="J104" t="s">
        <v>40</v>
      </c>
      <c r="K104" s="1">
        <v>43677</v>
      </c>
      <c r="L104" s="1" t="s">
        <v>88</v>
      </c>
      <c r="N104">
        <v>1</v>
      </c>
      <c r="R104">
        <v>3698.4</v>
      </c>
    </row>
    <row r="105" spans="1:18" x14ac:dyDescent="0.25">
      <c r="A105" t="s">
        <v>37</v>
      </c>
      <c r="B105" s="1">
        <v>43636</v>
      </c>
      <c r="C105" t="str">
        <f>"14221"</f>
        <v>14221</v>
      </c>
      <c r="D105" t="s">
        <v>658</v>
      </c>
      <c r="E105" t="str">
        <f>"61950101"</f>
        <v>61950101</v>
      </c>
      <c r="F105" t="str">
        <f t="shared" si="1"/>
        <v>41100000</v>
      </c>
      <c r="G105" t="s">
        <v>867</v>
      </c>
      <c r="H105" t="s">
        <v>868</v>
      </c>
      <c r="I105" s="13" t="s">
        <v>212</v>
      </c>
      <c r="J105" t="s">
        <v>40</v>
      </c>
      <c r="K105" s="1">
        <v>43708</v>
      </c>
      <c r="L105" s="1" t="s">
        <v>88</v>
      </c>
      <c r="N105">
        <v>1</v>
      </c>
      <c r="R105">
        <v>254.23</v>
      </c>
    </row>
    <row r="106" spans="1:18" x14ac:dyDescent="0.25">
      <c r="A106" t="s">
        <v>37</v>
      </c>
      <c r="B106" s="1">
        <v>43636</v>
      </c>
      <c r="C106" t="str">
        <f>"14222"</f>
        <v>14222</v>
      </c>
      <c r="D106" t="s">
        <v>659</v>
      </c>
      <c r="E106" t="str">
        <f>"61950100"</f>
        <v>61950100</v>
      </c>
      <c r="F106" t="str">
        <f t="shared" si="1"/>
        <v>41100000</v>
      </c>
      <c r="G106" t="s">
        <v>867</v>
      </c>
      <c r="H106" t="s">
        <v>868</v>
      </c>
      <c r="I106" s="13" t="s">
        <v>213</v>
      </c>
      <c r="J106" t="s">
        <v>40</v>
      </c>
      <c r="K106" s="1">
        <v>43708</v>
      </c>
      <c r="L106" s="1" t="s">
        <v>88</v>
      </c>
      <c r="N106">
        <v>1</v>
      </c>
      <c r="R106">
        <v>618.24</v>
      </c>
    </row>
    <row r="107" spans="1:18" x14ac:dyDescent="0.25">
      <c r="A107" t="s">
        <v>37</v>
      </c>
      <c r="B107" s="1">
        <v>43643</v>
      </c>
      <c r="C107" t="str">
        <f>"14261"</f>
        <v>14261</v>
      </c>
      <c r="D107" t="s">
        <v>660</v>
      </c>
      <c r="E107" t="str">
        <f>"61968135"</f>
        <v>61968135</v>
      </c>
      <c r="F107" t="str">
        <f t="shared" si="1"/>
        <v>41100000</v>
      </c>
      <c r="G107" t="s">
        <v>867</v>
      </c>
      <c r="H107" t="s">
        <v>868</v>
      </c>
      <c r="I107" s="13" t="s">
        <v>214</v>
      </c>
      <c r="J107" t="s">
        <v>40</v>
      </c>
      <c r="K107" s="1">
        <v>43708</v>
      </c>
      <c r="L107" s="1" t="s">
        <v>88</v>
      </c>
      <c r="N107">
        <v>1</v>
      </c>
      <c r="R107">
        <v>184.49</v>
      </c>
    </row>
    <row r="108" spans="1:18" x14ac:dyDescent="0.25">
      <c r="A108" t="s">
        <v>37</v>
      </c>
      <c r="B108" s="1">
        <v>43622</v>
      </c>
      <c r="C108" t="str">
        <f>"14156"</f>
        <v>14156</v>
      </c>
      <c r="D108" t="s">
        <v>661</v>
      </c>
      <c r="E108" t="str">
        <f>"21950097"</f>
        <v>21950097</v>
      </c>
      <c r="F108" t="str">
        <f t="shared" si="1"/>
        <v>41100000</v>
      </c>
      <c r="G108" t="s">
        <v>867</v>
      </c>
      <c r="H108" t="s">
        <v>868</v>
      </c>
      <c r="I108" s="13" t="s">
        <v>215</v>
      </c>
      <c r="J108" t="s">
        <v>40</v>
      </c>
      <c r="K108" s="1">
        <v>43677</v>
      </c>
      <c r="L108" s="1" t="s">
        <v>88</v>
      </c>
      <c r="N108">
        <v>1</v>
      </c>
      <c r="R108">
        <v>295.2</v>
      </c>
    </row>
    <row r="109" spans="1:18" x14ac:dyDescent="0.25">
      <c r="A109" t="s">
        <v>37</v>
      </c>
      <c r="B109" s="1">
        <v>43622</v>
      </c>
      <c r="C109" t="str">
        <f>"14165"</f>
        <v>14165</v>
      </c>
      <c r="D109" t="s">
        <v>662</v>
      </c>
      <c r="E109" t="s">
        <v>216</v>
      </c>
      <c r="F109" t="str">
        <f t="shared" si="1"/>
        <v>41100000</v>
      </c>
      <c r="G109" t="s">
        <v>867</v>
      </c>
      <c r="H109" t="s">
        <v>868</v>
      </c>
      <c r="I109" s="13" t="s">
        <v>217</v>
      </c>
      <c r="J109" t="s">
        <v>40</v>
      </c>
      <c r="K109" s="1">
        <v>43677</v>
      </c>
      <c r="L109" s="1" t="s">
        <v>88</v>
      </c>
      <c r="N109">
        <v>1</v>
      </c>
      <c r="R109">
        <v>128.4</v>
      </c>
    </row>
    <row r="110" spans="1:18" x14ac:dyDescent="0.25">
      <c r="A110" t="s">
        <v>37</v>
      </c>
      <c r="B110" s="1">
        <v>43622</v>
      </c>
      <c r="C110" t="str">
        <f>"14166"</f>
        <v>14166</v>
      </c>
      <c r="D110" t="s">
        <v>663</v>
      </c>
      <c r="E110" t="s">
        <v>216</v>
      </c>
      <c r="F110" t="str">
        <f t="shared" si="1"/>
        <v>41100000</v>
      </c>
      <c r="G110" t="s">
        <v>867</v>
      </c>
      <c r="H110" t="s">
        <v>868</v>
      </c>
      <c r="I110" s="13" t="s">
        <v>218</v>
      </c>
      <c r="J110" t="s">
        <v>40</v>
      </c>
      <c r="K110" s="1">
        <v>43677</v>
      </c>
      <c r="L110" s="1" t="s">
        <v>88</v>
      </c>
      <c r="N110">
        <v>1</v>
      </c>
      <c r="R110">
        <v>47.52</v>
      </c>
    </row>
    <row r="111" spans="1:18" x14ac:dyDescent="0.25">
      <c r="A111" t="s">
        <v>37</v>
      </c>
      <c r="B111" s="1">
        <v>43636</v>
      </c>
      <c r="C111" t="str">
        <f>"14367"</f>
        <v>14367</v>
      </c>
      <c r="D111" t="s">
        <v>664</v>
      </c>
      <c r="E111" t="str">
        <f>"71940042"</f>
        <v>71940042</v>
      </c>
      <c r="F111" t="str">
        <f t="shared" si="1"/>
        <v>41100000</v>
      </c>
      <c r="G111" t="s">
        <v>867</v>
      </c>
      <c r="H111" t="s">
        <v>868</v>
      </c>
      <c r="I111" s="13" t="s">
        <v>219</v>
      </c>
      <c r="J111" t="s">
        <v>40</v>
      </c>
      <c r="K111" s="1">
        <v>43677</v>
      </c>
      <c r="L111" s="1" t="s">
        <v>220</v>
      </c>
      <c r="N111">
        <v>1</v>
      </c>
      <c r="R111">
        <v>3639.6</v>
      </c>
    </row>
    <row r="112" spans="1:18" x14ac:dyDescent="0.25">
      <c r="A112" t="s">
        <v>37</v>
      </c>
      <c r="B112" s="1">
        <v>43643</v>
      </c>
      <c r="C112" t="str">
        <f>"14418"</f>
        <v>14418</v>
      </c>
      <c r="D112" t="s">
        <v>665</v>
      </c>
      <c r="E112" t="str">
        <f>"71940042"</f>
        <v>71940042</v>
      </c>
      <c r="F112" t="str">
        <f t="shared" si="1"/>
        <v>41100000</v>
      </c>
      <c r="G112" t="s">
        <v>867</v>
      </c>
      <c r="H112" t="s">
        <v>868</v>
      </c>
      <c r="I112" s="13" t="s">
        <v>221</v>
      </c>
      <c r="J112" t="s">
        <v>40</v>
      </c>
      <c r="K112" s="1">
        <v>43677</v>
      </c>
      <c r="L112" s="1"/>
      <c r="N112">
        <v>1</v>
      </c>
      <c r="R112">
        <v>3105.12</v>
      </c>
    </row>
    <row r="113" spans="1:18" x14ac:dyDescent="0.25">
      <c r="A113" t="s">
        <v>37</v>
      </c>
      <c r="B113" s="1">
        <v>43622</v>
      </c>
      <c r="C113" t="str">
        <f>"13675"</f>
        <v>13675</v>
      </c>
      <c r="D113" t="s">
        <v>666</v>
      </c>
      <c r="E113" t="s">
        <v>222</v>
      </c>
      <c r="F113" t="str">
        <f t="shared" si="1"/>
        <v>41100000</v>
      </c>
      <c r="G113" t="s">
        <v>867</v>
      </c>
      <c r="H113" t="s">
        <v>868</v>
      </c>
      <c r="I113" s="13" t="s">
        <v>223</v>
      </c>
      <c r="J113" t="s">
        <v>40</v>
      </c>
      <c r="K113" s="1">
        <v>43677</v>
      </c>
      <c r="L113" s="1" t="s">
        <v>224</v>
      </c>
      <c r="N113">
        <v>1</v>
      </c>
      <c r="Q113" s="1">
        <v>43629</v>
      </c>
      <c r="R113">
        <v>325.04000000000002</v>
      </c>
    </row>
    <row r="114" spans="1:18" x14ac:dyDescent="0.25">
      <c r="A114" t="s">
        <v>37</v>
      </c>
      <c r="B114" s="1">
        <v>43622</v>
      </c>
      <c r="C114" t="str">
        <f>"13676"</f>
        <v>13676</v>
      </c>
      <c r="D114" t="s">
        <v>667</v>
      </c>
      <c r="E114" t="s">
        <v>225</v>
      </c>
      <c r="F114" t="str">
        <f t="shared" si="1"/>
        <v>41100000</v>
      </c>
      <c r="G114" t="s">
        <v>867</v>
      </c>
      <c r="H114" t="s">
        <v>868</v>
      </c>
      <c r="I114" s="13" t="s">
        <v>226</v>
      </c>
      <c r="J114" t="s">
        <v>40</v>
      </c>
      <c r="K114" s="1">
        <v>43677</v>
      </c>
      <c r="L114" s="1" t="s">
        <v>224</v>
      </c>
      <c r="N114">
        <v>1</v>
      </c>
      <c r="Q114" s="1">
        <v>43629</v>
      </c>
      <c r="R114">
        <v>519.89</v>
      </c>
    </row>
    <row r="115" spans="1:18" x14ac:dyDescent="0.25">
      <c r="A115" t="s">
        <v>37</v>
      </c>
      <c r="B115" s="1">
        <v>43629</v>
      </c>
      <c r="C115" t="str">
        <f>"13915"</f>
        <v>13915</v>
      </c>
      <c r="D115" t="s">
        <v>668</v>
      </c>
      <c r="E115" t="s">
        <v>227</v>
      </c>
      <c r="F115" t="str">
        <f t="shared" si="1"/>
        <v>41100000</v>
      </c>
      <c r="G115" t="s">
        <v>867</v>
      </c>
      <c r="H115" t="s">
        <v>868</v>
      </c>
      <c r="I115" s="13" t="s">
        <v>228</v>
      </c>
      <c r="J115" t="s">
        <v>40</v>
      </c>
      <c r="K115" s="1">
        <v>43677</v>
      </c>
      <c r="L115" s="1" t="s">
        <v>229</v>
      </c>
      <c r="N115">
        <v>1</v>
      </c>
      <c r="Q115" s="1">
        <v>43640</v>
      </c>
      <c r="R115">
        <v>322.8</v>
      </c>
    </row>
    <row r="116" spans="1:18" x14ac:dyDescent="0.25">
      <c r="A116" t="s">
        <v>37</v>
      </c>
      <c r="B116" s="1">
        <v>43629</v>
      </c>
      <c r="C116" t="str">
        <f>"13916"</f>
        <v>13916</v>
      </c>
      <c r="D116" t="s">
        <v>669</v>
      </c>
      <c r="E116" t="s">
        <v>230</v>
      </c>
      <c r="F116" t="str">
        <f t="shared" si="1"/>
        <v>41100000</v>
      </c>
      <c r="G116" t="s">
        <v>867</v>
      </c>
      <c r="H116" t="s">
        <v>868</v>
      </c>
      <c r="I116" s="13" t="s">
        <v>231</v>
      </c>
      <c r="J116" t="s">
        <v>40</v>
      </c>
      <c r="K116" s="1">
        <v>43677</v>
      </c>
      <c r="L116" s="1" t="s">
        <v>229</v>
      </c>
      <c r="N116">
        <v>1</v>
      </c>
      <c r="Q116" s="1">
        <v>43640</v>
      </c>
      <c r="R116">
        <v>122.14</v>
      </c>
    </row>
    <row r="117" spans="1:18" x14ac:dyDescent="0.25">
      <c r="A117" t="s">
        <v>37</v>
      </c>
      <c r="B117" s="1">
        <v>43629</v>
      </c>
      <c r="C117" t="str">
        <f>"13917"</f>
        <v>13917</v>
      </c>
      <c r="D117" t="s">
        <v>670</v>
      </c>
      <c r="E117" t="s">
        <v>232</v>
      </c>
      <c r="F117" t="str">
        <f t="shared" si="1"/>
        <v>41100000</v>
      </c>
      <c r="G117" t="s">
        <v>867</v>
      </c>
      <c r="H117" t="s">
        <v>868</v>
      </c>
      <c r="I117" s="13" t="s">
        <v>233</v>
      </c>
      <c r="J117" t="s">
        <v>40</v>
      </c>
      <c r="K117" s="1">
        <v>43677</v>
      </c>
      <c r="L117" s="1" t="s">
        <v>229</v>
      </c>
      <c r="N117">
        <v>1</v>
      </c>
      <c r="Q117" s="1">
        <v>43640</v>
      </c>
      <c r="R117">
        <v>62.59</v>
      </c>
    </row>
    <row r="118" spans="1:18" x14ac:dyDescent="0.25">
      <c r="A118" t="s">
        <v>37</v>
      </c>
      <c r="B118" s="1">
        <v>43629</v>
      </c>
      <c r="C118" t="str">
        <f>"13918"</f>
        <v>13918</v>
      </c>
      <c r="D118" t="s">
        <v>671</v>
      </c>
      <c r="E118" t="s">
        <v>227</v>
      </c>
      <c r="F118" t="str">
        <f t="shared" si="1"/>
        <v>41100000</v>
      </c>
      <c r="G118" t="s">
        <v>867</v>
      </c>
      <c r="H118" t="s">
        <v>868</v>
      </c>
      <c r="I118" s="13" t="s">
        <v>234</v>
      </c>
      <c r="J118" t="s">
        <v>40</v>
      </c>
      <c r="K118" s="1">
        <v>43677</v>
      </c>
      <c r="L118" s="1" t="s">
        <v>235</v>
      </c>
      <c r="N118">
        <v>1</v>
      </c>
      <c r="Q118" s="1">
        <v>43636</v>
      </c>
      <c r="R118">
        <v>712.08</v>
      </c>
    </row>
    <row r="119" spans="1:18" x14ac:dyDescent="0.25">
      <c r="A119" t="s">
        <v>37</v>
      </c>
      <c r="B119" s="1">
        <v>43636</v>
      </c>
      <c r="C119" t="str">
        <f>"13919"</f>
        <v>13919</v>
      </c>
      <c r="D119" t="s">
        <v>672</v>
      </c>
      <c r="E119" t="s">
        <v>236</v>
      </c>
      <c r="F119" t="str">
        <f t="shared" si="1"/>
        <v>41100000</v>
      </c>
      <c r="G119" t="s">
        <v>867</v>
      </c>
      <c r="H119" t="s">
        <v>868</v>
      </c>
      <c r="I119" s="13" t="s">
        <v>237</v>
      </c>
      <c r="J119" t="s">
        <v>40</v>
      </c>
      <c r="K119" s="1">
        <v>43677</v>
      </c>
      <c r="L119" s="1" t="s">
        <v>238</v>
      </c>
      <c r="N119">
        <v>1</v>
      </c>
      <c r="Q119" s="1">
        <v>43642</v>
      </c>
      <c r="R119">
        <v>402</v>
      </c>
    </row>
    <row r="120" spans="1:18" x14ac:dyDescent="0.25">
      <c r="A120" t="s">
        <v>37</v>
      </c>
      <c r="B120" s="1">
        <v>43636</v>
      </c>
      <c r="C120" t="str">
        <f>"13920"</f>
        <v>13920</v>
      </c>
      <c r="D120" t="s">
        <v>673</v>
      </c>
      <c r="E120" t="s">
        <v>239</v>
      </c>
      <c r="F120" t="str">
        <f t="shared" si="1"/>
        <v>41100000</v>
      </c>
      <c r="G120" t="s">
        <v>867</v>
      </c>
      <c r="H120" t="s">
        <v>868</v>
      </c>
      <c r="I120" s="13" t="s">
        <v>240</v>
      </c>
      <c r="J120" t="s">
        <v>40</v>
      </c>
      <c r="K120" s="1">
        <v>43677</v>
      </c>
      <c r="L120" s="1" t="s">
        <v>238</v>
      </c>
      <c r="N120">
        <v>1</v>
      </c>
      <c r="Q120" s="1">
        <v>43642</v>
      </c>
      <c r="R120">
        <v>295.87</v>
      </c>
    </row>
    <row r="121" spans="1:18" x14ac:dyDescent="0.25">
      <c r="A121" t="s">
        <v>37</v>
      </c>
      <c r="B121" s="1">
        <v>43636</v>
      </c>
      <c r="C121" t="str">
        <f>"13921"</f>
        <v>13921</v>
      </c>
      <c r="D121" t="s">
        <v>674</v>
      </c>
      <c r="E121" t="s">
        <v>241</v>
      </c>
      <c r="F121" t="str">
        <f t="shared" si="1"/>
        <v>41100000</v>
      </c>
      <c r="G121" t="s">
        <v>867</v>
      </c>
      <c r="H121" t="s">
        <v>868</v>
      </c>
      <c r="I121" s="13" t="s">
        <v>242</v>
      </c>
      <c r="J121" t="s">
        <v>40</v>
      </c>
      <c r="K121" s="1">
        <v>43677</v>
      </c>
      <c r="L121" s="1" t="s">
        <v>238</v>
      </c>
      <c r="N121">
        <v>1</v>
      </c>
      <c r="Q121" s="1">
        <v>43642</v>
      </c>
      <c r="R121">
        <v>1404.6</v>
      </c>
    </row>
    <row r="122" spans="1:18" x14ac:dyDescent="0.25">
      <c r="A122" t="s">
        <v>37</v>
      </c>
      <c r="B122" s="1">
        <v>43636</v>
      </c>
      <c r="C122" t="str">
        <f>"13922"</f>
        <v>13922</v>
      </c>
      <c r="D122" t="s">
        <v>675</v>
      </c>
      <c r="E122" t="s">
        <v>243</v>
      </c>
      <c r="F122" t="str">
        <f t="shared" si="1"/>
        <v>41100000</v>
      </c>
      <c r="G122" t="s">
        <v>867</v>
      </c>
      <c r="H122" t="s">
        <v>868</v>
      </c>
      <c r="I122" s="13" t="s">
        <v>244</v>
      </c>
      <c r="J122" t="s">
        <v>40</v>
      </c>
      <c r="K122" s="1">
        <v>43677</v>
      </c>
      <c r="L122" s="1" t="s">
        <v>245</v>
      </c>
      <c r="N122">
        <v>1</v>
      </c>
      <c r="Q122" s="1">
        <v>43644</v>
      </c>
      <c r="R122">
        <v>6634.88</v>
      </c>
    </row>
    <row r="123" spans="1:18" x14ac:dyDescent="0.25">
      <c r="A123" t="s">
        <v>37</v>
      </c>
      <c r="B123" s="1">
        <v>43636</v>
      </c>
      <c r="C123" t="str">
        <f>"13923"</f>
        <v>13923</v>
      </c>
      <c r="D123" t="s">
        <v>676</v>
      </c>
      <c r="E123" t="s">
        <v>246</v>
      </c>
      <c r="F123" t="str">
        <f t="shared" si="1"/>
        <v>41100000</v>
      </c>
      <c r="G123" t="s">
        <v>867</v>
      </c>
      <c r="H123" t="s">
        <v>868</v>
      </c>
      <c r="I123" s="13" t="s">
        <v>247</v>
      </c>
      <c r="J123" t="s">
        <v>40</v>
      </c>
      <c r="K123" s="1">
        <v>43677</v>
      </c>
      <c r="L123" s="1" t="s">
        <v>248</v>
      </c>
      <c r="N123">
        <v>1</v>
      </c>
      <c r="Q123" s="1">
        <v>43651</v>
      </c>
      <c r="R123">
        <v>77.8</v>
      </c>
    </row>
    <row r="124" spans="1:18" x14ac:dyDescent="0.25">
      <c r="A124" t="s">
        <v>37</v>
      </c>
      <c r="B124" s="1">
        <v>43643</v>
      </c>
      <c r="C124" t="str">
        <f>"14417"</f>
        <v>14417</v>
      </c>
      <c r="D124" t="s">
        <v>677</v>
      </c>
      <c r="E124" t="s">
        <v>246</v>
      </c>
      <c r="F124" t="str">
        <f t="shared" si="1"/>
        <v>41100000</v>
      </c>
      <c r="G124" t="s">
        <v>867</v>
      </c>
      <c r="H124" t="s">
        <v>868</v>
      </c>
      <c r="I124" s="13" t="s">
        <v>249</v>
      </c>
      <c r="J124" t="s">
        <v>40</v>
      </c>
      <c r="K124" s="1">
        <v>43677</v>
      </c>
      <c r="L124" s="1" t="s">
        <v>248</v>
      </c>
      <c r="N124">
        <v>1</v>
      </c>
      <c r="Q124" s="1">
        <v>43651</v>
      </c>
      <c r="R124">
        <v>743.4</v>
      </c>
    </row>
    <row r="125" spans="1:18" x14ac:dyDescent="0.25">
      <c r="A125" t="s">
        <v>37</v>
      </c>
      <c r="B125" s="1">
        <v>43643</v>
      </c>
      <c r="C125" t="str">
        <f>"14421"</f>
        <v>14421</v>
      </c>
      <c r="D125" t="s">
        <v>678</v>
      </c>
      <c r="E125" t="s">
        <v>250</v>
      </c>
      <c r="F125" t="str">
        <f t="shared" si="1"/>
        <v>41100000</v>
      </c>
      <c r="G125" t="s">
        <v>867</v>
      </c>
      <c r="H125" t="s">
        <v>868</v>
      </c>
      <c r="I125" s="13" t="s">
        <v>251</v>
      </c>
      <c r="J125" t="s">
        <v>40</v>
      </c>
      <c r="K125" s="1">
        <v>43677</v>
      </c>
      <c r="L125" s="1" t="s">
        <v>248</v>
      </c>
      <c r="N125">
        <v>1</v>
      </c>
      <c r="Q125" s="1">
        <v>43651</v>
      </c>
      <c r="R125">
        <v>763.2</v>
      </c>
    </row>
    <row r="126" spans="1:18" x14ac:dyDescent="0.25">
      <c r="A126" t="s">
        <v>37</v>
      </c>
      <c r="B126" s="1">
        <v>43622</v>
      </c>
      <c r="C126" t="str">
        <f>"14158"</f>
        <v>14158</v>
      </c>
      <c r="D126" t="s">
        <v>679</v>
      </c>
      <c r="E126" t="str">
        <f>"1143782"</f>
        <v>1143782</v>
      </c>
      <c r="F126" t="str">
        <f t="shared" si="1"/>
        <v>41100000</v>
      </c>
      <c r="G126" t="s">
        <v>867</v>
      </c>
      <c r="H126" t="s">
        <v>868</v>
      </c>
      <c r="I126" s="13" t="s">
        <v>252</v>
      </c>
      <c r="J126" t="s">
        <v>40</v>
      </c>
      <c r="K126" s="1">
        <v>43677</v>
      </c>
      <c r="L126" s="1"/>
      <c r="N126">
        <v>1</v>
      </c>
      <c r="R126">
        <v>161.19999999999999</v>
      </c>
    </row>
    <row r="127" spans="1:18" x14ac:dyDescent="0.25">
      <c r="A127" t="s">
        <v>37</v>
      </c>
      <c r="B127" s="1">
        <v>43636</v>
      </c>
      <c r="C127" t="str">
        <f>"14238"</f>
        <v>14238</v>
      </c>
      <c r="D127" t="s">
        <v>680</v>
      </c>
      <c r="E127" t="str">
        <f>"1143782"</f>
        <v>1143782</v>
      </c>
      <c r="F127" t="str">
        <f t="shared" si="1"/>
        <v>41100000</v>
      </c>
      <c r="G127" t="s">
        <v>867</v>
      </c>
      <c r="H127" t="s">
        <v>868</v>
      </c>
      <c r="I127" s="13" t="s">
        <v>253</v>
      </c>
      <c r="J127" t="s">
        <v>40</v>
      </c>
      <c r="K127" s="1">
        <v>43708</v>
      </c>
      <c r="L127" s="1"/>
      <c r="N127">
        <v>1</v>
      </c>
      <c r="R127">
        <v>310.3</v>
      </c>
    </row>
    <row r="128" spans="1:18" x14ac:dyDescent="0.25">
      <c r="A128" t="s">
        <v>37</v>
      </c>
      <c r="B128" s="1">
        <v>43644</v>
      </c>
      <c r="C128" t="str">
        <f>"14288"</f>
        <v>14288</v>
      </c>
      <c r="D128" t="s">
        <v>681</v>
      </c>
      <c r="E128" t="str">
        <f>"1144534"</f>
        <v>1144534</v>
      </c>
      <c r="F128" t="str">
        <f t="shared" si="1"/>
        <v>41100000</v>
      </c>
      <c r="G128" t="s">
        <v>867</v>
      </c>
      <c r="H128" t="s">
        <v>868</v>
      </c>
      <c r="I128" s="13" t="s">
        <v>254</v>
      </c>
      <c r="J128" t="s">
        <v>40</v>
      </c>
      <c r="K128" s="1">
        <v>43708</v>
      </c>
      <c r="L128" s="1"/>
      <c r="N128">
        <v>1</v>
      </c>
      <c r="R128">
        <v>743.98</v>
      </c>
    </row>
    <row r="129" spans="1:18" x14ac:dyDescent="0.25">
      <c r="A129" t="s">
        <v>37</v>
      </c>
      <c r="B129" s="1">
        <v>43636</v>
      </c>
      <c r="C129" t="str">
        <f>"14377"</f>
        <v>14377</v>
      </c>
      <c r="D129" t="s">
        <v>682</v>
      </c>
      <c r="E129" t="s">
        <v>255</v>
      </c>
      <c r="F129" t="str">
        <f t="shared" si="1"/>
        <v>41100000</v>
      </c>
      <c r="G129" t="s">
        <v>867</v>
      </c>
      <c r="H129" t="s">
        <v>868</v>
      </c>
      <c r="I129" s="13" t="s">
        <v>256</v>
      </c>
      <c r="J129" t="s">
        <v>40</v>
      </c>
      <c r="K129" s="1">
        <v>43691</v>
      </c>
      <c r="L129" s="1"/>
      <c r="N129">
        <v>1</v>
      </c>
      <c r="R129">
        <v>96</v>
      </c>
    </row>
    <row r="130" spans="1:18" x14ac:dyDescent="0.25">
      <c r="A130" t="s">
        <v>37</v>
      </c>
      <c r="B130" s="1">
        <v>43629</v>
      </c>
      <c r="C130" t="str">
        <f>"14333"</f>
        <v>14333</v>
      </c>
      <c r="D130" t="s">
        <v>683</v>
      </c>
      <c r="E130" t="s">
        <v>257</v>
      </c>
      <c r="F130" t="str">
        <f t="shared" ref="F130:F160" si="2">"41100000"</f>
        <v>41100000</v>
      </c>
      <c r="G130" t="s">
        <v>867</v>
      </c>
      <c r="H130" t="s">
        <v>868</v>
      </c>
      <c r="I130" s="13" t="s">
        <v>258</v>
      </c>
      <c r="J130" t="s">
        <v>103</v>
      </c>
      <c r="K130" s="1">
        <v>43692</v>
      </c>
      <c r="L130" s="1" t="s">
        <v>220</v>
      </c>
      <c r="N130">
        <v>1</v>
      </c>
      <c r="R130">
        <v>61.2</v>
      </c>
    </row>
    <row r="131" spans="1:18" x14ac:dyDescent="0.25">
      <c r="A131" t="s">
        <v>37</v>
      </c>
      <c r="B131" s="1">
        <v>43629</v>
      </c>
      <c r="C131" t="str">
        <f>"14206"</f>
        <v>14206</v>
      </c>
      <c r="D131" t="s">
        <v>684</v>
      </c>
      <c r="E131" t="s">
        <v>259</v>
      </c>
      <c r="F131" t="str">
        <f t="shared" si="2"/>
        <v>41100000</v>
      </c>
      <c r="G131" t="s">
        <v>867</v>
      </c>
      <c r="H131" t="s">
        <v>868</v>
      </c>
      <c r="I131" s="13" t="s">
        <v>260</v>
      </c>
      <c r="J131" t="s">
        <v>103</v>
      </c>
      <c r="K131" s="1">
        <v>43677</v>
      </c>
      <c r="L131" s="1" t="s">
        <v>86</v>
      </c>
      <c r="N131">
        <v>1</v>
      </c>
      <c r="R131">
        <v>136.80000000000001</v>
      </c>
    </row>
    <row r="132" spans="1:18" x14ac:dyDescent="0.25">
      <c r="A132" t="s">
        <v>37</v>
      </c>
      <c r="B132" s="1">
        <v>43636</v>
      </c>
      <c r="C132" t="str">
        <f>"14219"</f>
        <v>14219</v>
      </c>
      <c r="D132" t="s">
        <v>685</v>
      </c>
      <c r="E132" t="s">
        <v>261</v>
      </c>
      <c r="F132" t="str">
        <f t="shared" si="2"/>
        <v>41100000</v>
      </c>
      <c r="G132" t="s">
        <v>867</v>
      </c>
      <c r="H132" t="s">
        <v>868</v>
      </c>
      <c r="I132" s="13" t="s">
        <v>262</v>
      </c>
      <c r="J132" t="s">
        <v>103</v>
      </c>
      <c r="K132" s="1">
        <v>43677</v>
      </c>
      <c r="L132" s="1" t="s">
        <v>86</v>
      </c>
      <c r="N132">
        <v>1</v>
      </c>
      <c r="R132">
        <v>183.6</v>
      </c>
    </row>
    <row r="133" spans="1:18" x14ac:dyDescent="0.25">
      <c r="A133" t="s">
        <v>37</v>
      </c>
      <c r="B133" s="1">
        <v>43622</v>
      </c>
      <c r="C133" t="str">
        <f>"14157"</f>
        <v>14157</v>
      </c>
      <c r="D133" t="s">
        <v>686</v>
      </c>
      <c r="E133" t="s">
        <v>264</v>
      </c>
      <c r="F133" t="str">
        <f t="shared" si="2"/>
        <v>41100000</v>
      </c>
      <c r="G133" t="s">
        <v>867</v>
      </c>
      <c r="H133" t="s">
        <v>868</v>
      </c>
      <c r="I133" s="13" t="s">
        <v>265</v>
      </c>
      <c r="J133" t="s">
        <v>40</v>
      </c>
      <c r="K133" s="1">
        <v>43677</v>
      </c>
      <c r="L133" s="1" t="s">
        <v>86</v>
      </c>
      <c r="N133">
        <v>1</v>
      </c>
      <c r="Q133" s="1">
        <v>43662</v>
      </c>
      <c r="R133">
        <v>100.8</v>
      </c>
    </row>
    <row r="134" spans="1:18" x14ac:dyDescent="0.25">
      <c r="A134" t="s">
        <v>37</v>
      </c>
      <c r="B134" s="1">
        <v>43636</v>
      </c>
      <c r="C134" t="str">
        <f>"14247"</f>
        <v>14247</v>
      </c>
      <c r="D134" t="s">
        <v>687</v>
      </c>
      <c r="E134" t="str">
        <f>"4600047619"</f>
        <v>4600047619</v>
      </c>
      <c r="F134" t="str">
        <f t="shared" si="2"/>
        <v>41100000</v>
      </c>
      <c r="G134" t="s">
        <v>867</v>
      </c>
      <c r="H134" t="s">
        <v>868</v>
      </c>
      <c r="I134" s="13" t="s">
        <v>266</v>
      </c>
      <c r="J134" t="s">
        <v>40</v>
      </c>
      <c r="K134" s="1">
        <v>43677</v>
      </c>
      <c r="L134" s="1"/>
      <c r="N134">
        <v>1</v>
      </c>
      <c r="R134">
        <v>192.96</v>
      </c>
    </row>
    <row r="135" spans="1:18" x14ac:dyDescent="0.25">
      <c r="A135" t="s">
        <v>37</v>
      </c>
      <c r="B135" s="1">
        <v>43622</v>
      </c>
      <c r="C135" t="str">
        <f>"14309"</f>
        <v>14309</v>
      </c>
      <c r="D135" t="s">
        <v>688</v>
      </c>
      <c r="E135" t="str">
        <f>"013218"</f>
        <v>013218</v>
      </c>
      <c r="F135" t="str">
        <f t="shared" si="2"/>
        <v>41100000</v>
      </c>
      <c r="G135" t="s">
        <v>867</v>
      </c>
      <c r="H135" t="s">
        <v>868</v>
      </c>
      <c r="I135" s="13" t="s">
        <v>267</v>
      </c>
      <c r="J135" t="s">
        <v>40</v>
      </c>
      <c r="K135" s="1">
        <v>43677</v>
      </c>
      <c r="L135" s="1"/>
      <c r="N135">
        <v>1</v>
      </c>
      <c r="R135">
        <v>1578.46</v>
      </c>
    </row>
    <row r="136" spans="1:18" x14ac:dyDescent="0.25">
      <c r="A136" t="s">
        <v>37</v>
      </c>
      <c r="B136" s="1">
        <v>43636</v>
      </c>
      <c r="C136" t="str">
        <f>"14383"</f>
        <v>14383</v>
      </c>
      <c r="D136" t="s">
        <v>689</v>
      </c>
      <c r="E136" t="s">
        <v>268</v>
      </c>
      <c r="F136" t="str">
        <f t="shared" si="2"/>
        <v>41100000</v>
      </c>
      <c r="G136" t="s">
        <v>867</v>
      </c>
      <c r="H136" t="s">
        <v>868</v>
      </c>
      <c r="I136" s="13" t="s">
        <v>269</v>
      </c>
      <c r="J136" t="s">
        <v>40</v>
      </c>
      <c r="K136" s="1">
        <v>43677</v>
      </c>
      <c r="L136" s="1"/>
      <c r="N136">
        <v>1</v>
      </c>
      <c r="R136">
        <v>2799.36</v>
      </c>
    </row>
    <row r="137" spans="1:18" x14ac:dyDescent="0.25">
      <c r="A137" t="s">
        <v>37</v>
      </c>
      <c r="B137" s="1">
        <v>43644</v>
      </c>
      <c r="C137" t="str">
        <f>"14296"</f>
        <v>14296</v>
      </c>
      <c r="D137" t="s">
        <v>690</v>
      </c>
      <c r="E137" t="s">
        <v>270</v>
      </c>
      <c r="F137" t="str">
        <f t="shared" si="2"/>
        <v>41100000</v>
      </c>
      <c r="G137" t="s">
        <v>867</v>
      </c>
      <c r="H137" t="s">
        <v>868</v>
      </c>
      <c r="I137" s="13" t="s">
        <v>271</v>
      </c>
      <c r="J137" t="s">
        <v>40</v>
      </c>
      <c r="K137" s="1">
        <v>43689</v>
      </c>
      <c r="L137" s="1"/>
      <c r="N137">
        <v>1</v>
      </c>
      <c r="R137">
        <v>517.82000000000005</v>
      </c>
    </row>
    <row r="138" spans="1:18" x14ac:dyDescent="0.25">
      <c r="A138" t="s">
        <v>37</v>
      </c>
      <c r="B138" s="1">
        <v>43629</v>
      </c>
      <c r="C138" t="str">
        <f>"14211"</f>
        <v>14211</v>
      </c>
      <c r="D138" t="s">
        <v>691</v>
      </c>
      <c r="E138" t="s">
        <v>272</v>
      </c>
      <c r="F138" t="str">
        <f t="shared" si="2"/>
        <v>41100000</v>
      </c>
      <c r="G138" t="s">
        <v>867</v>
      </c>
      <c r="H138" t="s">
        <v>868</v>
      </c>
      <c r="I138" s="13" t="s">
        <v>273</v>
      </c>
      <c r="J138" t="s">
        <v>40</v>
      </c>
      <c r="K138" s="1">
        <v>43692</v>
      </c>
      <c r="L138" s="1"/>
      <c r="N138">
        <v>1</v>
      </c>
      <c r="R138">
        <v>94.87</v>
      </c>
    </row>
    <row r="139" spans="1:18" x14ac:dyDescent="0.25">
      <c r="A139" t="s">
        <v>37</v>
      </c>
      <c r="B139" s="1">
        <v>43629</v>
      </c>
      <c r="C139" t="str">
        <f>"14215"</f>
        <v>14215</v>
      </c>
      <c r="D139" t="s">
        <v>692</v>
      </c>
      <c r="E139" t="s">
        <v>272</v>
      </c>
      <c r="F139" t="str">
        <f t="shared" si="2"/>
        <v>41100000</v>
      </c>
      <c r="G139" t="s">
        <v>867</v>
      </c>
      <c r="H139" t="s">
        <v>868</v>
      </c>
      <c r="I139" s="13" t="s">
        <v>274</v>
      </c>
      <c r="J139" t="s">
        <v>40</v>
      </c>
      <c r="K139" s="1">
        <v>43692</v>
      </c>
      <c r="L139" s="1"/>
      <c r="N139">
        <v>1</v>
      </c>
      <c r="R139">
        <v>399.12</v>
      </c>
    </row>
    <row r="140" spans="1:18" x14ac:dyDescent="0.25">
      <c r="A140" t="s">
        <v>37</v>
      </c>
      <c r="B140" s="1">
        <v>43636</v>
      </c>
      <c r="C140" t="str">
        <f>"14241"</f>
        <v>14241</v>
      </c>
      <c r="D140" t="s">
        <v>693</v>
      </c>
      <c r="E140" t="str">
        <f>"581109"</f>
        <v>581109</v>
      </c>
      <c r="F140" t="str">
        <f t="shared" si="2"/>
        <v>41100000</v>
      </c>
      <c r="G140" t="s">
        <v>867</v>
      </c>
      <c r="H140" t="s">
        <v>868</v>
      </c>
      <c r="I140" s="13" t="s">
        <v>275</v>
      </c>
      <c r="J140" t="s">
        <v>40</v>
      </c>
      <c r="K140" s="1">
        <v>43692</v>
      </c>
      <c r="L140" s="1"/>
      <c r="N140">
        <v>1</v>
      </c>
      <c r="R140">
        <v>483.6</v>
      </c>
    </row>
    <row r="141" spans="1:18" x14ac:dyDescent="0.25">
      <c r="A141" t="s">
        <v>37</v>
      </c>
      <c r="B141" s="1">
        <v>43636</v>
      </c>
      <c r="C141" t="str">
        <f>"14381"</f>
        <v>14381</v>
      </c>
      <c r="D141" t="s">
        <v>694</v>
      </c>
      <c r="E141" t="s">
        <v>276</v>
      </c>
      <c r="F141" t="str">
        <f t="shared" si="2"/>
        <v>41100000</v>
      </c>
      <c r="G141" t="s">
        <v>867</v>
      </c>
      <c r="H141" t="s">
        <v>868</v>
      </c>
      <c r="I141" s="13" t="s">
        <v>277</v>
      </c>
      <c r="J141" t="s">
        <v>40</v>
      </c>
      <c r="K141" s="1">
        <v>43677</v>
      </c>
      <c r="L141" s="1"/>
      <c r="N141">
        <v>1</v>
      </c>
      <c r="R141">
        <v>366.66</v>
      </c>
    </row>
    <row r="142" spans="1:18" x14ac:dyDescent="0.25">
      <c r="A142" t="s">
        <v>37</v>
      </c>
      <c r="B142" s="1">
        <v>43629</v>
      </c>
      <c r="C142" t="str">
        <f>"14334"</f>
        <v>14334</v>
      </c>
      <c r="D142" t="s">
        <v>695</v>
      </c>
      <c r="E142" t="s">
        <v>278</v>
      </c>
      <c r="F142" t="str">
        <f t="shared" si="2"/>
        <v>41100000</v>
      </c>
      <c r="G142" t="s">
        <v>867</v>
      </c>
      <c r="H142" t="s">
        <v>868</v>
      </c>
      <c r="I142" s="13" t="s">
        <v>279</v>
      </c>
      <c r="J142" t="s">
        <v>40</v>
      </c>
      <c r="K142" s="1">
        <v>43690</v>
      </c>
      <c r="L142" s="1"/>
      <c r="N142">
        <v>1</v>
      </c>
      <c r="R142">
        <v>336</v>
      </c>
    </row>
    <row r="143" spans="1:18" x14ac:dyDescent="0.25">
      <c r="A143" t="s">
        <v>37</v>
      </c>
      <c r="B143" s="1">
        <v>43629</v>
      </c>
      <c r="C143" t="str">
        <f>"14342"</f>
        <v>14342</v>
      </c>
      <c r="D143" t="s">
        <v>696</v>
      </c>
      <c r="E143" t="s">
        <v>280</v>
      </c>
      <c r="F143" t="str">
        <f t="shared" si="2"/>
        <v>41100000</v>
      </c>
      <c r="G143" t="s">
        <v>867</v>
      </c>
      <c r="H143" t="s">
        <v>868</v>
      </c>
      <c r="I143" s="13" t="s">
        <v>281</v>
      </c>
      <c r="J143" t="s">
        <v>40</v>
      </c>
      <c r="K143" s="1">
        <v>43690</v>
      </c>
      <c r="L143" s="1"/>
      <c r="N143">
        <v>1</v>
      </c>
      <c r="R143">
        <v>98.04</v>
      </c>
    </row>
    <row r="144" spans="1:18" x14ac:dyDescent="0.25">
      <c r="A144" t="s">
        <v>37</v>
      </c>
      <c r="B144" s="1">
        <v>43636</v>
      </c>
      <c r="C144" t="str">
        <f>"14375"</f>
        <v>14375</v>
      </c>
      <c r="D144" t="s">
        <v>697</v>
      </c>
      <c r="E144" t="s">
        <v>282</v>
      </c>
      <c r="F144" t="str">
        <f t="shared" si="2"/>
        <v>41100000</v>
      </c>
      <c r="G144" t="s">
        <v>867</v>
      </c>
      <c r="H144" t="s">
        <v>868</v>
      </c>
      <c r="I144" s="13" t="s">
        <v>283</v>
      </c>
      <c r="J144" t="s">
        <v>40</v>
      </c>
      <c r="K144" s="1">
        <v>43677</v>
      </c>
      <c r="L144" s="1"/>
      <c r="N144">
        <v>1</v>
      </c>
      <c r="R144">
        <v>789</v>
      </c>
    </row>
    <row r="145" spans="1:18" x14ac:dyDescent="0.25">
      <c r="A145" t="s">
        <v>37</v>
      </c>
      <c r="B145" s="1">
        <v>43629</v>
      </c>
      <c r="C145" t="str">
        <f>"14325"</f>
        <v>14325</v>
      </c>
      <c r="D145" t="s">
        <v>698</v>
      </c>
      <c r="E145" t="str">
        <f>"4502572975"</f>
        <v>4502572975</v>
      </c>
      <c r="F145" t="str">
        <f t="shared" si="2"/>
        <v>41100000</v>
      </c>
      <c r="G145" t="s">
        <v>867</v>
      </c>
      <c r="H145" t="s">
        <v>868</v>
      </c>
      <c r="I145" s="13" t="s">
        <v>284</v>
      </c>
      <c r="J145" t="s">
        <v>40</v>
      </c>
      <c r="K145" s="1">
        <v>43690</v>
      </c>
      <c r="L145" s="1" t="s">
        <v>88</v>
      </c>
      <c r="N145">
        <v>1</v>
      </c>
      <c r="R145">
        <v>432</v>
      </c>
    </row>
    <row r="146" spans="1:18" x14ac:dyDescent="0.25">
      <c r="A146" t="s">
        <v>37</v>
      </c>
      <c r="B146" s="1">
        <v>43636</v>
      </c>
      <c r="C146" t="str">
        <f>"14380"</f>
        <v>14380</v>
      </c>
      <c r="D146" t="s">
        <v>699</v>
      </c>
      <c r="E146" t="str">
        <f>"4502580002"</f>
        <v>4502580002</v>
      </c>
      <c r="F146" t="str">
        <f t="shared" si="2"/>
        <v>41100000</v>
      </c>
      <c r="G146" t="s">
        <v>867</v>
      </c>
      <c r="H146" t="s">
        <v>868</v>
      </c>
      <c r="I146" s="13" t="s">
        <v>285</v>
      </c>
      <c r="J146" t="s">
        <v>40</v>
      </c>
      <c r="K146" s="1">
        <v>43697</v>
      </c>
      <c r="L146" s="1" t="s">
        <v>88</v>
      </c>
      <c r="N146">
        <v>1</v>
      </c>
      <c r="R146">
        <v>182.4</v>
      </c>
    </row>
    <row r="147" spans="1:18" x14ac:dyDescent="0.25">
      <c r="A147" t="s">
        <v>37</v>
      </c>
      <c r="B147" s="1">
        <v>43644</v>
      </c>
      <c r="C147" t="str">
        <f>"14297"</f>
        <v>14297</v>
      </c>
      <c r="D147" t="s">
        <v>700</v>
      </c>
      <c r="E147" t="s">
        <v>286</v>
      </c>
      <c r="F147" t="str">
        <f t="shared" si="2"/>
        <v>41100000</v>
      </c>
      <c r="G147" t="s">
        <v>867</v>
      </c>
      <c r="H147" t="s">
        <v>868</v>
      </c>
      <c r="I147" s="13" t="s">
        <v>287</v>
      </c>
      <c r="J147" t="s">
        <v>40</v>
      </c>
      <c r="K147" s="1">
        <v>43677</v>
      </c>
      <c r="L147" s="1"/>
      <c r="N147">
        <v>1</v>
      </c>
      <c r="R147">
        <v>459.41</v>
      </c>
    </row>
    <row r="148" spans="1:18" x14ac:dyDescent="0.25">
      <c r="A148" t="s">
        <v>37</v>
      </c>
      <c r="B148" s="1">
        <v>43629</v>
      </c>
      <c r="C148" t="str">
        <f>"14186"</f>
        <v>14186</v>
      </c>
      <c r="D148" t="s">
        <v>701</v>
      </c>
      <c r="E148" t="str">
        <f>"2015120"</f>
        <v>2015120</v>
      </c>
      <c r="F148" t="str">
        <f t="shared" si="2"/>
        <v>41100000</v>
      </c>
      <c r="G148" t="s">
        <v>867</v>
      </c>
      <c r="H148" t="s">
        <v>868</v>
      </c>
      <c r="I148" s="13" t="s">
        <v>288</v>
      </c>
      <c r="J148" t="s">
        <v>40</v>
      </c>
      <c r="K148" s="1">
        <v>43690</v>
      </c>
      <c r="L148" s="1" t="s">
        <v>88</v>
      </c>
      <c r="N148">
        <v>1</v>
      </c>
      <c r="R148">
        <v>1008</v>
      </c>
    </row>
    <row r="149" spans="1:18" x14ac:dyDescent="0.25">
      <c r="A149" t="s">
        <v>37</v>
      </c>
      <c r="B149" s="1">
        <v>43636</v>
      </c>
      <c r="C149" t="str">
        <f>"14243"</f>
        <v>14243</v>
      </c>
      <c r="D149" t="s">
        <v>702</v>
      </c>
      <c r="E149" t="str">
        <f>"2015120"</f>
        <v>2015120</v>
      </c>
      <c r="F149" t="str">
        <f t="shared" si="2"/>
        <v>41100000</v>
      </c>
      <c r="G149" t="s">
        <v>867</v>
      </c>
      <c r="H149" t="s">
        <v>868</v>
      </c>
      <c r="I149" s="13" t="s">
        <v>289</v>
      </c>
      <c r="J149" t="s">
        <v>40</v>
      </c>
      <c r="K149" s="1">
        <v>43697</v>
      </c>
      <c r="L149" s="1" t="s">
        <v>88</v>
      </c>
      <c r="N149">
        <v>1</v>
      </c>
      <c r="R149">
        <v>238.5</v>
      </c>
    </row>
    <row r="150" spans="1:18" x14ac:dyDescent="0.25">
      <c r="A150" t="s">
        <v>37</v>
      </c>
      <c r="B150" s="1">
        <v>43644</v>
      </c>
      <c r="C150" t="str">
        <f>"14298"</f>
        <v>14298</v>
      </c>
      <c r="D150" t="s">
        <v>703</v>
      </c>
      <c r="E150" t="s">
        <v>290</v>
      </c>
      <c r="F150" t="str">
        <f t="shared" si="2"/>
        <v>41100000</v>
      </c>
      <c r="G150" t="s">
        <v>867</v>
      </c>
      <c r="H150" t="s">
        <v>868</v>
      </c>
      <c r="I150" s="13" t="s">
        <v>291</v>
      </c>
      <c r="J150" t="s">
        <v>40</v>
      </c>
      <c r="K150" s="1">
        <v>43692</v>
      </c>
      <c r="L150" s="1"/>
      <c r="N150">
        <v>1</v>
      </c>
      <c r="R150">
        <v>315.64999999999998</v>
      </c>
    </row>
    <row r="151" spans="1:18" x14ac:dyDescent="0.25">
      <c r="A151" t="s">
        <v>37</v>
      </c>
      <c r="B151" s="1">
        <v>43622</v>
      </c>
      <c r="C151" t="str">
        <f>"14148"</f>
        <v>14148</v>
      </c>
      <c r="D151" t="s">
        <v>704</v>
      </c>
      <c r="E151" t="s">
        <v>292</v>
      </c>
      <c r="F151" t="str">
        <f t="shared" si="2"/>
        <v>41100000</v>
      </c>
      <c r="G151" t="s">
        <v>867</v>
      </c>
      <c r="H151" t="s">
        <v>868</v>
      </c>
      <c r="I151" s="13" t="s">
        <v>293</v>
      </c>
      <c r="J151" t="s">
        <v>40</v>
      </c>
      <c r="K151" s="1">
        <v>43677</v>
      </c>
      <c r="L151" s="1"/>
      <c r="N151">
        <v>1</v>
      </c>
      <c r="R151">
        <v>174.19</v>
      </c>
    </row>
    <row r="152" spans="1:18" x14ac:dyDescent="0.25">
      <c r="A152" t="s">
        <v>37</v>
      </c>
      <c r="B152" s="1">
        <v>43629</v>
      </c>
      <c r="C152" t="str">
        <f>"14179"</f>
        <v>14179</v>
      </c>
      <c r="D152" t="s">
        <v>705</v>
      </c>
      <c r="E152" t="s">
        <v>294</v>
      </c>
      <c r="F152" t="str">
        <f t="shared" si="2"/>
        <v>41100000</v>
      </c>
      <c r="G152" t="s">
        <v>867</v>
      </c>
      <c r="H152" t="s">
        <v>868</v>
      </c>
      <c r="I152" s="13" t="s">
        <v>295</v>
      </c>
      <c r="J152" t="s">
        <v>40</v>
      </c>
      <c r="K152" s="1">
        <v>43677</v>
      </c>
      <c r="L152" s="1"/>
      <c r="N152">
        <v>1</v>
      </c>
      <c r="R152">
        <v>234.92</v>
      </c>
    </row>
    <row r="153" spans="1:18" x14ac:dyDescent="0.25">
      <c r="A153" t="s">
        <v>37</v>
      </c>
      <c r="B153" s="1">
        <v>43629</v>
      </c>
      <c r="C153" t="str">
        <f>"14194"</f>
        <v>14194</v>
      </c>
      <c r="D153" t="s">
        <v>706</v>
      </c>
      <c r="E153" t="s">
        <v>294</v>
      </c>
      <c r="F153" t="str">
        <f t="shared" si="2"/>
        <v>41100000</v>
      </c>
      <c r="G153" t="s">
        <v>867</v>
      </c>
      <c r="H153" t="s">
        <v>868</v>
      </c>
      <c r="I153" s="13" t="s">
        <v>296</v>
      </c>
      <c r="J153" t="s">
        <v>40</v>
      </c>
      <c r="K153" s="1">
        <v>43677</v>
      </c>
      <c r="L153" s="1"/>
      <c r="N153">
        <v>1</v>
      </c>
      <c r="R153">
        <v>190.5</v>
      </c>
    </row>
    <row r="154" spans="1:18" x14ac:dyDescent="0.25">
      <c r="A154" t="s">
        <v>37</v>
      </c>
      <c r="B154" s="1">
        <v>43629</v>
      </c>
      <c r="C154" t="str">
        <f>"14209"</f>
        <v>14209</v>
      </c>
      <c r="D154" t="s">
        <v>707</v>
      </c>
      <c r="E154" t="s">
        <v>297</v>
      </c>
      <c r="F154" t="str">
        <f t="shared" si="2"/>
        <v>41100000</v>
      </c>
      <c r="G154" t="s">
        <v>867</v>
      </c>
      <c r="H154" t="s">
        <v>868</v>
      </c>
      <c r="I154" s="13" t="s">
        <v>298</v>
      </c>
      <c r="J154" t="s">
        <v>40</v>
      </c>
      <c r="K154" s="1">
        <v>43677</v>
      </c>
      <c r="L154" s="1"/>
      <c r="N154">
        <v>1</v>
      </c>
      <c r="R154">
        <v>86.4</v>
      </c>
    </row>
    <row r="155" spans="1:18" x14ac:dyDescent="0.25">
      <c r="A155" t="s">
        <v>37</v>
      </c>
      <c r="B155" s="1">
        <v>43636</v>
      </c>
      <c r="C155" t="str">
        <f>"14218"</f>
        <v>14218</v>
      </c>
      <c r="D155" t="s">
        <v>708</v>
      </c>
      <c r="E155" t="s">
        <v>299</v>
      </c>
      <c r="F155" t="str">
        <f t="shared" si="2"/>
        <v>41100000</v>
      </c>
      <c r="G155" t="s">
        <v>867</v>
      </c>
      <c r="H155" t="s">
        <v>868</v>
      </c>
      <c r="I155" s="13" t="s">
        <v>300</v>
      </c>
      <c r="J155" t="s">
        <v>40</v>
      </c>
      <c r="K155" s="1">
        <v>43677</v>
      </c>
      <c r="L155" s="1"/>
      <c r="N155">
        <v>1</v>
      </c>
      <c r="R155">
        <v>174.19</v>
      </c>
    </row>
    <row r="156" spans="1:18" x14ac:dyDescent="0.25">
      <c r="A156" t="s">
        <v>37</v>
      </c>
      <c r="B156" s="1">
        <v>43643</v>
      </c>
      <c r="C156" t="str">
        <f>"14262"</f>
        <v>14262</v>
      </c>
      <c r="D156" t="s">
        <v>709</v>
      </c>
      <c r="E156" t="s">
        <v>301</v>
      </c>
      <c r="F156" t="str">
        <f t="shared" si="2"/>
        <v>41100000</v>
      </c>
      <c r="G156" t="s">
        <v>867</v>
      </c>
      <c r="H156" t="s">
        <v>868</v>
      </c>
      <c r="I156" s="13" t="s">
        <v>302</v>
      </c>
      <c r="J156" t="s">
        <v>40</v>
      </c>
      <c r="K156" s="1">
        <v>43677</v>
      </c>
      <c r="L156" s="1"/>
      <c r="N156">
        <v>1</v>
      </c>
      <c r="R156">
        <v>492.44</v>
      </c>
    </row>
    <row r="157" spans="1:18" x14ac:dyDescent="0.25">
      <c r="A157" t="s">
        <v>37</v>
      </c>
      <c r="B157" s="1">
        <v>43643</v>
      </c>
      <c r="C157" t="str">
        <f>"14273"</f>
        <v>14273</v>
      </c>
      <c r="D157" t="s">
        <v>710</v>
      </c>
      <c r="E157" t="s">
        <v>303</v>
      </c>
      <c r="F157" t="str">
        <f t="shared" si="2"/>
        <v>41100000</v>
      </c>
      <c r="G157" t="s">
        <v>867</v>
      </c>
      <c r="H157" t="s">
        <v>868</v>
      </c>
      <c r="I157" s="13" t="s">
        <v>304</v>
      </c>
      <c r="J157" t="s">
        <v>40</v>
      </c>
      <c r="K157" s="1">
        <v>43677</v>
      </c>
      <c r="L157" s="1"/>
      <c r="N157">
        <v>1</v>
      </c>
      <c r="R157">
        <v>19.149999999999999</v>
      </c>
    </row>
    <row r="158" spans="1:18" x14ac:dyDescent="0.25">
      <c r="A158" t="s">
        <v>37</v>
      </c>
      <c r="B158" s="1">
        <v>43622</v>
      </c>
      <c r="C158" t="str">
        <f>"14097"</f>
        <v>14097</v>
      </c>
      <c r="D158" t="s">
        <v>711</v>
      </c>
      <c r="E158" t="s">
        <v>305</v>
      </c>
      <c r="F158" t="str">
        <f t="shared" si="2"/>
        <v>41100000</v>
      </c>
      <c r="G158" t="s">
        <v>867</v>
      </c>
      <c r="H158" t="s">
        <v>868</v>
      </c>
      <c r="I158" s="13" t="s">
        <v>306</v>
      </c>
      <c r="J158" t="s">
        <v>40</v>
      </c>
      <c r="K158" s="1">
        <v>43683</v>
      </c>
      <c r="L158" s="1"/>
      <c r="N158">
        <v>1</v>
      </c>
      <c r="R158">
        <v>3064.9</v>
      </c>
    </row>
    <row r="159" spans="1:18" x14ac:dyDescent="0.25">
      <c r="A159" t="s">
        <v>37</v>
      </c>
      <c r="B159" s="1">
        <v>43622</v>
      </c>
      <c r="C159" t="str">
        <f>"14098"</f>
        <v>14098</v>
      </c>
      <c r="D159" t="s">
        <v>712</v>
      </c>
      <c r="E159" t="s">
        <v>307</v>
      </c>
      <c r="F159" t="str">
        <f t="shared" si="2"/>
        <v>41100000</v>
      </c>
      <c r="G159" t="s">
        <v>867</v>
      </c>
      <c r="H159" t="s">
        <v>868</v>
      </c>
      <c r="I159" s="13" t="s">
        <v>308</v>
      </c>
      <c r="J159" t="s">
        <v>40</v>
      </c>
      <c r="K159" s="1">
        <v>43683</v>
      </c>
      <c r="L159" s="1"/>
      <c r="N159">
        <v>1</v>
      </c>
      <c r="R159">
        <v>80.06</v>
      </c>
    </row>
    <row r="160" spans="1:18" x14ac:dyDescent="0.25">
      <c r="A160" t="s">
        <v>37</v>
      </c>
      <c r="B160" s="1">
        <v>43629</v>
      </c>
      <c r="C160" t="str">
        <f>"14099"</f>
        <v>14099</v>
      </c>
      <c r="D160" t="s">
        <v>713</v>
      </c>
      <c r="E160" t="s">
        <v>309</v>
      </c>
      <c r="F160" t="str">
        <f t="shared" si="2"/>
        <v>41100000</v>
      </c>
      <c r="G160" t="s">
        <v>867</v>
      </c>
      <c r="H160" t="s">
        <v>868</v>
      </c>
      <c r="I160" s="13" t="s">
        <v>310</v>
      </c>
      <c r="J160" t="s">
        <v>40</v>
      </c>
      <c r="K160" s="1">
        <v>43690</v>
      </c>
      <c r="L160" s="1"/>
      <c r="N160">
        <v>1</v>
      </c>
      <c r="R160">
        <v>123.77</v>
      </c>
    </row>
    <row r="161" spans="1:19" x14ac:dyDescent="0.25">
      <c r="A161" t="s">
        <v>37</v>
      </c>
      <c r="B161" s="1">
        <v>43629</v>
      </c>
      <c r="C161" t="str">
        <f>"14100"</f>
        <v>14100</v>
      </c>
      <c r="D161" t="s">
        <v>714</v>
      </c>
      <c r="E161" t="s">
        <v>311</v>
      </c>
      <c r="F161" t="str">
        <f t="shared" ref="F161:F224" si="3">"41100000"</f>
        <v>41100000</v>
      </c>
      <c r="G161" t="s">
        <v>867</v>
      </c>
      <c r="H161" t="s">
        <v>868</v>
      </c>
      <c r="I161" s="13" t="s">
        <v>312</v>
      </c>
      <c r="J161" t="s">
        <v>40</v>
      </c>
      <c r="K161" s="1">
        <v>43690</v>
      </c>
      <c r="L161" s="1"/>
      <c r="N161">
        <v>1</v>
      </c>
      <c r="R161">
        <v>1071.6500000000001</v>
      </c>
    </row>
    <row r="162" spans="1:19" x14ac:dyDescent="0.25">
      <c r="A162" t="s">
        <v>37</v>
      </c>
      <c r="B162" s="1">
        <v>43636</v>
      </c>
      <c r="C162" t="str">
        <f>"14101"</f>
        <v>14101</v>
      </c>
      <c r="D162" t="s">
        <v>715</v>
      </c>
      <c r="E162" t="s">
        <v>313</v>
      </c>
      <c r="F162" t="str">
        <f t="shared" si="3"/>
        <v>41100000</v>
      </c>
      <c r="G162" t="s">
        <v>867</v>
      </c>
      <c r="H162" t="s">
        <v>868</v>
      </c>
      <c r="I162" s="13" t="s">
        <v>314</v>
      </c>
      <c r="J162" t="s">
        <v>40</v>
      </c>
      <c r="K162" s="1">
        <v>43697</v>
      </c>
      <c r="L162" s="1"/>
      <c r="N162">
        <v>1</v>
      </c>
      <c r="R162">
        <v>71.41</v>
      </c>
    </row>
    <row r="163" spans="1:19" x14ac:dyDescent="0.25">
      <c r="A163" t="s">
        <v>37</v>
      </c>
      <c r="B163" s="1">
        <v>43636</v>
      </c>
      <c r="C163" t="str">
        <f>"14102"</f>
        <v>14102</v>
      </c>
      <c r="D163" t="s">
        <v>716</v>
      </c>
      <c r="E163" t="s">
        <v>315</v>
      </c>
      <c r="F163" t="str">
        <f t="shared" si="3"/>
        <v>41100000</v>
      </c>
      <c r="G163" t="s">
        <v>867</v>
      </c>
      <c r="H163" t="s">
        <v>868</v>
      </c>
      <c r="I163" s="13" t="s">
        <v>316</v>
      </c>
      <c r="J163" t="s">
        <v>40</v>
      </c>
      <c r="K163" s="1">
        <v>43697</v>
      </c>
      <c r="L163" s="1"/>
      <c r="N163">
        <v>1</v>
      </c>
      <c r="R163">
        <v>2913.74</v>
      </c>
    </row>
    <row r="164" spans="1:19" x14ac:dyDescent="0.25">
      <c r="A164" t="s">
        <v>37</v>
      </c>
      <c r="B164" s="1">
        <v>43636</v>
      </c>
      <c r="C164" t="str">
        <f>"14103"</f>
        <v>14103</v>
      </c>
      <c r="D164" t="s">
        <v>717</v>
      </c>
      <c r="E164" t="s">
        <v>317</v>
      </c>
      <c r="F164" t="str">
        <f t="shared" si="3"/>
        <v>41100000</v>
      </c>
      <c r="G164" t="s">
        <v>867</v>
      </c>
      <c r="H164" t="s">
        <v>868</v>
      </c>
      <c r="I164" s="13" t="s">
        <v>318</v>
      </c>
      <c r="J164" t="s">
        <v>40</v>
      </c>
      <c r="K164" s="1">
        <v>43697</v>
      </c>
      <c r="L164" s="1"/>
      <c r="N164">
        <v>1</v>
      </c>
      <c r="R164">
        <v>45.48</v>
      </c>
    </row>
    <row r="165" spans="1:19" x14ac:dyDescent="0.25">
      <c r="A165" t="s">
        <v>37</v>
      </c>
      <c r="B165" s="1">
        <v>43636</v>
      </c>
      <c r="C165" t="str">
        <f>"14104"</f>
        <v>14104</v>
      </c>
      <c r="D165" t="s">
        <v>718</v>
      </c>
      <c r="E165" t="s">
        <v>319</v>
      </c>
      <c r="F165" t="str">
        <f t="shared" si="3"/>
        <v>41100000</v>
      </c>
      <c r="G165" t="s">
        <v>867</v>
      </c>
      <c r="H165" t="s">
        <v>868</v>
      </c>
      <c r="I165" s="13" t="s">
        <v>320</v>
      </c>
      <c r="J165" t="s">
        <v>40</v>
      </c>
      <c r="K165" s="1">
        <v>43697</v>
      </c>
      <c r="L165" s="1"/>
      <c r="N165">
        <v>1</v>
      </c>
      <c r="R165">
        <v>87.02</v>
      </c>
    </row>
    <row r="166" spans="1:19" x14ac:dyDescent="0.25">
      <c r="A166" t="s">
        <v>37</v>
      </c>
      <c r="B166" s="1">
        <v>43643</v>
      </c>
      <c r="C166" t="str">
        <f>"14105"</f>
        <v>14105</v>
      </c>
      <c r="D166" t="s">
        <v>719</v>
      </c>
      <c r="E166" t="s">
        <v>321</v>
      </c>
      <c r="F166" t="str">
        <f t="shared" si="3"/>
        <v>41100000</v>
      </c>
      <c r="G166" t="s">
        <v>867</v>
      </c>
      <c r="H166" t="s">
        <v>868</v>
      </c>
      <c r="I166" s="13" t="s">
        <v>322</v>
      </c>
      <c r="J166" t="s">
        <v>40</v>
      </c>
      <c r="K166" s="1">
        <v>43704</v>
      </c>
      <c r="L166" s="1"/>
      <c r="N166">
        <v>1</v>
      </c>
      <c r="R166">
        <v>443.52</v>
      </c>
    </row>
    <row r="167" spans="1:19" x14ac:dyDescent="0.25">
      <c r="A167" t="s">
        <v>37</v>
      </c>
      <c r="B167" s="1">
        <v>43623</v>
      </c>
      <c r="C167" t="str">
        <f>"14175"</f>
        <v>14175</v>
      </c>
      <c r="D167" t="s">
        <v>720</v>
      </c>
      <c r="E167" t="s">
        <v>323</v>
      </c>
      <c r="F167" t="str">
        <f t="shared" si="3"/>
        <v>41100000</v>
      </c>
      <c r="G167" t="s">
        <v>867</v>
      </c>
      <c r="H167" t="s">
        <v>868</v>
      </c>
      <c r="I167" s="13" t="s">
        <v>324</v>
      </c>
      <c r="J167" t="s">
        <v>40</v>
      </c>
      <c r="K167" s="1">
        <v>43691</v>
      </c>
      <c r="L167" s="1" t="s">
        <v>84</v>
      </c>
      <c r="N167">
        <v>1</v>
      </c>
      <c r="S167">
        <v>302.39999999999998</v>
      </c>
    </row>
    <row r="168" spans="1:19" x14ac:dyDescent="0.25">
      <c r="A168" t="s">
        <v>37</v>
      </c>
      <c r="B168" s="1">
        <v>43628</v>
      </c>
      <c r="C168" t="str">
        <f>"14176"</f>
        <v>14176</v>
      </c>
      <c r="D168" t="s">
        <v>721</v>
      </c>
      <c r="E168" t="s">
        <v>325</v>
      </c>
      <c r="F168" t="str">
        <f t="shared" si="3"/>
        <v>41100000</v>
      </c>
      <c r="G168" t="s">
        <v>867</v>
      </c>
      <c r="H168" t="s">
        <v>868</v>
      </c>
      <c r="I168" s="13" t="s">
        <v>326</v>
      </c>
      <c r="J168" t="s">
        <v>40</v>
      </c>
      <c r="K168" s="1">
        <v>43691</v>
      </c>
      <c r="L168" s="1" t="s">
        <v>84</v>
      </c>
      <c r="N168">
        <v>1</v>
      </c>
      <c r="R168">
        <v>4989.12</v>
      </c>
    </row>
    <row r="169" spans="1:19" x14ac:dyDescent="0.25">
      <c r="A169" t="s">
        <v>37</v>
      </c>
      <c r="B169" s="1">
        <v>43633</v>
      </c>
      <c r="C169" t="str">
        <f>"14216"</f>
        <v>14216</v>
      </c>
      <c r="D169" t="s">
        <v>722</v>
      </c>
      <c r="E169" t="s">
        <v>327</v>
      </c>
      <c r="F169" t="str">
        <f t="shared" si="3"/>
        <v>41100000</v>
      </c>
      <c r="G169" t="s">
        <v>867</v>
      </c>
      <c r="H169" t="s">
        <v>868</v>
      </c>
      <c r="I169" s="13" t="s">
        <v>328</v>
      </c>
      <c r="J169" t="s">
        <v>40</v>
      </c>
      <c r="K169" s="1">
        <v>43691</v>
      </c>
      <c r="L169" s="1" t="s">
        <v>84</v>
      </c>
      <c r="N169">
        <v>1</v>
      </c>
      <c r="R169">
        <v>2513.15</v>
      </c>
    </row>
    <row r="170" spans="1:19" x14ac:dyDescent="0.25">
      <c r="A170" t="s">
        <v>37</v>
      </c>
      <c r="B170" s="1">
        <v>43640</v>
      </c>
      <c r="C170" t="str">
        <f>"14256"</f>
        <v>14256</v>
      </c>
      <c r="D170" t="s">
        <v>723</v>
      </c>
      <c r="E170" t="s">
        <v>329</v>
      </c>
      <c r="F170" t="str">
        <f t="shared" si="3"/>
        <v>41100000</v>
      </c>
      <c r="G170" t="s">
        <v>867</v>
      </c>
      <c r="H170" t="s">
        <v>868</v>
      </c>
      <c r="I170" s="13" t="s">
        <v>330</v>
      </c>
      <c r="J170" t="s">
        <v>40</v>
      </c>
      <c r="K170" s="1">
        <v>43691</v>
      </c>
      <c r="L170" s="1" t="s">
        <v>84</v>
      </c>
      <c r="N170">
        <v>1</v>
      </c>
      <c r="R170">
        <v>4573.32</v>
      </c>
    </row>
    <row r="171" spans="1:19" x14ac:dyDescent="0.25">
      <c r="A171" t="s">
        <v>37</v>
      </c>
      <c r="B171" s="1">
        <v>43646</v>
      </c>
      <c r="C171" t="str">
        <f>"14299"</f>
        <v>14299</v>
      </c>
      <c r="D171" t="s">
        <v>724</v>
      </c>
      <c r="E171" t="s">
        <v>331</v>
      </c>
      <c r="F171" t="str">
        <f t="shared" si="3"/>
        <v>41100000</v>
      </c>
      <c r="G171" t="s">
        <v>867</v>
      </c>
      <c r="H171" t="s">
        <v>868</v>
      </c>
      <c r="I171" s="13" t="s">
        <v>332</v>
      </c>
      <c r="J171" t="s">
        <v>40</v>
      </c>
      <c r="K171" s="1">
        <v>43691</v>
      </c>
      <c r="L171" s="1"/>
      <c r="N171">
        <v>1</v>
      </c>
      <c r="R171">
        <v>15887.08</v>
      </c>
    </row>
    <row r="172" spans="1:19" x14ac:dyDescent="0.25">
      <c r="A172" t="s">
        <v>37</v>
      </c>
      <c r="B172" s="1">
        <v>43636</v>
      </c>
      <c r="C172" t="str">
        <f>"14349"</f>
        <v>14349</v>
      </c>
      <c r="D172" t="s">
        <v>725</v>
      </c>
      <c r="E172" t="str">
        <f>"4512098926"</f>
        <v>4512098926</v>
      </c>
      <c r="F172" t="str">
        <f t="shared" si="3"/>
        <v>41100000</v>
      </c>
      <c r="G172" t="s">
        <v>867</v>
      </c>
      <c r="H172" t="s">
        <v>868</v>
      </c>
      <c r="I172" s="13" t="s">
        <v>333</v>
      </c>
      <c r="J172" t="s">
        <v>40</v>
      </c>
      <c r="K172" s="1">
        <v>43708</v>
      </c>
      <c r="L172" s="1"/>
      <c r="N172">
        <v>1</v>
      </c>
      <c r="R172">
        <v>782.76</v>
      </c>
    </row>
    <row r="173" spans="1:19" x14ac:dyDescent="0.25">
      <c r="A173" t="s">
        <v>37</v>
      </c>
      <c r="B173" s="1">
        <v>43644</v>
      </c>
      <c r="C173" t="str">
        <f>"14432"</f>
        <v>14432</v>
      </c>
      <c r="D173" t="s">
        <v>726</v>
      </c>
      <c r="E173" t="str">
        <f>"4512136255"</f>
        <v>4512136255</v>
      </c>
      <c r="F173" t="str">
        <f t="shared" si="3"/>
        <v>41100000</v>
      </c>
      <c r="G173" t="s">
        <v>867</v>
      </c>
      <c r="H173" t="s">
        <v>868</v>
      </c>
      <c r="I173" s="13" t="s">
        <v>334</v>
      </c>
      <c r="J173" t="s">
        <v>40</v>
      </c>
      <c r="K173" s="1">
        <v>43708</v>
      </c>
      <c r="L173" s="1"/>
      <c r="N173">
        <v>1</v>
      </c>
      <c r="R173">
        <v>402</v>
      </c>
    </row>
    <row r="174" spans="1:19" x14ac:dyDescent="0.25">
      <c r="A174" t="s">
        <v>37</v>
      </c>
      <c r="B174" s="1">
        <v>43644</v>
      </c>
      <c r="C174" t="str">
        <f>"14437"</f>
        <v>14437</v>
      </c>
      <c r="D174" t="s">
        <v>727</v>
      </c>
      <c r="E174" t="str">
        <f>"4512123720"</f>
        <v>4512123720</v>
      </c>
      <c r="F174" t="str">
        <f t="shared" si="3"/>
        <v>41100000</v>
      </c>
      <c r="G174" t="s">
        <v>867</v>
      </c>
      <c r="H174" t="s">
        <v>868</v>
      </c>
      <c r="I174" s="13" t="s">
        <v>335</v>
      </c>
      <c r="J174" t="s">
        <v>40</v>
      </c>
      <c r="K174" s="1">
        <v>43708</v>
      </c>
      <c r="L174" s="1"/>
      <c r="N174">
        <v>1</v>
      </c>
      <c r="R174">
        <v>785.64</v>
      </c>
    </row>
    <row r="175" spans="1:19" x14ac:dyDescent="0.25">
      <c r="A175" t="s">
        <v>37</v>
      </c>
      <c r="B175" s="1">
        <v>43629</v>
      </c>
      <c r="C175" t="str">
        <f>"14329"</f>
        <v>14329</v>
      </c>
      <c r="D175" t="s">
        <v>728</v>
      </c>
      <c r="E175" t="str">
        <f>"39302"</f>
        <v>39302</v>
      </c>
      <c r="F175" t="str">
        <f t="shared" si="3"/>
        <v>41100000</v>
      </c>
      <c r="G175" t="s">
        <v>867</v>
      </c>
      <c r="H175" t="s">
        <v>868</v>
      </c>
      <c r="I175" s="13" t="s">
        <v>336</v>
      </c>
      <c r="J175" t="s">
        <v>40</v>
      </c>
      <c r="K175" s="1">
        <v>43692</v>
      </c>
      <c r="L175" s="1"/>
      <c r="N175">
        <v>1</v>
      </c>
      <c r="R175">
        <v>252</v>
      </c>
    </row>
    <row r="176" spans="1:19" x14ac:dyDescent="0.25">
      <c r="A176" t="s">
        <v>37</v>
      </c>
      <c r="B176" s="1">
        <v>43643</v>
      </c>
      <c r="C176" t="str">
        <f>"14420"</f>
        <v>14420</v>
      </c>
      <c r="D176" t="s">
        <v>729</v>
      </c>
      <c r="E176" t="str">
        <f>"2014779"</f>
        <v>2014779</v>
      </c>
      <c r="F176" t="str">
        <f t="shared" si="3"/>
        <v>41100000</v>
      </c>
      <c r="G176" t="s">
        <v>867</v>
      </c>
      <c r="H176" t="s">
        <v>868</v>
      </c>
      <c r="I176" s="13" t="s">
        <v>337</v>
      </c>
      <c r="J176" t="s">
        <v>103</v>
      </c>
      <c r="K176" s="1">
        <v>43692</v>
      </c>
      <c r="L176" s="1" t="s">
        <v>104</v>
      </c>
      <c r="N176">
        <v>1</v>
      </c>
      <c r="R176">
        <v>1291.2</v>
      </c>
    </row>
    <row r="177" spans="1:18" x14ac:dyDescent="0.25">
      <c r="A177" t="s">
        <v>37</v>
      </c>
      <c r="B177" s="1">
        <v>43622</v>
      </c>
      <c r="C177" t="str">
        <f>"14316"</f>
        <v>14316</v>
      </c>
      <c r="D177" t="s">
        <v>730</v>
      </c>
      <c r="E177" t="str">
        <f>"4502012546"</f>
        <v>4502012546</v>
      </c>
      <c r="F177" t="str">
        <f t="shared" si="3"/>
        <v>41100000</v>
      </c>
      <c r="G177" t="s">
        <v>867</v>
      </c>
      <c r="H177" t="s">
        <v>868</v>
      </c>
      <c r="I177" s="13" t="s">
        <v>338</v>
      </c>
      <c r="J177" t="s">
        <v>40</v>
      </c>
      <c r="K177" s="1">
        <v>43692</v>
      </c>
      <c r="L177" s="1"/>
      <c r="N177">
        <v>1</v>
      </c>
      <c r="R177">
        <v>475.12</v>
      </c>
    </row>
    <row r="178" spans="1:18" x14ac:dyDescent="0.25">
      <c r="A178" t="s">
        <v>37</v>
      </c>
      <c r="B178" s="1">
        <v>43629</v>
      </c>
      <c r="C178" t="str">
        <f>"14340"</f>
        <v>14340</v>
      </c>
      <c r="D178" t="s">
        <v>731</v>
      </c>
      <c r="E178" t="str">
        <f>"4502011339"</f>
        <v>4502011339</v>
      </c>
      <c r="F178" t="str">
        <f t="shared" si="3"/>
        <v>41100000</v>
      </c>
      <c r="G178" t="s">
        <v>867</v>
      </c>
      <c r="H178" t="s">
        <v>868</v>
      </c>
      <c r="I178" s="13" t="s">
        <v>339</v>
      </c>
      <c r="J178" t="s">
        <v>40</v>
      </c>
      <c r="K178" s="1">
        <v>43692</v>
      </c>
      <c r="L178" s="1"/>
      <c r="N178">
        <v>1</v>
      </c>
      <c r="R178">
        <v>239.12</v>
      </c>
    </row>
    <row r="179" spans="1:18" x14ac:dyDescent="0.25">
      <c r="A179" t="s">
        <v>37</v>
      </c>
      <c r="B179" s="1">
        <v>43636</v>
      </c>
      <c r="C179" t="str">
        <f>"14357"</f>
        <v>14357</v>
      </c>
      <c r="D179" t="s">
        <v>732</v>
      </c>
      <c r="E179" t="str">
        <f>"4502004339"</f>
        <v>4502004339</v>
      </c>
      <c r="F179" t="str">
        <f t="shared" si="3"/>
        <v>41100000</v>
      </c>
      <c r="G179" t="s">
        <v>867</v>
      </c>
      <c r="H179" t="s">
        <v>868</v>
      </c>
      <c r="I179" s="13" t="s">
        <v>340</v>
      </c>
      <c r="J179" t="s">
        <v>40</v>
      </c>
      <c r="K179" s="1">
        <v>43692</v>
      </c>
      <c r="L179" s="1"/>
      <c r="N179">
        <v>1</v>
      </c>
      <c r="R179">
        <v>3894</v>
      </c>
    </row>
    <row r="180" spans="1:18" x14ac:dyDescent="0.25">
      <c r="A180" t="s">
        <v>37</v>
      </c>
      <c r="B180" s="1">
        <v>43636</v>
      </c>
      <c r="C180" t="str">
        <f>"14364"</f>
        <v>14364</v>
      </c>
      <c r="D180" t="s">
        <v>733</v>
      </c>
      <c r="E180" t="str">
        <f>"4502012546"</f>
        <v>4502012546</v>
      </c>
      <c r="F180" t="str">
        <f t="shared" si="3"/>
        <v>41100000</v>
      </c>
      <c r="G180" t="s">
        <v>867</v>
      </c>
      <c r="H180" t="s">
        <v>868</v>
      </c>
      <c r="I180" s="13" t="s">
        <v>341</v>
      </c>
      <c r="J180" t="s">
        <v>40</v>
      </c>
      <c r="K180" s="1">
        <v>43692</v>
      </c>
      <c r="L180" s="1"/>
      <c r="N180">
        <v>1</v>
      </c>
      <c r="R180">
        <v>445.12</v>
      </c>
    </row>
    <row r="181" spans="1:18" x14ac:dyDescent="0.25">
      <c r="A181" t="s">
        <v>37</v>
      </c>
      <c r="B181" s="1">
        <v>43636</v>
      </c>
      <c r="C181" t="str">
        <f>"14365"</f>
        <v>14365</v>
      </c>
      <c r="D181" t="s">
        <v>734</v>
      </c>
      <c r="E181" t="str">
        <f>"4501897581"</f>
        <v>4501897581</v>
      </c>
      <c r="F181" t="str">
        <f t="shared" si="3"/>
        <v>41100000</v>
      </c>
      <c r="G181" t="s">
        <v>867</v>
      </c>
      <c r="H181" t="s">
        <v>868</v>
      </c>
      <c r="I181" s="13" t="s">
        <v>342</v>
      </c>
      <c r="J181" t="s">
        <v>40</v>
      </c>
      <c r="K181" s="1">
        <v>43692</v>
      </c>
      <c r="L181" s="1"/>
      <c r="N181">
        <v>1</v>
      </c>
      <c r="R181">
        <v>275.86</v>
      </c>
    </row>
    <row r="182" spans="1:18" x14ac:dyDescent="0.25">
      <c r="A182" t="s">
        <v>37</v>
      </c>
      <c r="B182" s="1">
        <v>43643</v>
      </c>
      <c r="C182" t="str">
        <f>"14411"</f>
        <v>14411</v>
      </c>
      <c r="D182" t="s">
        <v>735</v>
      </c>
      <c r="E182" t="str">
        <f>"4502011339"</f>
        <v>4502011339</v>
      </c>
      <c r="F182" t="str">
        <f t="shared" si="3"/>
        <v>41100000</v>
      </c>
      <c r="G182" t="s">
        <v>867</v>
      </c>
      <c r="H182" t="s">
        <v>868</v>
      </c>
      <c r="I182" s="13" t="s">
        <v>343</v>
      </c>
      <c r="J182" t="s">
        <v>40</v>
      </c>
      <c r="K182" s="1">
        <v>43692</v>
      </c>
      <c r="L182" s="1"/>
      <c r="N182">
        <v>1</v>
      </c>
      <c r="R182">
        <v>2869.63</v>
      </c>
    </row>
    <row r="183" spans="1:18" x14ac:dyDescent="0.25">
      <c r="A183" t="s">
        <v>37</v>
      </c>
      <c r="B183" s="1">
        <v>43643</v>
      </c>
      <c r="C183" t="str">
        <f>"14412"</f>
        <v>14412</v>
      </c>
      <c r="D183" t="s">
        <v>736</v>
      </c>
      <c r="E183" t="str">
        <f>"4502007944"</f>
        <v>4502007944</v>
      </c>
      <c r="F183" t="str">
        <f t="shared" si="3"/>
        <v>41100000</v>
      </c>
      <c r="G183" t="s">
        <v>867</v>
      </c>
      <c r="H183" t="s">
        <v>868</v>
      </c>
      <c r="I183" s="13" t="s">
        <v>344</v>
      </c>
      <c r="J183" t="s">
        <v>40</v>
      </c>
      <c r="K183" s="1">
        <v>43692</v>
      </c>
      <c r="L183" s="1"/>
      <c r="N183">
        <v>1</v>
      </c>
      <c r="R183">
        <v>6974.32</v>
      </c>
    </row>
    <row r="184" spans="1:18" x14ac:dyDescent="0.25">
      <c r="A184" t="s">
        <v>37</v>
      </c>
      <c r="B184" s="1">
        <v>43622</v>
      </c>
      <c r="C184" t="str">
        <f>"14153"</f>
        <v>14153</v>
      </c>
      <c r="D184" t="s">
        <v>737</v>
      </c>
      <c r="E184" t="str">
        <f>"74191756"</f>
        <v>74191756</v>
      </c>
      <c r="F184" t="str">
        <f t="shared" si="3"/>
        <v>41100000</v>
      </c>
      <c r="G184" t="s">
        <v>867</v>
      </c>
      <c r="H184" t="s">
        <v>868</v>
      </c>
      <c r="I184" s="13" t="s">
        <v>345</v>
      </c>
      <c r="J184" t="s">
        <v>40</v>
      </c>
      <c r="K184" s="1">
        <v>43677</v>
      </c>
      <c r="L184" s="1" t="s">
        <v>84</v>
      </c>
      <c r="N184">
        <v>1</v>
      </c>
      <c r="R184">
        <v>230.03</v>
      </c>
    </row>
    <row r="185" spans="1:18" x14ac:dyDescent="0.25">
      <c r="A185" t="s">
        <v>37</v>
      </c>
      <c r="B185" s="1">
        <v>43622</v>
      </c>
      <c r="C185" t="str">
        <f>"14170"</f>
        <v>14170</v>
      </c>
      <c r="D185" t="s">
        <v>738</v>
      </c>
      <c r="E185" t="str">
        <f>"74191969"</f>
        <v>74191969</v>
      </c>
      <c r="F185" t="str">
        <f t="shared" si="3"/>
        <v>41100000</v>
      </c>
      <c r="G185" t="s">
        <v>867</v>
      </c>
      <c r="H185" t="s">
        <v>868</v>
      </c>
      <c r="I185" s="13" t="s">
        <v>346</v>
      </c>
      <c r="J185" t="s">
        <v>40</v>
      </c>
      <c r="K185" s="1">
        <v>43677</v>
      </c>
      <c r="L185" s="1" t="s">
        <v>84</v>
      </c>
      <c r="N185">
        <v>1</v>
      </c>
      <c r="R185">
        <v>30</v>
      </c>
    </row>
    <row r="186" spans="1:18" x14ac:dyDescent="0.25">
      <c r="A186" t="s">
        <v>37</v>
      </c>
      <c r="B186" s="1">
        <v>43629</v>
      </c>
      <c r="C186" t="str">
        <f>"14185"</f>
        <v>14185</v>
      </c>
      <c r="D186" t="s">
        <v>739</v>
      </c>
      <c r="E186" t="str">
        <f>"74191969"</f>
        <v>74191969</v>
      </c>
      <c r="F186" t="str">
        <f t="shared" si="3"/>
        <v>41100000</v>
      </c>
      <c r="G186" t="s">
        <v>867</v>
      </c>
      <c r="H186" t="s">
        <v>868</v>
      </c>
      <c r="I186" s="13" t="s">
        <v>347</v>
      </c>
      <c r="J186" t="s">
        <v>40</v>
      </c>
      <c r="K186" s="1">
        <v>43677</v>
      </c>
      <c r="L186" s="1" t="s">
        <v>84</v>
      </c>
      <c r="N186">
        <v>1</v>
      </c>
      <c r="R186">
        <v>369.12</v>
      </c>
    </row>
    <row r="187" spans="1:18" x14ac:dyDescent="0.25">
      <c r="A187" t="s">
        <v>37</v>
      </c>
      <c r="B187" s="1">
        <v>43629</v>
      </c>
      <c r="C187" t="str">
        <f>"14188"</f>
        <v>14188</v>
      </c>
      <c r="D187" t="s">
        <v>740</v>
      </c>
      <c r="E187" t="str">
        <f>"74191995"</f>
        <v>74191995</v>
      </c>
      <c r="F187" t="str">
        <f t="shared" si="3"/>
        <v>41100000</v>
      </c>
      <c r="G187" t="s">
        <v>867</v>
      </c>
      <c r="H187" t="s">
        <v>868</v>
      </c>
      <c r="I187" s="13" t="s">
        <v>348</v>
      </c>
      <c r="J187" t="s">
        <v>40</v>
      </c>
      <c r="K187" s="1">
        <v>43677</v>
      </c>
      <c r="L187" s="1" t="s">
        <v>84</v>
      </c>
      <c r="N187">
        <v>1</v>
      </c>
      <c r="R187">
        <v>158.5</v>
      </c>
    </row>
    <row r="188" spans="1:18" x14ac:dyDescent="0.25">
      <c r="A188" t="s">
        <v>37</v>
      </c>
      <c r="B188" s="1">
        <v>43629</v>
      </c>
      <c r="C188" t="str">
        <f>"14214"</f>
        <v>14214</v>
      </c>
      <c r="D188" t="s">
        <v>741</v>
      </c>
      <c r="E188" t="str">
        <f>"74191969"</f>
        <v>74191969</v>
      </c>
      <c r="F188" t="str">
        <f t="shared" si="3"/>
        <v>41100000</v>
      </c>
      <c r="G188" t="s">
        <v>867</v>
      </c>
      <c r="H188" t="s">
        <v>868</v>
      </c>
      <c r="I188" s="13" t="s">
        <v>349</v>
      </c>
      <c r="J188" t="s">
        <v>40</v>
      </c>
      <c r="K188" s="1">
        <v>43677</v>
      </c>
      <c r="L188" s="1" t="s">
        <v>84</v>
      </c>
      <c r="N188">
        <v>1</v>
      </c>
      <c r="R188">
        <v>366.58</v>
      </c>
    </row>
    <row r="189" spans="1:18" x14ac:dyDescent="0.25">
      <c r="A189" t="s">
        <v>37</v>
      </c>
      <c r="B189" s="1">
        <v>43643</v>
      </c>
      <c r="C189" t="str">
        <f>"14266"</f>
        <v>14266</v>
      </c>
      <c r="D189" t="s">
        <v>742</v>
      </c>
      <c r="E189" t="str">
        <f>"74192210"</f>
        <v>74192210</v>
      </c>
      <c r="F189" t="str">
        <f t="shared" si="3"/>
        <v>41100000</v>
      </c>
      <c r="G189" t="s">
        <v>867</v>
      </c>
      <c r="H189" t="s">
        <v>868</v>
      </c>
      <c r="I189" s="13" t="s">
        <v>350</v>
      </c>
      <c r="J189" t="s">
        <v>40</v>
      </c>
      <c r="K189" s="1">
        <v>43708</v>
      </c>
      <c r="L189" s="1" t="s">
        <v>84</v>
      </c>
      <c r="N189">
        <v>1</v>
      </c>
      <c r="R189">
        <v>2212.8000000000002</v>
      </c>
    </row>
    <row r="190" spans="1:18" x14ac:dyDescent="0.25">
      <c r="A190" t="s">
        <v>37</v>
      </c>
      <c r="B190" s="1">
        <v>43643</v>
      </c>
      <c r="C190" t="str">
        <f>"14270"</f>
        <v>14270</v>
      </c>
      <c r="D190" t="s">
        <v>743</v>
      </c>
      <c r="E190" t="str">
        <f>"74191995"</f>
        <v>74191995</v>
      </c>
      <c r="F190" t="str">
        <f t="shared" si="3"/>
        <v>41100000</v>
      </c>
      <c r="G190" t="s">
        <v>867</v>
      </c>
      <c r="H190" t="s">
        <v>868</v>
      </c>
      <c r="I190" s="13" t="s">
        <v>351</v>
      </c>
      <c r="J190" t="s">
        <v>40</v>
      </c>
      <c r="K190" s="1">
        <v>43708</v>
      </c>
      <c r="L190" s="1" t="s">
        <v>84</v>
      </c>
      <c r="N190">
        <v>1</v>
      </c>
      <c r="R190">
        <v>361.34</v>
      </c>
    </row>
    <row r="191" spans="1:18" x14ac:dyDescent="0.25">
      <c r="A191" t="s">
        <v>37</v>
      </c>
      <c r="B191" s="1">
        <v>43643</v>
      </c>
      <c r="C191" t="str">
        <f>"14276"</f>
        <v>14276</v>
      </c>
      <c r="D191" t="s">
        <v>744</v>
      </c>
      <c r="E191" t="str">
        <f>"74191969"</f>
        <v>74191969</v>
      </c>
      <c r="F191" t="str">
        <f t="shared" si="3"/>
        <v>41100000</v>
      </c>
      <c r="G191" t="s">
        <v>867</v>
      </c>
      <c r="H191" t="s">
        <v>868</v>
      </c>
      <c r="I191" s="13" t="s">
        <v>352</v>
      </c>
      <c r="J191" t="s">
        <v>40</v>
      </c>
      <c r="K191" s="1">
        <v>43708</v>
      </c>
      <c r="L191" s="1" t="s">
        <v>84</v>
      </c>
      <c r="N191">
        <v>1</v>
      </c>
      <c r="R191">
        <v>69.3</v>
      </c>
    </row>
    <row r="192" spans="1:18" x14ac:dyDescent="0.25">
      <c r="A192" t="s">
        <v>37</v>
      </c>
      <c r="B192" s="1">
        <v>43636</v>
      </c>
      <c r="C192" t="str">
        <f>"14387"</f>
        <v>14387</v>
      </c>
      <c r="D192" t="s">
        <v>745</v>
      </c>
      <c r="E192" t="s">
        <v>353</v>
      </c>
      <c r="F192" t="str">
        <f t="shared" si="3"/>
        <v>41100000</v>
      </c>
      <c r="G192" t="s">
        <v>867</v>
      </c>
      <c r="H192" t="s">
        <v>868</v>
      </c>
      <c r="I192" s="13" t="s">
        <v>354</v>
      </c>
      <c r="J192" t="s">
        <v>40</v>
      </c>
      <c r="K192" s="1">
        <v>43697</v>
      </c>
      <c r="L192" s="1"/>
      <c r="N192">
        <v>1</v>
      </c>
      <c r="R192">
        <v>313.44</v>
      </c>
    </row>
    <row r="193" spans="1:18" x14ac:dyDescent="0.25">
      <c r="A193" t="s">
        <v>37</v>
      </c>
      <c r="B193" s="1">
        <v>43629</v>
      </c>
      <c r="C193" t="str">
        <f>"14178"</f>
        <v>14178</v>
      </c>
      <c r="D193" t="s">
        <v>746</v>
      </c>
      <c r="E193" t="s">
        <v>355</v>
      </c>
      <c r="F193" t="str">
        <f t="shared" si="3"/>
        <v>41100000</v>
      </c>
      <c r="G193" t="s">
        <v>867</v>
      </c>
      <c r="H193" t="s">
        <v>868</v>
      </c>
      <c r="I193" s="13" t="s">
        <v>356</v>
      </c>
      <c r="J193" t="s">
        <v>120</v>
      </c>
      <c r="K193" s="1">
        <v>43677</v>
      </c>
      <c r="L193" s="1"/>
      <c r="N193">
        <v>1</v>
      </c>
      <c r="R193">
        <v>17.690000000000001</v>
      </c>
    </row>
    <row r="194" spans="1:18" x14ac:dyDescent="0.25">
      <c r="A194" t="s">
        <v>37</v>
      </c>
      <c r="B194" s="1">
        <v>43636</v>
      </c>
      <c r="C194" t="str">
        <f>"14348"</f>
        <v>14348</v>
      </c>
      <c r="D194" t="s">
        <v>747</v>
      </c>
      <c r="E194" t="str">
        <f>"4401033891"</f>
        <v>4401033891</v>
      </c>
      <c r="F194" t="str">
        <f t="shared" si="3"/>
        <v>41100000</v>
      </c>
      <c r="G194" t="s">
        <v>867</v>
      </c>
      <c r="H194" t="s">
        <v>868</v>
      </c>
      <c r="I194" s="13" t="s">
        <v>357</v>
      </c>
      <c r="J194" t="s">
        <v>40</v>
      </c>
      <c r="K194" s="1">
        <v>43691</v>
      </c>
      <c r="L194" s="1"/>
      <c r="N194">
        <v>1</v>
      </c>
      <c r="R194">
        <v>311.64</v>
      </c>
    </row>
    <row r="195" spans="1:18" x14ac:dyDescent="0.25">
      <c r="A195" t="s">
        <v>37</v>
      </c>
      <c r="B195" s="1">
        <v>43636</v>
      </c>
      <c r="C195" t="str">
        <f>"14374"</f>
        <v>14374</v>
      </c>
      <c r="D195" t="s">
        <v>748</v>
      </c>
      <c r="E195" t="str">
        <f>"4401036088"</f>
        <v>4401036088</v>
      </c>
      <c r="F195" t="str">
        <f t="shared" si="3"/>
        <v>41100000</v>
      </c>
      <c r="G195" t="s">
        <v>867</v>
      </c>
      <c r="H195" t="s">
        <v>868</v>
      </c>
      <c r="I195" s="13" t="s">
        <v>358</v>
      </c>
      <c r="J195" t="s">
        <v>40</v>
      </c>
      <c r="K195" s="1">
        <v>43691</v>
      </c>
      <c r="L195" s="1"/>
      <c r="N195">
        <v>1</v>
      </c>
      <c r="R195">
        <v>1408.8</v>
      </c>
    </row>
    <row r="196" spans="1:18" x14ac:dyDescent="0.25">
      <c r="A196" t="s">
        <v>37</v>
      </c>
      <c r="B196" s="1">
        <v>43622</v>
      </c>
      <c r="C196" t="str">
        <f>"13924"</f>
        <v>13924</v>
      </c>
      <c r="D196" t="s">
        <v>749</v>
      </c>
      <c r="E196" t="s">
        <v>359</v>
      </c>
      <c r="F196" t="str">
        <f t="shared" si="3"/>
        <v>41100000</v>
      </c>
      <c r="G196" t="s">
        <v>867</v>
      </c>
      <c r="H196" t="s">
        <v>868</v>
      </c>
      <c r="I196" s="13" t="s">
        <v>360</v>
      </c>
      <c r="J196" t="s">
        <v>40</v>
      </c>
      <c r="K196" s="1">
        <v>43622</v>
      </c>
      <c r="L196" s="1" t="s">
        <v>220</v>
      </c>
      <c r="N196">
        <v>1</v>
      </c>
      <c r="Q196" s="1">
        <v>43637</v>
      </c>
      <c r="R196">
        <v>238</v>
      </c>
    </row>
    <row r="197" spans="1:18" x14ac:dyDescent="0.25">
      <c r="A197" t="s">
        <v>37</v>
      </c>
      <c r="B197" s="1">
        <v>43644</v>
      </c>
      <c r="C197" t="str">
        <f>"14434"</f>
        <v>14434</v>
      </c>
      <c r="D197" t="s">
        <v>750</v>
      </c>
      <c r="E197" t="s">
        <v>361</v>
      </c>
      <c r="F197" t="str">
        <f t="shared" si="3"/>
        <v>41100000</v>
      </c>
      <c r="G197" t="s">
        <v>867</v>
      </c>
      <c r="H197" t="s">
        <v>868</v>
      </c>
      <c r="I197" s="13" t="s">
        <v>362</v>
      </c>
      <c r="J197" t="s">
        <v>40</v>
      </c>
      <c r="K197" s="1">
        <v>43705</v>
      </c>
      <c r="L197" s="1"/>
      <c r="N197">
        <v>1</v>
      </c>
      <c r="R197">
        <v>3190.8</v>
      </c>
    </row>
    <row r="198" spans="1:18" x14ac:dyDescent="0.25">
      <c r="A198" t="s">
        <v>37</v>
      </c>
      <c r="B198" s="1">
        <v>43644</v>
      </c>
      <c r="C198" t="str">
        <f>"14436"</f>
        <v>14436</v>
      </c>
      <c r="D198" t="s">
        <v>751</v>
      </c>
      <c r="E198" t="str">
        <f>"4500302492"</f>
        <v>4500302492</v>
      </c>
      <c r="F198" t="str">
        <f t="shared" si="3"/>
        <v>41100000</v>
      </c>
      <c r="G198" t="s">
        <v>867</v>
      </c>
      <c r="H198" t="s">
        <v>868</v>
      </c>
      <c r="I198" s="13" t="s">
        <v>363</v>
      </c>
      <c r="J198" t="s">
        <v>40</v>
      </c>
      <c r="K198" s="1">
        <v>43708</v>
      </c>
      <c r="L198" s="1"/>
      <c r="N198">
        <v>1</v>
      </c>
      <c r="R198">
        <v>3124.52</v>
      </c>
    </row>
    <row r="199" spans="1:18" x14ac:dyDescent="0.25">
      <c r="A199" t="s">
        <v>37</v>
      </c>
      <c r="B199" s="1">
        <v>43620</v>
      </c>
      <c r="C199" t="str">
        <f>"13531"</f>
        <v>13531</v>
      </c>
      <c r="D199" t="s">
        <v>752</v>
      </c>
      <c r="E199" t="s">
        <v>364</v>
      </c>
      <c r="F199" t="str">
        <f t="shared" si="3"/>
        <v>41100000</v>
      </c>
      <c r="G199" t="s">
        <v>867</v>
      </c>
      <c r="H199" t="s">
        <v>868</v>
      </c>
      <c r="I199" s="13" t="s">
        <v>365</v>
      </c>
      <c r="J199" t="s">
        <v>366</v>
      </c>
      <c r="K199" s="1">
        <v>43620</v>
      </c>
      <c r="L199" s="1" t="s">
        <v>367</v>
      </c>
      <c r="N199">
        <v>1</v>
      </c>
      <c r="Q199" s="1">
        <v>43637</v>
      </c>
      <c r="R199">
        <v>15</v>
      </c>
    </row>
    <row r="200" spans="1:18" x14ac:dyDescent="0.25">
      <c r="A200" t="s">
        <v>37</v>
      </c>
      <c r="B200" s="1">
        <v>43620</v>
      </c>
      <c r="C200" t="str">
        <f>"13532"</f>
        <v>13532</v>
      </c>
      <c r="D200" t="s">
        <v>753</v>
      </c>
      <c r="E200" t="s">
        <v>368</v>
      </c>
      <c r="F200" t="str">
        <f t="shared" si="3"/>
        <v>41100000</v>
      </c>
      <c r="G200" t="s">
        <v>867</v>
      </c>
      <c r="H200" t="s">
        <v>868</v>
      </c>
      <c r="I200" s="13" t="s">
        <v>369</v>
      </c>
      <c r="J200" t="s">
        <v>40</v>
      </c>
      <c r="K200" s="1">
        <v>43620</v>
      </c>
      <c r="L200" s="1" t="s">
        <v>370</v>
      </c>
      <c r="N200">
        <v>1</v>
      </c>
      <c r="R200">
        <v>61.51</v>
      </c>
    </row>
    <row r="201" spans="1:18" x14ac:dyDescent="0.25">
      <c r="A201" t="s">
        <v>37</v>
      </c>
      <c r="B201" s="1">
        <v>43620</v>
      </c>
      <c r="C201" t="str">
        <f>"13533"</f>
        <v>13533</v>
      </c>
      <c r="D201" t="s">
        <v>754</v>
      </c>
      <c r="E201" t="s">
        <v>371</v>
      </c>
      <c r="F201" t="str">
        <f t="shared" si="3"/>
        <v>41100000</v>
      </c>
      <c r="G201" t="s">
        <v>867</v>
      </c>
      <c r="H201" t="s">
        <v>868</v>
      </c>
      <c r="I201" s="13" t="s">
        <v>372</v>
      </c>
      <c r="J201" t="s">
        <v>373</v>
      </c>
      <c r="K201" s="1">
        <v>43620</v>
      </c>
      <c r="L201" s="1" t="s">
        <v>374</v>
      </c>
      <c r="N201">
        <v>1</v>
      </c>
      <c r="R201">
        <v>83.76</v>
      </c>
    </row>
    <row r="202" spans="1:18" x14ac:dyDescent="0.25">
      <c r="A202" t="s">
        <v>37</v>
      </c>
      <c r="B202" s="1">
        <v>43628</v>
      </c>
      <c r="C202" t="str">
        <f>"13702"</f>
        <v>13702</v>
      </c>
      <c r="D202" t="s">
        <v>755</v>
      </c>
      <c r="E202" t="s">
        <v>375</v>
      </c>
      <c r="F202" t="str">
        <f t="shared" si="3"/>
        <v>41100000</v>
      </c>
      <c r="G202" t="s">
        <v>867</v>
      </c>
      <c r="H202" t="s">
        <v>868</v>
      </c>
      <c r="I202" s="13" t="s">
        <v>376</v>
      </c>
      <c r="J202" t="s">
        <v>373</v>
      </c>
      <c r="K202" s="1">
        <v>43628</v>
      </c>
      <c r="L202" s="1" t="s">
        <v>377</v>
      </c>
      <c r="N202">
        <v>1</v>
      </c>
      <c r="Q202" s="1">
        <v>43623</v>
      </c>
      <c r="R202">
        <v>696.48</v>
      </c>
    </row>
    <row r="203" spans="1:18" x14ac:dyDescent="0.25">
      <c r="A203" t="s">
        <v>37</v>
      </c>
      <c r="B203" s="1">
        <v>43629</v>
      </c>
      <c r="C203" t="str">
        <f>"13703"</f>
        <v>13703</v>
      </c>
      <c r="D203" t="s">
        <v>756</v>
      </c>
      <c r="E203" t="s">
        <v>378</v>
      </c>
      <c r="F203" t="str">
        <f t="shared" si="3"/>
        <v>41100000</v>
      </c>
      <c r="G203" t="s">
        <v>867</v>
      </c>
      <c r="H203" t="s">
        <v>868</v>
      </c>
      <c r="I203" s="13" t="s">
        <v>379</v>
      </c>
      <c r="J203" t="s">
        <v>120</v>
      </c>
      <c r="K203" s="1">
        <v>43629</v>
      </c>
      <c r="L203" s="1" t="s">
        <v>380</v>
      </c>
      <c r="N203">
        <v>1</v>
      </c>
      <c r="R203">
        <v>87.25</v>
      </c>
    </row>
    <row r="204" spans="1:18" x14ac:dyDescent="0.25">
      <c r="A204" t="s">
        <v>37</v>
      </c>
      <c r="B204" s="1">
        <v>43629</v>
      </c>
      <c r="C204" t="str">
        <f>"13746"</f>
        <v>13746</v>
      </c>
      <c r="D204" t="s">
        <v>757</v>
      </c>
      <c r="E204" t="s">
        <v>378</v>
      </c>
      <c r="F204" t="str">
        <f t="shared" si="3"/>
        <v>41100000</v>
      </c>
      <c r="G204" t="s">
        <v>867</v>
      </c>
      <c r="H204" t="s">
        <v>868</v>
      </c>
      <c r="I204" s="13" t="s">
        <v>381</v>
      </c>
      <c r="J204" t="s">
        <v>373</v>
      </c>
      <c r="K204" s="1">
        <v>43629</v>
      </c>
      <c r="L204" s="1" t="s">
        <v>380</v>
      </c>
      <c r="N204">
        <v>1</v>
      </c>
      <c r="R204">
        <v>67.92</v>
      </c>
    </row>
    <row r="205" spans="1:18" x14ac:dyDescent="0.25">
      <c r="A205" t="s">
        <v>37</v>
      </c>
      <c r="B205" s="1">
        <v>43633</v>
      </c>
      <c r="C205" t="str">
        <f>"13747"</f>
        <v>13747</v>
      </c>
      <c r="D205" t="s">
        <v>758</v>
      </c>
      <c r="E205" t="s">
        <v>382</v>
      </c>
      <c r="F205" t="str">
        <f t="shared" si="3"/>
        <v>41100000</v>
      </c>
      <c r="G205" t="s">
        <v>867</v>
      </c>
      <c r="H205" t="s">
        <v>868</v>
      </c>
      <c r="I205" s="13" t="s">
        <v>383</v>
      </c>
      <c r="J205" t="s">
        <v>373</v>
      </c>
      <c r="K205" s="1">
        <v>43633</v>
      </c>
      <c r="L205" s="1" t="s">
        <v>384</v>
      </c>
      <c r="N205">
        <v>1</v>
      </c>
      <c r="Q205" s="1">
        <v>43628</v>
      </c>
      <c r="R205">
        <v>47.5</v>
      </c>
    </row>
    <row r="206" spans="1:18" x14ac:dyDescent="0.25">
      <c r="A206" t="s">
        <v>37</v>
      </c>
      <c r="B206" s="1">
        <v>43633</v>
      </c>
      <c r="C206" t="str">
        <f>"13748"</f>
        <v>13748</v>
      </c>
      <c r="D206" t="s">
        <v>759</v>
      </c>
      <c r="E206" t="s">
        <v>385</v>
      </c>
      <c r="F206" t="str">
        <f t="shared" si="3"/>
        <v>41100000</v>
      </c>
      <c r="G206" t="s">
        <v>867</v>
      </c>
      <c r="H206" t="s">
        <v>868</v>
      </c>
      <c r="I206" s="13" t="s">
        <v>386</v>
      </c>
      <c r="J206" t="s">
        <v>373</v>
      </c>
      <c r="K206" s="1">
        <v>43633</v>
      </c>
      <c r="L206" s="1" t="s">
        <v>380</v>
      </c>
      <c r="N206">
        <v>1</v>
      </c>
      <c r="R206">
        <v>15.55</v>
      </c>
    </row>
    <row r="207" spans="1:18" x14ac:dyDescent="0.25">
      <c r="A207" t="s">
        <v>37</v>
      </c>
      <c r="B207" s="1">
        <v>43635</v>
      </c>
      <c r="C207" t="str">
        <f>"13911"</f>
        <v>13911</v>
      </c>
      <c r="D207" t="s">
        <v>760</v>
      </c>
      <c r="E207" t="s">
        <v>387</v>
      </c>
      <c r="F207" t="str">
        <f t="shared" si="3"/>
        <v>41100000</v>
      </c>
      <c r="G207" t="s">
        <v>867</v>
      </c>
      <c r="H207" t="s">
        <v>868</v>
      </c>
      <c r="I207" s="13" t="s">
        <v>388</v>
      </c>
      <c r="J207" t="s">
        <v>373</v>
      </c>
      <c r="K207" s="1">
        <v>43635</v>
      </c>
      <c r="L207" s="1" t="s">
        <v>389</v>
      </c>
      <c r="N207">
        <v>1</v>
      </c>
      <c r="Q207" s="1">
        <v>43634</v>
      </c>
      <c r="R207">
        <v>34.46</v>
      </c>
    </row>
    <row r="208" spans="1:18" x14ac:dyDescent="0.25">
      <c r="A208" t="s">
        <v>37</v>
      </c>
      <c r="B208" s="1">
        <v>43635</v>
      </c>
      <c r="C208" t="str">
        <f>"13912"</f>
        <v>13912</v>
      </c>
      <c r="D208" t="s">
        <v>761</v>
      </c>
      <c r="E208" t="s">
        <v>390</v>
      </c>
      <c r="F208" t="str">
        <f t="shared" si="3"/>
        <v>41100000</v>
      </c>
      <c r="G208" t="s">
        <v>867</v>
      </c>
      <c r="H208" t="s">
        <v>868</v>
      </c>
      <c r="I208" s="13" t="s">
        <v>391</v>
      </c>
      <c r="J208" t="s">
        <v>373</v>
      </c>
      <c r="K208" s="1">
        <v>43635</v>
      </c>
      <c r="L208" s="1" t="s">
        <v>392</v>
      </c>
      <c r="N208">
        <v>1</v>
      </c>
      <c r="Q208" s="1">
        <v>43635</v>
      </c>
      <c r="R208">
        <v>50.4</v>
      </c>
    </row>
    <row r="209" spans="1:18" x14ac:dyDescent="0.25">
      <c r="A209" t="s">
        <v>37</v>
      </c>
      <c r="B209" s="1">
        <v>43637</v>
      </c>
      <c r="C209" t="str">
        <f>"13913"</f>
        <v>13913</v>
      </c>
      <c r="D209" t="s">
        <v>762</v>
      </c>
      <c r="E209" t="s">
        <v>393</v>
      </c>
      <c r="F209" t="str">
        <f t="shared" si="3"/>
        <v>41100000</v>
      </c>
      <c r="G209" t="s">
        <v>867</v>
      </c>
      <c r="H209" t="s">
        <v>868</v>
      </c>
      <c r="I209" s="13" t="s">
        <v>394</v>
      </c>
      <c r="J209" t="s">
        <v>373</v>
      </c>
      <c r="K209" s="1">
        <v>43637</v>
      </c>
      <c r="L209" s="1" t="s">
        <v>380</v>
      </c>
      <c r="N209">
        <v>1</v>
      </c>
      <c r="R209">
        <v>15</v>
      </c>
    </row>
    <row r="210" spans="1:18" x14ac:dyDescent="0.25">
      <c r="A210" t="s">
        <v>37</v>
      </c>
      <c r="B210" s="1">
        <v>43640</v>
      </c>
      <c r="C210" t="str">
        <f>"13914"</f>
        <v>13914</v>
      </c>
      <c r="D210" t="s">
        <v>763</v>
      </c>
      <c r="E210" t="str">
        <f>"1229"</f>
        <v>1229</v>
      </c>
      <c r="F210" t="str">
        <f t="shared" si="3"/>
        <v>41100000</v>
      </c>
      <c r="G210" t="s">
        <v>867</v>
      </c>
      <c r="H210" t="s">
        <v>868</v>
      </c>
      <c r="I210" s="13" t="s">
        <v>395</v>
      </c>
      <c r="J210" t="s">
        <v>120</v>
      </c>
      <c r="K210" s="1">
        <v>43640</v>
      </c>
      <c r="L210" s="1" t="s">
        <v>396</v>
      </c>
      <c r="N210">
        <v>1</v>
      </c>
      <c r="R210">
        <v>197.4</v>
      </c>
    </row>
    <row r="211" spans="1:18" x14ac:dyDescent="0.25">
      <c r="A211" t="s">
        <v>37</v>
      </c>
      <c r="B211" s="1">
        <v>43640</v>
      </c>
      <c r="C211" t="str">
        <f>"13977"</f>
        <v>13977</v>
      </c>
      <c r="D211" t="s">
        <v>764</v>
      </c>
      <c r="E211" t="s">
        <v>397</v>
      </c>
      <c r="F211" t="str">
        <f t="shared" si="3"/>
        <v>41100000</v>
      </c>
      <c r="G211" t="s">
        <v>867</v>
      </c>
      <c r="H211" t="s">
        <v>868</v>
      </c>
      <c r="I211" s="13" t="s">
        <v>398</v>
      </c>
      <c r="J211" t="s">
        <v>366</v>
      </c>
      <c r="K211" s="1">
        <v>43640</v>
      </c>
      <c r="L211" s="1" t="s">
        <v>399</v>
      </c>
      <c r="N211">
        <v>1</v>
      </c>
      <c r="Q211" s="1">
        <v>43640</v>
      </c>
      <c r="R211">
        <v>66</v>
      </c>
    </row>
    <row r="212" spans="1:18" x14ac:dyDescent="0.25">
      <c r="A212" t="s">
        <v>37</v>
      </c>
      <c r="B212" s="1">
        <v>43640</v>
      </c>
      <c r="C212" t="str">
        <f>"13978"</f>
        <v>13978</v>
      </c>
      <c r="D212" t="s">
        <v>765</v>
      </c>
      <c r="E212" t="s">
        <v>400</v>
      </c>
      <c r="F212" t="str">
        <f t="shared" si="3"/>
        <v>41100000</v>
      </c>
      <c r="G212" t="s">
        <v>867</v>
      </c>
      <c r="H212" t="s">
        <v>868</v>
      </c>
      <c r="I212" s="13" t="s">
        <v>401</v>
      </c>
      <c r="J212" t="s">
        <v>373</v>
      </c>
      <c r="K212" s="1">
        <v>43640</v>
      </c>
      <c r="L212" s="1" t="s">
        <v>402</v>
      </c>
      <c r="N212">
        <v>1</v>
      </c>
      <c r="R212">
        <v>70.319999999999993</v>
      </c>
    </row>
    <row r="213" spans="1:18" x14ac:dyDescent="0.25">
      <c r="A213" t="s">
        <v>37</v>
      </c>
      <c r="B213" s="1">
        <v>43643</v>
      </c>
      <c r="C213" t="str">
        <f>"14128"</f>
        <v>14128</v>
      </c>
      <c r="D213" t="s">
        <v>766</v>
      </c>
      <c r="E213" t="s">
        <v>403</v>
      </c>
      <c r="F213" t="str">
        <f t="shared" si="3"/>
        <v>41100000</v>
      </c>
      <c r="G213" t="s">
        <v>867</v>
      </c>
      <c r="H213" t="s">
        <v>868</v>
      </c>
      <c r="I213" s="13" t="s">
        <v>404</v>
      </c>
      <c r="J213" t="s">
        <v>366</v>
      </c>
      <c r="K213" s="1">
        <v>43643</v>
      </c>
      <c r="L213" s="1" t="s">
        <v>405</v>
      </c>
      <c r="N213">
        <v>1</v>
      </c>
      <c r="Q213" s="1">
        <v>43643</v>
      </c>
      <c r="R213">
        <v>15.06</v>
      </c>
    </row>
    <row r="214" spans="1:18" x14ac:dyDescent="0.25">
      <c r="A214" t="s">
        <v>37</v>
      </c>
      <c r="B214" s="1">
        <v>43644</v>
      </c>
      <c r="C214" t="str">
        <f>"14129"</f>
        <v>14129</v>
      </c>
      <c r="D214" t="s">
        <v>767</v>
      </c>
      <c r="E214" t="s">
        <v>406</v>
      </c>
      <c r="F214" t="str">
        <f t="shared" si="3"/>
        <v>41100000</v>
      </c>
      <c r="G214" t="s">
        <v>867</v>
      </c>
      <c r="H214" t="s">
        <v>868</v>
      </c>
      <c r="I214" s="13" t="s">
        <v>407</v>
      </c>
      <c r="J214" t="s">
        <v>373</v>
      </c>
      <c r="K214" s="1">
        <v>43644</v>
      </c>
      <c r="L214" s="1" t="s">
        <v>408</v>
      </c>
      <c r="N214">
        <v>1</v>
      </c>
      <c r="Q214" s="1">
        <v>43647</v>
      </c>
      <c r="R214">
        <v>15.84</v>
      </c>
    </row>
    <row r="215" spans="1:18" x14ac:dyDescent="0.25">
      <c r="A215" t="s">
        <v>37</v>
      </c>
      <c r="B215" s="1">
        <v>43644</v>
      </c>
      <c r="C215" t="str">
        <f>"14130"</f>
        <v>14130</v>
      </c>
      <c r="D215" t="s">
        <v>768</v>
      </c>
      <c r="E215" t="s">
        <v>409</v>
      </c>
      <c r="F215" t="str">
        <f t="shared" si="3"/>
        <v>41100000</v>
      </c>
      <c r="G215" t="s">
        <v>867</v>
      </c>
      <c r="H215" t="s">
        <v>868</v>
      </c>
      <c r="I215" s="13" t="s">
        <v>410</v>
      </c>
      <c r="J215" t="s">
        <v>373</v>
      </c>
      <c r="K215" s="1">
        <v>43644</v>
      </c>
      <c r="L215" s="1" t="s">
        <v>408</v>
      </c>
      <c r="N215">
        <v>1</v>
      </c>
      <c r="Q215" s="1">
        <v>43647</v>
      </c>
      <c r="R215">
        <v>190.92</v>
      </c>
    </row>
    <row r="216" spans="1:18" x14ac:dyDescent="0.25">
      <c r="A216" t="s">
        <v>37</v>
      </c>
      <c r="B216" s="1">
        <v>43646</v>
      </c>
      <c r="C216" t="str">
        <f>"14648"</f>
        <v>14648</v>
      </c>
      <c r="D216" t="s">
        <v>769</v>
      </c>
      <c r="E216" t="s">
        <v>770</v>
      </c>
      <c r="F216" t="str">
        <f t="shared" si="3"/>
        <v>41100000</v>
      </c>
      <c r="G216" t="s">
        <v>867</v>
      </c>
      <c r="H216" t="s">
        <v>868</v>
      </c>
      <c r="I216" s="13" t="s">
        <v>771</v>
      </c>
      <c r="J216" t="s">
        <v>373</v>
      </c>
      <c r="K216" s="1">
        <v>43646</v>
      </c>
      <c r="L216" s="1" t="s">
        <v>772</v>
      </c>
      <c r="N216">
        <v>1</v>
      </c>
      <c r="R216">
        <v>95</v>
      </c>
    </row>
    <row r="217" spans="1:18" x14ac:dyDescent="0.25">
      <c r="A217" t="s">
        <v>37</v>
      </c>
      <c r="B217" s="1">
        <v>43622</v>
      </c>
      <c r="C217" t="str">
        <f>"14151"</f>
        <v>14151</v>
      </c>
      <c r="D217" t="s">
        <v>773</v>
      </c>
      <c r="E217" t="str">
        <f>"19050329"</f>
        <v>19050329</v>
      </c>
      <c r="F217" t="str">
        <f t="shared" si="3"/>
        <v>41100000</v>
      </c>
      <c r="G217" t="s">
        <v>867</v>
      </c>
      <c r="H217" t="s">
        <v>868</v>
      </c>
      <c r="I217" s="13" t="s">
        <v>411</v>
      </c>
      <c r="J217" t="s">
        <v>100</v>
      </c>
      <c r="K217" s="1">
        <v>43692</v>
      </c>
      <c r="L217" s="1"/>
      <c r="N217">
        <v>1</v>
      </c>
      <c r="R217">
        <v>541.08000000000004</v>
      </c>
    </row>
    <row r="218" spans="1:18" x14ac:dyDescent="0.25">
      <c r="A218" t="s">
        <v>37</v>
      </c>
      <c r="B218" s="1">
        <v>43622</v>
      </c>
      <c r="C218" t="str">
        <f>"14152"</f>
        <v>14152</v>
      </c>
      <c r="D218" t="s">
        <v>774</v>
      </c>
      <c r="E218" t="str">
        <f>"19050437"</f>
        <v>19050437</v>
      </c>
      <c r="F218" t="str">
        <f t="shared" si="3"/>
        <v>41100000</v>
      </c>
      <c r="G218" t="s">
        <v>867</v>
      </c>
      <c r="H218" t="s">
        <v>868</v>
      </c>
      <c r="I218" s="13" t="s">
        <v>412</v>
      </c>
      <c r="J218" t="s">
        <v>100</v>
      </c>
      <c r="K218" s="1">
        <v>43692</v>
      </c>
      <c r="L218" s="1"/>
      <c r="N218">
        <v>1</v>
      </c>
      <c r="R218">
        <v>177.96</v>
      </c>
    </row>
    <row r="219" spans="1:18" x14ac:dyDescent="0.25">
      <c r="A219" t="s">
        <v>37</v>
      </c>
      <c r="B219" s="1">
        <v>43629</v>
      </c>
      <c r="C219" t="str">
        <f>"14200"</f>
        <v>14200</v>
      </c>
      <c r="D219" t="s">
        <v>775</v>
      </c>
      <c r="E219" t="str">
        <f>"19060030"</f>
        <v>19060030</v>
      </c>
      <c r="F219" t="str">
        <f t="shared" si="3"/>
        <v>41100000</v>
      </c>
      <c r="G219" t="s">
        <v>867</v>
      </c>
      <c r="H219" t="s">
        <v>868</v>
      </c>
      <c r="I219" s="13" t="s">
        <v>413</v>
      </c>
      <c r="J219" t="s">
        <v>100</v>
      </c>
      <c r="K219" s="1">
        <v>43692</v>
      </c>
      <c r="L219" s="1"/>
      <c r="N219">
        <v>1</v>
      </c>
      <c r="R219">
        <v>501.14</v>
      </c>
    </row>
    <row r="220" spans="1:18" x14ac:dyDescent="0.25">
      <c r="A220" t="s">
        <v>37</v>
      </c>
      <c r="B220" s="1">
        <v>43636</v>
      </c>
      <c r="C220" t="str">
        <f>"14220"</f>
        <v>14220</v>
      </c>
      <c r="D220" t="s">
        <v>776</v>
      </c>
      <c r="E220" t="str">
        <f>"19060140"</f>
        <v>19060140</v>
      </c>
      <c r="F220" t="str">
        <f t="shared" si="3"/>
        <v>41100000</v>
      </c>
      <c r="G220" t="s">
        <v>867</v>
      </c>
      <c r="H220" t="s">
        <v>868</v>
      </c>
      <c r="I220" s="13" t="s">
        <v>414</v>
      </c>
      <c r="J220" t="s">
        <v>100</v>
      </c>
      <c r="K220" s="1">
        <v>43692</v>
      </c>
      <c r="L220" s="1"/>
      <c r="N220">
        <v>1</v>
      </c>
      <c r="R220">
        <v>189.38</v>
      </c>
    </row>
    <row r="221" spans="1:18" x14ac:dyDescent="0.25">
      <c r="A221" t="s">
        <v>37</v>
      </c>
      <c r="B221" s="1">
        <v>43636</v>
      </c>
      <c r="C221" t="str">
        <f>"14240"</f>
        <v>14240</v>
      </c>
      <c r="D221" t="s">
        <v>777</v>
      </c>
      <c r="E221" t="str">
        <f>"19060140"</f>
        <v>19060140</v>
      </c>
      <c r="F221" t="str">
        <f t="shared" si="3"/>
        <v>41100000</v>
      </c>
      <c r="G221" t="s">
        <v>867</v>
      </c>
      <c r="H221" t="s">
        <v>868</v>
      </c>
      <c r="I221" s="13" t="s">
        <v>415</v>
      </c>
      <c r="J221" t="s">
        <v>100</v>
      </c>
      <c r="K221" s="1">
        <v>43692</v>
      </c>
      <c r="L221" s="1"/>
      <c r="N221">
        <v>1</v>
      </c>
      <c r="R221">
        <v>155.74</v>
      </c>
    </row>
    <row r="222" spans="1:18" x14ac:dyDescent="0.25">
      <c r="A222" t="s">
        <v>37</v>
      </c>
      <c r="B222" s="1">
        <v>43643</v>
      </c>
      <c r="C222" t="str">
        <f>"14278"</f>
        <v>14278</v>
      </c>
      <c r="D222" t="s">
        <v>778</v>
      </c>
      <c r="E222" t="str">
        <f>"19060296"</f>
        <v>19060296</v>
      </c>
      <c r="F222" t="str">
        <f t="shared" si="3"/>
        <v>41100000</v>
      </c>
      <c r="G222" t="s">
        <v>867</v>
      </c>
      <c r="H222" t="s">
        <v>868</v>
      </c>
      <c r="I222" s="13" t="s">
        <v>416</v>
      </c>
      <c r="J222" t="s">
        <v>100</v>
      </c>
      <c r="K222" s="1">
        <v>43692</v>
      </c>
      <c r="L222" s="1"/>
      <c r="N222">
        <v>1</v>
      </c>
      <c r="R222">
        <v>332.54</v>
      </c>
    </row>
    <row r="223" spans="1:18" x14ac:dyDescent="0.25">
      <c r="A223" t="s">
        <v>37</v>
      </c>
      <c r="B223" s="1">
        <v>43622</v>
      </c>
      <c r="C223" t="str">
        <f>"14149"</f>
        <v>14149</v>
      </c>
      <c r="D223" t="s">
        <v>779</v>
      </c>
      <c r="E223" t="str">
        <f>"20190522"</f>
        <v>20190522</v>
      </c>
      <c r="F223" t="str">
        <f t="shared" si="3"/>
        <v>41100000</v>
      </c>
      <c r="G223" t="s">
        <v>867</v>
      </c>
      <c r="H223" t="s">
        <v>868</v>
      </c>
      <c r="I223" s="13" t="s">
        <v>417</v>
      </c>
      <c r="J223" t="s">
        <v>103</v>
      </c>
      <c r="K223" s="1">
        <v>43677</v>
      </c>
      <c r="L223" s="1" t="s">
        <v>88</v>
      </c>
      <c r="N223">
        <v>1</v>
      </c>
      <c r="R223">
        <v>218.72</v>
      </c>
    </row>
    <row r="224" spans="1:18" x14ac:dyDescent="0.25">
      <c r="A224" t="s">
        <v>37</v>
      </c>
      <c r="B224" s="1">
        <v>43636</v>
      </c>
      <c r="C224" t="str">
        <f>"14390"</f>
        <v>14390</v>
      </c>
      <c r="D224" t="s">
        <v>780</v>
      </c>
      <c r="E224" t="s">
        <v>418</v>
      </c>
      <c r="F224" t="str">
        <f t="shared" si="3"/>
        <v>41100000</v>
      </c>
      <c r="G224" t="s">
        <v>867</v>
      </c>
      <c r="H224" t="s">
        <v>868</v>
      </c>
      <c r="I224" s="13" t="s">
        <v>419</v>
      </c>
      <c r="J224" t="s">
        <v>120</v>
      </c>
      <c r="K224" s="1">
        <v>43636</v>
      </c>
      <c r="L224" s="1" t="s">
        <v>420</v>
      </c>
      <c r="N224">
        <v>1</v>
      </c>
      <c r="R224">
        <v>103.74</v>
      </c>
    </row>
    <row r="225" spans="1:18" x14ac:dyDescent="0.25">
      <c r="A225" t="s">
        <v>37</v>
      </c>
      <c r="B225" s="1">
        <v>43643</v>
      </c>
      <c r="C225" t="str">
        <f>"14406"</f>
        <v>14406</v>
      </c>
      <c r="D225" t="s">
        <v>781</v>
      </c>
      <c r="E225" t="s">
        <v>421</v>
      </c>
      <c r="F225" t="str">
        <f t="shared" ref="F225:F288" si="4">"41100000"</f>
        <v>41100000</v>
      </c>
      <c r="G225" t="s">
        <v>867</v>
      </c>
      <c r="H225" t="s">
        <v>868</v>
      </c>
      <c r="I225" s="13" t="s">
        <v>422</v>
      </c>
      <c r="J225" t="s">
        <v>120</v>
      </c>
      <c r="K225" s="1">
        <v>43643</v>
      </c>
      <c r="L225" s="1" t="s">
        <v>423</v>
      </c>
      <c r="N225">
        <v>1</v>
      </c>
      <c r="R225">
        <v>34</v>
      </c>
    </row>
    <row r="226" spans="1:18" x14ac:dyDescent="0.25">
      <c r="A226" t="s">
        <v>37</v>
      </c>
      <c r="B226" s="1">
        <v>43622</v>
      </c>
      <c r="C226" t="str">
        <f>"14172"</f>
        <v>14172</v>
      </c>
      <c r="D226" t="s">
        <v>782</v>
      </c>
      <c r="E226" t="s">
        <v>424</v>
      </c>
      <c r="F226" t="str">
        <f t="shared" si="4"/>
        <v>41100000</v>
      </c>
      <c r="G226" t="s">
        <v>867</v>
      </c>
      <c r="H226" t="s">
        <v>868</v>
      </c>
      <c r="I226" s="13" t="s">
        <v>425</v>
      </c>
      <c r="J226" t="s">
        <v>40</v>
      </c>
      <c r="K226" s="1">
        <v>43652</v>
      </c>
      <c r="L226" s="1"/>
      <c r="N226">
        <v>1</v>
      </c>
      <c r="R226">
        <v>404.78</v>
      </c>
    </row>
    <row r="227" spans="1:18" x14ac:dyDescent="0.25">
      <c r="A227" t="s">
        <v>37</v>
      </c>
      <c r="B227" s="1">
        <v>43622</v>
      </c>
      <c r="C227" t="str">
        <f>"14162"</f>
        <v>14162</v>
      </c>
      <c r="D227" t="s">
        <v>783</v>
      </c>
      <c r="E227" t="s">
        <v>426</v>
      </c>
      <c r="F227" t="str">
        <f t="shared" si="4"/>
        <v>41100000</v>
      </c>
      <c r="G227" t="s">
        <v>867</v>
      </c>
      <c r="H227" t="s">
        <v>868</v>
      </c>
      <c r="I227" s="13" t="s">
        <v>427</v>
      </c>
      <c r="J227" t="s">
        <v>40</v>
      </c>
      <c r="K227" s="1">
        <v>43692</v>
      </c>
      <c r="L227" s="1"/>
      <c r="N227">
        <v>1</v>
      </c>
      <c r="R227">
        <v>75.17</v>
      </c>
    </row>
    <row r="228" spans="1:18" x14ac:dyDescent="0.25">
      <c r="A228" t="s">
        <v>37</v>
      </c>
      <c r="B228" s="1">
        <v>43643</v>
      </c>
      <c r="C228" t="str">
        <f>"14277"</f>
        <v>14277</v>
      </c>
      <c r="D228" t="s">
        <v>784</v>
      </c>
      <c r="E228" t="s">
        <v>428</v>
      </c>
      <c r="F228" t="str">
        <f t="shared" si="4"/>
        <v>41100000</v>
      </c>
      <c r="G228" t="s">
        <v>867</v>
      </c>
      <c r="H228" t="s">
        <v>868</v>
      </c>
      <c r="I228" s="13" t="s">
        <v>429</v>
      </c>
      <c r="J228" t="s">
        <v>40</v>
      </c>
      <c r="K228" s="1">
        <v>43687</v>
      </c>
      <c r="L228" s="1"/>
      <c r="N228">
        <v>1</v>
      </c>
      <c r="R228">
        <v>366.62</v>
      </c>
    </row>
    <row r="229" spans="1:18" x14ac:dyDescent="0.25">
      <c r="A229" t="s">
        <v>37</v>
      </c>
      <c r="B229" s="1">
        <v>43636</v>
      </c>
      <c r="C229" t="str">
        <f>"14363"</f>
        <v>14363</v>
      </c>
      <c r="D229" t="s">
        <v>785</v>
      </c>
      <c r="E229" t="s">
        <v>430</v>
      </c>
      <c r="F229" t="str">
        <f t="shared" si="4"/>
        <v>41100000</v>
      </c>
      <c r="G229" t="s">
        <v>867</v>
      </c>
      <c r="H229" t="s">
        <v>868</v>
      </c>
      <c r="I229" s="13" t="s">
        <v>431</v>
      </c>
      <c r="J229" t="s">
        <v>103</v>
      </c>
      <c r="K229" s="1">
        <v>43692</v>
      </c>
      <c r="L229" s="1" t="s">
        <v>220</v>
      </c>
      <c r="N229">
        <v>1</v>
      </c>
      <c r="R229">
        <v>2287.92</v>
      </c>
    </row>
    <row r="230" spans="1:18" x14ac:dyDescent="0.25">
      <c r="A230" t="s">
        <v>37</v>
      </c>
      <c r="B230" s="1">
        <v>43643</v>
      </c>
      <c r="C230" t="str">
        <f>"14425"</f>
        <v>14425</v>
      </c>
      <c r="D230" t="s">
        <v>786</v>
      </c>
      <c r="E230" t="s">
        <v>432</v>
      </c>
      <c r="F230" t="str">
        <f t="shared" si="4"/>
        <v>41100000</v>
      </c>
      <c r="G230" t="s">
        <v>867</v>
      </c>
      <c r="H230" t="s">
        <v>868</v>
      </c>
      <c r="I230" s="13" t="s">
        <v>433</v>
      </c>
      <c r="J230" t="s">
        <v>103</v>
      </c>
      <c r="K230" s="1">
        <v>43692</v>
      </c>
      <c r="L230" s="1" t="s">
        <v>220</v>
      </c>
      <c r="N230">
        <v>1</v>
      </c>
      <c r="R230">
        <v>300.36</v>
      </c>
    </row>
    <row r="231" spans="1:18" x14ac:dyDescent="0.25">
      <c r="A231" t="s">
        <v>37</v>
      </c>
      <c r="B231" s="1">
        <v>43622</v>
      </c>
      <c r="C231" t="str">
        <f>"14164"</f>
        <v>14164</v>
      </c>
      <c r="D231" t="s">
        <v>787</v>
      </c>
      <c r="E231" t="str">
        <f>"201906010062"</f>
        <v>201906010062</v>
      </c>
      <c r="F231" t="str">
        <f t="shared" si="4"/>
        <v>41100000</v>
      </c>
      <c r="G231" t="s">
        <v>867</v>
      </c>
      <c r="H231" t="s">
        <v>868</v>
      </c>
      <c r="I231" s="13" t="s">
        <v>434</v>
      </c>
      <c r="J231" t="s">
        <v>40</v>
      </c>
      <c r="K231" s="1">
        <v>43691</v>
      </c>
      <c r="L231" s="1"/>
      <c r="N231">
        <v>1</v>
      </c>
      <c r="R231">
        <v>140.5</v>
      </c>
    </row>
    <row r="232" spans="1:18" x14ac:dyDescent="0.25">
      <c r="A232" t="s">
        <v>37</v>
      </c>
      <c r="B232" s="1">
        <v>43636</v>
      </c>
      <c r="C232" t="str">
        <f>"14345"</f>
        <v>14345</v>
      </c>
      <c r="D232" t="s">
        <v>788</v>
      </c>
      <c r="E232" t="s">
        <v>435</v>
      </c>
      <c r="F232" t="str">
        <f t="shared" si="4"/>
        <v>41100000</v>
      </c>
      <c r="G232" t="s">
        <v>867</v>
      </c>
      <c r="H232" t="s">
        <v>868</v>
      </c>
      <c r="I232" s="13" t="s">
        <v>436</v>
      </c>
      <c r="J232" t="s">
        <v>40</v>
      </c>
      <c r="K232" s="1">
        <v>43677</v>
      </c>
      <c r="L232" s="1" t="s">
        <v>220</v>
      </c>
      <c r="N232">
        <v>1</v>
      </c>
      <c r="Q232" s="1">
        <v>43655</v>
      </c>
      <c r="R232">
        <v>5500.8</v>
      </c>
    </row>
    <row r="233" spans="1:18" x14ac:dyDescent="0.25">
      <c r="A233" t="s">
        <v>37</v>
      </c>
      <c r="B233" s="1">
        <v>43622</v>
      </c>
      <c r="C233" t="str">
        <f>"14317"</f>
        <v>14317</v>
      </c>
      <c r="D233" t="s">
        <v>789</v>
      </c>
      <c r="E233" t="str">
        <f>"139526"</f>
        <v>139526</v>
      </c>
      <c r="F233" t="str">
        <f t="shared" si="4"/>
        <v>41100000</v>
      </c>
      <c r="G233" t="s">
        <v>867</v>
      </c>
      <c r="H233" t="s">
        <v>868</v>
      </c>
      <c r="I233" s="13" t="s">
        <v>437</v>
      </c>
      <c r="J233" t="s">
        <v>40</v>
      </c>
      <c r="K233" s="1">
        <v>43677</v>
      </c>
      <c r="L233" s="1"/>
      <c r="N233">
        <v>1</v>
      </c>
      <c r="R233">
        <v>96.26</v>
      </c>
    </row>
    <row r="234" spans="1:18" x14ac:dyDescent="0.25">
      <c r="A234" t="s">
        <v>37</v>
      </c>
      <c r="B234" s="1">
        <v>43629</v>
      </c>
      <c r="C234" t="str">
        <f>"14331"</f>
        <v>14331</v>
      </c>
      <c r="D234" t="s">
        <v>790</v>
      </c>
      <c r="E234" t="str">
        <f>"139553"</f>
        <v>139553</v>
      </c>
      <c r="F234" t="str">
        <f t="shared" si="4"/>
        <v>41100000</v>
      </c>
      <c r="G234" t="s">
        <v>867</v>
      </c>
      <c r="H234" t="s">
        <v>868</v>
      </c>
      <c r="I234" s="13" t="s">
        <v>438</v>
      </c>
      <c r="J234" t="s">
        <v>40</v>
      </c>
      <c r="K234" s="1">
        <v>43677</v>
      </c>
      <c r="L234" s="1"/>
      <c r="N234">
        <v>1</v>
      </c>
      <c r="R234">
        <v>446.81</v>
      </c>
    </row>
    <row r="235" spans="1:18" x14ac:dyDescent="0.25">
      <c r="A235" t="s">
        <v>37</v>
      </c>
      <c r="B235" s="1">
        <v>43636</v>
      </c>
      <c r="C235" t="str">
        <f>"14359"</f>
        <v>14359</v>
      </c>
      <c r="D235" t="s">
        <v>791</v>
      </c>
      <c r="E235" t="str">
        <f>"139532"</f>
        <v>139532</v>
      </c>
      <c r="F235" t="str">
        <f t="shared" si="4"/>
        <v>41100000</v>
      </c>
      <c r="G235" t="s">
        <v>867</v>
      </c>
      <c r="H235" t="s">
        <v>868</v>
      </c>
      <c r="I235" s="13" t="s">
        <v>439</v>
      </c>
      <c r="J235" t="s">
        <v>40</v>
      </c>
      <c r="K235" s="1">
        <v>43677</v>
      </c>
      <c r="L235" s="1"/>
      <c r="N235">
        <v>1</v>
      </c>
      <c r="R235">
        <v>109.39</v>
      </c>
    </row>
    <row r="236" spans="1:18" x14ac:dyDescent="0.25">
      <c r="A236" t="s">
        <v>37</v>
      </c>
      <c r="B236" s="1">
        <v>43643</v>
      </c>
      <c r="C236" t="str">
        <f>"14413"</f>
        <v>14413</v>
      </c>
      <c r="D236" t="s">
        <v>792</v>
      </c>
      <c r="E236" t="s">
        <v>440</v>
      </c>
      <c r="F236" t="str">
        <f t="shared" si="4"/>
        <v>41100000</v>
      </c>
      <c r="G236" t="s">
        <v>867</v>
      </c>
      <c r="H236" t="s">
        <v>868</v>
      </c>
      <c r="I236" s="13" t="s">
        <v>441</v>
      </c>
      <c r="J236" t="s">
        <v>40</v>
      </c>
      <c r="K236" s="1">
        <v>43677</v>
      </c>
      <c r="L236" s="1"/>
      <c r="N236">
        <v>1</v>
      </c>
      <c r="R236">
        <v>177.6</v>
      </c>
    </row>
    <row r="237" spans="1:18" x14ac:dyDescent="0.25">
      <c r="A237" t="s">
        <v>37</v>
      </c>
      <c r="B237" s="1">
        <v>43643</v>
      </c>
      <c r="C237" t="str">
        <f>"14269"</f>
        <v>14269</v>
      </c>
      <c r="D237" t="s">
        <v>793</v>
      </c>
      <c r="E237" t="s">
        <v>442</v>
      </c>
      <c r="F237" t="str">
        <f t="shared" si="4"/>
        <v>41100000</v>
      </c>
      <c r="G237" t="s">
        <v>867</v>
      </c>
      <c r="H237" t="s">
        <v>868</v>
      </c>
      <c r="I237" s="13" t="s">
        <v>443</v>
      </c>
      <c r="J237" t="s">
        <v>40</v>
      </c>
      <c r="K237" s="1">
        <v>43692</v>
      </c>
      <c r="L237" s="1"/>
      <c r="N237">
        <v>1</v>
      </c>
      <c r="R237">
        <v>16.920000000000002</v>
      </c>
    </row>
    <row r="238" spans="1:18" x14ac:dyDescent="0.25">
      <c r="A238" t="s">
        <v>37</v>
      </c>
      <c r="B238" s="1">
        <v>43636</v>
      </c>
      <c r="C238" t="str">
        <f>"14217"</f>
        <v>14217</v>
      </c>
      <c r="D238" t="s">
        <v>794</v>
      </c>
      <c r="E238" t="s">
        <v>444</v>
      </c>
      <c r="F238" t="str">
        <f t="shared" si="4"/>
        <v>41100000</v>
      </c>
      <c r="G238" t="s">
        <v>867</v>
      </c>
      <c r="H238" t="s">
        <v>868</v>
      </c>
      <c r="I238" s="13" t="s">
        <v>445</v>
      </c>
      <c r="J238" t="s">
        <v>40</v>
      </c>
      <c r="K238" s="1">
        <v>43691</v>
      </c>
      <c r="L238" s="1"/>
      <c r="N238">
        <v>1</v>
      </c>
      <c r="R238">
        <v>151.19999999999999</v>
      </c>
    </row>
    <row r="239" spans="1:18" x14ac:dyDescent="0.25">
      <c r="A239" t="s">
        <v>37</v>
      </c>
      <c r="B239" s="1">
        <v>43636</v>
      </c>
      <c r="C239" t="str">
        <f>"14242"</f>
        <v>14242</v>
      </c>
      <c r="D239" t="s">
        <v>795</v>
      </c>
      <c r="E239" t="s">
        <v>446</v>
      </c>
      <c r="F239" t="str">
        <f t="shared" si="4"/>
        <v>41100000</v>
      </c>
      <c r="G239" t="s">
        <v>867</v>
      </c>
      <c r="H239" t="s">
        <v>868</v>
      </c>
      <c r="I239" s="13" t="s">
        <v>447</v>
      </c>
      <c r="J239" t="s">
        <v>40</v>
      </c>
      <c r="K239" s="1">
        <v>43691</v>
      </c>
      <c r="L239" s="1"/>
      <c r="N239">
        <v>1</v>
      </c>
      <c r="R239">
        <v>283.68</v>
      </c>
    </row>
    <row r="240" spans="1:18" x14ac:dyDescent="0.25">
      <c r="A240" t="s">
        <v>37</v>
      </c>
      <c r="B240" s="1">
        <v>43622</v>
      </c>
      <c r="C240" t="str">
        <f>"14312"</f>
        <v>14312</v>
      </c>
      <c r="D240" t="s">
        <v>796</v>
      </c>
      <c r="E240" t="str">
        <f>"4500070090"</f>
        <v>4500070090</v>
      </c>
      <c r="F240" t="str">
        <f t="shared" si="4"/>
        <v>41100000</v>
      </c>
      <c r="G240" t="s">
        <v>867</v>
      </c>
      <c r="H240" t="s">
        <v>868</v>
      </c>
      <c r="I240" s="13" t="s">
        <v>448</v>
      </c>
      <c r="J240" t="s">
        <v>40</v>
      </c>
      <c r="K240" s="1">
        <v>43687</v>
      </c>
      <c r="L240" s="1"/>
      <c r="N240">
        <v>1</v>
      </c>
      <c r="R240">
        <v>762.85</v>
      </c>
    </row>
    <row r="241" spans="1:18" x14ac:dyDescent="0.25">
      <c r="A241" t="s">
        <v>37</v>
      </c>
      <c r="B241" s="1">
        <v>43644</v>
      </c>
      <c r="C241" t="str">
        <f>"14435"</f>
        <v>14435</v>
      </c>
      <c r="D241" t="s">
        <v>797</v>
      </c>
      <c r="E241" t="str">
        <f>"4500071356"</f>
        <v>4500071356</v>
      </c>
      <c r="F241" t="str">
        <f t="shared" si="4"/>
        <v>41100000</v>
      </c>
      <c r="G241" t="s">
        <v>867</v>
      </c>
      <c r="H241" t="s">
        <v>868</v>
      </c>
      <c r="I241" s="13" t="s">
        <v>449</v>
      </c>
      <c r="J241" t="s">
        <v>40</v>
      </c>
      <c r="K241" s="1">
        <v>43687</v>
      </c>
      <c r="L241" s="1"/>
      <c r="N241">
        <v>1</v>
      </c>
      <c r="R241">
        <v>139.19999999999999</v>
      </c>
    </row>
    <row r="242" spans="1:18" x14ac:dyDescent="0.25">
      <c r="A242" t="s">
        <v>37</v>
      </c>
      <c r="B242" s="1">
        <v>43629</v>
      </c>
      <c r="C242" t="str">
        <f>"14182"</f>
        <v>14182</v>
      </c>
      <c r="D242" t="s">
        <v>798</v>
      </c>
      <c r="E242" t="s">
        <v>450</v>
      </c>
      <c r="F242" t="str">
        <f t="shared" si="4"/>
        <v>41100000</v>
      </c>
      <c r="G242" t="s">
        <v>867</v>
      </c>
      <c r="H242" t="s">
        <v>868</v>
      </c>
      <c r="I242" s="13" t="s">
        <v>451</v>
      </c>
      <c r="J242" t="s">
        <v>40</v>
      </c>
      <c r="K242" s="1">
        <v>43691</v>
      </c>
      <c r="L242" s="1"/>
      <c r="N242">
        <v>1</v>
      </c>
      <c r="R242">
        <v>728.4</v>
      </c>
    </row>
    <row r="243" spans="1:18" x14ac:dyDescent="0.25">
      <c r="A243" t="s">
        <v>37</v>
      </c>
      <c r="B243" s="1">
        <v>43622</v>
      </c>
      <c r="C243" t="str">
        <f>"13972"</f>
        <v>13972</v>
      </c>
      <c r="D243" t="s">
        <v>799</v>
      </c>
      <c r="E243" t="s">
        <v>452</v>
      </c>
      <c r="F243" t="str">
        <f t="shared" si="4"/>
        <v>41100000</v>
      </c>
      <c r="G243" t="s">
        <v>867</v>
      </c>
      <c r="H243" t="s">
        <v>868</v>
      </c>
      <c r="I243" s="13" t="s">
        <v>453</v>
      </c>
      <c r="J243" t="s">
        <v>40</v>
      </c>
      <c r="K243" s="1">
        <v>43652</v>
      </c>
      <c r="L243" s="1" t="s">
        <v>50</v>
      </c>
      <c r="N243">
        <v>1</v>
      </c>
      <c r="Q243" s="1">
        <v>43642</v>
      </c>
      <c r="R243">
        <v>48.91</v>
      </c>
    </row>
    <row r="244" spans="1:18" x14ac:dyDescent="0.25">
      <c r="A244" t="s">
        <v>37</v>
      </c>
      <c r="B244" s="1">
        <v>43622</v>
      </c>
      <c r="C244" t="str">
        <f>"13973"</f>
        <v>13973</v>
      </c>
      <c r="D244" t="s">
        <v>800</v>
      </c>
      <c r="E244" t="s">
        <v>452</v>
      </c>
      <c r="F244" t="str">
        <f t="shared" si="4"/>
        <v>41100000</v>
      </c>
      <c r="G244" t="s">
        <v>867</v>
      </c>
      <c r="H244" t="s">
        <v>868</v>
      </c>
      <c r="I244" s="13" t="s">
        <v>454</v>
      </c>
      <c r="J244" t="s">
        <v>40</v>
      </c>
      <c r="K244" s="1">
        <v>43652</v>
      </c>
      <c r="L244" s="1" t="s">
        <v>50</v>
      </c>
      <c r="N244">
        <v>1</v>
      </c>
      <c r="Q244" s="1">
        <v>43642</v>
      </c>
      <c r="R244">
        <v>48.91</v>
      </c>
    </row>
    <row r="245" spans="1:18" x14ac:dyDescent="0.25">
      <c r="A245" t="s">
        <v>37</v>
      </c>
      <c r="B245" s="1">
        <v>43636</v>
      </c>
      <c r="C245" t="str">
        <f>"13974"</f>
        <v>13974</v>
      </c>
      <c r="D245" t="s">
        <v>801</v>
      </c>
      <c r="E245" t="s">
        <v>455</v>
      </c>
      <c r="F245" t="str">
        <f t="shared" si="4"/>
        <v>41100000</v>
      </c>
      <c r="G245" t="s">
        <v>867</v>
      </c>
      <c r="H245" t="s">
        <v>868</v>
      </c>
      <c r="I245" s="13" t="s">
        <v>456</v>
      </c>
      <c r="J245" t="s">
        <v>40</v>
      </c>
      <c r="K245" s="1">
        <v>43666</v>
      </c>
      <c r="L245" s="1"/>
      <c r="N245">
        <v>1</v>
      </c>
      <c r="R245">
        <v>831.98</v>
      </c>
    </row>
    <row r="246" spans="1:18" x14ac:dyDescent="0.25">
      <c r="A246" t="s">
        <v>37</v>
      </c>
      <c r="B246" s="1">
        <v>43636</v>
      </c>
      <c r="C246" t="str">
        <f>"13975"</f>
        <v>13975</v>
      </c>
      <c r="D246" t="s">
        <v>802</v>
      </c>
      <c r="E246" t="s">
        <v>455</v>
      </c>
      <c r="F246" t="str">
        <f t="shared" si="4"/>
        <v>41100000</v>
      </c>
      <c r="G246" t="s">
        <v>867</v>
      </c>
      <c r="H246" t="s">
        <v>868</v>
      </c>
      <c r="I246" s="13" t="s">
        <v>457</v>
      </c>
      <c r="J246" t="s">
        <v>40</v>
      </c>
      <c r="K246" s="1">
        <v>43666</v>
      </c>
      <c r="L246" s="1"/>
      <c r="N246">
        <v>1</v>
      </c>
      <c r="R246">
        <v>535.20000000000005</v>
      </c>
    </row>
    <row r="247" spans="1:18" x14ac:dyDescent="0.25">
      <c r="A247" t="s">
        <v>37</v>
      </c>
      <c r="B247" s="1">
        <v>43636</v>
      </c>
      <c r="C247" t="str">
        <f>"13976"</f>
        <v>13976</v>
      </c>
      <c r="D247" t="s">
        <v>803</v>
      </c>
      <c r="E247" t="s">
        <v>455</v>
      </c>
      <c r="F247" t="str">
        <f t="shared" si="4"/>
        <v>41100000</v>
      </c>
      <c r="G247" t="s">
        <v>867</v>
      </c>
      <c r="H247" t="s">
        <v>868</v>
      </c>
      <c r="I247" s="13" t="s">
        <v>458</v>
      </c>
      <c r="J247" t="s">
        <v>40</v>
      </c>
      <c r="K247" s="1">
        <v>43666</v>
      </c>
      <c r="L247" s="1"/>
      <c r="N247">
        <v>1</v>
      </c>
      <c r="R247">
        <v>393.55</v>
      </c>
    </row>
    <row r="248" spans="1:18" x14ac:dyDescent="0.25">
      <c r="A248" t="s">
        <v>37</v>
      </c>
      <c r="B248" s="1">
        <v>43643</v>
      </c>
      <c r="C248" t="str">
        <f>"14272"</f>
        <v>14272</v>
      </c>
      <c r="D248" t="s">
        <v>804</v>
      </c>
      <c r="E248" t="s">
        <v>455</v>
      </c>
      <c r="F248" t="str">
        <f t="shared" si="4"/>
        <v>41100000</v>
      </c>
      <c r="G248" t="s">
        <v>867</v>
      </c>
      <c r="H248" t="s">
        <v>868</v>
      </c>
      <c r="I248" s="13" t="s">
        <v>459</v>
      </c>
      <c r="J248" t="s">
        <v>40</v>
      </c>
      <c r="K248" s="1">
        <v>43673</v>
      </c>
      <c r="L248" s="1"/>
      <c r="N248">
        <v>1</v>
      </c>
      <c r="R248">
        <v>1667.88</v>
      </c>
    </row>
    <row r="249" spans="1:18" x14ac:dyDescent="0.25">
      <c r="A249" t="s">
        <v>37</v>
      </c>
      <c r="B249" s="1">
        <v>43629</v>
      </c>
      <c r="C249" t="str">
        <f>"14189"</f>
        <v>14189</v>
      </c>
      <c r="D249" t="s">
        <v>805</v>
      </c>
      <c r="E249" t="s">
        <v>460</v>
      </c>
      <c r="F249" t="str">
        <f t="shared" si="4"/>
        <v>41100000</v>
      </c>
      <c r="G249" t="s">
        <v>867</v>
      </c>
      <c r="H249" t="s">
        <v>868</v>
      </c>
      <c r="I249" s="13" t="s">
        <v>461</v>
      </c>
      <c r="J249" t="s">
        <v>40</v>
      </c>
      <c r="K249" s="1">
        <v>43677</v>
      </c>
      <c r="L249" s="1"/>
      <c r="N249">
        <v>1</v>
      </c>
      <c r="R249">
        <v>367.2</v>
      </c>
    </row>
    <row r="250" spans="1:18" x14ac:dyDescent="0.25">
      <c r="A250" t="s">
        <v>37</v>
      </c>
      <c r="B250" s="1">
        <v>43643</v>
      </c>
      <c r="C250" t="str">
        <f>"14264"</f>
        <v>14264</v>
      </c>
      <c r="D250" t="s">
        <v>806</v>
      </c>
      <c r="E250" t="s">
        <v>462</v>
      </c>
      <c r="F250" t="str">
        <f t="shared" si="4"/>
        <v>41100000</v>
      </c>
      <c r="G250" t="s">
        <v>867</v>
      </c>
      <c r="H250" t="s">
        <v>868</v>
      </c>
      <c r="I250" s="13" t="s">
        <v>463</v>
      </c>
      <c r="J250" t="s">
        <v>40</v>
      </c>
      <c r="K250" s="1">
        <v>43677</v>
      </c>
      <c r="L250" s="1"/>
      <c r="N250">
        <v>1</v>
      </c>
      <c r="R250">
        <v>125.52</v>
      </c>
    </row>
    <row r="251" spans="1:18" x14ac:dyDescent="0.25">
      <c r="A251" t="s">
        <v>37</v>
      </c>
      <c r="B251" s="1">
        <v>43636</v>
      </c>
      <c r="C251" t="str">
        <f>"14350"</f>
        <v>14350</v>
      </c>
      <c r="D251" t="s">
        <v>807</v>
      </c>
      <c r="E251" t="s">
        <v>464</v>
      </c>
      <c r="F251" t="str">
        <f t="shared" si="4"/>
        <v>41100000</v>
      </c>
      <c r="G251" t="s">
        <v>867</v>
      </c>
      <c r="H251" t="s">
        <v>868</v>
      </c>
      <c r="I251" s="13" t="s">
        <v>465</v>
      </c>
      <c r="J251" t="s">
        <v>40</v>
      </c>
      <c r="K251" s="1">
        <v>43636</v>
      </c>
      <c r="L251" s="1" t="s">
        <v>88</v>
      </c>
      <c r="N251">
        <v>1</v>
      </c>
      <c r="Q251" s="1">
        <v>43615</v>
      </c>
      <c r="R251">
        <v>165.65</v>
      </c>
    </row>
    <row r="252" spans="1:18" x14ac:dyDescent="0.25">
      <c r="A252" t="s">
        <v>37</v>
      </c>
      <c r="B252" s="1">
        <v>43622</v>
      </c>
      <c r="C252" t="str">
        <f>"13704"</f>
        <v>13704</v>
      </c>
      <c r="D252" t="s">
        <v>808</v>
      </c>
      <c r="E252" t="s">
        <v>466</v>
      </c>
      <c r="F252" t="str">
        <f t="shared" si="4"/>
        <v>41100000</v>
      </c>
      <c r="G252" t="s">
        <v>867</v>
      </c>
      <c r="H252" t="s">
        <v>868</v>
      </c>
      <c r="I252" s="13" t="s">
        <v>467</v>
      </c>
      <c r="J252" t="s">
        <v>40</v>
      </c>
      <c r="K252" s="1">
        <v>43683</v>
      </c>
      <c r="L252" s="1" t="s">
        <v>104</v>
      </c>
      <c r="N252">
        <v>1</v>
      </c>
      <c r="Q252" s="1">
        <v>43607</v>
      </c>
      <c r="R252">
        <v>670.32</v>
      </c>
    </row>
    <row r="253" spans="1:18" x14ac:dyDescent="0.25">
      <c r="A253" t="s">
        <v>37</v>
      </c>
      <c r="B253" s="1">
        <v>43622</v>
      </c>
      <c r="C253" t="str">
        <f>"14160"</f>
        <v>14160</v>
      </c>
      <c r="D253" t="s">
        <v>809</v>
      </c>
      <c r="E253" t="str">
        <f>"19362"</f>
        <v>19362</v>
      </c>
      <c r="F253" t="str">
        <f t="shared" si="4"/>
        <v>41100000</v>
      </c>
      <c r="G253" t="s">
        <v>867</v>
      </c>
      <c r="H253" t="s">
        <v>868</v>
      </c>
      <c r="I253" s="13" t="s">
        <v>468</v>
      </c>
      <c r="J253" t="s">
        <v>40</v>
      </c>
      <c r="K253" s="1">
        <v>43677</v>
      </c>
      <c r="L253" s="1"/>
      <c r="N253">
        <v>1</v>
      </c>
      <c r="R253">
        <v>69.900000000000006</v>
      </c>
    </row>
    <row r="254" spans="1:18" x14ac:dyDescent="0.25">
      <c r="A254" t="s">
        <v>37</v>
      </c>
      <c r="B254" s="1">
        <v>43636</v>
      </c>
      <c r="C254" t="str">
        <f>"14360"</f>
        <v>14360</v>
      </c>
      <c r="D254" t="s">
        <v>810</v>
      </c>
      <c r="E254" t="str">
        <f>"19471"</f>
        <v>19471</v>
      </c>
      <c r="F254" t="str">
        <f t="shared" si="4"/>
        <v>41100000</v>
      </c>
      <c r="G254" t="s">
        <v>867</v>
      </c>
      <c r="H254" t="s">
        <v>868</v>
      </c>
      <c r="I254" s="13" t="s">
        <v>469</v>
      </c>
      <c r="J254" t="s">
        <v>40</v>
      </c>
      <c r="K254" s="1">
        <v>43677</v>
      </c>
      <c r="L254" s="1"/>
      <c r="N254">
        <v>1</v>
      </c>
      <c r="R254">
        <v>402.17</v>
      </c>
    </row>
    <row r="255" spans="1:18" x14ac:dyDescent="0.25">
      <c r="A255" t="s">
        <v>37</v>
      </c>
      <c r="B255" s="1">
        <v>43636</v>
      </c>
      <c r="C255" t="str">
        <f>"14234"</f>
        <v>14234</v>
      </c>
      <c r="D255" t="s">
        <v>811</v>
      </c>
      <c r="E255" t="s">
        <v>470</v>
      </c>
      <c r="F255" t="str">
        <f t="shared" si="4"/>
        <v>41100000</v>
      </c>
      <c r="G255" t="s">
        <v>867</v>
      </c>
      <c r="H255" t="s">
        <v>868</v>
      </c>
      <c r="I255" s="13" t="s">
        <v>471</v>
      </c>
      <c r="J255" t="s">
        <v>40</v>
      </c>
      <c r="K255" s="1">
        <v>43708</v>
      </c>
      <c r="L255" s="1"/>
      <c r="N255">
        <v>1</v>
      </c>
      <c r="R255">
        <v>594.24</v>
      </c>
    </row>
    <row r="256" spans="1:18" x14ac:dyDescent="0.25">
      <c r="A256" t="s">
        <v>37</v>
      </c>
      <c r="B256" s="1">
        <v>43622</v>
      </c>
      <c r="C256" t="str">
        <f>"14320"</f>
        <v>14320</v>
      </c>
      <c r="D256" t="s">
        <v>812</v>
      </c>
      <c r="E256" t="s">
        <v>472</v>
      </c>
      <c r="F256" t="str">
        <f t="shared" si="4"/>
        <v>41100000</v>
      </c>
      <c r="G256" t="s">
        <v>867</v>
      </c>
      <c r="H256" t="s">
        <v>868</v>
      </c>
      <c r="I256" s="13" t="s">
        <v>473</v>
      </c>
      <c r="J256" t="s">
        <v>103</v>
      </c>
      <c r="K256" s="1">
        <v>43692</v>
      </c>
      <c r="L256" s="1" t="s">
        <v>84</v>
      </c>
      <c r="N256">
        <v>1</v>
      </c>
      <c r="R256">
        <v>4790.5200000000004</v>
      </c>
    </row>
    <row r="257" spans="1:18" x14ac:dyDescent="0.25">
      <c r="A257" t="s">
        <v>37</v>
      </c>
      <c r="B257" s="1">
        <v>43636</v>
      </c>
      <c r="C257" t="str">
        <f>"14404"</f>
        <v>14404</v>
      </c>
      <c r="D257" t="s">
        <v>813</v>
      </c>
      <c r="E257" t="str">
        <f>"1388"</f>
        <v>1388</v>
      </c>
      <c r="F257" t="str">
        <f t="shared" si="4"/>
        <v>41100000</v>
      </c>
      <c r="G257" t="s">
        <v>867</v>
      </c>
      <c r="H257" t="s">
        <v>868</v>
      </c>
      <c r="I257" s="13" t="s">
        <v>474</v>
      </c>
      <c r="J257" t="s">
        <v>103</v>
      </c>
      <c r="K257" s="1">
        <v>43692</v>
      </c>
      <c r="L257" s="1" t="s">
        <v>84</v>
      </c>
      <c r="N257">
        <v>1</v>
      </c>
      <c r="R257">
        <v>1273.3599999999999</v>
      </c>
    </row>
    <row r="258" spans="1:18" x14ac:dyDescent="0.25">
      <c r="A258" t="s">
        <v>37</v>
      </c>
      <c r="B258" s="1">
        <v>43643</v>
      </c>
      <c r="C258" t="str">
        <f>"14430"</f>
        <v>14430</v>
      </c>
      <c r="D258" t="s">
        <v>814</v>
      </c>
      <c r="E258" t="str">
        <f>"1403"</f>
        <v>1403</v>
      </c>
      <c r="F258" t="str">
        <f t="shared" si="4"/>
        <v>41100000</v>
      </c>
      <c r="G258" t="s">
        <v>867</v>
      </c>
      <c r="H258" t="s">
        <v>868</v>
      </c>
      <c r="I258" s="13" t="s">
        <v>475</v>
      </c>
      <c r="J258" t="s">
        <v>103</v>
      </c>
      <c r="K258" s="1">
        <v>43692</v>
      </c>
      <c r="L258" s="1" t="s">
        <v>84</v>
      </c>
      <c r="N258">
        <v>1</v>
      </c>
      <c r="R258">
        <v>3491.52</v>
      </c>
    </row>
    <row r="259" spans="1:18" x14ac:dyDescent="0.25">
      <c r="A259" t="s">
        <v>37</v>
      </c>
      <c r="B259" s="1">
        <v>43643</v>
      </c>
      <c r="C259" t="str">
        <f>"14431"</f>
        <v>14431</v>
      </c>
      <c r="D259" t="s">
        <v>815</v>
      </c>
      <c r="E259" t="str">
        <f>"1391"</f>
        <v>1391</v>
      </c>
      <c r="F259" t="str">
        <f t="shared" si="4"/>
        <v>41100000</v>
      </c>
      <c r="G259" t="s">
        <v>867</v>
      </c>
      <c r="H259" t="s">
        <v>868</v>
      </c>
      <c r="I259" s="13" t="s">
        <v>476</v>
      </c>
      <c r="J259" t="s">
        <v>103</v>
      </c>
      <c r="K259" s="1">
        <v>43692</v>
      </c>
      <c r="L259" s="1" t="s">
        <v>84</v>
      </c>
      <c r="N259">
        <v>1</v>
      </c>
      <c r="R259">
        <v>61.68</v>
      </c>
    </row>
    <row r="260" spans="1:18" x14ac:dyDescent="0.25">
      <c r="A260" t="s">
        <v>37</v>
      </c>
      <c r="B260" s="1">
        <v>43636</v>
      </c>
      <c r="C260" t="str">
        <f>"14224"</f>
        <v>14224</v>
      </c>
      <c r="D260" t="s">
        <v>816</v>
      </c>
      <c r="E260" t="s">
        <v>263</v>
      </c>
      <c r="F260" t="str">
        <f t="shared" si="4"/>
        <v>41100000</v>
      </c>
      <c r="G260" t="s">
        <v>867</v>
      </c>
      <c r="H260" t="s">
        <v>868</v>
      </c>
      <c r="I260" s="13" t="s">
        <v>477</v>
      </c>
      <c r="J260" t="s">
        <v>40</v>
      </c>
      <c r="K260" s="1">
        <v>43677</v>
      </c>
      <c r="L260" s="1"/>
      <c r="N260">
        <v>1</v>
      </c>
      <c r="R260">
        <v>69.12</v>
      </c>
    </row>
    <row r="261" spans="1:18" x14ac:dyDescent="0.25">
      <c r="A261" t="s">
        <v>37</v>
      </c>
      <c r="B261" s="1">
        <v>43629</v>
      </c>
      <c r="C261" t="str">
        <f>"14193"</f>
        <v>14193</v>
      </c>
      <c r="D261" t="s">
        <v>817</v>
      </c>
      <c r="E261" t="s">
        <v>478</v>
      </c>
      <c r="F261" t="str">
        <f t="shared" si="4"/>
        <v>41100000</v>
      </c>
      <c r="G261" t="s">
        <v>867</v>
      </c>
      <c r="H261" t="s">
        <v>868</v>
      </c>
      <c r="I261" s="13" t="s">
        <v>479</v>
      </c>
      <c r="J261" t="s">
        <v>120</v>
      </c>
      <c r="K261" s="1">
        <v>43692</v>
      </c>
      <c r="L261" s="1"/>
      <c r="N261">
        <v>1</v>
      </c>
      <c r="R261">
        <v>175.2</v>
      </c>
    </row>
    <row r="262" spans="1:18" x14ac:dyDescent="0.25">
      <c r="A262" t="s">
        <v>37</v>
      </c>
      <c r="B262" s="1">
        <v>43622</v>
      </c>
      <c r="C262" t="str">
        <f>"14310"</f>
        <v>14310</v>
      </c>
      <c r="D262" t="s">
        <v>818</v>
      </c>
      <c r="E262" t="s">
        <v>480</v>
      </c>
      <c r="F262" t="str">
        <f t="shared" si="4"/>
        <v>41100000</v>
      </c>
      <c r="G262" t="s">
        <v>867</v>
      </c>
      <c r="H262" t="s">
        <v>868</v>
      </c>
      <c r="I262" s="13" t="s">
        <v>481</v>
      </c>
      <c r="J262" t="s">
        <v>40</v>
      </c>
      <c r="K262" s="1">
        <v>43677</v>
      </c>
      <c r="L262" s="1"/>
      <c r="N262">
        <v>1</v>
      </c>
      <c r="R262">
        <v>119.04</v>
      </c>
    </row>
    <row r="263" spans="1:18" x14ac:dyDescent="0.25">
      <c r="A263" t="s">
        <v>37</v>
      </c>
      <c r="B263" s="1">
        <v>43629</v>
      </c>
      <c r="C263" t="str">
        <f>"14335"</f>
        <v>14335</v>
      </c>
      <c r="D263" t="s">
        <v>819</v>
      </c>
      <c r="E263" t="s">
        <v>482</v>
      </c>
      <c r="F263" t="str">
        <f t="shared" si="4"/>
        <v>41100000</v>
      </c>
      <c r="G263" t="s">
        <v>867</v>
      </c>
      <c r="H263" t="s">
        <v>868</v>
      </c>
      <c r="I263" s="13" t="s">
        <v>483</v>
      </c>
      <c r="J263" t="s">
        <v>40</v>
      </c>
      <c r="K263" s="1">
        <v>43677</v>
      </c>
      <c r="L263" s="1" t="s">
        <v>220</v>
      </c>
      <c r="N263">
        <v>1</v>
      </c>
      <c r="R263">
        <v>765.97</v>
      </c>
    </row>
    <row r="264" spans="1:18" x14ac:dyDescent="0.25">
      <c r="A264" t="s">
        <v>37</v>
      </c>
      <c r="B264" s="1">
        <v>43622</v>
      </c>
      <c r="C264" t="str">
        <f>"14313"</f>
        <v>14313</v>
      </c>
      <c r="D264" t="s">
        <v>820</v>
      </c>
      <c r="E264" t="str">
        <f>"565149"</f>
        <v>565149</v>
      </c>
      <c r="F264" t="str">
        <f t="shared" si="4"/>
        <v>41100000</v>
      </c>
      <c r="G264" t="s">
        <v>867</v>
      </c>
      <c r="H264" t="s">
        <v>868</v>
      </c>
      <c r="I264" s="13" t="s">
        <v>484</v>
      </c>
      <c r="J264" t="s">
        <v>40</v>
      </c>
      <c r="K264" s="1">
        <v>43683</v>
      </c>
      <c r="L264" s="1" t="s">
        <v>84</v>
      </c>
      <c r="N264">
        <v>1</v>
      </c>
      <c r="R264">
        <v>915</v>
      </c>
    </row>
    <row r="265" spans="1:18" x14ac:dyDescent="0.25">
      <c r="A265" t="s">
        <v>37</v>
      </c>
      <c r="B265" s="1">
        <v>43629</v>
      </c>
      <c r="C265" t="str">
        <f>"14338"</f>
        <v>14338</v>
      </c>
      <c r="D265" t="s">
        <v>821</v>
      </c>
      <c r="E265" t="str">
        <f>"565426"</f>
        <v>565426</v>
      </c>
      <c r="F265" t="str">
        <f t="shared" si="4"/>
        <v>41100000</v>
      </c>
      <c r="G265" t="s">
        <v>867</v>
      </c>
      <c r="H265" t="s">
        <v>868</v>
      </c>
      <c r="I265" s="13" t="s">
        <v>485</v>
      </c>
      <c r="J265" t="s">
        <v>40</v>
      </c>
      <c r="K265" s="1">
        <v>43690</v>
      </c>
      <c r="L265" s="1" t="s">
        <v>84</v>
      </c>
      <c r="N265">
        <v>1</v>
      </c>
      <c r="R265">
        <v>100.8</v>
      </c>
    </row>
    <row r="266" spans="1:18" x14ac:dyDescent="0.25">
      <c r="A266" t="s">
        <v>37</v>
      </c>
      <c r="B266" s="1">
        <v>43629</v>
      </c>
      <c r="C266" t="str">
        <f>"14339"</f>
        <v>14339</v>
      </c>
      <c r="D266" t="s">
        <v>822</v>
      </c>
      <c r="E266" t="str">
        <f>"565357"</f>
        <v>565357</v>
      </c>
      <c r="F266" t="str">
        <f t="shared" si="4"/>
        <v>41100000</v>
      </c>
      <c r="G266" t="s">
        <v>867</v>
      </c>
      <c r="H266" t="s">
        <v>868</v>
      </c>
      <c r="I266" s="13" t="s">
        <v>486</v>
      </c>
      <c r="J266" t="s">
        <v>40</v>
      </c>
      <c r="K266" s="1">
        <v>43690</v>
      </c>
      <c r="L266" s="1" t="s">
        <v>84</v>
      </c>
      <c r="N266">
        <v>1</v>
      </c>
      <c r="R266">
        <v>216</v>
      </c>
    </row>
    <row r="267" spans="1:18" x14ac:dyDescent="0.25">
      <c r="A267" t="s">
        <v>37</v>
      </c>
      <c r="B267" s="1">
        <v>43643</v>
      </c>
      <c r="C267" t="str">
        <f>"14409"</f>
        <v>14409</v>
      </c>
      <c r="D267" t="s">
        <v>823</v>
      </c>
      <c r="E267" t="str">
        <f>"565492"</f>
        <v>565492</v>
      </c>
      <c r="F267" t="str">
        <f t="shared" si="4"/>
        <v>41100000</v>
      </c>
      <c r="G267" t="s">
        <v>867</v>
      </c>
      <c r="H267" t="s">
        <v>868</v>
      </c>
      <c r="I267" s="13" t="s">
        <v>487</v>
      </c>
      <c r="J267" t="s">
        <v>40</v>
      </c>
      <c r="K267" s="1">
        <v>43704</v>
      </c>
      <c r="L267" s="1" t="s">
        <v>84</v>
      </c>
      <c r="N267">
        <v>1</v>
      </c>
      <c r="R267">
        <v>301.44</v>
      </c>
    </row>
    <row r="268" spans="1:18" x14ac:dyDescent="0.25">
      <c r="A268" t="s">
        <v>37</v>
      </c>
      <c r="B268" s="1">
        <v>43643</v>
      </c>
      <c r="C268" t="str">
        <f>"14427"</f>
        <v>14427</v>
      </c>
      <c r="D268" t="s">
        <v>824</v>
      </c>
      <c r="E268" t="str">
        <f>"565553"</f>
        <v>565553</v>
      </c>
      <c r="F268" t="str">
        <f t="shared" si="4"/>
        <v>41100000</v>
      </c>
      <c r="G268" t="s">
        <v>867</v>
      </c>
      <c r="H268" t="s">
        <v>868</v>
      </c>
      <c r="I268" s="13" t="s">
        <v>488</v>
      </c>
      <c r="J268" t="s">
        <v>40</v>
      </c>
      <c r="K268" s="1">
        <v>43704</v>
      </c>
      <c r="L268" s="1" t="s">
        <v>84</v>
      </c>
      <c r="N268">
        <v>1</v>
      </c>
      <c r="R268">
        <v>554.4</v>
      </c>
    </row>
    <row r="269" spans="1:18" x14ac:dyDescent="0.25">
      <c r="A269" t="s">
        <v>37</v>
      </c>
      <c r="B269" s="1">
        <v>43636</v>
      </c>
      <c r="C269" t="str">
        <f>"14254"</f>
        <v>14254</v>
      </c>
      <c r="D269" t="s">
        <v>825</v>
      </c>
      <c r="E269" t="str">
        <f>"4500225357"</f>
        <v>4500225357</v>
      </c>
      <c r="F269" t="str">
        <f t="shared" si="4"/>
        <v>41100000</v>
      </c>
      <c r="G269" t="s">
        <v>867</v>
      </c>
      <c r="H269" t="s">
        <v>868</v>
      </c>
      <c r="I269" s="13" t="s">
        <v>489</v>
      </c>
      <c r="J269" t="s">
        <v>40</v>
      </c>
      <c r="K269" s="1">
        <v>43677</v>
      </c>
      <c r="L269" s="1" t="s">
        <v>88</v>
      </c>
      <c r="N269">
        <v>1</v>
      </c>
      <c r="R269">
        <v>1536.6</v>
      </c>
    </row>
    <row r="270" spans="1:18" x14ac:dyDescent="0.25">
      <c r="A270" t="s">
        <v>37</v>
      </c>
      <c r="B270" s="1">
        <v>43636</v>
      </c>
      <c r="C270" t="str">
        <f>"14255"</f>
        <v>14255</v>
      </c>
      <c r="D270" t="s">
        <v>826</v>
      </c>
      <c r="E270" t="str">
        <f>"7500021056"</f>
        <v>7500021056</v>
      </c>
      <c r="F270" t="str">
        <f t="shared" si="4"/>
        <v>41100000</v>
      </c>
      <c r="G270" t="s">
        <v>867</v>
      </c>
      <c r="H270" t="s">
        <v>868</v>
      </c>
      <c r="I270" s="13" t="s">
        <v>490</v>
      </c>
      <c r="J270" t="s">
        <v>40</v>
      </c>
      <c r="K270" s="1">
        <v>43677</v>
      </c>
      <c r="L270" s="1" t="s">
        <v>88</v>
      </c>
      <c r="N270">
        <v>1</v>
      </c>
      <c r="R270">
        <v>756</v>
      </c>
    </row>
    <row r="271" spans="1:18" x14ac:dyDescent="0.25">
      <c r="A271" t="s">
        <v>37</v>
      </c>
      <c r="B271" s="1">
        <v>43643</v>
      </c>
      <c r="C271" t="str">
        <f>"14283"</f>
        <v>14283</v>
      </c>
      <c r="D271" t="s">
        <v>827</v>
      </c>
      <c r="E271" t="str">
        <f>"7500020843"</f>
        <v>7500020843</v>
      </c>
      <c r="F271" t="str">
        <f t="shared" si="4"/>
        <v>41100000</v>
      </c>
      <c r="G271" t="s">
        <v>867</v>
      </c>
      <c r="H271" t="s">
        <v>868</v>
      </c>
      <c r="I271" s="13" t="s">
        <v>491</v>
      </c>
      <c r="J271" t="s">
        <v>40</v>
      </c>
      <c r="K271" s="1">
        <v>43677</v>
      </c>
      <c r="L271" s="1" t="s">
        <v>88</v>
      </c>
      <c r="N271">
        <v>1</v>
      </c>
      <c r="R271">
        <v>147</v>
      </c>
    </row>
    <row r="272" spans="1:18" x14ac:dyDescent="0.25">
      <c r="A272" t="s">
        <v>37</v>
      </c>
      <c r="B272" s="1">
        <v>43644</v>
      </c>
      <c r="C272" t="str">
        <f>"14290"</f>
        <v>14290</v>
      </c>
      <c r="D272" t="s">
        <v>828</v>
      </c>
      <c r="E272" t="str">
        <f>"7500021634"</f>
        <v>7500021634</v>
      </c>
      <c r="F272" t="str">
        <f t="shared" si="4"/>
        <v>41100000</v>
      </c>
      <c r="G272" t="s">
        <v>867</v>
      </c>
      <c r="H272" t="s">
        <v>868</v>
      </c>
      <c r="I272" s="13" t="s">
        <v>492</v>
      </c>
      <c r="J272" t="s">
        <v>40</v>
      </c>
      <c r="K272" s="1">
        <v>43677</v>
      </c>
      <c r="L272" s="1"/>
      <c r="N272">
        <v>1</v>
      </c>
      <c r="R272">
        <v>302.27999999999997</v>
      </c>
    </row>
    <row r="273" spans="1:18" x14ac:dyDescent="0.25">
      <c r="A273" t="s">
        <v>37</v>
      </c>
      <c r="B273" s="1">
        <v>43643</v>
      </c>
      <c r="C273" t="str">
        <f>"14275"</f>
        <v>14275</v>
      </c>
      <c r="D273" t="s">
        <v>829</v>
      </c>
      <c r="E273" t="s">
        <v>493</v>
      </c>
      <c r="F273" t="str">
        <f t="shared" si="4"/>
        <v>41100000</v>
      </c>
      <c r="G273" t="s">
        <v>867</v>
      </c>
      <c r="H273" t="s">
        <v>868</v>
      </c>
      <c r="I273" s="13" t="s">
        <v>494</v>
      </c>
      <c r="J273" t="s">
        <v>40</v>
      </c>
      <c r="K273" s="1">
        <v>43677</v>
      </c>
      <c r="L273" s="1"/>
      <c r="N273">
        <v>1</v>
      </c>
      <c r="R273">
        <v>435.84</v>
      </c>
    </row>
    <row r="274" spans="1:18" x14ac:dyDescent="0.25">
      <c r="A274" t="s">
        <v>37</v>
      </c>
      <c r="B274" s="1">
        <v>43629</v>
      </c>
      <c r="C274" t="str">
        <f>"14203"</f>
        <v>14203</v>
      </c>
      <c r="D274" t="s">
        <v>830</v>
      </c>
      <c r="E274" t="str">
        <f>"50943"</f>
        <v>50943</v>
      </c>
      <c r="F274" t="str">
        <f t="shared" si="4"/>
        <v>41100000</v>
      </c>
      <c r="G274" t="s">
        <v>867</v>
      </c>
      <c r="H274" t="s">
        <v>868</v>
      </c>
      <c r="I274" s="13" t="s">
        <v>495</v>
      </c>
      <c r="J274" t="s">
        <v>40</v>
      </c>
      <c r="K274" s="1">
        <v>43687</v>
      </c>
      <c r="L274" s="1"/>
      <c r="N274">
        <v>1</v>
      </c>
      <c r="R274">
        <v>460.8</v>
      </c>
    </row>
    <row r="275" spans="1:18" x14ac:dyDescent="0.25">
      <c r="A275" t="s">
        <v>37</v>
      </c>
      <c r="B275" s="1">
        <v>43622</v>
      </c>
      <c r="C275" t="str">
        <f>"14173"</f>
        <v>14173</v>
      </c>
      <c r="D275" t="s">
        <v>831</v>
      </c>
      <c r="E275" t="s">
        <v>496</v>
      </c>
      <c r="F275" t="str">
        <f t="shared" si="4"/>
        <v>41100000</v>
      </c>
      <c r="G275" t="s">
        <v>867</v>
      </c>
      <c r="H275" t="s">
        <v>868</v>
      </c>
      <c r="I275" s="13" t="s">
        <v>497</v>
      </c>
      <c r="J275" t="s">
        <v>40</v>
      </c>
      <c r="K275" s="1">
        <v>43683</v>
      </c>
      <c r="L275" s="1" t="s">
        <v>84</v>
      </c>
      <c r="N275">
        <v>1</v>
      </c>
      <c r="R275">
        <v>27.6</v>
      </c>
    </row>
    <row r="276" spans="1:18" x14ac:dyDescent="0.25">
      <c r="A276" t="s">
        <v>37</v>
      </c>
      <c r="B276" s="1">
        <v>43622</v>
      </c>
      <c r="C276" t="str">
        <f>"14174"</f>
        <v>14174</v>
      </c>
      <c r="D276" t="s">
        <v>832</v>
      </c>
      <c r="E276" t="s">
        <v>498</v>
      </c>
      <c r="F276" t="str">
        <f t="shared" si="4"/>
        <v>41100000</v>
      </c>
      <c r="G276" t="s">
        <v>867</v>
      </c>
      <c r="H276" t="s">
        <v>868</v>
      </c>
      <c r="I276" s="13" t="s">
        <v>499</v>
      </c>
      <c r="J276" t="s">
        <v>40</v>
      </c>
      <c r="K276" s="1">
        <v>43683</v>
      </c>
      <c r="L276" s="1" t="s">
        <v>84</v>
      </c>
      <c r="N276">
        <v>1</v>
      </c>
      <c r="R276">
        <v>279.45999999999998</v>
      </c>
    </row>
    <row r="277" spans="1:18" x14ac:dyDescent="0.25">
      <c r="A277" t="s">
        <v>37</v>
      </c>
      <c r="B277" s="1">
        <v>43629</v>
      </c>
      <c r="C277" t="str">
        <f>"14205"</f>
        <v>14205</v>
      </c>
      <c r="D277" t="s">
        <v>833</v>
      </c>
      <c r="E277" t="s">
        <v>500</v>
      </c>
      <c r="F277" t="str">
        <f t="shared" si="4"/>
        <v>41100000</v>
      </c>
      <c r="G277" t="s">
        <v>867</v>
      </c>
      <c r="H277" t="s">
        <v>868</v>
      </c>
      <c r="I277" s="13" t="s">
        <v>501</v>
      </c>
      <c r="J277" t="s">
        <v>40</v>
      </c>
      <c r="K277" s="1">
        <v>43690</v>
      </c>
      <c r="L277" s="1" t="s">
        <v>84</v>
      </c>
      <c r="N277">
        <v>1</v>
      </c>
      <c r="R277">
        <v>298.68</v>
      </c>
    </row>
    <row r="278" spans="1:18" x14ac:dyDescent="0.25">
      <c r="A278" t="s">
        <v>37</v>
      </c>
      <c r="B278" s="1">
        <v>43629</v>
      </c>
      <c r="C278" t="str">
        <f>"14210"</f>
        <v>14210</v>
      </c>
      <c r="D278" t="s">
        <v>834</v>
      </c>
      <c r="E278" t="s">
        <v>502</v>
      </c>
      <c r="F278" t="str">
        <f t="shared" si="4"/>
        <v>41100000</v>
      </c>
      <c r="G278" t="s">
        <v>867</v>
      </c>
      <c r="H278" t="s">
        <v>868</v>
      </c>
      <c r="I278" s="13" t="s">
        <v>503</v>
      </c>
      <c r="J278" t="s">
        <v>40</v>
      </c>
      <c r="K278" s="1">
        <v>43690</v>
      </c>
      <c r="L278" s="1" t="s">
        <v>84</v>
      </c>
      <c r="N278">
        <v>1</v>
      </c>
      <c r="R278">
        <v>1323.36</v>
      </c>
    </row>
    <row r="279" spans="1:18" x14ac:dyDescent="0.25">
      <c r="A279" t="s">
        <v>37</v>
      </c>
      <c r="B279" s="1">
        <v>43636</v>
      </c>
      <c r="C279" t="str">
        <f>"14226"</f>
        <v>14226</v>
      </c>
      <c r="D279" t="s">
        <v>835</v>
      </c>
      <c r="E279" t="s">
        <v>504</v>
      </c>
      <c r="F279" t="str">
        <f t="shared" si="4"/>
        <v>41100000</v>
      </c>
      <c r="G279" t="s">
        <v>867</v>
      </c>
      <c r="H279" t="s">
        <v>868</v>
      </c>
      <c r="I279" s="13" t="s">
        <v>505</v>
      </c>
      <c r="J279" t="s">
        <v>40</v>
      </c>
      <c r="K279" s="1">
        <v>43697</v>
      </c>
      <c r="L279" s="1" t="s">
        <v>84</v>
      </c>
      <c r="N279">
        <v>1</v>
      </c>
      <c r="R279">
        <v>182.4</v>
      </c>
    </row>
    <row r="280" spans="1:18" x14ac:dyDescent="0.25">
      <c r="A280" t="s">
        <v>37</v>
      </c>
      <c r="B280" s="1">
        <v>43636</v>
      </c>
      <c r="C280" t="str">
        <f>"14231"</f>
        <v>14231</v>
      </c>
      <c r="D280" t="s">
        <v>836</v>
      </c>
      <c r="E280" t="s">
        <v>506</v>
      </c>
      <c r="F280" t="str">
        <f t="shared" si="4"/>
        <v>41100000</v>
      </c>
      <c r="G280" t="s">
        <v>867</v>
      </c>
      <c r="H280" t="s">
        <v>868</v>
      </c>
      <c r="I280" s="13" t="s">
        <v>507</v>
      </c>
      <c r="J280" t="s">
        <v>40</v>
      </c>
      <c r="K280" s="1">
        <v>43697</v>
      </c>
      <c r="L280" s="1" t="s">
        <v>84</v>
      </c>
      <c r="N280">
        <v>1</v>
      </c>
      <c r="R280">
        <v>413.4</v>
      </c>
    </row>
    <row r="281" spans="1:18" x14ac:dyDescent="0.25">
      <c r="A281" t="s">
        <v>37</v>
      </c>
      <c r="B281" s="1">
        <v>43636</v>
      </c>
      <c r="C281" t="str">
        <f>"14232"</f>
        <v>14232</v>
      </c>
      <c r="D281" t="s">
        <v>837</v>
      </c>
      <c r="E281" t="s">
        <v>508</v>
      </c>
      <c r="F281" t="str">
        <f t="shared" si="4"/>
        <v>41100000</v>
      </c>
      <c r="G281" t="s">
        <v>867</v>
      </c>
      <c r="H281" t="s">
        <v>868</v>
      </c>
      <c r="I281" s="13" t="s">
        <v>509</v>
      </c>
      <c r="J281" t="s">
        <v>40</v>
      </c>
      <c r="K281" s="1">
        <v>43697</v>
      </c>
      <c r="L281" s="1" t="s">
        <v>84</v>
      </c>
      <c r="N281">
        <v>1</v>
      </c>
      <c r="R281">
        <v>361.26</v>
      </c>
    </row>
    <row r="282" spans="1:18" x14ac:dyDescent="0.25">
      <c r="A282" t="s">
        <v>37</v>
      </c>
      <c r="B282" s="1">
        <v>43636</v>
      </c>
      <c r="C282" t="str">
        <f>"14244"</f>
        <v>14244</v>
      </c>
      <c r="D282" t="s">
        <v>838</v>
      </c>
      <c r="E282" t="s">
        <v>510</v>
      </c>
      <c r="F282" t="str">
        <f t="shared" si="4"/>
        <v>41100000</v>
      </c>
      <c r="G282" t="s">
        <v>867</v>
      </c>
      <c r="H282" t="s">
        <v>868</v>
      </c>
      <c r="I282" s="13" t="s">
        <v>511</v>
      </c>
      <c r="J282" t="s">
        <v>40</v>
      </c>
      <c r="K282" s="1">
        <v>43697</v>
      </c>
      <c r="L282" s="1" t="s">
        <v>84</v>
      </c>
      <c r="N282">
        <v>1</v>
      </c>
      <c r="R282">
        <v>1449</v>
      </c>
    </row>
    <row r="283" spans="1:18" x14ac:dyDescent="0.25">
      <c r="A283" t="s">
        <v>37</v>
      </c>
      <c r="B283" s="1">
        <v>43636</v>
      </c>
      <c r="C283" t="str">
        <f>"14245"</f>
        <v>14245</v>
      </c>
      <c r="D283" t="s">
        <v>839</v>
      </c>
      <c r="E283" t="s">
        <v>512</v>
      </c>
      <c r="F283" t="str">
        <f t="shared" si="4"/>
        <v>41100000</v>
      </c>
      <c r="G283" t="s">
        <v>867</v>
      </c>
      <c r="H283" t="s">
        <v>868</v>
      </c>
      <c r="I283" s="13" t="s">
        <v>513</v>
      </c>
      <c r="J283" t="s">
        <v>40</v>
      </c>
      <c r="K283" s="1">
        <v>43697</v>
      </c>
      <c r="L283" s="1" t="s">
        <v>84</v>
      </c>
      <c r="N283">
        <v>1</v>
      </c>
      <c r="R283">
        <v>436.32</v>
      </c>
    </row>
    <row r="284" spans="1:18" x14ac:dyDescent="0.25">
      <c r="A284" t="s">
        <v>37</v>
      </c>
      <c r="B284" s="1">
        <v>43644</v>
      </c>
      <c r="C284" t="str">
        <f>"14287"</f>
        <v>14287</v>
      </c>
      <c r="D284" t="s">
        <v>840</v>
      </c>
      <c r="E284" t="s">
        <v>514</v>
      </c>
      <c r="F284" t="str">
        <f t="shared" si="4"/>
        <v>41100000</v>
      </c>
      <c r="G284" t="s">
        <v>867</v>
      </c>
      <c r="H284" t="s">
        <v>868</v>
      </c>
      <c r="I284" s="13" t="s">
        <v>515</v>
      </c>
      <c r="J284" t="s">
        <v>40</v>
      </c>
      <c r="K284" s="1">
        <v>43705</v>
      </c>
      <c r="L284" s="1"/>
      <c r="N284">
        <v>1</v>
      </c>
      <c r="R284">
        <v>225.94</v>
      </c>
    </row>
    <row r="285" spans="1:18" x14ac:dyDescent="0.25">
      <c r="A285" t="s">
        <v>37</v>
      </c>
      <c r="B285" s="1">
        <v>43622</v>
      </c>
      <c r="C285" t="str">
        <f>"14307"</f>
        <v>14307</v>
      </c>
      <c r="D285" t="s">
        <v>841</v>
      </c>
      <c r="E285" t="str">
        <f>"163853"</f>
        <v>163853</v>
      </c>
      <c r="F285" t="str">
        <f t="shared" si="4"/>
        <v>41100000</v>
      </c>
      <c r="G285" t="s">
        <v>867</v>
      </c>
      <c r="H285" t="s">
        <v>868</v>
      </c>
      <c r="I285" s="13" t="s">
        <v>516</v>
      </c>
      <c r="J285" t="s">
        <v>40</v>
      </c>
      <c r="K285" s="1">
        <v>43677</v>
      </c>
      <c r="L285" s="1" t="s">
        <v>86</v>
      </c>
      <c r="N285">
        <v>1</v>
      </c>
      <c r="R285">
        <v>913.44</v>
      </c>
    </row>
    <row r="286" spans="1:18" x14ac:dyDescent="0.25">
      <c r="A286" t="s">
        <v>37</v>
      </c>
      <c r="B286" s="1">
        <v>43622</v>
      </c>
      <c r="C286" t="str">
        <f>"14308"</f>
        <v>14308</v>
      </c>
      <c r="D286" t="s">
        <v>842</v>
      </c>
      <c r="E286" t="str">
        <f>"163731"</f>
        <v>163731</v>
      </c>
      <c r="F286" t="str">
        <f t="shared" si="4"/>
        <v>41100000</v>
      </c>
      <c r="G286" t="s">
        <v>867</v>
      </c>
      <c r="H286" t="s">
        <v>868</v>
      </c>
      <c r="I286" s="13" t="s">
        <v>517</v>
      </c>
      <c r="J286" t="s">
        <v>40</v>
      </c>
      <c r="K286" s="1">
        <v>43677</v>
      </c>
      <c r="L286" s="1" t="s">
        <v>86</v>
      </c>
      <c r="N286">
        <v>1</v>
      </c>
      <c r="R286">
        <v>810.34</v>
      </c>
    </row>
    <row r="287" spans="1:18" x14ac:dyDescent="0.25">
      <c r="A287" t="s">
        <v>37</v>
      </c>
      <c r="B287" s="1">
        <v>43629</v>
      </c>
      <c r="C287" t="str">
        <f>"14336"</f>
        <v>14336</v>
      </c>
      <c r="D287" t="s">
        <v>843</v>
      </c>
      <c r="E287" t="str">
        <f>"163873"</f>
        <v>163873</v>
      </c>
      <c r="F287" t="str">
        <f t="shared" si="4"/>
        <v>41100000</v>
      </c>
      <c r="G287" t="s">
        <v>867</v>
      </c>
      <c r="H287" t="s">
        <v>868</v>
      </c>
      <c r="I287" s="13" t="s">
        <v>518</v>
      </c>
      <c r="J287" t="s">
        <v>40</v>
      </c>
      <c r="K287" s="1">
        <v>43677</v>
      </c>
      <c r="L287" s="1" t="s">
        <v>86</v>
      </c>
      <c r="N287">
        <v>1</v>
      </c>
      <c r="R287">
        <v>251.74</v>
      </c>
    </row>
    <row r="288" spans="1:18" x14ac:dyDescent="0.25">
      <c r="A288" t="s">
        <v>37</v>
      </c>
      <c r="B288" s="1">
        <v>43636</v>
      </c>
      <c r="C288" t="str">
        <f>"14361"</f>
        <v>14361</v>
      </c>
      <c r="D288" t="s">
        <v>844</v>
      </c>
      <c r="E288" t="str">
        <f>"163853"</f>
        <v>163853</v>
      </c>
      <c r="F288" t="str">
        <f t="shared" si="4"/>
        <v>41100000</v>
      </c>
      <c r="G288" t="s">
        <v>867</v>
      </c>
      <c r="H288" t="s">
        <v>868</v>
      </c>
      <c r="I288" s="13" t="s">
        <v>519</v>
      </c>
      <c r="J288" t="s">
        <v>40</v>
      </c>
      <c r="K288" s="1">
        <v>43708</v>
      </c>
      <c r="L288" s="1" t="s">
        <v>86</v>
      </c>
      <c r="N288">
        <v>1</v>
      </c>
      <c r="R288">
        <v>750.38</v>
      </c>
    </row>
    <row r="289" spans="1:18" x14ac:dyDescent="0.25">
      <c r="A289" t="s">
        <v>37</v>
      </c>
      <c r="B289" s="1">
        <v>43636</v>
      </c>
      <c r="C289" t="str">
        <f>"14370"</f>
        <v>14370</v>
      </c>
      <c r="D289" t="s">
        <v>845</v>
      </c>
      <c r="E289" t="str">
        <f>"163927"</f>
        <v>163927</v>
      </c>
      <c r="F289" t="str">
        <f t="shared" ref="F289:F305" si="5">"41100000"</f>
        <v>41100000</v>
      </c>
      <c r="G289" t="s">
        <v>867</v>
      </c>
      <c r="H289" t="s">
        <v>868</v>
      </c>
      <c r="I289" s="13" t="s">
        <v>520</v>
      </c>
      <c r="J289" t="s">
        <v>40</v>
      </c>
      <c r="K289" s="1">
        <v>43708</v>
      </c>
      <c r="L289" s="1" t="s">
        <v>86</v>
      </c>
      <c r="N289">
        <v>1</v>
      </c>
      <c r="R289">
        <v>814.15</v>
      </c>
    </row>
    <row r="290" spans="1:18" x14ac:dyDescent="0.25">
      <c r="A290" t="s">
        <v>37</v>
      </c>
      <c r="B290" s="1">
        <v>43636</v>
      </c>
      <c r="C290" t="str">
        <f>"14376"</f>
        <v>14376</v>
      </c>
      <c r="D290" t="s">
        <v>846</v>
      </c>
      <c r="E290" t="str">
        <f>"163641"</f>
        <v>163641</v>
      </c>
      <c r="F290" t="str">
        <f t="shared" si="5"/>
        <v>41100000</v>
      </c>
      <c r="G290" t="s">
        <v>867</v>
      </c>
      <c r="H290" t="s">
        <v>868</v>
      </c>
      <c r="I290" s="13" t="s">
        <v>521</v>
      </c>
      <c r="J290" t="s">
        <v>40</v>
      </c>
      <c r="K290" s="1">
        <v>43708</v>
      </c>
      <c r="L290" s="1" t="s">
        <v>86</v>
      </c>
      <c r="N290">
        <v>1</v>
      </c>
      <c r="R290">
        <v>1584.73</v>
      </c>
    </row>
    <row r="291" spans="1:18" x14ac:dyDescent="0.25">
      <c r="A291" t="s">
        <v>37</v>
      </c>
      <c r="B291" s="1">
        <v>43643</v>
      </c>
      <c r="C291" t="str">
        <f>"14428"</f>
        <v>14428</v>
      </c>
      <c r="D291" t="s">
        <v>847</v>
      </c>
      <c r="E291" t="str">
        <f>"163679"</f>
        <v>163679</v>
      </c>
      <c r="F291" t="str">
        <f t="shared" si="5"/>
        <v>41100000</v>
      </c>
      <c r="G291" t="s">
        <v>867</v>
      </c>
      <c r="H291" t="s">
        <v>868</v>
      </c>
      <c r="I291" s="13" t="s">
        <v>522</v>
      </c>
      <c r="J291" t="s">
        <v>40</v>
      </c>
      <c r="K291" s="1">
        <v>43708</v>
      </c>
      <c r="L291" s="1" t="s">
        <v>86</v>
      </c>
      <c r="N291">
        <v>1</v>
      </c>
      <c r="R291">
        <v>10508.54</v>
      </c>
    </row>
    <row r="292" spans="1:18" x14ac:dyDescent="0.25">
      <c r="A292" t="s">
        <v>37</v>
      </c>
      <c r="B292" s="1">
        <v>43629</v>
      </c>
      <c r="C292" t="str">
        <f>"14343"</f>
        <v>14343</v>
      </c>
      <c r="D292" t="s">
        <v>848</v>
      </c>
      <c r="E292" t="str">
        <f>"61560"</f>
        <v>61560</v>
      </c>
      <c r="F292" t="str">
        <f t="shared" si="5"/>
        <v>41100000</v>
      </c>
      <c r="G292" t="s">
        <v>867</v>
      </c>
      <c r="H292" t="s">
        <v>868</v>
      </c>
      <c r="I292" s="13" t="s">
        <v>523</v>
      </c>
      <c r="J292" t="s">
        <v>40</v>
      </c>
      <c r="K292" s="1">
        <v>43692</v>
      </c>
      <c r="L292" s="1"/>
      <c r="N292">
        <v>1</v>
      </c>
      <c r="R292">
        <v>475.92</v>
      </c>
    </row>
    <row r="293" spans="1:18" x14ac:dyDescent="0.25">
      <c r="A293" t="s">
        <v>37</v>
      </c>
      <c r="B293" s="1">
        <v>43643</v>
      </c>
      <c r="C293" t="str">
        <f>"14422"</f>
        <v>14422</v>
      </c>
      <c r="D293" t="s">
        <v>849</v>
      </c>
      <c r="E293" t="str">
        <f>"61837"</f>
        <v>61837</v>
      </c>
      <c r="F293" t="str">
        <f t="shared" si="5"/>
        <v>41100000</v>
      </c>
      <c r="G293" t="s">
        <v>867</v>
      </c>
      <c r="H293" t="s">
        <v>868</v>
      </c>
      <c r="I293" s="13" t="s">
        <v>524</v>
      </c>
      <c r="J293" t="s">
        <v>40</v>
      </c>
      <c r="K293" s="1">
        <v>43692</v>
      </c>
      <c r="L293" s="1"/>
      <c r="N293">
        <v>1</v>
      </c>
      <c r="R293">
        <v>1439.4</v>
      </c>
    </row>
    <row r="294" spans="1:18" x14ac:dyDescent="0.25">
      <c r="A294" t="s">
        <v>37</v>
      </c>
      <c r="B294" s="1">
        <v>43643</v>
      </c>
      <c r="C294" t="str">
        <f>"14281"</f>
        <v>14281</v>
      </c>
      <c r="D294" t="s">
        <v>850</v>
      </c>
      <c r="E294" t="s">
        <v>525</v>
      </c>
      <c r="F294" t="str">
        <f t="shared" si="5"/>
        <v>41100000</v>
      </c>
      <c r="G294" t="s">
        <v>867</v>
      </c>
      <c r="H294" t="s">
        <v>868</v>
      </c>
      <c r="I294" s="13" t="s">
        <v>526</v>
      </c>
      <c r="J294" t="s">
        <v>120</v>
      </c>
      <c r="K294" s="1">
        <v>43677</v>
      </c>
      <c r="L294" s="1"/>
      <c r="N294">
        <v>1</v>
      </c>
      <c r="R294">
        <v>1225.44</v>
      </c>
    </row>
    <row r="295" spans="1:18" x14ac:dyDescent="0.25">
      <c r="A295" t="s">
        <v>37</v>
      </c>
      <c r="B295" s="1">
        <v>43636</v>
      </c>
      <c r="C295" t="str">
        <f>"14355"</f>
        <v>14355</v>
      </c>
      <c r="D295" t="s">
        <v>851</v>
      </c>
      <c r="E295" t="str">
        <f>"105288"</f>
        <v>105288</v>
      </c>
      <c r="F295" t="str">
        <f t="shared" si="5"/>
        <v>41100000</v>
      </c>
      <c r="G295" t="s">
        <v>867</v>
      </c>
      <c r="H295" t="s">
        <v>868</v>
      </c>
      <c r="I295" s="13" t="s">
        <v>527</v>
      </c>
      <c r="J295" t="s">
        <v>40</v>
      </c>
      <c r="K295" s="1">
        <v>43692</v>
      </c>
      <c r="L295" s="1"/>
      <c r="N295">
        <v>1</v>
      </c>
      <c r="R295">
        <v>267.83999999999997</v>
      </c>
    </row>
    <row r="296" spans="1:18" x14ac:dyDescent="0.25">
      <c r="A296" t="s">
        <v>37</v>
      </c>
      <c r="B296" s="1">
        <v>43622</v>
      </c>
      <c r="C296" t="str">
        <f>"14315"</f>
        <v>14315</v>
      </c>
      <c r="D296" t="s">
        <v>852</v>
      </c>
      <c r="E296" t="str">
        <f>"4511116345"</f>
        <v>4511116345</v>
      </c>
      <c r="F296" t="str">
        <f t="shared" si="5"/>
        <v>41100000</v>
      </c>
      <c r="G296" t="s">
        <v>867</v>
      </c>
      <c r="H296" t="s">
        <v>868</v>
      </c>
      <c r="I296" s="13" t="s">
        <v>528</v>
      </c>
      <c r="J296" t="s">
        <v>40</v>
      </c>
      <c r="K296" s="1">
        <v>43691</v>
      </c>
      <c r="L296" s="1"/>
      <c r="N296">
        <v>1</v>
      </c>
      <c r="R296">
        <v>366</v>
      </c>
    </row>
    <row r="297" spans="1:18" x14ac:dyDescent="0.25">
      <c r="A297" t="s">
        <v>37</v>
      </c>
      <c r="B297" s="1">
        <v>43636</v>
      </c>
      <c r="C297" t="str">
        <f>"14353"</f>
        <v>14353</v>
      </c>
      <c r="D297" t="s">
        <v>853</v>
      </c>
      <c r="E297" t="str">
        <f>"4511116345"</f>
        <v>4511116345</v>
      </c>
      <c r="F297" t="str">
        <f t="shared" si="5"/>
        <v>41100000</v>
      </c>
      <c r="G297" t="s">
        <v>867</v>
      </c>
      <c r="H297" t="s">
        <v>868</v>
      </c>
      <c r="I297" s="13" t="s">
        <v>529</v>
      </c>
      <c r="J297" t="s">
        <v>40</v>
      </c>
      <c r="K297" s="1">
        <v>43691</v>
      </c>
      <c r="L297" s="1"/>
      <c r="N297">
        <v>1</v>
      </c>
      <c r="R297">
        <v>1691.3</v>
      </c>
    </row>
    <row r="298" spans="1:18" x14ac:dyDescent="0.25">
      <c r="A298" t="s">
        <v>37</v>
      </c>
      <c r="B298" s="1">
        <v>43636</v>
      </c>
      <c r="C298" t="str">
        <f>"14354"</f>
        <v>14354</v>
      </c>
      <c r="D298" t="s">
        <v>854</v>
      </c>
      <c r="E298" t="str">
        <f>"4511116716"</f>
        <v>4511116716</v>
      </c>
      <c r="F298" t="str">
        <f t="shared" si="5"/>
        <v>41100000</v>
      </c>
      <c r="G298" t="s">
        <v>867</v>
      </c>
      <c r="H298" t="s">
        <v>868</v>
      </c>
      <c r="I298" s="13" t="s">
        <v>530</v>
      </c>
      <c r="J298" t="s">
        <v>40</v>
      </c>
      <c r="K298" s="1">
        <v>43691</v>
      </c>
      <c r="L298" s="1"/>
      <c r="N298">
        <v>1</v>
      </c>
      <c r="R298">
        <v>500.4</v>
      </c>
    </row>
    <row r="299" spans="1:18" x14ac:dyDescent="0.25">
      <c r="A299" t="s">
        <v>37</v>
      </c>
      <c r="B299" s="1">
        <v>43636</v>
      </c>
      <c r="C299" t="str">
        <f>"14394"</f>
        <v>14394</v>
      </c>
      <c r="D299" t="s">
        <v>855</v>
      </c>
      <c r="E299" t="str">
        <f>"4511116419"</f>
        <v>4511116419</v>
      </c>
      <c r="F299" t="str">
        <f t="shared" si="5"/>
        <v>41100000</v>
      </c>
      <c r="G299" t="s">
        <v>867</v>
      </c>
      <c r="H299" t="s">
        <v>868</v>
      </c>
      <c r="I299" s="13" t="s">
        <v>531</v>
      </c>
      <c r="J299" t="s">
        <v>40</v>
      </c>
      <c r="K299" s="1">
        <v>43691</v>
      </c>
      <c r="L299" s="1"/>
      <c r="N299">
        <v>1</v>
      </c>
      <c r="R299">
        <v>700.13</v>
      </c>
    </row>
    <row r="300" spans="1:18" x14ac:dyDescent="0.25">
      <c r="A300" t="s">
        <v>37</v>
      </c>
      <c r="B300" s="1">
        <v>43622</v>
      </c>
      <c r="C300" t="str">
        <f>"14318"</f>
        <v>14318</v>
      </c>
      <c r="D300" t="s">
        <v>856</v>
      </c>
      <c r="E300" t="s">
        <v>532</v>
      </c>
      <c r="F300" t="str">
        <f t="shared" si="5"/>
        <v>41100000</v>
      </c>
      <c r="G300" t="s">
        <v>867</v>
      </c>
      <c r="H300" t="s">
        <v>868</v>
      </c>
      <c r="I300" s="13" t="s">
        <v>533</v>
      </c>
      <c r="J300" t="s">
        <v>40</v>
      </c>
      <c r="K300" s="1">
        <v>43692</v>
      </c>
      <c r="L300" s="1"/>
      <c r="N300">
        <v>1</v>
      </c>
      <c r="R300">
        <v>61.74</v>
      </c>
    </row>
    <row r="301" spans="1:18" x14ac:dyDescent="0.25">
      <c r="A301" t="s">
        <v>37</v>
      </c>
      <c r="B301" s="1">
        <v>43629</v>
      </c>
      <c r="C301" t="str">
        <f>"14180"</f>
        <v>14180</v>
      </c>
      <c r="D301" t="s">
        <v>857</v>
      </c>
      <c r="E301" t="s">
        <v>534</v>
      </c>
      <c r="F301" t="str">
        <f t="shared" si="5"/>
        <v>41100000</v>
      </c>
      <c r="G301" t="s">
        <v>867</v>
      </c>
      <c r="H301" t="s">
        <v>868</v>
      </c>
      <c r="I301" s="13" t="s">
        <v>535</v>
      </c>
      <c r="J301" t="s">
        <v>40</v>
      </c>
      <c r="K301" s="1">
        <v>43690</v>
      </c>
      <c r="L301" s="1"/>
      <c r="N301">
        <v>1</v>
      </c>
      <c r="R301">
        <v>1363.68</v>
      </c>
    </row>
    <row r="302" spans="1:18" x14ac:dyDescent="0.25">
      <c r="A302" t="s">
        <v>37</v>
      </c>
      <c r="B302" s="1">
        <v>43636</v>
      </c>
      <c r="C302" t="str">
        <f>"14358"</f>
        <v>14358</v>
      </c>
      <c r="D302" t="s">
        <v>858</v>
      </c>
      <c r="E302" t="s">
        <v>536</v>
      </c>
      <c r="F302" t="str">
        <f t="shared" si="5"/>
        <v>41100000</v>
      </c>
      <c r="G302" t="s">
        <v>867</v>
      </c>
      <c r="H302" t="s">
        <v>868</v>
      </c>
      <c r="I302" s="13" t="s">
        <v>537</v>
      </c>
      <c r="J302" t="s">
        <v>40</v>
      </c>
      <c r="K302" s="1">
        <v>43677</v>
      </c>
      <c r="L302" s="1"/>
      <c r="N302">
        <v>1</v>
      </c>
      <c r="R302">
        <v>209.86</v>
      </c>
    </row>
    <row r="303" spans="1:18" x14ac:dyDescent="0.25">
      <c r="A303" t="s">
        <v>37</v>
      </c>
      <c r="B303" s="1">
        <v>43636</v>
      </c>
      <c r="C303" t="str">
        <f>"14369"</f>
        <v>14369</v>
      </c>
      <c r="D303" t="s">
        <v>859</v>
      </c>
      <c r="E303" t="s">
        <v>538</v>
      </c>
      <c r="F303" t="str">
        <f t="shared" si="5"/>
        <v>41100000</v>
      </c>
      <c r="G303" t="s">
        <v>867</v>
      </c>
      <c r="H303" t="s">
        <v>868</v>
      </c>
      <c r="I303" s="13" t="s">
        <v>539</v>
      </c>
      <c r="J303" t="s">
        <v>40</v>
      </c>
      <c r="K303" s="1">
        <v>43677</v>
      </c>
      <c r="L303" s="1"/>
      <c r="N303">
        <v>1</v>
      </c>
      <c r="R303">
        <v>207.79</v>
      </c>
    </row>
    <row r="304" spans="1:18" x14ac:dyDescent="0.25">
      <c r="A304" t="s">
        <v>37</v>
      </c>
      <c r="B304" s="1">
        <v>43622</v>
      </c>
      <c r="C304" t="str">
        <f>"14161"</f>
        <v>14161</v>
      </c>
      <c r="D304" t="s">
        <v>860</v>
      </c>
      <c r="E304" t="s">
        <v>540</v>
      </c>
      <c r="F304" t="str">
        <f t="shared" si="5"/>
        <v>41100000</v>
      </c>
      <c r="G304" t="s">
        <v>867</v>
      </c>
      <c r="H304" t="s">
        <v>868</v>
      </c>
      <c r="I304" s="13" t="s">
        <v>541</v>
      </c>
      <c r="J304" t="s">
        <v>40</v>
      </c>
      <c r="K304" s="1">
        <v>43677</v>
      </c>
      <c r="L304" s="1" t="s">
        <v>64</v>
      </c>
      <c r="N304">
        <v>1</v>
      </c>
      <c r="Q304" s="1">
        <v>43661</v>
      </c>
      <c r="R304">
        <v>86.21</v>
      </c>
    </row>
    <row r="305" spans="1:18" x14ac:dyDescent="0.25">
      <c r="A305" t="s">
        <v>37</v>
      </c>
      <c r="B305" s="1">
        <v>43622</v>
      </c>
      <c r="C305" t="str">
        <f>"14171"</f>
        <v>14171</v>
      </c>
      <c r="D305" t="s">
        <v>861</v>
      </c>
      <c r="E305" t="s">
        <v>542</v>
      </c>
      <c r="F305" t="str">
        <f t="shared" si="5"/>
        <v>41100000</v>
      </c>
      <c r="G305" t="s">
        <v>867</v>
      </c>
      <c r="H305" t="s">
        <v>868</v>
      </c>
      <c r="I305" s="13" t="s">
        <v>543</v>
      </c>
      <c r="J305" t="s">
        <v>40</v>
      </c>
      <c r="K305" s="1">
        <v>43677</v>
      </c>
      <c r="L305" s="1" t="s">
        <v>64</v>
      </c>
      <c r="N305">
        <v>1</v>
      </c>
      <c r="Q305" s="1">
        <v>43661</v>
      </c>
      <c r="R305">
        <v>495</v>
      </c>
    </row>
  </sheetData>
  <phoneticPr fontId="12" type="noConversion"/>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E2B57FF-204F-4214-B4B2-610AB74D3EC8}">
  <sheetPr codeName="Feuil4"/>
  <dimension ref="A1:G211"/>
  <sheetViews>
    <sheetView workbookViewId="0">
      <selection activeCell="N18" sqref="N18"/>
    </sheetView>
  </sheetViews>
  <sheetFormatPr baseColWidth="10" defaultRowHeight="15" x14ac:dyDescent="0.25"/>
  <cols>
    <col min="1" max="1" width="15" style="4" customWidth="1"/>
    <col min="2" max="2" width="13" style="4" customWidth="1"/>
    <col min="3" max="3" width="7.42578125" style="4" customWidth="1"/>
    <col min="4" max="4" width="15.5703125" style="4" customWidth="1"/>
    <col min="5" max="5" width="18.85546875" style="4" customWidth="1"/>
    <col min="6" max="6" width="30.7109375" style="4" customWidth="1"/>
    <col min="7" max="7" width="1.5703125" style="4" customWidth="1"/>
    <col min="8" max="16384" width="11.42578125" style="4"/>
  </cols>
  <sheetData>
    <row r="1" spans="1:6" ht="18.75" x14ac:dyDescent="0.3">
      <c r="A1" s="2"/>
      <c r="B1" s="3"/>
      <c r="C1" s="3"/>
      <c r="D1" s="3"/>
    </row>
    <row r="2" spans="1:6" x14ac:dyDescent="0.25">
      <c r="A2" s="3"/>
      <c r="B2" s="3"/>
      <c r="C2" s="3"/>
      <c r="D2" s="3"/>
    </row>
    <row r="3" spans="1:6" x14ac:dyDescent="0.25">
      <c r="A3" s="3"/>
      <c r="B3" s="3"/>
      <c r="C3" s="3"/>
      <c r="D3" s="26" t="s">
        <v>545</v>
      </c>
      <c r="E3" s="26"/>
      <c r="F3" s="26"/>
    </row>
    <row r="4" spans="1:6" x14ac:dyDescent="0.25">
      <c r="A4" s="3"/>
      <c r="B4" s="3"/>
      <c r="C4" s="3"/>
      <c r="D4" s="3"/>
    </row>
    <row r="5" spans="1:6" x14ac:dyDescent="0.25">
      <c r="A5" s="3"/>
      <c r="B5" s="3"/>
      <c r="C5" s="3"/>
      <c r="D5" s="3"/>
    </row>
    <row r="6" spans="1:6" x14ac:dyDescent="0.25">
      <c r="A6" s="3"/>
      <c r="B6" s="3"/>
      <c r="C6" s="3"/>
      <c r="D6" s="3"/>
    </row>
    <row r="7" spans="1:6" x14ac:dyDescent="0.25">
      <c r="A7" s="3"/>
      <c r="B7" s="3"/>
      <c r="C7" s="3"/>
      <c r="D7" s="3"/>
    </row>
    <row r="8" spans="1:6" x14ac:dyDescent="0.25">
      <c r="A8" s="3"/>
      <c r="B8" s="3"/>
      <c r="C8" s="3"/>
      <c r="D8" s="3"/>
    </row>
    <row r="9" spans="1:6" x14ac:dyDescent="0.25">
      <c r="B9" s="6"/>
      <c r="C9" s="6"/>
      <c r="D9" s="6"/>
      <c r="E9" s="14" t="s">
        <v>866</v>
      </c>
      <c r="F9" s="14"/>
    </row>
    <row r="10" spans="1:6" x14ac:dyDescent="0.25">
      <c r="B10" s="6"/>
      <c r="C10" s="6"/>
      <c r="D10" s="6"/>
      <c r="E10" s="6"/>
      <c r="F10" s="6"/>
    </row>
    <row r="11" spans="1:6" x14ac:dyDescent="0.25">
      <c r="B11" s="6"/>
      <c r="C11" s="6"/>
      <c r="D11" s="6"/>
      <c r="E11" s="6"/>
      <c r="F11" s="6"/>
    </row>
    <row r="12" spans="1:6" x14ac:dyDescent="0.25">
      <c r="B12" s="6"/>
      <c r="C12" s="6"/>
      <c r="D12" s="6"/>
      <c r="E12" s="6" t="str">
        <f>INDEX(Tableau2[PAYS],MATCH('RELEVE-TEMPLETE'!$E$9,Tableau2[Intitulé du compte],0))</f>
        <v>ANNECY , FR</v>
      </c>
      <c r="F12" s="6"/>
    </row>
    <row r="13" spans="1:6" x14ac:dyDescent="0.25">
      <c r="B13" s="6"/>
      <c r="C13" s="6"/>
      <c r="D13" s="6"/>
      <c r="E13" s="6"/>
      <c r="F13" s="6"/>
    </row>
    <row r="14" spans="1:6" x14ac:dyDescent="0.25">
      <c r="B14" s="6"/>
      <c r="C14" s="6"/>
      <c r="D14" s="6"/>
      <c r="E14" s="24" t="str">
        <f ca="1">"Fait à Meythet le:"&amp;" "&amp;TEXT(TODAY(),"jj/mm/aaaa")</f>
        <v>Fait à Meythet le: 23/07/2019</v>
      </c>
      <c r="F14" s="24"/>
    </row>
    <row r="15" spans="1:6" x14ac:dyDescent="0.25">
      <c r="B15" s="6"/>
      <c r="C15" s="6"/>
      <c r="D15" s="6"/>
      <c r="E15" s="6"/>
      <c r="F15" s="6"/>
    </row>
    <row r="16" spans="1:6" x14ac:dyDescent="0.25">
      <c r="B16" s="6"/>
      <c r="C16" s="6"/>
      <c r="D16" s="6"/>
      <c r="E16" s="6"/>
      <c r="F16" s="6"/>
    </row>
    <row r="17" spans="1:7" ht="15.75" x14ac:dyDescent="0.25">
      <c r="A17" s="11" t="s">
        <v>552</v>
      </c>
      <c r="B17" s="25" t="str">
        <f>"Relevé des factures du mois de"&amp;" "&amp;TEXT(B27,"MMMM aaaa")</f>
        <v>Relevé des factures du mois de juin 2019</v>
      </c>
      <c r="C17" s="25"/>
      <c r="D17" s="25"/>
      <c r="E17" s="25"/>
      <c r="F17" s="25"/>
      <c r="G17" s="6"/>
    </row>
    <row r="18" spans="1:7" x14ac:dyDescent="0.25">
      <c r="A18" s="6"/>
      <c r="B18" s="6"/>
      <c r="C18" s="6"/>
      <c r="D18" s="6"/>
      <c r="E18" s="6"/>
      <c r="F18" s="6"/>
      <c r="G18" s="6"/>
    </row>
    <row r="19" spans="1:7" x14ac:dyDescent="0.25">
      <c r="A19" s="27" t="s">
        <v>546</v>
      </c>
      <c r="B19" s="27"/>
      <c r="C19" s="6"/>
      <c r="D19" s="6"/>
      <c r="E19" s="6"/>
      <c r="F19" s="6"/>
      <c r="G19" s="6"/>
    </row>
    <row r="20" spans="1:7" x14ac:dyDescent="0.25">
      <c r="A20" s="8"/>
      <c r="B20" s="8"/>
      <c r="C20" s="6"/>
      <c r="D20" s="6"/>
      <c r="E20" s="6"/>
      <c r="F20" s="6"/>
      <c r="G20" s="6"/>
    </row>
    <row r="21" spans="1:7" ht="54" customHeight="1" x14ac:dyDescent="0.25">
      <c r="A21" s="23" t="str">
        <f>"Nous vous prions de bien vouloir trouver ci-joint, le relevé des factures du mois de"&amp;" "&amp;TEXT(B27,"MMMM aaaa")&amp;" "&amp;",si une ou plusieurs factures de ce relevé ont déjà fait l'objet d'un règlement ou si vous ne les avez pas reçues, merci de nous en faire part à l'adresse e-mail suivante: compta2@novafit.fr. "</f>
        <v xml:space="preserve">Nous vous prions de bien vouloir trouver ci-joint, le relevé des factures du mois de juin 2019 ,si une ou plusieurs factures de ce relevé ont déjà fait l'objet d'un règlement ou si vous ne les avez pas reçues, merci de nous en faire part à l'adresse e-mail suivante: compta2@novafit.fr. </v>
      </c>
      <c r="B21" s="23"/>
      <c r="C21" s="23"/>
      <c r="D21" s="23"/>
      <c r="E21" s="23"/>
      <c r="F21" s="23"/>
      <c r="G21" s="23"/>
    </row>
    <row r="22" spans="1:7" x14ac:dyDescent="0.25">
      <c r="A22" s="23"/>
      <c r="B22" s="23"/>
      <c r="C22" s="23"/>
      <c r="D22" s="23"/>
      <c r="E22" s="23"/>
      <c r="F22" s="23"/>
      <c r="G22" s="23"/>
    </row>
    <row r="23" spans="1:7" x14ac:dyDescent="0.25">
      <c r="A23" s="29" t="s">
        <v>551</v>
      </c>
      <c r="B23" s="29"/>
      <c r="C23" s="29"/>
      <c r="D23" s="29"/>
      <c r="E23" s="29"/>
      <c r="F23" s="29"/>
      <c r="G23" s="29"/>
    </row>
    <row r="24" spans="1:7" x14ac:dyDescent="0.25">
      <c r="A24" s="10"/>
      <c r="B24" s="10"/>
      <c r="C24" s="10"/>
      <c r="D24" s="10"/>
      <c r="E24" s="10"/>
      <c r="F24" s="10"/>
      <c r="G24" s="10"/>
    </row>
    <row r="25" spans="1:7" x14ac:dyDescent="0.25">
      <c r="A25" s="10"/>
      <c r="B25" s="10"/>
      <c r="C25" s="10"/>
      <c r="D25" s="10"/>
      <c r="E25" s="10"/>
      <c r="F25" s="10"/>
      <c r="G25" s="10"/>
    </row>
    <row r="26" spans="1:7" x14ac:dyDescent="0.25">
      <c r="A26" s="16" t="s">
        <v>547</v>
      </c>
      <c r="B26" s="17" t="s">
        <v>548</v>
      </c>
      <c r="C26" s="17"/>
      <c r="D26" s="7" t="s">
        <v>549</v>
      </c>
      <c r="E26" s="28" t="s">
        <v>550</v>
      </c>
      <c r="F26" s="28"/>
      <c r="G26" s="12">
        <f>COUNTIF(Tableau1[],$E$9)</f>
        <v>0</v>
      </c>
    </row>
    <row r="27" spans="1:7" x14ac:dyDescent="0.25">
      <c r="A27" s="18" t="s">
        <v>560</v>
      </c>
      <c r="B27" s="21">
        <v>43622</v>
      </c>
      <c r="C27" s="19"/>
      <c r="D27" s="20">
        <v>43683</v>
      </c>
      <c r="E27" s="19"/>
      <c r="F27" s="22">
        <v>253.8</v>
      </c>
      <c r="G27" s="9">
        <v>0</v>
      </c>
    </row>
    <row r="28" spans="1:7" x14ac:dyDescent="0.25">
      <c r="A28" s="18" t="s">
        <v>561</v>
      </c>
      <c r="B28" s="21">
        <v>43622</v>
      </c>
      <c r="C28" s="19"/>
      <c r="D28" s="20">
        <v>43677</v>
      </c>
      <c r="E28" s="19"/>
      <c r="F28" s="22">
        <v>203.52</v>
      </c>
      <c r="G28" s="12" t="str">
        <f>IF(G27="","",IF(G27+1&gt;=$G$26,"",G27+1))</f>
        <v/>
      </c>
    </row>
    <row r="29" spans="1:7" x14ac:dyDescent="0.25">
      <c r="A29" s="18" t="s">
        <v>562</v>
      </c>
      <c r="B29" s="21">
        <v>43622</v>
      </c>
      <c r="C29" s="19"/>
      <c r="D29" s="20">
        <v>43677</v>
      </c>
      <c r="E29" s="19"/>
      <c r="F29" s="22">
        <v>270.38</v>
      </c>
      <c r="G29" s="12" t="str">
        <f t="shared" ref="G29:G92" si="0">IF(G28="","",IF(G28+1&gt;=$G$26,"",G28+1))</f>
        <v/>
      </c>
    </row>
    <row r="30" spans="1:7" x14ac:dyDescent="0.25">
      <c r="A30" s="18"/>
      <c r="B30" s="21"/>
      <c r="C30" s="19"/>
      <c r="D30" s="20"/>
      <c r="E30" s="19"/>
      <c r="F30" s="22"/>
      <c r="G30" s="12" t="str">
        <f t="shared" si="0"/>
        <v/>
      </c>
    </row>
    <row r="31" spans="1:7" x14ac:dyDescent="0.25">
      <c r="A31" s="18"/>
      <c r="B31" s="21"/>
      <c r="C31" s="19"/>
      <c r="D31" s="20"/>
      <c r="E31" s="19" t="s">
        <v>877</v>
      </c>
      <c r="F31" s="22">
        <v>727.7</v>
      </c>
      <c r="G31" s="12" t="str">
        <f t="shared" si="0"/>
        <v/>
      </c>
    </row>
    <row r="32" spans="1:7" x14ac:dyDescent="0.25">
      <c r="A32" s="18"/>
      <c r="B32" s="21"/>
      <c r="C32" s="19"/>
      <c r="D32" s="20"/>
      <c r="E32" s="19"/>
      <c r="F32" s="22"/>
      <c r="G32" s="12" t="str">
        <f t="shared" si="0"/>
        <v/>
      </c>
    </row>
    <row r="33" spans="1:7" x14ac:dyDescent="0.25">
      <c r="A33" s="18"/>
      <c r="B33" s="21"/>
      <c r="C33" s="19"/>
      <c r="D33" s="20"/>
      <c r="E33" s="19"/>
      <c r="F33" s="22"/>
      <c r="G33" s="12"/>
    </row>
    <row r="34" spans="1:7" x14ac:dyDescent="0.25">
      <c r="A34" s="18"/>
      <c r="B34" s="21"/>
      <c r="C34" s="19"/>
      <c r="D34" s="20"/>
      <c r="E34" s="19"/>
      <c r="F34" s="22"/>
      <c r="G34" s="12" t="str">
        <f t="shared" si="0"/>
        <v/>
      </c>
    </row>
    <row r="35" spans="1:7" x14ac:dyDescent="0.25">
      <c r="A35" s="18"/>
      <c r="B35" s="21"/>
      <c r="C35" s="19"/>
      <c r="D35" s="20"/>
      <c r="E35" s="19"/>
      <c r="F35" s="22"/>
      <c r="G35" s="12" t="str">
        <f t="shared" si="0"/>
        <v/>
      </c>
    </row>
    <row r="36" spans="1:7" x14ac:dyDescent="0.25">
      <c r="A36" s="18"/>
      <c r="B36" s="21"/>
      <c r="C36" s="19"/>
      <c r="D36" s="20"/>
      <c r="E36" s="19"/>
      <c r="F36" s="22"/>
      <c r="G36" s="12" t="str">
        <f t="shared" si="0"/>
        <v/>
      </c>
    </row>
    <row r="37" spans="1:7" x14ac:dyDescent="0.25">
      <c r="A37" s="18"/>
      <c r="B37" s="21"/>
      <c r="C37" s="19"/>
      <c r="D37" s="20"/>
      <c r="E37" s="19"/>
      <c r="F37" s="22"/>
      <c r="G37" s="12" t="str">
        <f t="shared" si="0"/>
        <v/>
      </c>
    </row>
    <row r="38" spans="1:7" x14ac:dyDescent="0.25">
      <c r="A38" s="18"/>
      <c r="B38" s="21"/>
      <c r="C38" s="19"/>
      <c r="D38" s="20"/>
      <c r="E38" s="19"/>
      <c r="F38" s="22"/>
      <c r="G38" s="12" t="str">
        <f t="shared" si="0"/>
        <v/>
      </c>
    </row>
    <row r="39" spans="1:7" x14ac:dyDescent="0.25">
      <c r="A39" s="18"/>
      <c r="B39" s="21"/>
      <c r="C39" s="19"/>
      <c r="D39" s="20"/>
      <c r="E39" s="19"/>
      <c r="F39" s="22"/>
      <c r="G39" s="12" t="str">
        <f t="shared" si="0"/>
        <v/>
      </c>
    </row>
    <row r="40" spans="1:7" x14ac:dyDescent="0.25">
      <c r="A40" s="18"/>
      <c r="B40" s="21"/>
      <c r="C40" s="19"/>
      <c r="D40" s="20"/>
      <c r="E40" s="19"/>
      <c r="F40" s="22"/>
      <c r="G40" s="12" t="str">
        <f t="shared" si="0"/>
        <v/>
      </c>
    </row>
    <row r="41" spans="1:7" x14ac:dyDescent="0.25">
      <c r="A41" s="18"/>
      <c r="B41" s="21"/>
      <c r="C41" s="19"/>
      <c r="D41" s="20"/>
      <c r="E41" s="19"/>
      <c r="F41" s="22"/>
      <c r="G41" s="12" t="str">
        <f t="shared" si="0"/>
        <v/>
      </c>
    </row>
    <row r="42" spans="1:7" x14ac:dyDescent="0.25">
      <c r="A42" s="18"/>
      <c r="B42" s="21"/>
      <c r="C42" s="19"/>
      <c r="D42" s="20"/>
      <c r="E42" s="19"/>
      <c r="F42" s="22"/>
      <c r="G42" s="12" t="str">
        <f t="shared" si="0"/>
        <v/>
      </c>
    </row>
    <row r="43" spans="1:7" x14ac:dyDescent="0.25">
      <c r="A43" s="18"/>
      <c r="B43" s="21"/>
      <c r="C43" s="19"/>
      <c r="D43" s="20"/>
      <c r="E43" s="19"/>
      <c r="F43" s="22"/>
      <c r="G43" s="12" t="str">
        <f t="shared" si="0"/>
        <v/>
      </c>
    </row>
    <row r="44" spans="1:7" x14ac:dyDescent="0.25">
      <c r="A44" s="18"/>
      <c r="B44" s="21"/>
      <c r="C44" s="19"/>
      <c r="D44" s="20"/>
      <c r="E44" s="19"/>
      <c r="F44" s="22"/>
      <c r="G44" s="12" t="str">
        <f t="shared" si="0"/>
        <v/>
      </c>
    </row>
    <row r="45" spans="1:7" x14ac:dyDescent="0.25">
      <c r="A45" s="18"/>
      <c r="B45" s="21"/>
      <c r="C45" s="19"/>
      <c r="D45" s="20"/>
      <c r="E45" s="19"/>
      <c r="F45" s="22"/>
      <c r="G45" s="12" t="str">
        <f t="shared" si="0"/>
        <v/>
      </c>
    </row>
    <row r="46" spans="1:7" x14ac:dyDescent="0.25">
      <c r="A46" s="18"/>
      <c r="B46" s="21"/>
      <c r="C46" s="19"/>
      <c r="D46" s="20"/>
      <c r="E46" s="19"/>
      <c r="F46" s="22"/>
      <c r="G46" s="12" t="str">
        <f t="shared" si="0"/>
        <v/>
      </c>
    </row>
    <row r="47" spans="1:7" x14ac:dyDescent="0.25">
      <c r="A47" s="18"/>
      <c r="B47" s="21"/>
      <c r="C47" s="19"/>
      <c r="D47" s="20"/>
      <c r="E47" s="19"/>
      <c r="F47" s="22"/>
      <c r="G47" s="12" t="str">
        <f t="shared" si="0"/>
        <v/>
      </c>
    </row>
    <row r="48" spans="1:7" x14ac:dyDescent="0.25">
      <c r="A48" s="18"/>
      <c r="B48" s="21"/>
      <c r="C48" s="19"/>
      <c r="D48" s="20"/>
      <c r="E48" s="19"/>
      <c r="F48" s="22"/>
      <c r="G48" s="12" t="str">
        <f t="shared" si="0"/>
        <v/>
      </c>
    </row>
    <row r="49" spans="1:7" x14ac:dyDescent="0.25">
      <c r="A49" s="18"/>
      <c r="B49" s="21"/>
      <c r="C49" s="19"/>
      <c r="D49" s="20"/>
      <c r="E49" s="19"/>
      <c r="F49" s="22"/>
      <c r="G49" s="12" t="str">
        <f t="shared" si="0"/>
        <v/>
      </c>
    </row>
    <row r="50" spans="1:7" x14ac:dyDescent="0.25">
      <c r="A50" s="18"/>
      <c r="B50" s="21"/>
      <c r="C50" s="19"/>
      <c r="D50" s="20"/>
      <c r="E50" s="19"/>
      <c r="F50" s="22"/>
      <c r="G50" s="12" t="str">
        <f t="shared" si="0"/>
        <v/>
      </c>
    </row>
    <row r="51" spans="1:7" x14ac:dyDescent="0.25">
      <c r="A51" s="18"/>
      <c r="B51" s="21"/>
      <c r="C51" s="19"/>
      <c r="D51" s="20"/>
      <c r="E51" s="19"/>
      <c r="F51" s="22"/>
      <c r="G51" s="12" t="str">
        <f t="shared" si="0"/>
        <v/>
      </c>
    </row>
    <row r="52" spans="1:7" x14ac:dyDescent="0.25">
      <c r="A52" s="18"/>
      <c r="B52" s="21"/>
      <c r="C52" s="19"/>
      <c r="D52" s="20"/>
      <c r="E52" s="19"/>
      <c r="F52" s="22"/>
      <c r="G52" s="12" t="str">
        <f t="shared" si="0"/>
        <v/>
      </c>
    </row>
    <row r="53" spans="1:7" x14ac:dyDescent="0.25">
      <c r="A53" s="18"/>
      <c r="B53" s="21"/>
      <c r="C53" s="19"/>
      <c r="D53" s="20"/>
      <c r="E53" s="19"/>
      <c r="F53" s="22"/>
      <c r="G53" s="12" t="str">
        <f t="shared" si="0"/>
        <v/>
      </c>
    </row>
    <row r="54" spans="1:7" x14ac:dyDescent="0.25">
      <c r="A54" s="18"/>
      <c r="B54" s="21"/>
      <c r="C54" s="19"/>
      <c r="D54" s="20"/>
      <c r="E54" s="19"/>
      <c r="F54" s="22"/>
      <c r="G54" s="12" t="str">
        <f t="shared" si="0"/>
        <v/>
      </c>
    </row>
    <row r="55" spans="1:7" x14ac:dyDescent="0.25">
      <c r="A55" s="18"/>
      <c r="B55" s="21"/>
      <c r="C55" s="19"/>
      <c r="D55" s="20"/>
      <c r="E55" s="19"/>
      <c r="F55" s="22"/>
      <c r="G55" s="12" t="str">
        <f t="shared" si="0"/>
        <v/>
      </c>
    </row>
    <row r="56" spans="1:7" x14ac:dyDescent="0.25">
      <c r="A56" s="18"/>
      <c r="B56" s="21"/>
      <c r="C56" s="19"/>
      <c r="D56" s="20"/>
      <c r="E56" s="19"/>
      <c r="F56" s="22"/>
      <c r="G56" s="12" t="str">
        <f t="shared" si="0"/>
        <v/>
      </c>
    </row>
    <row r="57" spans="1:7" x14ac:dyDescent="0.25">
      <c r="A57" s="18"/>
      <c r="B57" s="21"/>
      <c r="C57" s="19"/>
      <c r="D57" s="20"/>
      <c r="E57" s="19"/>
      <c r="F57" s="22"/>
      <c r="G57" s="12" t="str">
        <f t="shared" si="0"/>
        <v/>
      </c>
    </row>
    <row r="58" spans="1:7" x14ac:dyDescent="0.25">
      <c r="A58" s="18"/>
      <c r="B58" s="21"/>
      <c r="C58" s="19"/>
      <c r="D58" s="20"/>
      <c r="E58" s="19"/>
      <c r="F58" s="22"/>
      <c r="G58" s="12" t="str">
        <f t="shared" si="0"/>
        <v/>
      </c>
    </row>
    <row r="59" spans="1:7" x14ac:dyDescent="0.25">
      <c r="A59" s="18"/>
      <c r="B59" s="21"/>
      <c r="C59" s="19"/>
      <c r="D59" s="20"/>
      <c r="E59" s="19"/>
      <c r="F59" s="22"/>
      <c r="G59" s="12" t="str">
        <f t="shared" si="0"/>
        <v/>
      </c>
    </row>
    <row r="60" spans="1:7" x14ac:dyDescent="0.25">
      <c r="A60" s="18"/>
      <c r="B60" s="21"/>
      <c r="C60" s="19"/>
      <c r="D60" s="20"/>
      <c r="E60" s="19"/>
      <c r="F60" s="22"/>
      <c r="G60" s="12" t="str">
        <f t="shared" si="0"/>
        <v/>
      </c>
    </row>
    <row r="61" spans="1:7" x14ac:dyDescent="0.25">
      <c r="A61" s="18"/>
      <c r="B61" s="21"/>
      <c r="C61" s="19"/>
      <c r="D61" s="20"/>
      <c r="E61" s="19"/>
      <c r="F61" s="22"/>
      <c r="G61" s="12" t="str">
        <f t="shared" si="0"/>
        <v/>
      </c>
    </row>
    <row r="62" spans="1:7" x14ac:dyDescent="0.25">
      <c r="A62" s="18"/>
      <c r="B62" s="21"/>
      <c r="C62" s="19"/>
      <c r="D62" s="20"/>
      <c r="E62" s="19"/>
      <c r="F62" s="22"/>
      <c r="G62" s="12" t="str">
        <f t="shared" si="0"/>
        <v/>
      </c>
    </row>
    <row r="63" spans="1:7" x14ac:dyDescent="0.25">
      <c r="A63" s="18"/>
      <c r="B63" s="21"/>
      <c r="C63" s="19"/>
      <c r="D63" s="20"/>
      <c r="E63" s="19"/>
      <c r="F63" s="22"/>
      <c r="G63" s="12" t="str">
        <f t="shared" si="0"/>
        <v/>
      </c>
    </row>
    <row r="64" spans="1:7" x14ac:dyDescent="0.25">
      <c r="A64" s="18"/>
      <c r="B64" s="21"/>
      <c r="C64" s="19"/>
      <c r="D64" s="20"/>
      <c r="E64" s="19"/>
      <c r="F64" s="22"/>
      <c r="G64" s="12" t="str">
        <f t="shared" si="0"/>
        <v/>
      </c>
    </row>
    <row r="65" spans="1:7" x14ac:dyDescent="0.25">
      <c r="A65" s="18"/>
      <c r="B65" s="21"/>
      <c r="C65" s="19"/>
      <c r="D65" s="20"/>
      <c r="E65" s="19"/>
      <c r="F65" s="22"/>
      <c r="G65" s="12" t="str">
        <f t="shared" si="0"/>
        <v/>
      </c>
    </row>
    <row r="66" spans="1:7" x14ac:dyDescent="0.25">
      <c r="A66" s="18"/>
      <c r="B66" s="21"/>
      <c r="C66" s="19"/>
      <c r="D66" s="20"/>
      <c r="E66" s="19"/>
      <c r="F66" s="22"/>
      <c r="G66" s="12" t="str">
        <f t="shared" si="0"/>
        <v/>
      </c>
    </row>
    <row r="67" spans="1:7" x14ac:dyDescent="0.25">
      <c r="A67" s="18"/>
      <c r="B67" s="21"/>
      <c r="C67" s="19"/>
      <c r="D67" s="20"/>
      <c r="E67" s="19"/>
      <c r="F67" s="22"/>
      <c r="G67" s="12" t="str">
        <f t="shared" si="0"/>
        <v/>
      </c>
    </row>
    <row r="68" spans="1:7" x14ac:dyDescent="0.25">
      <c r="A68" s="6"/>
      <c r="B68" s="6"/>
      <c r="C68" s="6"/>
      <c r="D68" s="6"/>
      <c r="E68" s="6"/>
      <c r="F68" s="6"/>
      <c r="G68" s="12" t="str">
        <f t="shared" si="0"/>
        <v/>
      </c>
    </row>
    <row r="69" spans="1:7" x14ac:dyDescent="0.25">
      <c r="A69" s="6"/>
      <c r="B69" s="6"/>
      <c r="C69" s="6"/>
      <c r="D69" s="6"/>
      <c r="E69" s="6"/>
      <c r="F69" s="6"/>
      <c r="G69" s="12" t="str">
        <f t="shared" si="0"/>
        <v/>
      </c>
    </row>
    <row r="70" spans="1:7" x14ac:dyDescent="0.25">
      <c r="A70" s="6"/>
      <c r="B70" s="6"/>
      <c r="C70" s="6"/>
      <c r="D70" s="6"/>
      <c r="E70" s="6"/>
      <c r="F70" s="6"/>
      <c r="G70" s="12" t="str">
        <f t="shared" si="0"/>
        <v/>
      </c>
    </row>
    <row r="71" spans="1:7" x14ac:dyDescent="0.25">
      <c r="A71" s="6"/>
      <c r="B71" s="6"/>
      <c r="C71" s="6"/>
      <c r="D71" s="6"/>
      <c r="E71" s="6"/>
      <c r="F71" s="6"/>
      <c r="G71" s="12" t="str">
        <f t="shared" si="0"/>
        <v/>
      </c>
    </row>
    <row r="72" spans="1:7" x14ac:dyDescent="0.25">
      <c r="A72" s="6"/>
      <c r="B72" s="6"/>
      <c r="C72" s="6"/>
      <c r="D72" s="6"/>
      <c r="E72" s="6"/>
      <c r="F72" s="6"/>
      <c r="G72" s="12" t="str">
        <f t="shared" si="0"/>
        <v/>
      </c>
    </row>
    <row r="73" spans="1:7" x14ac:dyDescent="0.25">
      <c r="A73" s="6"/>
      <c r="B73" s="6"/>
      <c r="C73" s="6"/>
      <c r="D73" s="6"/>
      <c r="E73" s="6"/>
      <c r="F73" s="6"/>
      <c r="G73" s="12" t="str">
        <f t="shared" si="0"/>
        <v/>
      </c>
    </row>
    <row r="74" spans="1:7" x14ac:dyDescent="0.25">
      <c r="A74" s="6"/>
      <c r="B74" s="6"/>
      <c r="C74" s="6"/>
      <c r="D74" s="6"/>
      <c r="E74" s="6"/>
      <c r="F74" s="6"/>
      <c r="G74" s="12" t="str">
        <f t="shared" si="0"/>
        <v/>
      </c>
    </row>
    <row r="75" spans="1:7" x14ac:dyDescent="0.25">
      <c r="A75" s="6"/>
      <c r="B75" s="6"/>
      <c r="C75" s="6"/>
      <c r="D75" s="6"/>
      <c r="E75" s="6"/>
      <c r="F75" s="6"/>
      <c r="G75" s="12" t="str">
        <f t="shared" si="0"/>
        <v/>
      </c>
    </row>
    <row r="76" spans="1:7" x14ac:dyDescent="0.25">
      <c r="A76" s="6"/>
      <c r="B76" s="6"/>
      <c r="C76" s="6"/>
      <c r="D76" s="6"/>
      <c r="E76" s="6"/>
      <c r="F76" s="6"/>
      <c r="G76" s="12" t="str">
        <f t="shared" si="0"/>
        <v/>
      </c>
    </row>
    <row r="77" spans="1:7" x14ac:dyDescent="0.25">
      <c r="A77" s="6"/>
      <c r="B77" s="6"/>
      <c r="C77" s="6"/>
      <c r="D77" s="6"/>
      <c r="E77" s="6"/>
      <c r="F77" s="6"/>
      <c r="G77" s="12" t="str">
        <f t="shared" si="0"/>
        <v/>
      </c>
    </row>
    <row r="78" spans="1:7" x14ac:dyDescent="0.25">
      <c r="A78" s="6"/>
      <c r="B78" s="6"/>
      <c r="C78" s="6"/>
      <c r="D78" s="6"/>
      <c r="E78" s="6"/>
      <c r="F78" s="6"/>
      <c r="G78" s="12" t="str">
        <f t="shared" si="0"/>
        <v/>
      </c>
    </row>
    <row r="79" spans="1:7" x14ac:dyDescent="0.25">
      <c r="A79" s="6"/>
      <c r="B79" s="6"/>
      <c r="C79" s="6"/>
      <c r="D79" s="6"/>
      <c r="E79" s="6"/>
      <c r="F79" s="6"/>
      <c r="G79" s="12" t="str">
        <f t="shared" si="0"/>
        <v/>
      </c>
    </row>
    <row r="80" spans="1:7" x14ac:dyDescent="0.25">
      <c r="A80" s="6"/>
      <c r="B80" s="6"/>
      <c r="C80" s="6"/>
      <c r="D80" s="6"/>
      <c r="E80" s="6"/>
      <c r="F80" s="6"/>
      <c r="G80" s="12" t="str">
        <f t="shared" si="0"/>
        <v/>
      </c>
    </row>
    <row r="81" spans="1:7" x14ac:dyDescent="0.25">
      <c r="A81" s="6"/>
      <c r="B81" s="6"/>
      <c r="C81" s="6"/>
      <c r="D81" s="6"/>
      <c r="E81" s="6"/>
      <c r="F81" s="6"/>
      <c r="G81" s="12" t="str">
        <f t="shared" si="0"/>
        <v/>
      </c>
    </row>
    <row r="82" spans="1:7" x14ac:dyDescent="0.25">
      <c r="A82" s="6"/>
      <c r="B82" s="6"/>
      <c r="C82" s="6"/>
      <c r="D82" s="6"/>
      <c r="E82" s="6"/>
      <c r="F82" s="6"/>
      <c r="G82" s="12" t="str">
        <f t="shared" si="0"/>
        <v/>
      </c>
    </row>
    <row r="83" spans="1:7" x14ac:dyDescent="0.25">
      <c r="A83" s="6"/>
      <c r="B83" s="6"/>
      <c r="C83" s="6"/>
      <c r="D83" s="6"/>
      <c r="E83" s="6"/>
      <c r="F83" s="6"/>
      <c r="G83" s="12" t="str">
        <f t="shared" si="0"/>
        <v/>
      </c>
    </row>
    <row r="84" spans="1:7" x14ac:dyDescent="0.25">
      <c r="A84" s="6"/>
      <c r="B84" s="6"/>
      <c r="C84" s="6"/>
      <c r="D84" s="6"/>
      <c r="E84" s="6"/>
      <c r="F84" s="6"/>
      <c r="G84" s="12" t="str">
        <f t="shared" si="0"/>
        <v/>
      </c>
    </row>
    <row r="85" spans="1:7" x14ac:dyDescent="0.25">
      <c r="A85" s="6"/>
      <c r="B85" s="6"/>
      <c r="C85" s="6"/>
      <c r="D85" s="6"/>
      <c r="E85" s="6"/>
      <c r="F85" s="6"/>
      <c r="G85" s="12" t="str">
        <f t="shared" si="0"/>
        <v/>
      </c>
    </row>
    <row r="86" spans="1:7" x14ac:dyDescent="0.25">
      <c r="A86" s="6"/>
      <c r="B86" s="6"/>
      <c r="C86" s="6"/>
      <c r="D86" s="6"/>
      <c r="E86" s="6"/>
      <c r="F86" s="6"/>
      <c r="G86" s="12" t="str">
        <f t="shared" si="0"/>
        <v/>
      </c>
    </row>
    <row r="87" spans="1:7" x14ac:dyDescent="0.25">
      <c r="A87" s="6"/>
      <c r="B87" s="6"/>
      <c r="C87" s="6"/>
      <c r="D87" s="6"/>
      <c r="E87" s="6"/>
      <c r="F87" s="6"/>
      <c r="G87" s="12" t="str">
        <f t="shared" si="0"/>
        <v/>
      </c>
    </row>
    <row r="88" spans="1:7" x14ac:dyDescent="0.25">
      <c r="A88" s="6"/>
      <c r="B88" s="6"/>
      <c r="C88" s="6"/>
      <c r="D88" s="6"/>
      <c r="E88" s="6"/>
      <c r="F88" s="6"/>
      <c r="G88" s="12" t="str">
        <f t="shared" si="0"/>
        <v/>
      </c>
    </row>
    <row r="89" spans="1:7" x14ac:dyDescent="0.25">
      <c r="A89" s="6"/>
      <c r="B89" s="6"/>
      <c r="C89" s="6"/>
      <c r="D89" s="6"/>
      <c r="E89" s="6"/>
      <c r="F89" s="6"/>
      <c r="G89" s="12" t="str">
        <f t="shared" si="0"/>
        <v/>
      </c>
    </row>
    <row r="90" spans="1:7" x14ac:dyDescent="0.25">
      <c r="A90" s="6"/>
      <c r="B90" s="6"/>
      <c r="C90" s="6"/>
      <c r="D90" s="6"/>
      <c r="E90" s="6"/>
      <c r="F90" s="6"/>
      <c r="G90" s="12" t="str">
        <f t="shared" si="0"/>
        <v/>
      </c>
    </row>
    <row r="91" spans="1:7" x14ac:dyDescent="0.25">
      <c r="A91" s="6"/>
      <c r="B91" s="6"/>
      <c r="C91" s="6"/>
      <c r="D91" s="6"/>
      <c r="E91" s="6"/>
      <c r="F91" s="6"/>
      <c r="G91" s="12" t="str">
        <f t="shared" si="0"/>
        <v/>
      </c>
    </row>
    <row r="92" spans="1:7" x14ac:dyDescent="0.25">
      <c r="A92" s="6"/>
      <c r="B92" s="6"/>
      <c r="C92" s="6"/>
      <c r="D92" s="6"/>
      <c r="E92" s="6"/>
      <c r="F92" s="6"/>
      <c r="G92" s="12" t="str">
        <f t="shared" si="0"/>
        <v/>
      </c>
    </row>
    <row r="93" spans="1:7" x14ac:dyDescent="0.25">
      <c r="A93" s="6"/>
      <c r="B93" s="6"/>
      <c r="C93" s="6"/>
      <c r="D93" s="6"/>
      <c r="E93" s="6"/>
      <c r="F93" s="6"/>
      <c r="G93" s="12" t="str">
        <f t="shared" ref="G93:G156" si="1">IF(G92="","",IF(G92+1&gt;=$G$26,"",G92+1))</f>
        <v/>
      </c>
    </row>
    <row r="94" spans="1:7" x14ac:dyDescent="0.25">
      <c r="A94" s="6"/>
      <c r="B94" s="6"/>
      <c r="C94" s="6"/>
      <c r="D94" s="6"/>
      <c r="E94" s="6"/>
      <c r="F94" s="6"/>
      <c r="G94" s="12" t="str">
        <f t="shared" si="1"/>
        <v/>
      </c>
    </row>
    <row r="95" spans="1:7" x14ac:dyDescent="0.25">
      <c r="A95" s="6"/>
      <c r="B95" s="6"/>
      <c r="C95" s="6"/>
      <c r="D95" s="6"/>
      <c r="E95" s="6"/>
      <c r="F95" s="6"/>
      <c r="G95" s="12" t="str">
        <f t="shared" si="1"/>
        <v/>
      </c>
    </row>
    <row r="96" spans="1:7" x14ac:dyDescent="0.25">
      <c r="A96" s="6"/>
      <c r="B96" s="6"/>
      <c r="C96" s="6"/>
      <c r="D96" s="6"/>
      <c r="E96" s="6"/>
      <c r="F96" s="6"/>
      <c r="G96" s="12" t="str">
        <f t="shared" si="1"/>
        <v/>
      </c>
    </row>
    <row r="97" spans="1:7" x14ac:dyDescent="0.25">
      <c r="A97" s="6"/>
      <c r="B97" s="6"/>
      <c r="C97" s="6"/>
      <c r="D97" s="6"/>
      <c r="E97" s="6"/>
      <c r="F97" s="6"/>
      <c r="G97" s="12" t="str">
        <f t="shared" si="1"/>
        <v/>
      </c>
    </row>
    <row r="98" spans="1:7" x14ac:dyDescent="0.25">
      <c r="A98" s="6"/>
      <c r="B98" s="6"/>
      <c r="C98" s="6"/>
      <c r="D98" s="6"/>
      <c r="E98" s="6"/>
      <c r="F98" s="6"/>
      <c r="G98" s="12" t="str">
        <f t="shared" si="1"/>
        <v/>
      </c>
    </row>
    <row r="99" spans="1:7" x14ac:dyDescent="0.25">
      <c r="A99" s="6"/>
      <c r="B99" s="6"/>
      <c r="C99" s="6"/>
      <c r="D99" s="6"/>
      <c r="E99" s="6"/>
      <c r="F99" s="6"/>
      <c r="G99" s="12" t="str">
        <f t="shared" si="1"/>
        <v/>
      </c>
    </row>
    <row r="100" spans="1:7" x14ac:dyDescent="0.25">
      <c r="A100" s="6"/>
      <c r="B100" s="6"/>
      <c r="C100" s="6"/>
      <c r="D100" s="6"/>
      <c r="E100" s="6"/>
      <c r="F100" s="6"/>
      <c r="G100" s="12" t="str">
        <f t="shared" si="1"/>
        <v/>
      </c>
    </row>
    <row r="101" spans="1:7" x14ac:dyDescent="0.25">
      <c r="A101" s="6"/>
      <c r="B101" s="6"/>
      <c r="C101" s="6"/>
      <c r="D101" s="6"/>
      <c r="E101" s="6"/>
      <c r="F101" s="6"/>
      <c r="G101" s="12" t="str">
        <f t="shared" si="1"/>
        <v/>
      </c>
    </row>
    <row r="102" spans="1:7" x14ac:dyDescent="0.25">
      <c r="A102" s="6"/>
      <c r="B102" s="6"/>
      <c r="C102" s="6"/>
      <c r="D102" s="6"/>
      <c r="E102" s="6"/>
      <c r="F102" s="6"/>
      <c r="G102" s="12" t="str">
        <f t="shared" si="1"/>
        <v/>
      </c>
    </row>
    <row r="103" spans="1:7" x14ac:dyDescent="0.25">
      <c r="A103" s="6"/>
      <c r="B103" s="6"/>
      <c r="C103" s="6"/>
      <c r="D103" s="6"/>
      <c r="E103" s="6"/>
      <c r="F103" s="6"/>
      <c r="G103" s="12" t="str">
        <f t="shared" si="1"/>
        <v/>
      </c>
    </row>
    <row r="104" spans="1:7" x14ac:dyDescent="0.25">
      <c r="A104" s="6"/>
      <c r="B104" s="6"/>
      <c r="C104" s="6"/>
      <c r="D104" s="6"/>
      <c r="E104" s="6"/>
      <c r="F104" s="6"/>
      <c r="G104" s="12" t="str">
        <f t="shared" si="1"/>
        <v/>
      </c>
    </row>
    <row r="105" spans="1:7" x14ac:dyDescent="0.25">
      <c r="A105" s="6"/>
      <c r="B105" s="6"/>
      <c r="C105" s="6"/>
      <c r="D105" s="6"/>
      <c r="E105" s="6"/>
      <c r="F105" s="6"/>
      <c r="G105" s="12" t="str">
        <f t="shared" si="1"/>
        <v/>
      </c>
    </row>
    <row r="106" spans="1:7" x14ac:dyDescent="0.25">
      <c r="A106" s="6"/>
      <c r="B106" s="6"/>
      <c r="C106" s="6"/>
      <c r="D106" s="6"/>
      <c r="E106" s="6"/>
      <c r="F106" s="6"/>
      <c r="G106" s="12" t="str">
        <f t="shared" si="1"/>
        <v/>
      </c>
    </row>
    <row r="107" spans="1:7" x14ac:dyDescent="0.25">
      <c r="A107" s="6"/>
      <c r="B107" s="6"/>
      <c r="C107" s="6"/>
      <c r="D107" s="6"/>
      <c r="E107" s="6"/>
      <c r="F107" s="6"/>
      <c r="G107" s="12" t="str">
        <f t="shared" si="1"/>
        <v/>
      </c>
    </row>
    <row r="108" spans="1:7" x14ac:dyDescent="0.25">
      <c r="A108" s="6"/>
      <c r="B108" s="6"/>
      <c r="C108" s="6"/>
      <c r="D108" s="6"/>
      <c r="E108" s="6"/>
      <c r="F108" s="6"/>
      <c r="G108" s="12" t="str">
        <f t="shared" si="1"/>
        <v/>
      </c>
    </row>
    <row r="109" spans="1:7" x14ac:dyDescent="0.25">
      <c r="A109" s="6"/>
      <c r="B109" s="6"/>
      <c r="C109" s="6"/>
      <c r="D109" s="6"/>
      <c r="E109" s="6"/>
      <c r="F109" s="6"/>
      <c r="G109" s="12" t="str">
        <f t="shared" si="1"/>
        <v/>
      </c>
    </row>
    <row r="110" spans="1:7" x14ac:dyDescent="0.25">
      <c r="A110" s="6"/>
      <c r="B110" s="6"/>
      <c r="C110" s="6"/>
      <c r="D110" s="6"/>
      <c r="E110" s="6"/>
      <c r="F110" s="6"/>
      <c r="G110" s="12" t="str">
        <f t="shared" si="1"/>
        <v/>
      </c>
    </row>
    <row r="111" spans="1:7" x14ac:dyDescent="0.25">
      <c r="A111" s="6"/>
      <c r="B111" s="6"/>
      <c r="C111" s="6"/>
      <c r="D111" s="6"/>
      <c r="E111" s="6"/>
      <c r="F111" s="6"/>
      <c r="G111" s="12" t="str">
        <f t="shared" si="1"/>
        <v/>
      </c>
    </row>
    <row r="112" spans="1:7" x14ac:dyDescent="0.25">
      <c r="A112" s="6"/>
      <c r="B112" s="6"/>
      <c r="C112" s="6"/>
      <c r="D112" s="6"/>
      <c r="E112" s="6"/>
      <c r="F112" s="6"/>
      <c r="G112" s="12" t="str">
        <f t="shared" si="1"/>
        <v/>
      </c>
    </row>
    <row r="113" spans="1:7" x14ac:dyDescent="0.25">
      <c r="A113" s="6"/>
      <c r="B113" s="6"/>
      <c r="C113" s="6"/>
      <c r="D113" s="6"/>
      <c r="E113" s="6"/>
      <c r="F113" s="6"/>
      <c r="G113" s="12" t="str">
        <f t="shared" si="1"/>
        <v/>
      </c>
    </row>
    <row r="114" spans="1:7" x14ac:dyDescent="0.25">
      <c r="A114" s="6"/>
      <c r="B114" s="6"/>
      <c r="C114" s="6"/>
      <c r="D114" s="6"/>
      <c r="E114" s="6"/>
      <c r="F114" s="6"/>
      <c r="G114" s="12" t="str">
        <f t="shared" si="1"/>
        <v/>
      </c>
    </row>
    <row r="115" spans="1:7" x14ac:dyDescent="0.25">
      <c r="A115" s="6"/>
      <c r="B115" s="6"/>
      <c r="C115" s="6"/>
      <c r="D115" s="6"/>
      <c r="E115" s="6"/>
      <c r="F115" s="6"/>
      <c r="G115" s="12" t="str">
        <f t="shared" si="1"/>
        <v/>
      </c>
    </row>
    <row r="116" spans="1:7" x14ac:dyDescent="0.25">
      <c r="A116" s="6"/>
      <c r="B116" s="6"/>
      <c r="C116" s="6"/>
      <c r="D116" s="6"/>
      <c r="E116" s="6"/>
      <c r="F116" s="6"/>
      <c r="G116" s="12" t="str">
        <f t="shared" si="1"/>
        <v/>
      </c>
    </row>
    <row r="117" spans="1:7" x14ac:dyDescent="0.25">
      <c r="A117" s="6"/>
      <c r="B117" s="6"/>
      <c r="C117" s="6"/>
      <c r="D117" s="6"/>
      <c r="E117" s="6"/>
      <c r="F117" s="6"/>
      <c r="G117" s="12" t="str">
        <f t="shared" si="1"/>
        <v/>
      </c>
    </row>
    <row r="118" spans="1:7" x14ac:dyDescent="0.25">
      <c r="A118" s="6"/>
      <c r="B118" s="6"/>
      <c r="C118" s="6"/>
      <c r="D118" s="6"/>
      <c r="E118" s="6"/>
      <c r="F118" s="6"/>
      <c r="G118" s="12" t="str">
        <f t="shared" si="1"/>
        <v/>
      </c>
    </row>
    <row r="119" spans="1:7" x14ac:dyDescent="0.25">
      <c r="A119" s="6"/>
      <c r="B119" s="6"/>
      <c r="C119" s="6"/>
      <c r="D119" s="6"/>
      <c r="E119" s="6"/>
      <c r="F119" s="6"/>
      <c r="G119" s="12" t="str">
        <f t="shared" si="1"/>
        <v/>
      </c>
    </row>
    <row r="120" spans="1:7" x14ac:dyDescent="0.25">
      <c r="A120" s="6"/>
      <c r="B120" s="6"/>
      <c r="C120" s="6"/>
      <c r="D120" s="6"/>
      <c r="E120" s="6"/>
      <c r="F120" s="6"/>
      <c r="G120" s="12" t="str">
        <f t="shared" si="1"/>
        <v/>
      </c>
    </row>
    <row r="121" spans="1:7" x14ac:dyDescent="0.25">
      <c r="A121" s="6"/>
      <c r="B121" s="6"/>
      <c r="C121" s="6"/>
      <c r="D121" s="6"/>
      <c r="E121" s="6"/>
      <c r="F121" s="6"/>
      <c r="G121" s="12" t="str">
        <f t="shared" si="1"/>
        <v/>
      </c>
    </row>
    <row r="122" spans="1:7" x14ac:dyDescent="0.25">
      <c r="A122" s="6"/>
      <c r="B122" s="6"/>
      <c r="C122" s="6"/>
      <c r="D122" s="6"/>
      <c r="E122" s="6"/>
      <c r="F122" s="6"/>
      <c r="G122" s="12" t="str">
        <f t="shared" si="1"/>
        <v/>
      </c>
    </row>
    <row r="123" spans="1:7" x14ac:dyDescent="0.25">
      <c r="A123" s="6"/>
      <c r="B123" s="6"/>
      <c r="C123" s="6"/>
      <c r="D123" s="6"/>
      <c r="E123" s="6"/>
      <c r="F123" s="6"/>
      <c r="G123" s="12" t="str">
        <f t="shared" si="1"/>
        <v/>
      </c>
    </row>
    <row r="124" spans="1:7" x14ac:dyDescent="0.25">
      <c r="A124" s="6"/>
      <c r="B124" s="6"/>
      <c r="C124" s="6"/>
      <c r="D124" s="6"/>
      <c r="E124" s="6"/>
      <c r="F124" s="6"/>
      <c r="G124" s="12" t="str">
        <f t="shared" si="1"/>
        <v/>
      </c>
    </row>
    <row r="125" spans="1:7" x14ac:dyDescent="0.25">
      <c r="A125" s="6"/>
      <c r="B125" s="6"/>
      <c r="C125" s="6"/>
      <c r="D125" s="6"/>
      <c r="E125" s="6"/>
      <c r="F125" s="6"/>
      <c r="G125" s="12" t="str">
        <f t="shared" si="1"/>
        <v/>
      </c>
    </row>
    <row r="126" spans="1:7" x14ac:dyDescent="0.25">
      <c r="A126" s="6"/>
      <c r="B126" s="6"/>
      <c r="C126" s="6"/>
      <c r="D126" s="6"/>
      <c r="E126" s="6"/>
      <c r="F126" s="6"/>
      <c r="G126" s="12" t="str">
        <f t="shared" si="1"/>
        <v/>
      </c>
    </row>
    <row r="127" spans="1:7" x14ac:dyDescent="0.25">
      <c r="A127" s="6"/>
      <c r="B127" s="6"/>
      <c r="C127" s="6"/>
      <c r="D127" s="6"/>
      <c r="E127" s="6"/>
      <c r="F127" s="6"/>
      <c r="G127" s="12" t="str">
        <f t="shared" si="1"/>
        <v/>
      </c>
    </row>
    <row r="128" spans="1:7" x14ac:dyDescent="0.25">
      <c r="A128" s="6"/>
      <c r="B128" s="6"/>
      <c r="C128" s="6"/>
      <c r="D128" s="6"/>
      <c r="E128" s="6"/>
      <c r="F128" s="6"/>
      <c r="G128" s="12" t="str">
        <f t="shared" si="1"/>
        <v/>
      </c>
    </row>
    <row r="129" spans="1:7" x14ac:dyDescent="0.25">
      <c r="A129" s="6"/>
      <c r="B129" s="6"/>
      <c r="C129" s="6"/>
      <c r="D129" s="6"/>
      <c r="E129" s="6"/>
      <c r="F129" s="6"/>
      <c r="G129" s="12" t="str">
        <f t="shared" si="1"/>
        <v/>
      </c>
    </row>
    <row r="130" spans="1:7" x14ac:dyDescent="0.25">
      <c r="A130" s="6"/>
      <c r="B130" s="6"/>
      <c r="C130" s="6"/>
      <c r="D130" s="6"/>
      <c r="E130" s="6"/>
      <c r="F130" s="6"/>
      <c r="G130" s="12" t="str">
        <f t="shared" si="1"/>
        <v/>
      </c>
    </row>
    <row r="131" spans="1:7" x14ac:dyDescent="0.25">
      <c r="A131" s="6"/>
      <c r="B131" s="6"/>
      <c r="C131" s="6"/>
      <c r="D131" s="6"/>
      <c r="E131" s="6"/>
      <c r="F131" s="6"/>
      <c r="G131" s="12" t="str">
        <f t="shared" si="1"/>
        <v/>
      </c>
    </row>
    <row r="132" spans="1:7" x14ac:dyDescent="0.25">
      <c r="A132" s="6"/>
      <c r="B132" s="6"/>
      <c r="C132" s="6"/>
      <c r="D132" s="6"/>
      <c r="E132" s="6"/>
      <c r="F132" s="6"/>
      <c r="G132" s="12" t="str">
        <f t="shared" si="1"/>
        <v/>
      </c>
    </row>
    <row r="133" spans="1:7" x14ac:dyDescent="0.25">
      <c r="A133" s="6"/>
      <c r="B133" s="6"/>
      <c r="C133" s="6"/>
      <c r="D133" s="6"/>
      <c r="E133" s="6"/>
      <c r="F133" s="6"/>
      <c r="G133" s="12" t="str">
        <f t="shared" si="1"/>
        <v/>
      </c>
    </row>
    <row r="134" spans="1:7" x14ac:dyDescent="0.25">
      <c r="A134" s="6"/>
      <c r="B134" s="6"/>
      <c r="C134" s="6"/>
      <c r="D134" s="6"/>
      <c r="E134" s="6"/>
      <c r="F134" s="6"/>
      <c r="G134" s="12" t="str">
        <f t="shared" si="1"/>
        <v/>
      </c>
    </row>
    <row r="135" spans="1:7" x14ac:dyDescent="0.25">
      <c r="A135" s="6"/>
      <c r="B135" s="6"/>
      <c r="C135" s="6"/>
      <c r="D135" s="6"/>
      <c r="E135" s="6"/>
      <c r="F135" s="6"/>
      <c r="G135" s="12" t="str">
        <f t="shared" si="1"/>
        <v/>
      </c>
    </row>
    <row r="136" spans="1:7" x14ac:dyDescent="0.25">
      <c r="A136" s="6"/>
      <c r="B136" s="6"/>
      <c r="C136" s="6"/>
      <c r="D136" s="6"/>
      <c r="E136" s="6"/>
      <c r="F136" s="6"/>
      <c r="G136" s="12" t="str">
        <f t="shared" si="1"/>
        <v/>
      </c>
    </row>
    <row r="137" spans="1:7" x14ac:dyDescent="0.25">
      <c r="A137" s="6"/>
      <c r="B137" s="6"/>
      <c r="C137" s="6"/>
      <c r="D137" s="6"/>
      <c r="E137" s="6"/>
      <c r="F137" s="6"/>
      <c r="G137" s="12" t="str">
        <f t="shared" si="1"/>
        <v/>
      </c>
    </row>
    <row r="138" spans="1:7" x14ac:dyDescent="0.25">
      <c r="A138" s="6"/>
      <c r="B138" s="6"/>
      <c r="C138" s="6"/>
      <c r="D138" s="6"/>
      <c r="E138" s="6"/>
      <c r="F138" s="6"/>
      <c r="G138" s="12" t="str">
        <f t="shared" si="1"/>
        <v/>
      </c>
    </row>
    <row r="139" spans="1:7" x14ac:dyDescent="0.25">
      <c r="A139" s="6"/>
      <c r="B139" s="6"/>
      <c r="C139" s="6"/>
      <c r="D139" s="6"/>
      <c r="E139" s="6"/>
      <c r="F139" s="6"/>
      <c r="G139" s="12" t="str">
        <f t="shared" si="1"/>
        <v/>
      </c>
    </row>
    <row r="140" spans="1:7" x14ac:dyDescent="0.25">
      <c r="A140" s="6"/>
      <c r="B140" s="6"/>
      <c r="C140" s="6"/>
      <c r="D140" s="6"/>
      <c r="E140" s="6"/>
      <c r="F140" s="6"/>
      <c r="G140" s="12" t="str">
        <f t="shared" si="1"/>
        <v/>
      </c>
    </row>
    <row r="141" spans="1:7" x14ac:dyDescent="0.25">
      <c r="A141" s="6"/>
      <c r="B141" s="6"/>
      <c r="C141" s="6"/>
      <c r="D141" s="6"/>
      <c r="E141" s="6"/>
      <c r="F141" s="6"/>
      <c r="G141" s="12" t="str">
        <f t="shared" si="1"/>
        <v/>
      </c>
    </row>
    <row r="142" spans="1:7" x14ac:dyDescent="0.25">
      <c r="A142" s="6"/>
      <c r="B142" s="6"/>
      <c r="C142" s="6"/>
      <c r="D142" s="6"/>
      <c r="E142" s="6"/>
      <c r="F142" s="6"/>
      <c r="G142" s="12" t="str">
        <f t="shared" si="1"/>
        <v/>
      </c>
    </row>
    <row r="143" spans="1:7" x14ac:dyDescent="0.25">
      <c r="A143" s="6"/>
      <c r="B143" s="6"/>
      <c r="C143" s="6"/>
      <c r="D143" s="6"/>
      <c r="E143" s="6"/>
      <c r="F143" s="6"/>
      <c r="G143" s="12" t="str">
        <f t="shared" si="1"/>
        <v/>
      </c>
    </row>
    <row r="144" spans="1:7" x14ac:dyDescent="0.25">
      <c r="A144" s="6"/>
      <c r="B144" s="6"/>
      <c r="C144" s="6"/>
      <c r="D144" s="6"/>
      <c r="E144" s="6"/>
      <c r="F144" s="6"/>
      <c r="G144" s="12" t="str">
        <f t="shared" si="1"/>
        <v/>
      </c>
    </row>
    <row r="145" spans="1:7" x14ac:dyDescent="0.25">
      <c r="A145" s="6"/>
      <c r="B145" s="6"/>
      <c r="C145" s="6"/>
      <c r="D145" s="6"/>
      <c r="E145" s="6"/>
      <c r="F145" s="6"/>
      <c r="G145" s="12" t="str">
        <f t="shared" si="1"/>
        <v/>
      </c>
    </row>
    <row r="146" spans="1:7" x14ac:dyDescent="0.25">
      <c r="A146" s="6"/>
      <c r="B146" s="6"/>
      <c r="C146" s="6"/>
      <c r="D146" s="6"/>
      <c r="E146" s="6"/>
      <c r="F146" s="6"/>
      <c r="G146" s="12" t="str">
        <f t="shared" si="1"/>
        <v/>
      </c>
    </row>
    <row r="147" spans="1:7" x14ac:dyDescent="0.25">
      <c r="A147" s="6"/>
      <c r="B147" s="6"/>
      <c r="C147" s="6"/>
      <c r="D147" s="6"/>
      <c r="E147" s="6"/>
      <c r="F147" s="6"/>
      <c r="G147" s="12" t="str">
        <f t="shared" si="1"/>
        <v/>
      </c>
    </row>
    <row r="148" spans="1:7" x14ac:dyDescent="0.25">
      <c r="A148" s="6"/>
      <c r="B148" s="6"/>
      <c r="C148" s="6"/>
      <c r="D148" s="6"/>
      <c r="E148" s="6"/>
      <c r="F148" s="6"/>
      <c r="G148" s="12" t="str">
        <f t="shared" si="1"/>
        <v/>
      </c>
    </row>
    <row r="149" spans="1:7" x14ac:dyDescent="0.25">
      <c r="A149" s="6"/>
      <c r="B149" s="6"/>
      <c r="C149" s="6"/>
      <c r="D149" s="6"/>
      <c r="E149" s="6"/>
      <c r="F149" s="6"/>
      <c r="G149" s="12" t="str">
        <f t="shared" si="1"/>
        <v/>
      </c>
    </row>
    <row r="150" spans="1:7" x14ac:dyDescent="0.25">
      <c r="A150" s="6"/>
      <c r="B150" s="6"/>
      <c r="C150" s="6"/>
      <c r="D150" s="6"/>
      <c r="E150" s="6"/>
      <c r="F150" s="6"/>
      <c r="G150" s="12" t="str">
        <f t="shared" si="1"/>
        <v/>
      </c>
    </row>
    <row r="151" spans="1:7" x14ac:dyDescent="0.25">
      <c r="A151" s="6"/>
      <c r="B151" s="6"/>
      <c r="C151" s="6"/>
      <c r="D151" s="6"/>
      <c r="E151" s="6"/>
      <c r="F151" s="6"/>
      <c r="G151" s="12" t="str">
        <f t="shared" si="1"/>
        <v/>
      </c>
    </row>
    <row r="152" spans="1:7" x14ac:dyDescent="0.25">
      <c r="A152" s="6"/>
      <c r="B152" s="6"/>
      <c r="C152" s="6"/>
      <c r="D152" s="6"/>
      <c r="E152" s="6"/>
      <c r="F152" s="6"/>
      <c r="G152" s="12" t="str">
        <f t="shared" si="1"/>
        <v/>
      </c>
    </row>
    <row r="153" spans="1:7" x14ac:dyDescent="0.25">
      <c r="A153" s="6"/>
      <c r="B153" s="6"/>
      <c r="C153" s="6"/>
      <c r="D153" s="6"/>
      <c r="E153" s="6"/>
      <c r="F153" s="6"/>
      <c r="G153" s="12" t="str">
        <f t="shared" si="1"/>
        <v/>
      </c>
    </row>
    <row r="154" spans="1:7" x14ac:dyDescent="0.25">
      <c r="A154" s="6"/>
      <c r="B154" s="6"/>
      <c r="C154" s="6"/>
      <c r="D154" s="6"/>
      <c r="E154" s="6"/>
      <c r="F154" s="6"/>
      <c r="G154" s="12" t="str">
        <f t="shared" si="1"/>
        <v/>
      </c>
    </row>
    <row r="155" spans="1:7" x14ac:dyDescent="0.25">
      <c r="A155" s="6"/>
      <c r="B155" s="6"/>
      <c r="C155" s="6"/>
      <c r="D155" s="6"/>
      <c r="E155" s="6"/>
      <c r="F155" s="6"/>
      <c r="G155" s="12" t="str">
        <f t="shared" si="1"/>
        <v/>
      </c>
    </row>
    <row r="156" spans="1:7" x14ac:dyDescent="0.25">
      <c r="A156" s="6"/>
      <c r="B156" s="6"/>
      <c r="C156" s="6"/>
      <c r="D156" s="6"/>
      <c r="E156" s="6"/>
      <c r="F156" s="6"/>
      <c r="G156" s="12" t="str">
        <f t="shared" si="1"/>
        <v/>
      </c>
    </row>
    <row r="157" spans="1:7" x14ac:dyDescent="0.25">
      <c r="A157" s="6"/>
      <c r="B157" s="6"/>
      <c r="C157" s="6"/>
      <c r="D157" s="6"/>
      <c r="E157" s="6"/>
      <c r="F157" s="6"/>
      <c r="G157" s="12" t="str">
        <f t="shared" ref="G157:G206" si="2">IF(G156="","",IF(G156+1&gt;=$G$26,"",G156+1))</f>
        <v/>
      </c>
    </row>
    <row r="158" spans="1:7" x14ac:dyDescent="0.25">
      <c r="A158" s="6"/>
      <c r="B158" s="6"/>
      <c r="C158" s="6"/>
      <c r="D158" s="6"/>
      <c r="E158" s="6"/>
      <c r="F158" s="6"/>
      <c r="G158" s="12" t="str">
        <f t="shared" si="2"/>
        <v/>
      </c>
    </row>
    <row r="159" spans="1:7" x14ac:dyDescent="0.25">
      <c r="A159" s="6"/>
      <c r="B159" s="6"/>
      <c r="C159" s="6"/>
      <c r="D159" s="6"/>
      <c r="E159" s="6"/>
      <c r="F159" s="6"/>
      <c r="G159" s="12" t="str">
        <f t="shared" si="2"/>
        <v/>
      </c>
    </row>
    <row r="160" spans="1:7" x14ac:dyDescent="0.25">
      <c r="A160" s="6"/>
      <c r="B160" s="6"/>
      <c r="C160" s="6"/>
      <c r="D160" s="6"/>
      <c r="E160" s="6"/>
      <c r="F160" s="6"/>
      <c r="G160" s="12" t="str">
        <f t="shared" si="2"/>
        <v/>
      </c>
    </row>
    <row r="161" spans="1:7" x14ac:dyDescent="0.25">
      <c r="A161" s="6"/>
      <c r="B161" s="6"/>
      <c r="C161" s="6"/>
      <c r="D161" s="6"/>
      <c r="E161" s="6"/>
      <c r="F161" s="6"/>
      <c r="G161" s="12" t="str">
        <f t="shared" si="2"/>
        <v/>
      </c>
    </row>
    <row r="162" spans="1:7" x14ac:dyDescent="0.25">
      <c r="A162" s="6"/>
      <c r="B162" s="6"/>
      <c r="C162" s="6"/>
      <c r="D162" s="6"/>
      <c r="E162" s="6"/>
      <c r="F162" s="6"/>
      <c r="G162" s="12" t="str">
        <f t="shared" si="2"/>
        <v/>
      </c>
    </row>
    <row r="163" spans="1:7" x14ac:dyDescent="0.25">
      <c r="A163" s="6"/>
      <c r="B163" s="6"/>
      <c r="C163" s="6"/>
      <c r="D163" s="6"/>
      <c r="E163" s="6"/>
      <c r="F163" s="6"/>
      <c r="G163" s="12" t="str">
        <f t="shared" si="2"/>
        <v/>
      </c>
    </row>
    <row r="164" spans="1:7" x14ac:dyDescent="0.25">
      <c r="A164" s="6"/>
      <c r="B164" s="6"/>
      <c r="C164" s="6"/>
      <c r="D164" s="6"/>
      <c r="E164" s="6"/>
      <c r="F164" s="6"/>
      <c r="G164" s="12" t="str">
        <f t="shared" si="2"/>
        <v/>
      </c>
    </row>
    <row r="165" spans="1:7" x14ac:dyDescent="0.25">
      <c r="A165" s="6"/>
      <c r="B165" s="6"/>
      <c r="C165" s="6"/>
      <c r="D165" s="6"/>
      <c r="E165" s="6"/>
      <c r="F165" s="6"/>
      <c r="G165" s="12" t="str">
        <f t="shared" si="2"/>
        <v/>
      </c>
    </row>
    <row r="166" spans="1:7" x14ac:dyDescent="0.25">
      <c r="A166" s="6"/>
      <c r="B166" s="6"/>
      <c r="C166" s="6"/>
      <c r="D166" s="6"/>
      <c r="E166" s="6"/>
      <c r="F166" s="6"/>
      <c r="G166" s="12" t="str">
        <f t="shared" si="2"/>
        <v/>
      </c>
    </row>
    <row r="167" spans="1:7" x14ac:dyDescent="0.25">
      <c r="A167" s="6"/>
      <c r="B167" s="6"/>
      <c r="C167" s="6"/>
      <c r="D167" s="6"/>
      <c r="E167" s="6"/>
      <c r="F167" s="6"/>
      <c r="G167" s="12" t="str">
        <f t="shared" si="2"/>
        <v/>
      </c>
    </row>
    <row r="168" spans="1:7" x14ac:dyDescent="0.25">
      <c r="A168" s="6"/>
      <c r="B168" s="6"/>
      <c r="C168" s="6"/>
      <c r="D168" s="6"/>
      <c r="E168" s="6"/>
      <c r="F168" s="6"/>
      <c r="G168" s="12" t="str">
        <f t="shared" si="2"/>
        <v/>
      </c>
    </row>
    <row r="169" spans="1:7" x14ac:dyDescent="0.25">
      <c r="A169" s="6"/>
      <c r="B169" s="6"/>
      <c r="C169" s="6"/>
      <c r="D169" s="6"/>
      <c r="E169" s="6"/>
      <c r="F169" s="6"/>
      <c r="G169" s="12" t="str">
        <f t="shared" si="2"/>
        <v/>
      </c>
    </row>
    <row r="170" spans="1:7" x14ac:dyDescent="0.25">
      <c r="A170" s="6"/>
      <c r="B170" s="6"/>
      <c r="C170" s="6"/>
      <c r="D170" s="6"/>
      <c r="E170" s="6"/>
      <c r="F170" s="6"/>
      <c r="G170" s="12" t="str">
        <f t="shared" si="2"/>
        <v/>
      </c>
    </row>
    <row r="171" spans="1:7" x14ac:dyDescent="0.25">
      <c r="A171" s="6"/>
      <c r="B171" s="6"/>
      <c r="C171" s="6"/>
      <c r="D171" s="6"/>
      <c r="E171" s="6"/>
      <c r="F171" s="6"/>
      <c r="G171" s="12" t="str">
        <f t="shared" si="2"/>
        <v/>
      </c>
    </row>
    <row r="172" spans="1:7" x14ac:dyDescent="0.25">
      <c r="A172" s="6"/>
      <c r="B172" s="6"/>
      <c r="C172" s="6"/>
      <c r="D172" s="6"/>
      <c r="E172" s="6"/>
      <c r="F172" s="6"/>
      <c r="G172" s="12" t="str">
        <f t="shared" si="2"/>
        <v/>
      </c>
    </row>
    <row r="173" spans="1:7" x14ac:dyDescent="0.25">
      <c r="A173" s="6"/>
      <c r="B173" s="6"/>
      <c r="C173" s="6"/>
      <c r="D173" s="6"/>
      <c r="E173" s="6"/>
      <c r="F173" s="6"/>
      <c r="G173" s="12" t="str">
        <f t="shared" si="2"/>
        <v/>
      </c>
    </row>
    <row r="174" spans="1:7" x14ac:dyDescent="0.25">
      <c r="A174" s="6"/>
      <c r="B174" s="6"/>
      <c r="C174" s="6"/>
      <c r="D174" s="6"/>
      <c r="E174" s="6"/>
      <c r="F174" s="6"/>
      <c r="G174" s="12" t="str">
        <f t="shared" si="2"/>
        <v/>
      </c>
    </row>
    <row r="175" spans="1:7" x14ac:dyDescent="0.25">
      <c r="A175" s="6"/>
      <c r="B175" s="6"/>
      <c r="C175" s="6"/>
      <c r="D175" s="6"/>
      <c r="E175" s="6"/>
      <c r="F175" s="6"/>
      <c r="G175" s="12" t="str">
        <f t="shared" si="2"/>
        <v/>
      </c>
    </row>
    <row r="176" spans="1:7" x14ac:dyDescent="0.25">
      <c r="A176" s="6"/>
      <c r="B176" s="6"/>
      <c r="C176" s="6"/>
      <c r="D176" s="6"/>
      <c r="E176" s="6"/>
      <c r="F176" s="6"/>
      <c r="G176" s="12" t="str">
        <f t="shared" si="2"/>
        <v/>
      </c>
    </row>
    <row r="177" spans="1:7" x14ac:dyDescent="0.25">
      <c r="A177" s="6"/>
      <c r="B177" s="6"/>
      <c r="C177" s="6"/>
      <c r="D177" s="6"/>
      <c r="E177" s="6"/>
      <c r="F177" s="6"/>
      <c r="G177" s="12" t="str">
        <f t="shared" si="2"/>
        <v/>
      </c>
    </row>
    <row r="178" spans="1:7" x14ac:dyDescent="0.25">
      <c r="A178" s="6"/>
      <c r="B178" s="6"/>
      <c r="C178" s="6"/>
      <c r="D178" s="6"/>
      <c r="E178" s="6"/>
      <c r="F178" s="6"/>
      <c r="G178" s="12" t="str">
        <f t="shared" si="2"/>
        <v/>
      </c>
    </row>
    <row r="179" spans="1:7" x14ac:dyDescent="0.25">
      <c r="A179" s="6"/>
      <c r="B179" s="6"/>
      <c r="C179" s="6"/>
      <c r="D179" s="6"/>
      <c r="E179" s="6"/>
      <c r="F179" s="6"/>
      <c r="G179" s="12" t="str">
        <f t="shared" si="2"/>
        <v/>
      </c>
    </row>
    <row r="180" spans="1:7" x14ac:dyDescent="0.25">
      <c r="A180" s="6"/>
      <c r="B180" s="6"/>
      <c r="C180" s="6"/>
      <c r="D180" s="6"/>
      <c r="E180" s="6"/>
      <c r="F180" s="6"/>
      <c r="G180" s="12" t="str">
        <f t="shared" si="2"/>
        <v/>
      </c>
    </row>
    <row r="181" spans="1:7" x14ac:dyDescent="0.25">
      <c r="A181" s="6"/>
      <c r="B181" s="6"/>
      <c r="C181" s="6"/>
      <c r="D181" s="6"/>
      <c r="E181" s="6"/>
      <c r="F181" s="6"/>
      <c r="G181" s="12" t="str">
        <f t="shared" si="2"/>
        <v/>
      </c>
    </row>
    <row r="182" spans="1:7" x14ac:dyDescent="0.25">
      <c r="A182" s="6"/>
      <c r="B182" s="6"/>
      <c r="C182" s="6"/>
      <c r="D182" s="6"/>
      <c r="E182" s="6"/>
      <c r="F182" s="6"/>
      <c r="G182" s="12" t="str">
        <f t="shared" si="2"/>
        <v/>
      </c>
    </row>
    <row r="183" spans="1:7" x14ac:dyDescent="0.25">
      <c r="A183" s="6"/>
      <c r="B183" s="6"/>
      <c r="C183" s="6"/>
      <c r="D183" s="6"/>
      <c r="E183" s="6"/>
      <c r="F183" s="6"/>
      <c r="G183" s="12" t="str">
        <f t="shared" si="2"/>
        <v/>
      </c>
    </row>
    <row r="184" spans="1:7" x14ac:dyDescent="0.25">
      <c r="A184" s="6"/>
      <c r="B184" s="6"/>
      <c r="C184" s="6"/>
      <c r="D184" s="6"/>
      <c r="E184" s="6"/>
      <c r="F184" s="6"/>
      <c r="G184" s="12" t="str">
        <f t="shared" si="2"/>
        <v/>
      </c>
    </row>
    <row r="185" spans="1:7" x14ac:dyDescent="0.25">
      <c r="A185" s="6"/>
      <c r="B185" s="6"/>
      <c r="C185" s="6"/>
      <c r="D185" s="6"/>
      <c r="E185" s="6"/>
      <c r="F185" s="6"/>
      <c r="G185" s="12" t="str">
        <f t="shared" si="2"/>
        <v/>
      </c>
    </row>
    <row r="186" spans="1:7" x14ac:dyDescent="0.25">
      <c r="A186" s="6"/>
      <c r="B186" s="6"/>
      <c r="C186" s="6"/>
      <c r="D186" s="6"/>
      <c r="E186" s="6"/>
      <c r="F186" s="6"/>
      <c r="G186" s="12" t="str">
        <f t="shared" si="2"/>
        <v/>
      </c>
    </row>
    <row r="187" spans="1:7" x14ac:dyDescent="0.25">
      <c r="A187" s="6"/>
      <c r="B187" s="6"/>
      <c r="C187" s="6"/>
      <c r="D187" s="6"/>
      <c r="E187" s="6"/>
      <c r="F187" s="6"/>
      <c r="G187" s="12" t="str">
        <f t="shared" si="2"/>
        <v/>
      </c>
    </row>
    <row r="188" spans="1:7" x14ac:dyDescent="0.25">
      <c r="A188" s="6"/>
      <c r="B188" s="6"/>
      <c r="C188" s="6"/>
      <c r="D188" s="6"/>
      <c r="E188" s="6"/>
      <c r="F188" s="6"/>
      <c r="G188" s="12" t="str">
        <f t="shared" si="2"/>
        <v/>
      </c>
    </row>
    <row r="189" spans="1:7" x14ac:dyDescent="0.25">
      <c r="A189" s="6"/>
      <c r="B189" s="6"/>
      <c r="C189" s="6"/>
      <c r="D189" s="6"/>
      <c r="E189" s="6"/>
      <c r="F189" s="6"/>
      <c r="G189" s="12" t="str">
        <f t="shared" si="2"/>
        <v/>
      </c>
    </row>
    <row r="190" spans="1:7" x14ac:dyDescent="0.25">
      <c r="A190" s="6"/>
      <c r="B190" s="6"/>
      <c r="C190" s="6"/>
      <c r="D190" s="6"/>
      <c r="E190" s="6"/>
      <c r="F190" s="6"/>
      <c r="G190" s="12" t="str">
        <f t="shared" si="2"/>
        <v/>
      </c>
    </row>
    <row r="191" spans="1:7" x14ac:dyDescent="0.25">
      <c r="A191" s="6"/>
      <c r="B191" s="6"/>
      <c r="C191" s="6"/>
      <c r="D191" s="6"/>
      <c r="E191" s="6"/>
      <c r="F191" s="6"/>
      <c r="G191" s="12" t="str">
        <f t="shared" si="2"/>
        <v/>
      </c>
    </row>
    <row r="192" spans="1:7" x14ac:dyDescent="0.25">
      <c r="A192" s="6"/>
      <c r="B192" s="6"/>
      <c r="C192" s="6"/>
      <c r="D192" s="6"/>
      <c r="E192" s="6"/>
      <c r="F192" s="6"/>
      <c r="G192" s="12" t="str">
        <f t="shared" si="2"/>
        <v/>
      </c>
    </row>
    <row r="193" spans="1:7" x14ac:dyDescent="0.25">
      <c r="A193" s="6"/>
      <c r="B193" s="6"/>
      <c r="C193" s="6"/>
      <c r="D193" s="6"/>
      <c r="E193" s="6"/>
      <c r="F193" s="6"/>
      <c r="G193" s="12" t="str">
        <f t="shared" si="2"/>
        <v/>
      </c>
    </row>
    <row r="194" spans="1:7" x14ac:dyDescent="0.25">
      <c r="A194" s="6"/>
      <c r="B194" s="6"/>
      <c r="C194" s="6"/>
      <c r="D194" s="6"/>
      <c r="E194" s="6"/>
      <c r="F194" s="6"/>
      <c r="G194" s="12" t="str">
        <f t="shared" si="2"/>
        <v/>
      </c>
    </row>
    <row r="195" spans="1:7" x14ac:dyDescent="0.25">
      <c r="A195" s="6"/>
      <c r="B195" s="6"/>
      <c r="C195" s="6"/>
      <c r="D195" s="6"/>
      <c r="E195" s="6"/>
      <c r="F195" s="6"/>
      <c r="G195" s="12" t="str">
        <f t="shared" si="2"/>
        <v/>
      </c>
    </row>
    <row r="196" spans="1:7" x14ac:dyDescent="0.25">
      <c r="A196" s="6"/>
      <c r="B196" s="6"/>
      <c r="C196" s="6"/>
      <c r="D196" s="6"/>
      <c r="E196" s="6"/>
      <c r="F196" s="6"/>
      <c r="G196" s="12" t="str">
        <f t="shared" si="2"/>
        <v/>
      </c>
    </row>
    <row r="197" spans="1:7" x14ac:dyDescent="0.25">
      <c r="A197" s="6"/>
      <c r="B197" s="6"/>
      <c r="C197" s="6"/>
      <c r="D197" s="6"/>
      <c r="E197" s="6"/>
      <c r="F197" s="6"/>
      <c r="G197" s="12" t="str">
        <f t="shared" si="2"/>
        <v/>
      </c>
    </row>
    <row r="198" spans="1:7" x14ac:dyDescent="0.25">
      <c r="A198" s="6"/>
      <c r="B198" s="6"/>
      <c r="C198" s="6"/>
      <c r="D198" s="6"/>
      <c r="E198" s="6"/>
      <c r="F198" s="6"/>
      <c r="G198" s="12" t="str">
        <f t="shared" si="2"/>
        <v/>
      </c>
    </row>
    <row r="199" spans="1:7" x14ac:dyDescent="0.25">
      <c r="A199" s="6"/>
      <c r="B199" s="6"/>
      <c r="C199" s="6"/>
      <c r="D199" s="6"/>
      <c r="E199" s="6"/>
      <c r="F199" s="6"/>
      <c r="G199" s="12" t="str">
        <f t="shared" si="2"/>
        <v/>
      </c>
    </row>
    <row r="200" spans="1:7" x14ac:dyDescent="0.25">
      <c r="A200" s="6"/>
      <c r="B200" s="6"/>
      <c r="C200" s="6"/>
      <c r="D200" s="6"/>
      <c r="E200" s="6"/>
      <c r="F200" s="6"/>
      <c r="G200" s="12" t="str">
        <f t="shared" si="2"/>
        <v/>
      </c>
    </row>
    <row r="201" spans="1:7" x14ac:dyDescent="0.25">
      <c r="A201" s="6"/>
      <c r="B201" s="6"/>
      <c r="C201" s="6"/>
      <c r="D201" s="6"/>
      <c r="E201" s="6"/>
      <c r="F201" s="6"/>
      <c r="G201" s="12" t="str">
        <f t="shared" si="2"/>
        <v/>
      </c>
    </row>
    <row r="202" spans="1:7" x14ac:dyDescent="0.25">
      <c r="A202" s="6"/>
      <c r="B202" s="6"/>
      <c r="C202" s="6"/>
      <c r="D202" s="6"/>
      <c r="E202" s="6"/>
      <c r="F202" s="6"/>
      <c r="G202" s="12" t="str">
        <f t="shared" si="2"/>
        <v/>
      </c>
    </row>
    <row r="203" spans="1:7" x14ac:dyDescent="0.25">
      <c r="A203" s="6"/>
      <c r="B203" s="6"/>
      <c r="C203" s="6"/>
      <c r="D203" s="6"/>
      <c r="E203" s="6"/>
      <c r="F203" s="6"/>
      <c r="G203" s="12" t="str">
        <f t="shared" si="2"/>
        <v/>
      </c>
    </row>
    <row r="204" spans="1:7" x14ac:dyDescent="0.25">
      <c r="A204" s="6"/>
      <c r="B204" s="6"/>
      <c r="C204" s="6"/>
      <c r="D204" s="6"/>
      <c r="E204" s="6"/>
      <c r="F204" s="6"/>
      <c r="G204" s="12" t="str">
        <f t="shared" si="2"/>
        <v/>
      </c>
    </row>
    <row r="205" spans="1:7" x14ac:dyDescent="0.25">
      <c r="A205" s="6"/>
      <c r="B205" s="6"/>
      <c r="C205" s="6"/>
      <c r="D205" s="6"/>
      <c r="E205" s="6"/>
      <c r="F205" s="6"/>
      <c r="G205" s="12" t="str">
        <f t="shared" si="2"/>
        <v/>
      </c>
    </row>
    <row r="206" spans="1:7" x14ac:dyDescent="0.25">
      <c r="A206" s="6"/>
      <c r="B206" s="6"/>
      <c r="C206" s="6"/>
      <c r="D206" s="6"/>
      <c r="E206" s="6"/>
      <c r="F206" s="6"/>
      <c r="G206" s="12" t="str">
        <f t="shared" si="2"/>
        <v/>
      </c>
    </row>
    <row r="207" spans="1:7" x14ac:dyDescent="0.25">
      <c r="A207" s="6"/>
      <c r="B207" s="6"/>
      <c r="C207" s="6"/>
      <c r="D207" s="6"/>
      <c r="E207" s="6"/>
      <c r="F207" s="6"/>
      <c r="G207" s="6"/>
    </row>
    <row r="208" spans="1:7" x14ac:dyDescent="0.25">
      <c r="A208" s="6"/>
      <c r="B208" s="6"/>
      <c r="C208" s="6"/>
      <c r="D208" s="6"/>
      <c r="E208" s="6"/>
      <c r="F208" s="6"/>
      <c r="G208" s="6"/>
    </row>
    <row r="209" spans="1:7" x14ac:dyDescent="0.25">
      <c r="A209" s="6"/>
      <c r="B209" s="6"/>
      <c r="C209" s="6"/>
      <c r="D209" s="6"/>
      <c r="E209" s="6"/>
      <c r="F209" s="6"/>
      <c r="G209" s="6"/>
    </row>
    <row r="210" spans="1:7" x14ac:dyDescent="0.25">
      <c r="A210" s="6"/>
      <c r="B210" s="6"/>
      <c r="C210" s="6"/>
      <c r="D210" s="6"/>
      <c r="E210" s="6"/>
      <c r="F210" s="6"/>
      <c r="G210" s="6"/>
    </row>
    <row r="211" spans="1:7" x14ac:dyDescent="0.25">
      <c r="A211" s="6"/>
      <c r="B211" s="6"/>
      <c r="C211" s="6"/>
      <c r="D211" s="6"/>
      <c r="E211" s="6"/>
      <c r="F211" s="6"/>
      <c r="G211" s="6"/>
    </row>
  </sheetData>
  <mergeCells count="8">
    <mergeCell ref="A22:G22"/>
    <mergeCell ref="A23:G23"/>
    <mergeCell ref="E26:F26"/>
    <mergeCell ref="D3:F3"/>
    <mergeCell ref="E14:F14"/>
    <mergeCell ref="B17:F17"/>
    <mergeCell ref="A19:B19"/>
    <mergeCell ref="A21:G21"/>
  </mergeCells>
  <pageMargins left="0.25" right="0.25" top="0.75" bottom="0.75" header="0.3" footer="0.3"/>
  <pageSetup paperSize="9" orientation="portrait"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r:uid="{A615A8DA-6302-4443-846E-ACE91867429A}">
          <x14:formula1>
            <xm:f>'BASE DONNES CLIENTS'!$C$2:$C$11</xm:f>
          </x14:formula1>
          <xm:sqref>E9:F9</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8097664-8A6D-4B18-956A-3540FAD704A2}">
  <sheetPr codeName="Feuil5"/>
  <dimension ref="A1:B1"/>
  <sheetViews>
    <sheetView workbookViewId="0">
      <selection activeCell="A13" sqref="A13"/>
    </sheetView>
  </sheetViews>
  <sheetFormatPr baseColWidth="10" defaultRowHeight="15" x14ac:dyDescent="0.25"/>
  <cols>
    <col min="1" max="1" width="23.42578125" customWidth="1"/>
    <col min="2" max="2" width="25.42578125" customWidth="1"/>
  </cols>
  <sheetData>
    <row r="1" spans="1:2" x14ac:dyDescent="0.25">
      <c r="A1" t="s">
        <v>878</v>
      </c>
      <c r="B1" t="s">
        <v>879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BASE DONNES CLIENTS</vt:lpstr>
      <vt:lpstr>BASE VENTES</vt:lpstr>
      <vt:lpstr>RELEVE-TEMPLETE</vt:lpstr>
      <vt:lpstr>PARAMETRES</vt:lpstr>
      <vt:lpstr>'BASE DONNES CLIENTS'!BASECLIENTS</vt:lpstr>
    </vt:vector>
  </TitlesOfParts>
  <Company>OVH SAS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Ingrid CAROUX</dc:creator>
  <cp:lastModifiedBy>Ahoua Yannick</cp:lastModifiedBy>
  <cp:lastPrinted>2019-07-23T16:25:03Z</cp:lastPrinted>
  <dcterms:created xsi:type="dcterms:W3CDTF">2019-07-10T14:08:20Z</dcterms:created>
  <dcterms:modified xsi:type="dcterms:W3CDTF">2019-07-23T17:06:40Z</dcterms:modified>
</cp:coreProperties>
</file>