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soltani\Desktop\"/>
    </mc:Choice>
  </mc:AlternateContent>
  <xr:revisionPtr revIDLastSave="0" documentId="8_{29D880DF-9F86-4FF6-9C8D-629FA13929A6}" xr6:coauthVersionLast="43" xr6:coauthVersionMax="43" xr10:uidLastSave="{00000000-0000-0000-0000-000000000000}"/>
  <bookViews>
    <workbookView xWindow="-120" yWindow="-120" windowWidth="21840" windowHeight="13140" xr2:uid="{8D1E4ECC-CCAF-4090-B57C-8F5C84D4A5B4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31" i="1" l="1"/>
  <c r="P31" i="1" s="1"/>
  <c r="K31" i="1"/>
  <c r="H31" i="1"/>
  <c r="G31" i="1"/>
  <c r="D31" i="1"/>
  <c r="F31" i="1" s="1"/>
  <c r="N30" i="1"/>
  <c r="K30" i="1"/>
  <c r="J30" i="1"/>
  <c r="H30" i="1"/>
  <c r="G30" i="1"/>
  <c r="D30" i="1"/>
  <c r="F30" i="1" s="1"/>
  <c r="L30" i="1" s="1"/>
  <c r="M30" i="1" s="1"/>
  <c r="N29" i="1"/>
  <c r="P29" i="1" s="1"/>
  <c r="L29" i="1"/>
  <c r="K29" i="1"/>
  <c r="J29" i="1"/>
  <c r="H29" i="1"/>
  <c r="G29" i="1"/>
  <c r="D29" i="1"/>
  <c r="F29" i="1" s="1"/>
  <c r="M29" i="1" s="1"/>
  <c r="P28" i="1"/>
  <c r="N28" i="1"/>
  <c r="L28" i="1"/>
  <c r="M28" i="1" s="1"/>
  <c r="K28" i="1"/>
  <c r="J28" i="1"/>
  <c r="H28" i="1"/>
  <c r="G28" i="1"/>
  <c r="D28" i="1"/>
  <c r="F28" i="1" s="1"/>
  <c r="P27" i="1"/>
  <c r="N27" i="1"/>
  <c r="L27" i="1"/>
  <c r="M27" i="1" s="1"/>
  <c r="K27" i="1"/>
  <c r="J27" i="1"/>
  <c r="H27" i="1"/>
  <c r="G27" i="1"/>
  <c r="D27" i="1"/>
  <c r="F27" i="1" s="1"/>
  <c r="N26" i="1"/>
  <c r="P26" i="1" s="1"/>
  <c r="L26" i="1"/>
  <c r="M26" i="1" s="1"/>
  <c r="K26" i="1"/>
  <c r="J26" i="1"/>
  <c r="H26" i="1"/>
  <c r="G26" i="1"/>
  <c r="D26" i="1"/>
  <c r="F26" i="1" s="1"/>
  <c r="N25" i="1"/>
  <c r="P25" i="1" s="1"/>
  <c r="L25" i="1"/>
  <c r="K25" i="1"/>
  <c r="J25" i="1"/>
  <c r="H25" i="1"/>
  <c r="G25" i="1"/>
  <c r="D25" i="1"/>
  <c r="F25" i="1" s="1"/>
  <c r="M25" i="1" s="1"/>
  <c r="N24" i="1"/>
  <c r="P24" i="1" s="1"/>
  <c r="M24" i="1"/>
  <c r="L24" i="1"/>
  <c r="L31" i="1" s="1"/>
  <c r="K24" i="1"/>
  <c r="H24" i="1"/>
  <c r="G24" i="1"/>
  <c r="D24" i="1"/>
  <c r="F24" i="1" s="1"/>
  <c r="N23" i="1"/>
  <c r="P23" i="1" s="1"/>
  <c r="K23" i="1"/>
  <c r="J23" i="1"/>
  <c r="H23" i="1"/>
  <c r="G23" i="1"/>
  <c r="D23" i="1"/>
  <c r="L23" i="1" s="1"/>
  <c r="M23" i="1" s="1"/>
  <c r="N22" i="1"/>
  <c r="P22" i="1" s="1"/>
  <c r="L22" i="1"/>
  <c r="M22" i="1" s="1"/>
  <c r="K22" i="1"/>
  <c r="J22" i="1"/>
  <c r="H22" i="1"/>
  <c r="H34" i="1" s="1"/>
  <c r="G22" i="1"/>
  <c r="D22" i="1"/>
  <c r="F22" i="1" s="1"/>
  <c r="O22" i="1"/>
  <c r="K13" i="1"/>
  <c r="J13" i="1"/>
  <c r="I13" i="1"/>
  <c r="H13" i="1"/>
  <c r="G13" i="1"/>
  <c r="F13" i="1"/>
  <c r="E13" i="1"/>
  <c r="D13" i="1"/>
  <c r="C13" i="1"/>
  <c r="B13" i="1"/>
  <c r="L12" i="1"/>
  <c r="A12" i="1"/>
  <c r="L11" i="1"/>
  <c r="A11" i="1"/>
  <c r="L10" i="1"/>
  <c r="A10" i="1"/>
  <c r="L9" i="1"/>
  <c r="A9" i="1"/>
  <c r="L8" i="1"/>
  <c r="A8" i="1"/>
  <c r="L7" i="1"/>
  <c r="A7" i="1"/>
  <c r="L6" i="1"/>
  <c r="A6" i="1"/>
  <c r="L5" i="1"/>
  <c r="A5" i="1"/>
  <c r="L4" i="1"/>
  <c r="A4" i="1"/>
  <c r="O31" i="1" s="1"/>
  <c r="L3" i="1"/>
  <c r="A3" i="1"/>
  <c r="L13" i="1" l="1"/>
  <c r="F23" i="1"/>
  <c r="M31" i="1"/>
  <c r="O26" i="1"/>
  <c r="O27" i="1"/>
  <c r="O23" i="1"/>
  <c r="O28" i="1"/>
  <c r="O24" i="1"/>
  <c r="O25" i="1"/>
  <c r="O29" i="1"/>
  <c r="B34" i="1" l="1"/>
</calcChain>
</file>

<file path=xl/sharedStrings.xml><?xml version="1.0" encoding="utf-8"?>
<sst xmlns="http://schemas.openxmlformats.org/spreadsheetml/2006/main" count="32" uniqueCount="30">
  <si>
    <t>Commandes</t>
  </si>
  <si>
    <t>2018</t>
  </si>
  <si>
    <t>2019</t>
  </si>
  <si>
    <t>Modèle</t>
  </si>
  <si>
    <t>déc</t>
  </si>
  <si>
    <t>janv</t>
  </si>
  <si>
    <t>Fév</t>
  </si>
  <si>
    <t>mars</t>
  </si>
  <si>
    <t>avr</t>
  </si>
  <si>
    <t>mai</t>
  </si>
  <si>
    <t>juin</t>
  </si>
  <si>
    <t>Juil</t>
  </si>
  <si>
    <t>août</t>
  </si>
  <si>
    <t>sept</t>
  </si>
  <si>
    <t>Total</t>
  </si>
  <si>
    <t xml:space="preserve">Qté </t>
  </si>
  <si>
    <t xml:space="preserve">Date commande </t>
  </si>
  <si>
    <t xml:space="preserve">Date arrivée </t>
  </si>
  <si>
    <t xml:space="preserve">Délai de production </t>
  </si>
  <si>
    <t>Date Vente selon P°</t>
  </si>
  <si>
    <t>PVTTTC</t>
  </si>
  <si>
    <t>TOTAL VTE</t>
  </si>
  <si>
    <t>Nombre de mois de vente</t>
  </si>
  <si>
    <t>nbre j</t>
  </si>
  <si>
    <t>ENC Mensuel</t>
  </si>
  <si>
    <t>début des ventes au plus tôt</t>
  </si>
  <si>
    <t>Date réelle de début de vente de la P°</t>
  </si>
  <si>
    <t>Date début encaissement</t>
  </si>
  <si>
    <t>montant DC/mois de vente</t>
  </si>
  <si>
    <t>Date début décaissement 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</si>
</sst>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\ _€_-;\-* #,##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00B050"/>
      <name val="Arial"/>
      <family val="2"/>
    </font>
    <font>
      <sz val="11"/>
      <name val="Arial"/>
      <family val="2"/>
    </font>
    <font>
      <b/>
      <sz val="11"/>
      <color theme="0"/>
      <name val="Arial"/>
      <family val="2"/>
    </font>
    <font>
      <sz val="10"/>
      <color rgb="FF4F595F"/>
      <name val="Courier New"/>
      <family val="3"/>
    </font>
    <font>
      <b/>
      <sz val="10"/>
      <color theme="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-0.249977111117893"/>
        <bgColor theme="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 style="thin">
        <color theme="4"/>
      </right>
      <top/>
      <bottom/>
      <diagonal/>
    </border>
    <border>
      <left/>
      <right/>
      <top style="double">
        <color theme="4"/>
      </top>
      <bottom style="thin">
        <color theme="4"/>
      </bottom>
      <diagonal/>
    </border>
    <border>
      <left/>
      <right style="thin">
        <color theme="4"/>
      </right>
      <top style="double">
        <color theme="4"/>
      </top>
      <bottom style="thin">
        <color theme="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2" fillId="0" borderId="0"/>
  </cellStyleXfs>
  <cellXfs count="52">
    <xf numFmtId="0" fontId="0" fillId="0" borderId="0" xfId="0"/>
    <xf numFmtId="0" fontId="3" fillId="2" borderId="1" xfId="2" applyFont="1" applyFill="1" applyBorder="1"/>
    <xf numFmtId="0" fontId="3" fillId="2" borderId="1" xfId="2" applyFont="1" applyFill="1" applyBorder="1" applyAlignment="1">
      <alignment horizontal="right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wrapText="1"/>
    </xf>
    <xf numFmtId="0" fontId="2" fillId="0" borderId="0" xfId="0" applyFont="1"/>
    <xf numFmtId="0" fontId="3" fillId="0" borderId="2" xfId="2" applyFont="1" applyBorder="1" applyAlignment="1">
      <alignment horizontal="center"/>
    </xf>
    <xf numFmtId="0" fontId="3" fillId="0" borderId="3" xfId="2" applyFont="1" applyBorder="1" applyAlignment="1">
      <alignment horizontal="center"/>
    </xf>
    <xf numFmtId="0" fontId="3" fillId="0" borderId="3" xfId="2" applyFont="1" applyBorder="1" applyAlignment="1">
      <alignment horizontal="right"/>
    </xf>
    <xf numFmtId="0" fontId="2" fillId="0" borderId="4" xfId="2" applyBorder="1"/>
    <xf numFmtId="0" fontId="2" fillId="3" borderId="1" xfId="3" applyFill="1" applyBorder="1" applyProtection="1">
      <protection locked="0"/>
    </xf>
    <xf numFmtId="0" fontId="2" fillId="3" borderId="1" xfId="3" applyFill="1" applyBorder="1" applyAlignment="1" applyProtection="1">
      <alignment horizontal="right"/>
      <protection locked="0"/>
    </xf>
    <xf numFmtId="0" fontId="4" fillId="0" borderId="1" xfId="3" applyFont="1" applyBorder="1"/>
    <xf numFmtId="0" fontId="2" fillId="3" borderId="1" xfId="2" applyFill="1" applyBorder="1" applyProtection="1">
      <protection locked="0"/>
    </xf>
    <xf numFmtId="0" fontId="2" fillId="0" borderId="5" xfId="0" applyFont="1" applyBorder="1"/>
    <xf numFmtId="0" fontId="2" fillId="0" borderId="6" xfId="0" applyFont="1" applyBorder="1"/>
    <xf numFmtId="0" fontId="2" fillId="0" borderId="6" xfId="0" applyFont="1" applyBorder="1" applyAlignment="1">
      <alignment horizontal="right"/>
    </xf>
    <xf numFmtId="0" fontId="5" fillId="0" borderId="0" xfId="0" applyFont="1"/>
    <xf numFmtId="165" fontId="2" fillId="0" borderId="0" xfId="1" applyNumberFormat="1" applyFont="1" applyAlignment="1">
      <alignment horizontal="right"/>
    </xf>
    <xf numFmtId="0" fontId="7" fillId="0" borderId="0" xfId="0" applyFont="1"/>
    <xf numFmtId="0" fontId="8" fillId="4" borderId="7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6" fillId="5" borderId="8" xfId="0" applyFont="1" applyFill="1" applyBorder="1" applyAlignment="1">
      <alignment horizontal="center" wrapText="1"/>
    </xf>
    <xf numFmtId="165" fontId="8" fillId="4" borderId="8" xfId="1" applyNumberFormat="1" applyFont="1" applyFill="1" applyBorder="1" applyAlignment="1">
      <alignment horizontal="right" vertical="center" wrapText="1"/>
    </xf>
    <xf numFmtId="0" fontId="8" fillId="5" borderId="8" xfId="0" applyFont="1" applyFill="1" applyBorder="1" applyAlignment="1">
      <alignment horizontal="center" vertical="center" wrapText="1"/>
    </xf>
    <xf numFmtId="0" fontId="8" fillId="4" borderId="11" xfId="0" applyFont="1" applyFill="1" applyBorder="1" applyAlignment="1">
      <alignment horizontal="center" vertical="center" wrapText="1"/>
    </xf>
    <xf numFmtId="0" fontId="9" fillId="0" borderId="7" xfId="0" applyFont="1" applyBorder="1" applyAlignment="1">
      <alignment horizontal="left" vertical="center"/>
    </xf>
    <xf numFmtId="0" fontId="9" fillId="3" borderId="8" xfId="0" applyFont="1" applyFill="1" applyBorder="1" applyAlignment="1">
      <alignment horizontal="center" vertical="center"/>
    </xf>
    <xf numFmtId="17" fontId="9" fillId="3" borderId="8" xfId="0" applyNumberFormat="1" applyFont="1" applyFill="1" applyBorder="1" applyAlignment="1">
      <alignment horizontal="center" vertical="center"/>
    </xf>
    <xf numFmtId="17" fontId="9" fillId="0" borderId="8" xfId="0" applyNumberFormat="1" applyFont="1" applyBorder="1" applyAlignment="1">
      <alignment horizontal="center" vertical="center"/>
    </xf>
    <xf numFmtId="1" fontId="9" fillId="3" borderId="8" xfId="0" applyNumberFormat="1" applyFont="1" applyFill="1" applyBorder="1" applyAlignment="1">
      <alignment horizontal="center" vertical="center"/>
    </xf>
    <xf numFmtId="17" fontId="2" fillId="0" borderId="8" xfId="0" applyNumberFormat="1" applyFont="1" applyBorder="1"/>
    <xf numFmtId="3" fontId="2" fillId="0" borderId="8" xfId="0" applyNumberFormat="1" applyFont="1" applyBorder="1"/>
    <xf numFmtId="165" fontId="2" fillId="0" borderId="8" xfId="1" applyNumberFormat="1" applyFont="1" applyBorder="1"/>
    <xf numFmtId="165" fontId="2" fillId="0" borderId="8" xfId="1" applyNumberFormat="1" applyFont="1" applyBorder="1" applyAlignment="1">
      <alignment horizontal="right"/>
    </xf>
    <xf numFmtId="17" fontId="2" fillId="0" borderId="8" xfId="0" applyNumberFormat="1" applyFont="1" applyBorder="1" applyAlignment="1">
      <alignment wrapText="1"/>
    </xf>
    <xf numFmtId="17" fontId="2" fillId="0" borderId="11" xfId="0" applyNumberFormat="1" applyFont="1" applyBorder="1"/>
    <xf numFmtId="17" fontId="2" fillId="0" borderId="0" xfId="0" applyNumberFormat="1" applyFont="1"/>
    <xf numFmtId="3" fontId="2" fillId="0" borderId="0" xfId="0" applyNumberFormat="1" applyFont="1"/>
    <xf numFmtId="165" fontId="2" fillId="0" borderId="0" xfId="1" applyNumberFormat="1" applyFont="1"/>
    <xf numFmtId="3" fontId="9" fillId="0" borderId="7" xfId="0" applyNumberFormat="1" applyFont="1" applyBorder="1" applyAlignment="1">
      <alignment vertical="center"/>
    </xf>
    <xf numFmtId="3" fontId="9" fillId="3" borderId="8" xfId="0" applyNumberFormat="1" applyFont="1" applyFill="1" applyBorder="1" applyAlignment="1">
      <alignment horizontal="center" vertical="center"/>
    </xf>
    <xf numFmtId="17" fontId="2" fillId="0" borderId="12" xfId="0" applyNumberFormat="1" applyFont="1" applyBorder="1"/>
    <xf numFmtId="3" fontId="10" fillId="0" borderId="9" xfId="0" applyNumberFormat="1" applyFont="1" applyBorder="1" applyAlignment="1">
      <alignment vertical="center"/>
    </xf>
    <xf numFmtId="3" fontId="10" fillId="0" borderId="10" xfId="0" applyNumberFormat="1" applyFont="1" applyBorder="1" applyAlignment="1">
      <alignment horizontal="center" vertical="center"/>
    </xf>
    <xf numFmtId="0" fontId="11" fillId="0" borderId="10" xfId="0" applyFont="1" applyBorder="1"/>
    <xf numFmtId="17" fontId="10" fillId="0" borderId="10" xfId="0" applyNumberFormat="1" applyFont="1" applyBorder="1" applyAlignment="1">
      <alignment horizontal="center" vertical="center"/>
    </xf>
    <xf numFmtId="0" fontId="3" fillId="0" borderId="13" xfId="0" applyFont="1" applyBorder="1"/>
    <xf numFmtId="165" fontId="3" fillId="0" borderId="13" xfId="0" applyNumberFormat="1" applyFont="1" applyBorder="1"/>
    <xf numFmtId="165" fontId="3" fillId="0" borderId="13" xfId="0" applyNumberFormat="1" applyFont="1" applyBorder="1" applyAlignment="1">
      <alignment horizontal="right"/>
    </xf>
    <xf numFmtId="165" fontId="3" fillId="0" borderId="13" xfId="0" applyNumberFormat="1" applyFont="1" applyBorder="1" applyAlignment="1">
      <alignment horizontal="right" wrapText="1"/>
    </xf>
    <xf numFmtId="0" fontId="3" fillId="0" borderId="14" xfId="0" applyFont="1" applyBorder="1"/>
  </cellXfs>
  <cellStyles count="4">
    <cellStyle name="Milliers" xfId="1" builtinId="3"/>
    <cellStyle name="Normal" xfId="0" builtinId="0"/>
    <cellStyle name="Normal 68" xfId="2" xr:uid="{F30E22B4-6B81-495B-BF27-FD25C3464E7D}"/>
    <cellStyle name="Normal 69" xfId="3" xr:uid="{DB683D71-5B8F-4789-B497-CFA28845F09E}"/>
  </cellStyles>
  <dxfs count="28">
    <dxf>
      <numFmt numFmtId="0" formatCode="General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solid">
          <fgColor indexed="64"/>
          <bgColor theme="8" tint="0.79998168889431442"/>
        </patternFill>
      </fill>
      <alignment horizontal="right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solid">
          <fgColor indexed="64"/>
          <bgColor theme="8" tint="0.7999816888943144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solid">
          <fgColor indexed="64"/>
          <bgColor theme="8" tint="0.7999816888943144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solid">
          <fgColor indexed="64"/>
          <bgColor theme="8" tint="0.7999816888943144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solid">
          <fgColor indexed="64"/>
          <bgColor theme="8" tint="0.7999816888943144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solid">
          <fgColor indexed="64"/>
          <bgColor theme="8" tint="0.7999816888943144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solid">
          <fgColor indexed="64"/>
          <bgColor theme="8" tint="0.7999816888943144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solid">
          <fgColor indexed="64"/>
          <bgColor theme="8" tint="0.7999816888943144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solid">
          <fgColor indexed="64"/>
          <bgColor theme="8" tint="0.7999816888943144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solid">
          <fgColor indexed="64"/>
          <bgColor theme="8" tint="0.7999816888943144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border diagonalUp="0" diagonalDown="0" outline="0">
        <left/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tat/BP%20MH%202019%20V%203.3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BU_TV"/>
      <sheetName val="Feuil1"/>
      <sheetName val="SKD_TV"/>
      <sheetName val="CA_TV"/>
      <sheetName val="RH_TV"/>
      <sheetName val="équipe_actuelle"/>
      <sheetName val="CH_TV"/>
      <sheetName val="IMMO_TV"/>
      <sheetName val="ShémaFin_TV"/>
      <sheetName val="Résultat_TV"/>
      <sheetName val="Bilan_TV"/>
      <sheetName val="Flux_TV"/>
      <sheetName val="Feuil5"/>
      <sheetName val="Planning ACH-VTE"/>
      <sheetName val="LC-OC_TV"/>
      <sheetName val="Trésorerie_TV"/>
      <sheetName val="ACH-VTES P°18"/>
      <sheetName val="leasing tv"/>
      <sheetName val="CDG"/>
      <sheetName val="COU_ACH"/>
      <sheetName val="CA_ITC"/>
      <sheetName val="BFR"/>
      <sheetName val="RH_ITC"/>
      <sheetName val="équipe-actuelleITC"/>
      <sheetName val="CONSOM"/>
      <sheetName val="CH_ITC"/>
      <sheetName val="IMMO_ITC"/>
      <sheetName val="RT_ITC"/>
      <sheetName val="Planning de P°-VTE"/>
      <sheetName val="Récap LC-OC"/>
      <sheetName val="Feuil4"/>
      <sheetName val="Cum TRESO IMP"/>
      <sheetName val="Décaiss_LC_ITC"/>
      <sheetName val="LC-OC_ITC"/>
      <sheetName val="Trésorerie_ITC "/>
      <sheetName val="VTES P°2018"/>
      <sheetName val="leasing itc"/>
      <sheetName val="Schéma Fin ITC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1">
          <cell r="B1" t="str">
            <v>Modèle</v>
          </cell>
        </row>
        <row r="2">
          <cell r="B2" t="str">
            <v>PU GT DC 4x2 Toyota</v>
          </cell>
        </row>
        <row r="3">
          <cell r="B3" t="str">
            <v>PU GT DC 4x4 Toyota</v>
          </cell>
        </row>
        <row r="4">
          <cell r="B4" t="str">
            <v>PU GT SC 4x2 isuzu</v>
          </cell>
        </row>
        <row r="5">
          <cell r="B5" t="str">
            <v>PU teralord</v>
          </cell>
        </row>
        <row r="6">
          <cell r="B6" t="str">
            <v>Shineray T-30</v>
          </cell>
        </row>
        <row r="7">
          <cell r="B7" t="str">
            <v>Shineray T-32</v>
          </cell>
        </row>
        <row r="8">
          <cell r="B8" t="str">
            <v>Shineray X30</v>
          </cell>
        </row>
        <row r="9">
          <cell r="B9" t="str">
            <v>T-35</v>
          </cell>
        </row>
        <row r="10">
          <cell r="B10" t="str">
            <v>T-35 Benne</v>
          </cell>
        </row>
      </sheetData>
      <sheetData sheetId="20">
        <row r="122">
          <cell r="H122" t="str">
            <v>montant DC</v>
          </cell>
        </row>
        <row r="123">
          <cell r="H123">
            <v>0</v>
          </cell>
        </row>
        <row r="124">
          <cell r="H124">
            <v>0</v>
          </cell>
        </row>
        <row r="125">
          <cell r="H125">
            <v>0</v>
          </cell>
        </row>
        <row r="126">
          <cell r="H126">
            <v>0</v>
          </cell>
        </row>
        <row r="127">
          <cell r="H127">
            <v>0</v>
          </cell>
        </row>
        <row r="129">
          <cell r="H129">
            <v>0</v>
          </cell>
        </row>
        <row r="130">
          <cell r="H130">
            <v>0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>
        <row r="33">
          <cell r="B33" t="str">
            <v xml:space="preserve">Qté </v>
          </cell>
          <cell r="F33" t="str">
            <v>Date Vente selon P°</v>
          </cell>
          <cell r="G33" t="str">
            <v>PVTTTC</v>
          </cell>
          <cell r="H33" t="str">
            <v>TOTAL VTE</v>
          </cell>
          <cell r="I33" t="str">
            <v>Nombre de mois de vente</v>
          </cell>
          <cell r="M33" t="str">
            <v>Date réelle de début de vente de la P°</v>
          </cell>
        </row>
        <row r="34">
          <cell r="B34">
            <v>12</v>
          </cell>
          <cell r="G34">
            <v>54484.138380191827</v>
          </cell>
          <cell r="H34">
            <v>644002.51565386739</v>
          </cell>
          <cell r="I34">
            <v>2</v>
          </cell>
          <cell r="M34">
            <v>43562</v>
          </cell>
        </row>
        <row r="35">
          <cell r="B35">
            <v>0</v>
          </cell>
          <cell r="F35">
            <v>43593</v>
          </cell>
          <cell r="G35">
            <v>64236.77299378856</v>
          </cell>
          <cell r="H35">
            <v>0</v>
          </cell>
          <cell r="I35">
            <v>3</v>
          </cell>
          <cell r="M35">
            <v>43593</v>
          </cell>
        </row>
        <row r="36">
          <cell r="B36">
            <v>0</v>
          </cell>
          <cell r="F36">
            <v>43624</v>
          </cell>
          <cell r="G36">
            <v>46807.172672578563</v>
          </cell>
          <cell r="H36">
            <v>0</v>
          </cell>
          <cell r="I36">
            <v>3</v>
          </cell>
          <cell r="M36">
            <v>43624</v>
          </cell>
        </row>
        <row r="37">
          <cell r="B37">
            <v>60</v>
          </cell>
          <cell r="F37">
            <v>43652</v>
          </cell>
          <cell r="G37">
            <v>81120.432605657508</v>
          </cell>
          <cell r="H37">
            <v>4794217.5669943588</v>
          </cell>
          <cell r="I37">
            <v>3</v>
          </cell>
          <cell r="M37">
            <v>43652</v>
          </cell>
        </row>
        <row r="38">
          <cell r="B38">
            <v>0</v>
          </cell>
          <cell r="F38">
            <v>43683</v>
          </cell>
          <cell r="G38">
            <v>28743.731365122338</v>
          </cell>
          <cell r="H38">
            <v>0</v>
          </cell>
          <cell r="I38">
            <v>3</v>
          </cell>
          <cell r="M38">
            <v>43683</v>
          </cell>
        </row>
        <row r="39">
          <cell r="B39">
            <v>0</v>
          </cell>
          <cell r="F39">
            <v>43713</v>
          </cell>
          <cell r="G39">
            <v>32321.095944112214</v>
          </cell>
          <cell r="H39">
            <v>0</v>
          </cell>
          <cell r="I39">
            <v>2</v>
          </cell>
          <cell r="M39">
            <v>43713</v>
          </cell>
        </row>
        <row r="40">
          <cell r="B40">
            <v>15</v>
          </cell>
          <cell r="F40">
            <v>43744</v>
          </cell>
          <cell r="G40">
            <v>47337.627202616495</v>
          </cell>
          <cell r="H40">
            <v>699413.44191865867</v>
          </cell>
          <cell r="I40">
            <v>4</v>
          </cell>
          <cell r="M40">
            <v>43744</v>
          </cell>
        </row>
        <row r="41">
          <cell r="B41">
            <v>0</v>
          </cell>
          <cell r="G41">
            <v>53965.527514489215</v>
          </cell>
          <cell r="H41">
            <v>0</v>
          </cell>
          <cell r="I41">
            <v>2</v>
          </cell>
          <cell r="M41">
            <v>43774</v>
          </cell>
        </row>
        <row r="42">
          <cell r="B42">
            <v>0</v>
          </cell>
          <cell r="G42">
            <v>64236.77299378856</v>
          </cell>
          <cell r="H42">
            <v>0</v>
          </cell>
          <cell r="I42">
            <v>3</v>
          </cell>
          <cell r="M42">
            <v>43805</v>
          </cell>
        </row>
      </sheetData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B1675D5-D5FF-4D06-B418-DF8D4ECD4B90}" name="Tableau77" displayName="Tableau77" ref="A2:L13" totalsRowCount="1" headerRowDxfId="27" headerRowBorderDxfId="25" tableBorderDxfId="26" totalsRowBorderDxfId="24" headerRowCellStyle="Normal 68" dataCellStyle="Normal 68">
  <autoFilter ref="A2:L12" xr:uid="{23740B05-4C89-4C04-BD38-9E27B492B3C5}"/>
  <sortState ref="A3:K12">
    <sortCondition descending="1" ref="A3:A13"/>
  </sortState>
  <tableColumns count="12">
    <tableColumn id="1" xr3:uid="{C06760EA-6DE8-42C3-A066-A5E9D27D69E5}" name="Modèle" totalsRowLabel="Total" dataDxfId="22" totalsRowDxfId="23" dataCellStyle="Normal 68">
      <calculatedColumnFormula>[1]COU_ACH!B1</calculatedColumnFormula>
    </tableColumn>
    <tableColumn id="2" xr3:uid="{AA8FDD44-B187-46CD-BC12-6FF9D293427A}" name="déc" totalsRowFunction="sum" dataDxfId="20" totalsRowDxfId="21" dataCellStyle="Normal 68"/>
    <tableColumn id="3" xr3:uid="{7CA11AC0-2792-4D87-BD49-16D4492B6848}" name="janv" totalsRowFunction="sum" dataDxfId="18" totalsRowDxfId="19" dataCellStyle="Normal 68"/>
    <tableColumn id="4" xr3:uid="{51F3DA57-949D-4FE4-960A-6DACEA302CFB}" name="Fév" totalsRowFunction="sum" dataDxfId="16" totalsRowDxfId="17" dataCellStyle="Normal 68"/>
    <tableColumn id="5" xr3:uid="{6729966A-079C-4EA4-AE27-A192269D119C}" name="mars" totalsRowFunction="sum" dataDxfId="14" totalsRowDxfId="15" dataCellStyle="Normal 68"/>
    <tableColumn id="6" xr3:uid="{A894FFC7-CF40-47D3-BE08-011A0D0829E3}" name="avr" totalsRowFunction="sum" dataDxfId="12" totalsRowDxfId="13" dataCellStyle="Normal 68"/>
    <tableColumn id="7" xr3:uid="{72EECEF4-3A75-4AE2-A755-AC6F2E6D794D}" name="mai" totalsRowFunction="sum" dataDxfId="10" totalsRowDxfId="11" dataCellStyle="Normal 68"/>
    <tableColumn id="8" xr3:uid="{92AA477E-690F-4215-B0E1-234D16FFE713}" name="juin" totalsRowFunction="sum" dataDxfId="8" totalsRowDxfId="9" dataCellStyle="Normal 68"/>
    <tableColumn id="9" xr3:uid="{730D4A37-021C-49B2-B50B-8DF6C1C3300E}" name="Juil" totalsRowFunction="sum" dataDxfId="6" totalsRowDxfId="7" dataCellStyle="Normal 68"/>
    <tableColumn id="10" xr3:uid="{1A5E40FD-BF24-45A0-B944-C256A625F84A}" name="août" totalsRowFunction="sum" dataDxfId="4" totalsRowDxfId="5" dataCellStyle="Normal 68"/>
    <tableColumn id="11" xr3:uid="{0E811927-9E08-4037-98A2-43FF454CD206}" name="sept" totalsRowFunction="sum" dataDxfId="2" totalsRowDxfId="3" dataCellStyle="Normal 68"/>
    <tableColumn id="12" xr3:uid="{4F4B64E1-98B5-4D8A-8613-22DE0AB89013}" name="Total" totalsRowFunction="sum" dataDxfId="0" totalsRowDxfId="1" dataCellStyle="Normal 68">
      <calculatedColumnFormula>SUM(Tableau77[[#This Row],[déc]:[sept]])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A80A9E-2C8D-439B-A5E5-A5F0A93BA30D}">
  <dimension ref="A1:P34"/>
  <sheetViews>
    <sheetView tabSelected="1" workbookViewId="0">
      <selection activeCell="A22" sqref="A22"/>
    </sheetView>
  </sheetViews>
  <sheetFormatPr baseColWidth="10" defaultRowHeight="15" x14ac:dyDescent="0.25"/>
  <cols>
    <col min="1" max="1" width="22" bestFit="1" customWidth="1"/>
  </cols>
  <sheetData>
    <row r="1" spans="1:16" x14ac:dyDescent="0.25">
      <c r="A1" s="1" t="s">
        <v>0</v>
      </c>
      <c r="B1" s="1" t="s">
        <v>1</v>
      </c>
      <c r="C1" s="1" t="s">
        <v>2</v>
      </c>
      <c r="D1" s="1"/>
      <c r="E1" s="1"/>
      <c r="F1" s="1"/>
      <c r="G1" s="1"/>
      <c r="H1" s="1"/>
      <c r="I1" s="1"/>
      <c r="J1" s="1"/>
      <c r="K1" s="2"/>
      <c r="L1" s="3"/>
      <c r="M1" s="4"/>
      <c r="N1" s="5"/>
      <c r="O1" s="5"/>
      <c r="P1" s="5"/>
    </row>
    <row r="2" spans="1:16" x14ac:dyDescent="0.25">
      <c r="A2" s="6" t="s">
        <v>3</v>
      </c>
      <c r="B2" s="7" t="s">
        <v>4</v>
      </c>
      <c r="C2" s="7" t="s">
        <v>5</v>
      </c>
      <c r="D2" s="7" t="s">
        <v>6</v>
      </c>
      <c r="E2" s="7" t="s">
        <v>7</v>
      </c>
      <c r="F2" s="7" t="s">
        <v>8</v>
      </c>
      <c r="G2" s="7" t="s">
        <v>9</v>
      </c>
      <c r="H2" s="7" t="s">
        <v>10</v>
      </c>
      <c r="I2" s="7" t="s">
        <v>11</v>
      </c>
      <c r="J2" s="7" t="s">
        <v>12</v>
      </c>
      <c r="K2" s="8" t="s">
        <v>13</v>
      </c>
      <c r="L2" s="7" t="s">
        <v>14</v>
      </c>
      <c r="M2" s="4"/>
      <c r="N2" s="5"/>
      <c r="O2" s="5"/>
      <c r="P2" s="5"/>
    </row>
    <row r="3" spans="1:16" x14ac:dyDescent="0.25">
      <c r="A3" s="9" t="str">
        <f>[1]COU_ACH!B1</f>
        <v>Modèle</v>
      </c>
      <c r="B3" s="10">
        <v>12</v>
      </c>
      <c r="C3" s="10"/>
      <c r="D3" s="10"/>
      <c r="E3" s="10">
        <v>60</v>
      </c>
      <c r="F3" s="10"/>
      <c r="G3" s="10"/>
      <c r="H3" s="10">
        <v>15</v>
      </c>
      <c r="I3" s="10"/>
      <c r="J3" s="10"/>
      <c r="K3" s="11"/>
      <c r="L3" s="12">
        <f>SUM(Tableau77[[#This Row],[déc]:[sept]])</f>
        <v>87</v>
      </c>
      <c r="M3" s="4"/>
      <c r="N3" s="5"/>
      <c r="O3" s="5"/>
      <c r="P3" s="5"/>
    </row>
    <row r="4" spans="1:16" x14ac:dyDescent="0.25">
      <c r="A4" s="9" t="str">
        <f>[1]COU_ACH!B2</f>
        <v>PU GT DC 4x2 Toyota</v>
      </c>
      <c r="B4" s="10"/>
      <c r="C4" s="10"/>
      <c r="D4" s="10"/>
      <c r="E4" s="10"/>
      <c r="F4" s="10"/>
      <c r="G4" s="10"/>
      <c r="H4" s="10"/>
      <c r="I4" s="10"/>
      <c r="J4" s="10"/>
      <c r="K4" s="11"/>
      <c r="L4" s="12">
        <f>SUM(Tableau77[[#This Row],[déc]:[sept]])</f>
        <v>0</v>
      </c>
      <c r="M4" s="4"/>
      <c r="N4" s="5"/>
      <c r="O4" s="5"/>
      <c r="P4" s="5"/>
    </row>
    <row r="5" spans="1:16" x14ac:dyDescent="0.25">
      <c r="A5" s="9" t="str">
        <f>[1]COU_ACH!B3</f>
        <v>PU GT DC 4x4 Toyota</v>
      </c>
      <c r="B5" s="10"/>
      <c r="C5" s="10"/>
      <c r="D5" s="10"/>
      <c r="E5" s="10">
        <v>60</v>
      </c>
      <c r="F5" s="10"/>
      <c r="G5" s="10">
        <v>60</v>
      </c>
      <c r="H5" s="10"/>
      <c r="I5" s="10">
        <v>80</v>
      </c>
      <c r="J5" s="10"/>
      <c r="K5" s="11"/>
      <c r="L5" s="12">
        <f>SUM(Tableau77[[#This Row],[déc]:[sept]])</f>
        <v>200</v>
      </c>
      <c r="M5" s="4"/>
      <c r="N5" s="5"/>
      <c r="O5" s="5"/>
      <c r="P5" s="5"/>
    </row>
    <row r="6" spans="1:16" x14ac:dyDescent="0.25">
      <c r="A6" s="9" t="str">
        <f>[1]COU_ACH!B4</f>
        <v>PU GT SC 4x2 isuzu</v>
      </c>
      <c r="B6" s="10"/>
      <c r="C6" s="10"/>
      <c r="D6" s="10">
        <v>30</v>
      </c>
      <c r="E6" s="10"/>
      <c r="F6" s="10"/>
      <c r="G6" s="10"/>
      <c r="H6" s="10"/>
      <c r="I6" s="10">
        <v>20</v>
      </c>
      <c r="J6" s="10"/>
      <c r="K6" s="11"/>
      <c r="L6" s="12">
        <f>SUM(Tableau77[[#This Row],[déc]:[sept]])</f>
        <v>50</v>
      </c>
      <c r="M6" s="4"/>
      <c r="N6" s="5"/>
      <c r="O6" s="5"/>
      <c r="P6" s="5"/>
    </row>
    <row r="7" spans="1:16" x14ac:dyDescent="0.25">
      <c r="A7" s="9" t="str">
        <f>[1]COU_ACH!B5</f>
        <v>PU teralord</v>
      </c>
      <c r="B7" s="10"/>
      <c r="C7" s="10"/>
      <c r="D7" s="10">
        <v>30</v>
      </c>
      <c r="E7" s="10"/>
      <c r="F7" s="10"/>
      <c r="G7" s="10"/>
      <c r="H7" s="10"/>
      <c r="I7" s="10"/>
      <c r="J7" s="10"/>
      <c r="K7" s="11"/>
      <c r="L7" s="12">
        <f>SUM(Tableau77[[#This Row],[déc]:[sept]])</f>
        <v>30</v>
      </c>
      <c r="M7" s="4"/>
      <c r="N7" s="5"/>
      <c r="O7" s="5"/>
      <c r="P7" s="5"/>
    </row>
    <row r="8" spans="1:16" x14ac:dyDescent="0.25">
      <c r="A8" s="9" t="str">
        <f>[1]COU_ACH!B6</f>
        <v>Shineray T-30</v>
      </c>
      <c r="B8" s="10"/>
      <c r="C8" s="10"/>
      <c r="D8" s="10">
        <v>20</v>
      </c>
      <c r="E8" s="10"/>
      <c r="F8" s="10"/>
      <c r="G8" s="10"/>
      <c r="H8" s="10"/>
      <c r="I8" s="10"/>
      <c r="J8" s="10"/>
      <c r="K8" s="11"/>
      <c r="L8" s="12">
        <f>SUM(Tableau77[[#This Row],[déc]:[sept]])</f>
        <v>20</v>
      </c>
      <c r="M8" s="4"/>
      <c r="N8" s="5"/>
      <c r="O8" s="5"/>
      <c r="P8" s="5"/>
    </row>
    <row r="9" spans="1:16" x14ac:dyDescent="0.25">
      <c r="A9" s="9" t="str">
        <f>[1]COU_ACH!B7</f>
        <v>Shineray T-32</v>
      </c>
      <c r="B9" s="10"/>
      <c r="C9" s="10"/>
      <c r="D9" s="10"/>
      <c r="E9" s="13"/>
      <c r="F9" s="13"/>
      <c r="G9" s="13"/>
      <c r="H9" s="13"/>
      <c r="I9" s="13"/>
      <c r="J9" s="10"/>
      <c r="K9" s="11"/>
      <c r="L9" s="12">
        <f>SUM(Tableau77[[#This Row],[déc]:[sept]])</f>
        <v>0</v>
      </c>
      <c r="M9" s="4"/>
      <c r="N9" s="5"/>
      <c r="O9" s="5"/>
      <c r="P9" s="5"/>
    </row>
    <row r="10" spans="1:16" x14ac:dyDescent="0.25">
      <c r="A10" s="9" t="str">
        <f>[1]COU_ACH!B8</f>
        <v>Shineray X30</v>
      </c>
      <c r="B10" s="10"/>
      <c r="C10" s="10"/>
      <c r="D10" s="10"/>
      <c r="E10" s="10">
        <v>60</v>
      </c>
      <c r="F10" s="10"/>
      <c r="G10" s="10"/>
      <c r="H10" s="10"/>
      <c r="I10" s="10">
        <v>60</v>
      </c>
      <c r="J10" s="10"/>
      <c r="K10" s="11"/>
      <c r="L10" s="12">
        <f>SUM(Tableau77[[#This Row],[déc]:[sept]])</f>
        <v>120</v>
      </c>
      <c r="M10" s="4"/>
      <c r="N10" s="5"/>
      <c r="O10" s="5"/>
      <c r="P10" s="5"/>
    </row>
    <row r="11" spans="1:16" x14ac:dyDescent="0.25">
      <c r="A11" s="9" t="str">
        <f>[1]COU_ACH!B9</f>
        <v>T-35</v>
      </c>
      <c r="B11" s="10"/>
      <c r="C11" s="10"/>
      <c r="D11" s="10"/>
      <c r="E11" s="10">
        <v>15</v>
      </c>
      <c r="F11" s="10"/>
      <c r="G11" s="10"/>
      <c r="H11" s="10"/>
      <c r="I11" s="10">
        <v>15</v>
      </c>
      <c r="J11" s="10"/>
      <c r="K11" s="11"/>
      <c r="L11" s="12">
        <f>SUM(Tableau77[[#This Row],[déc]:[sept]])</f>
        <v>30</v>
      </c>
      <c r="M11" s="4"/>
      <c r="N11" s="5"/>
      <c r="O11" s="5"/>
      <c r="P11" s="5"/>
    </row>
    <row r="12" spans="1:16" x14ac:dyDescent="0.25">
      <c r="A12" s="9" t="str">
        <f>[1]COU_ACH!B10</f>
        <v>T-35 Benne</v>
      </c>
      <c r="B12" s="10"/>
      <c r="C12" s="10"/>
      <c r="D12" s="10"/>
      <c r="E12" s="10"/>
      <c r="F12" s="10"/>
      <c r="G12" s="10"/>
      <c r="H12" s="10"/>
      <c r="I12" s="10"/>
      <c r="J12" s="10"/>
      <c r="K12" s="11"/>
      <c r="L12" s="12">
        <f>SUM(Tableau77[[#This Row],[déc]:[sept]])</f>
        <v>0</v>
      </c>
      <c r="M12" s="4"/>
      <c r="N12" s="5"/>
      <c r="O12" s="5"/>
      <c r="P12" s="5"/>
    </row>
    <row r="13" spans="1:16" x14ac:dyDescent="0.25">
      <c r="A13" s="14" t="s">
        <v>14</v>
      </c>
      <c r="B13" s="15">
        <f>SUBTOTAL(109,Tableau77[déc])</f>
        <v>12</v>
      </c>
      <c r="C13" s="15">
        <f>SUBTOTAL(109,Tableau77[janv])</f>
        <v>0</v>
      </c>
      <c r="D13" s="15">
        <f>SUBTOTAL(109,Tableau77[Fév])</f>
        <v>80</v>
      </c>
      <c r="E13" s="15">
        <f>SUBTOTAL(109,Tableau77[mars])</f>
        <v>195</v>
      </c>
      <c r="F13" s="15">
        <f>SUBTOTAL(109,Tableau77[avr])</f>
        <v>0</v>
      </c>
      <c r="G13" s="15">
        <f>SUBTOTAL(109,Tableau77[mai])</f>
        <v>60</v>
      </c>
      <c r="H13" s="15">
        <f>SUBTOTAL(109,Tableau77[juin])</f>
        <v>15</v>
      </c>
      <c r="I13" s="15">
        <f>SUBTOTAL(109,Tableau77[Juil])</f>
        <v>175</v>
      </c>
      <c r="J13" s="15">
        <f>SUBTOTAL(109,Tableau77[août])</f>
        <v>0</v>
      </c>
      <c r="K13" s="16">
        <f>SUBTOTAL(109,Tableau77[sept])</f>
        <v>0</v>
      </c>
      <c r="L13" s="15">
        <f>SUBTOTAL(109,Tableau77[Total])</f>
        <v>537</v>
      </c>
      <c r="M13" s="4"/>
      <c r="N13" s="5"/>
      <c r="O13" s="5"/>
      <c r="P13" s="5"/>
    </row>
    <row r="14" spans="1:16" x14ac:dyDescent="0.25">
      <c r="A14" s="17"/>
      <c r="B14" s="5"/>
      <c r="C14" s="5"/>
      <c r="D14" s="5"/>
      <c r="E14" s="5"/>
      <c r="F14" s="5"/>
      <c r="G14" s="5"/>
      <c r="H14" s="5"/>
      <c r="I14" s="5"/>
      <c r="J14" s="5"/>
      <c r="K14" s="18"/>
      <c r="L14" s="5"/>
      <c r="M14" s="4"/>
      <c r="N14" s="5"/>
      <c r="O14" s="5"/>
      <c r="P14" s="5"/>
    </row>
    <row r="15" spans="1:16" x14ac:dyDescent="0.25">
      <c r="A15" s="17"/>
      <c r="B15" s="5"/>
      <c r="C15" s="5"/>
      <c r="D15" s="5"/>
      <c r="E15" s="5"/>
      <c r="F15" s="5"/>
      <c r="G15" s="5"/>
      <c r="H15" s="5"/>
      <c r="I15" s="5"/>
      <c r="J15" s="5"/>
      <c r="K15" s="18"/>
      <c r="L15" s="5"/>
      <c r="M15" s="4"/>
      <c r="N15" s="5"/>
      <c r="O15" s="5"/>
      <c r="P15" s="5"/>
    </row>
    <row r="16" spans="1:16" x14ac:dyDescent="0.25">
      <c r="A16" s="17"/>
      <c r="B16" s="5"/>
      <c r="C16" s="5"/>
      <c r="D16" s="5"/>
      <c r="E16" s="5"/>
      <c r="F16" s="5"/>
      <c r="G16" s="5"/>
      <c r="H16" s="5"/>
      <c r="I16" s="5"/>
      <c r="J16" s="5"/>
      <c r="K16" s="18"/>
      <c r="L16" s="5"/>
      <c r="M16" s="4"/>
      <c r="N16" s="5"/>
      <c r="O16" s="5"/>
      <c r="P16" s="5"/>
    </row>
    <row r="17" spans="1:16" x14ac:dyDescent="0.25">
      <c r="A17" s="17"/>
      <c r="B17" s="19"/>
      <c r="C17" s="5"/>
      <c r="D17" s="5"/>
      <c r="E17" s="5"/>
      <c r="F17" s="5"/>
      <c r="G17" s="5"/>
      <c r="H17" s="5"/>
      <c r="I17" s="5"/>
      <c r="J17" s="5"/>
      <c r="K17" s="18"/>
      <c r="L17" s="5"/>
      <c r="M17" s="4"/>
      <c r="N17" s="5"/>
      <c r="O17" s="5"/>
      <c r="P17" s="5"/>
    </row>
    <row r="18" spans="1:16" x14ac:dyDescent="0.25">
      <c r="A18" s="17"/>
      <c r="B18" s="5"/>
      <c r="C18" s="5"/>
      <c r="D18" s="5"/>
      <c r="E18" s="5"/>
      <c r="F18" s="5"/>
      <c r="G18" s="5"/>
      <c r="H18" s="5"/>
      <c r="I18" s="5"/>
      <c r="J18" s="5"/>
      <c r="K18" s="18"/>
      <c r="L18" s="5"/>
      <c r="M18" s="4"/>
      <c r="N18" s="5"/>
      <c r="O18" s="5"/>
      <c r="P18" s="5"/>
    </row>
    <row r="19" spans="1:16" x14ac:dyDescent="0.25">
      <c r="A19" s="17"/>
      <c r="B19" s="5"/>
      <c r="C19" s="5"/>
      <c r="D19" s="5"/>
      <c r="E19" s="5"/>
      <c r="F19" s="5"/>
      <c r="G19" s="5"/>
      <c r="H19" s="5"/>
      <c r="I19" s="5"/>
      <c r="J19" s="5"/>
      <c r="K19" s="18"/>
      <c r="L19" s="5"/>
      <c r="M19" s="4"/>
      <c r="N19" s="5"/>
      <c r="O19" s="5"/>
      <c r="P19" s="5"/>
    </row>
    <row r="20" spans="1:16" x14ac:dyDescent="0.25">
      <c r="A20" s="17"/>
      <c r="B20" s="5"/>
      <c r="C20" s="5"/>
      <c r="D20" s="5"/>
      <c r="E20" s="5"/>
      <c r="F20" s="5"/>
      <c r="G20" s="5"/>
      <c r="H20" s="5"/>
      <c r="I20" s="5"/>
      <c r="J20" s="5"/>
      <c r="K20" s="18"/>
      <c r="L20" s="5"/>
      <c r="M20" s="4"/>
      <c r="N20" s="5"/>
      <c r="O20" s="5"/>
      <c r="P20" s="5"/>
    </row>
    <row r="21" spans="1:16" ht="51" x14ac:dyDescent="0.25">
      <c r="A21" s="20" t="s">
        <v>3</v>
      </c>
      <c r="B21" s="21" t="s">
        <v>15</v>
      </c>
      <c r="C21" s="21" t="s">
        <v>16</v>
      </c>
      <c r="D21" s="21" t="s">
        <v>17</v>
      </c>
      <c r="E21" s="21" t="s">
        <v>18</v>
      </c>
      <c r="F21" s="22" t="s">
        <v>19</v>
      </c>
      <c r="G21" s="21" t="s">
        <v>20</v>
      </c>
      <c r="H21" s="21" t="s">
        <v>21</v>
      </c>
      <c r="I21" s="21" t="s">
        <v>22</v>
      </c>
      <c r="J21" s="21" t="s">
        <v>23</v>
      </c>
      <c r="K21" s="23" t="s">
        <v>24</v>
      </c>
      <c r="L21" s="24" t="s">
        <v>25</v>
      </c>
      <c r="M21" s="24" t="s">
        <v>26</v>
      </c>
      <c r="N21" s="25" t="s">
        <v>27</v>
      </c>
      <c r="O21" s="24" t="s">
        <v>28</v>
      </c>
      <c r="P21" s="24" t="s">
        <v>29</v>
      </c>
    </row>
    <row r="22" spans="1:16" x14ac:dyDescent="0.25">
      <c r="A22" s="26"/>
      <c r="B22" s="27"/>
      <c r="C22" s="28"/>
      <c r="D22" s="29">
        <f t="shared" ref="D22:D31" si="0">C22+95</f>
        <v>95</v>
      </c>
      <c r="E22" s="30">
        <v>32</v>
      </c>
      <c r="F22" s="31">
        <f>D22+E22</f>
        <v>127</v>
      </c>
      <c r="G22" s="32" t="e">
        <f>#REF!</f>
        <v>#REF!</v>
      </c>
      <c r="H22" s="33" t="e">
        <f>'[1]Planning de P°-VTE'!$B33*'[1]Planning de P°-VTE'!$G33*98.5%</f>
        <v>#VALUE!</v>
      </c>
      <c r="I22" s="33">
        <v>2</v>
      </c>
      <c r="J22" s="33" t="e">
        <f>'[1]Planning de P°-VTE'!$I33*31</f>
        <v>#VALUE!</v>
      </c>
      <c r="K22" s="34" t="e">
        <f>'[1]Planning de P°-VTE'!$H33/'[1]Planning de P°-VTE'!$I33</f>
        <v>#VALUE!</v>
      </c>
      <c r="L22" s="31" t="str">
        <f>'[1]Planning de P°-VTE'!$F33</f>
        <v>Date Vente selon P°</v>
      </c>
      <c r="M22" s="35" t="str">
        <f>L22</f>
        <v>Date Vente selon P°</v>
      </c>
      <c r="N22" s="36" t="e">
        <f>'[1]Planning de P°-VTE'!$M33+20</f>
        <v>#VALUE!</v>
      </c>
      <c r="O22" s="32" t="e">
        <f>B22*[1]CA_ITC!H122/I22</f>
        <v>#VALUE!</v>
      </c>
      <c r="P22" s="31" t="e">
        <f t="shared" ref="P22:P27" si="1">N22+31</f>
        <v>#VALUE!</v>
      </c>
    </row>
    <row r="23" spans="1:16" x14ac:dyDescent="0.25">
      <c r="A23" s="26"/>
      <c r="B23" s="27"/>
      <c r="C23" s="28"/>
      <c r="D23" s="29">
        <f t="shared" si="0"/>
        <v>95</v>
      </c>
      <c r="E23" s="30">
        <v>32</v>
      </c>
      <c r="F23" s="31">
        <f t="shared" ref="F23:F31" si="2">D23+E23</f>
        <v>127</v>
      </c>
      <c r="G23" s="32" t="e">
        <f>#REF!</f>
        <v>#REF!</v>
      </c>
      <c r="H23" s="33">
        <f>'[1]Planning de P°-VTE'!$B34*'[1]Planning de P°-VTE'!$G34*98.5%</f>
        <v>644002.51565386739</v>
      </c>
      <c r="I23" s="33">
        <v>3</v>
      </c>
      <c r="J23" s="33">
        <f>'[1]Planning de P°-VTE'!$I34*31</f>
        <v>62</v>
      </c>
      <c r="K23" s="34">
        <f>'[1]Planning de P°-VTE'!$H34/'[1]Planning de P°-VTE'!$I34</f>
        <v>322001.2578269337</v>
      </c>
      <c r="L23" s="31">
        <f>D23+E23</f>
        <v>127</v>
      </c>
      <c r="M23" s="35">
        <f>L23</f>
        <v>127</v>
      </c>
      <c r="N23" s="36">
        <f>'[1]Planning de P°-VTE'!$M34+30</f>
        <v>43592</v>
      </c>
      <c r="O23" s="32">
        <f>B23*[1]CA_ITC!H123/I23</f>
        <v>0</v>
      </c>
      <c r="P23" s="31">
        <f t="shared" si="1"/>
        <v>43623</v>
      </c>
    </row>
    <row r="24" spans="1:16" x14ac:dyDescent="0.25">
      <c r="A24" s="26"/>
      <c r="B24" s="27"/>
      <c r="C24" s="28"/>
      <c r="D24" s="29">
        <f t="shared" si="0"/>
        <v>95</v>
      </c>
      <c r="E24" s="30">
        <v>32</v>
      </c>
      <c r="F24" s="31">
        <f t="shared" si="2"/>
        <v>127</v>
      </c>
      <c r="G24" s="32" t="e">
        <f>#REF!</f>
        <v>#REF!</v>
      </c>
      <c r="H24" s="33">
        <f>'[1]Planning de P°-VTE'!$B35*'[1]Planning de P°-VTE'!$G35*98.5%</f>
        <v>0</v>
      </c>
      <c r="I24" s="33">
        <v>3</v>
      </c>
      <c r="J24" s="33">
        <v>86</v>
      </c>
      <c r="K24" s="34">
        <f>'[1]Planning de P°-VTE'!$H35/'[1]Planning de P°-VTE'!$I35</f>
        <v>0</v>
      </c>
      <c r="L24" s="31">
        <f>'[1]Planning de P°-VTE'!$F35</f>
        <v>43593</v>
      </c>
      <c r="M24" s="35">
        <f>'[1]Planning de P°-VTE'!$F35</f>
        <v>43593</v>
      </c>
      <c r="N24" s="36">
        <f>'[1]Planning de P°-VTE'!$M35+20</f>
        <v>43613</v>
      </c>
      <c r="O24" s="32">
        <f>B24*[1]CA_ITC!H124/I24</f>
        <v>0</v>
      </c>
      <c r="P24" s="31">
        <f t="shared" si="1"/>
        <v>43644</v>
      </c>
    </row>
    <row r="25" spans="1:16" x14ac:dyDescent="0.25">
      <c r="A25" s="26"/>
      <c r="B25" s="27"/>
      <c r="C25" s="28"/>
      <c r="D25" s="29">
        <f t="shared" si="0"/>
        <v>95</v>
      </c>
      <c r="E25" s="30">
        <v>32</v>
      </c>
      <c r="F25" s="31">
        <f t="shared" si="2"/>
        <v>127</v>
      </c>
      <c r="G25" s="32" t="e">
        <f>#REF!</f>
        <v>#REF!</v>
      </c>
      <c r="H25" s="33">
        <f>'[1]Planning de P°-VTE'!$B36*'[1]Planning de P°-VTE'!$G36*98.5%</f>
        <v>0</v>
      </c>
      <c r="I25" s="33">
        <v>3</v>
      </c>
      <c r="J25" s="33">
        <f>'[1]Planning de P°-VTE'!$I36*31</f>
        <v>93</v>
      </c>
      <c r="K25" s="34">
        <f>'[1]Planning de P°-VTE'!$H36/'[1]Planning de P°-VTE'!$I36</f>
        <v>0</v>
      </c>
      <c r="L25" s="31">
        <f>'[1]Planning de P°-VTE'!$F36</f>
        <v>43624</v>
      </c>
      <c r="M25" s="35">
        <f>F25</f>
        <v>127</v>
      </c>
      <c r="N25" s="36">
        <f>'[1]Planning de P°-VTE'!$M36+20</f>
        <v>43644</v>
      </c>
      <c r="O25" s="32">
        <f>B25*[1]CA_ITC!H125/I25</f>
        <v>0</v>
      </c>
      <c r="P25" s="31">
        <f t="shared" si="1"/>
        <v>43675</v>
      </c>
    </row>
    <row r="26" spans="1:16" x14ac:dyDescent="0.25">
      <c r="A26" s="26"/>
      <c r="B26" s="27"/>
      <c r="C26" s="28"/>
      <c r="D26" s="29">
        <f t="shared" si="0"/>
        <v>95</v>
      </c>
      <c r="E26" s="30">
        <v>32</v>
      </c>
      <c r="F26" s="31">
        <f t="shared" si="2"/>
        <v>127</v>
      </c>
      <c r="G26" s="32" t="e">
        <f>#REF!</f>
        <v>#REF!</v>
      </c>
      <c r="H26" s="33">
        <f>'[1]Planning de P°-VTE'!$B37*'[1]Planning de P°-VTE'!$G37*98.5%</f>
        <v>4794217.5669943588</v>
      </c>
      <c r="I26" s="33">
        <v>3</v>
      </c>
      <c r="J26" s="33">
        <f>'[1]Planning de P°-VTE'!$I37*31</f>
        <v>93</v>
      </c>
      <c r="K26" s="34">
        <f>'[1]Planning de P°-VTE'!$H37/'[1]Planning de P°-VTE'!$I37</f>
        <v>1598072.5223314529</v>
      </c>
      <c r="L26" s="31">
        <f>'[1]Planning de P°-VTE'!$F37</f>
        <v>43652</v>
      </c>
      <c r="M26" s="35">
        <f>L26</f>
        <v>43652</v>
      </c>
      <c r="N26" s="36">
        <f>'[1]Planning de P°-VTE'!$M37+20</f>
        <v>43672</v>
      </c>
      <c r="O26" s="32">
        <f>B26*[1]CA_ITC!H126/I26</f>
        <v>0</v>
      </c>
      <c r="P26" s="31">
        <f t="shared" si="1"/>
        <v>43703</v>
      </c>
    </row>
    <row r="27" spans="1:16" x14ac:dyDescent="0.25">
      <c r="A27" s="26"/>
      <c r="B27" s="27"/>
      <c r="C27" s="28"/>
      <c r="D27" s="29">
        <f t="shared" si="0"/>
        <v>95</v>
      </c>
      <c r="E27" s="30">
        <v>32</v>
      </c>
      <c r="F27" s="31">
        <f t="shared" si="2"/>
        <v>127</v>
      </c>
      <c r="G27" s="32" t="e">
        <f>#REF!</f>
        <v>#REF!</v>
      </c>
      <c r="H27" s="33">
        <f>'[1]Planning de P°-VTE'!$B38*'[1]Planning de P°-VTE'!$G38*98.5%</f>
        <v>0</v>
      </c>
      <c r="I27" s="33">
        <v>2</v>
      </c>
      <c r="J27" s="33">
        <f>'[1]Planning de P°-VTE'!$I38*31</f>
        <v>93</v>
      </c>
      <c r="K27" s="34">
        <f>'[1]Planning de P°-VTE'!$H38/'[1]Planning de P°-VTE'!$I38</f>
        <v>0</v>
      </c>
      <c r="L27" s="31">
        <f>'[1]Planning de P°-VTE'!$F38</f>
        <v>43683</v>
      </c>
      <c r="M27" s="35">
        <f>L27</f>
        <v>43683</v>
      </c>
      <c r="N27" s="36">
        <f>'[1]Planning de P°-VTE'!$M38+20</f>
        <v>43703</v>
      </c>
      <c r="O27" s="32">
        <f>B27*[1]CA_ITC!H127/I27</f>
        <v>0</v>
      </c>
      <c r="P27" s="31">
        <f t="shared" si="1"/>
        <v>43734</v>
      </c>
    </row>
    <row r="28" spans="1:16" x14ac:dyDescent="0.25">
      <c r="A28" s="26"/>
      <c r="B28" s="27"/>
      <c r="C28" s="28"/>
      <c r="D28" s="29">
        <f t="shared" si="0"/>
        <v>95</v>
      </c>
      <c r="E28" s="30">
        <v>32</v>
      </c>
      <c r="F28" s="31">
        <f t="shared" si="2"/>
        <v>127</v>
      </c>
      <c r="G28" s="32" t="e">
        <f>#REF!</f>
        <v>#REF!</v>
      </c>
      <c r="H28" s="33">
        <f>'[1]Planning de P°-VTE'!$B39*'[1]Planning de P°-VTE'!$G39*98.5%</f>
        <v>0</v>
      </c>
      <c r="I28" s="33">
        <v>4</v>
      </c>
      <c r="J28" s="33">
        <f>'[1]Planning de P°-VTE'!$I39*31</f>
        <v>62</v>
      </c>
      <c r="K28" s="34">
        <f>'[1]Planning de P°-VTE'!$H39/'[1]Planning de P°-VTE'!$I39</f>
        <v>0</v>
      </c>
      <c r="L28" s="31">
        <f>'[1]Planning de P°-VTE'!$F39</f>
        <v>43713</v>
      </c>
      <c r="M28" s="35">
        <f>L28</f>
        <v>43713</v>
      </c>
      <c r="N28" s="36">
        <f>'[1]Planning de P°-VTE'!$M39+20</f>
        <v>43733</v>
      </c>
      <c r="O28" s="32">
        <f>B28*[1]CA_ITC!H129/I28</f>
        <v>0</v>
      </c>
      <c r="P28" s="31">
        <f>N28+31</f>
        <v>43764</v>
      </c>
    </row>
    <row r="29" spans="1:16" x14ac:dyDescent="0.25">
      <c r="A29" s="26"/>
      <c r="B29" s="27"/>
      <c r="C29" s="28"/>
      <c r="D29" s="29">
        <f t="shared" si="0"/>
        <v>95</v>
      </c>
      <c r="E29" s="30">
        <v>32</v>
      </c>
      <c r="F29" s="31">
        <f t="shared" si="2"/>
        <v>127</v>
      </c>
      <c r="G29" s="32" t="e">
        <f>#REF!</f>
        <v>#REF!</v>
      </c>
      <c r="H29" s="33">
        <f>'[1]Planning de P°-VTE'!$B40*'[1]Planning de P°-VTE'!$G40*98.5%</f>
        <v>699413.44191865867</v>
      </c>
      <c r="I29" s="33">
        <v>2</v>
      </c>
      <c r="J29" s="33">
        <f>'[1]Planning de P°-VTE'!$I40*31</f>
        <v>124</v>
      </c>
      <c r="K29" s="34">
        <f>'[1]Planning de P°-VTE'!$H40/'[1]Planning de P°-VTE'!$I40</f>
        <v>174853.36047966467</v>
      </c>
      <c r="L29" s="31">
        <f>'[1]Planning de P°-VTE'!$F40</f>
        <v>43744</v>
      </c>
      <c r="M29" s="35">
        <f>+IF(L29&lt;F29,F29,L29)</f>
        <v>43744</v>
      </c>
      <c r="N29" s="36">
        <f>'[1]Planning de P°-VTE'!$M40+20</f>
        <v>43764</v>
      </c>
      <c r="O29" s="32">
        <f>B29*[1]CA_ITC!H130/I29</f>
        <v>0</v>
      </c>
      <c r="P29" s="31">
        <f>N29+31</f>
        <v>43795</v>
      </c>
    </row>
    <row r="30" spans="1:16" x14ac:dyDescent="0.25">
      <c r="A30" s="26"/>
      <c r="B30" s="27"/>
      <c r="C30" s="28"/>
      <c r="D30" s="29">
        <f>C30+95</f>
        <v>95</v>
      </c>
      <c r="E30" s="30">
        <v>32</v>
      </c>
      <c r="F30" s="37">
        <f>D30+E30</f>
        <v>127</v>
      </c>
      <c r="G30" s="38" t="e">
        <f>#REF!</f>
        <v>#REF!</v>
      </c>
      <c r="H30" s="33">
        <f>'[1]Planning de P°-VTE'!$B41*'[1]Planning de P°-VTE'!$G41*98.5%</f>
        <v>0</v>
      </c>
      <c r="I30" s="39">
        <v>3</v>
      </c>
      <c r="J30" s="33">
        <f>'[1]Planning de P°-VTE'!$I41*31</f>
        <v>62</v>
      </c>
      <c r="K30" s="34">
        <f>'[1]Planning de P°-VTE'!$H41/'[1]Planning de P°-VTE'!$I41</f>
        <v>0</v>
      </c>
      <c r="L30" s="31">
        <f>F30</f>
        <v>127</v>
      </c>
      <c r="M30" s="35">
        <f>L30</f>
        <v>127</v>
      </c>
      <c r="N30" s="36">
        <f>'[1]Planning de P°-VTE'!$M41+20</f>
        <v>43794</v>
      </c>
      <c r="O30" s="5"/>
      <c r="P30" s="5"/>
    </row>
    <row r="31" spans="1:16" x14ac:dyDescent="0.25">
      <c r="A31" s="26"/>
      <c r="B31" s="27"/>
      <c r="C31" s="28"/>
      <c r="D31" s="29">
        <f t="shared" si="0"/>
        <v>95</v>
      </c>
      <c r="E31" s="30">
        <v>32</v>
      </c>
      <c r="F31" s="31">
        <f t="shared" si="2"/>
        <v>127</v>
      </c>
      <c r="G31" s="32" t="e">
        <f>#REF!</f>
        <v>#REF!</v>
      </c>
      <c r="H31" s="33">
        <f>'[1]Planning de P°-VTE'!$B42*'[1]Planning de P°-VTE'!$G42*98.5%</f>
        <v>0</v>
      </c>
      <c r="I31" s="33">
        <v>2</v>
      </c>
      <c r="J31" s="33">
        <v>60</v>
      </c>
      <c r="K31" s="34">
        <f>'[1]Planning de P°-VTE'!$H42/'[1]Planning de P°-VTE'!$I42</f>
        <v>0</v>
      </c>
      <c r="L31" s="31">
        <f>L24+J24</f>
        <v>43679</v>
      </c>
      <c r="M31" s="35">
        <f>+IF(L31&lt;F31,F31,L31)</f>
        <v>43679</v>
      </c>
      <c r="N31" s="36">
        <f>'[1]Planning de P°-VTE'!$M42+20</f>
        <v>43825</v>
      </c>
      <c r="O31" s="32">
        <f>B31*[1]CA_ITC!H134/I31</f>
        <v>0</v>
      </c>
      <c r="P31" s="31">
        <f>N31+31</f>
        <v>43856</v>
      </c>
    </row>
    <row r="32" spans="1:16" x14ac:dyDescent="0.25">
      <c r="A32" s="40"/>
      <c r="B32" s="41"/>
      <c r="C32" s="28"/>
      <c r="D32" s="29"/>
      <c r="E32" s="30"/>
      <c r="F32" s="37"/>
      <c r="G32" s="38"/>
      <c r="H32" s="39"/>
      <c r="I32" s="39"/>
      <c r="J32" s="39"/>
      <c r="K32" s="18"/>
      <c r="L32" s="37"/>
      <c r="M32" s="37"/>
      <c r="N32" s="42"/>
      <c r="O32" s="5"/>
      <c r="P32" s="5"/>
    </row>
    <row r="33" spans="1:16" ht="15.75" thickBot="1" x14ac:dyDescent="0.3">
      <c r="A33" s="40"/>
      <c r="B33" s="41"/>
      <c r="C33" s="28"/>
      <c r="D33" s="29"/>
      <c r="E33" s="30"/>
      <c r="F33" s="37"/>
      <c r="G33" s="38"/>
      <c r="H33" s="39"/>
      <c r="I33" s="39"/>
      <c r="J33" s="39"/>
      <c r="K33" s="18"/>
      <c r="L33" s="37"/>
      <c r="M33" s="37"/>
      <c r="N33" s="42"/>
      <c r="O33" s="5"/>
      <c r="P33" s="5"/>
    </row>
    <row r="34" spans="1:16" ht="15.75" thickTop="1" x14ac:dyDescent="0.25">
      <c r="A34" s="43"/>
      <c r="B34" s="44">
        <f>SUBTOTAL(9,B22:B33)</f>
        <v>0</v>
      </c>
      <c r="C34" s="45"/>
      <c r="D34" s="46"/>
      <c r="E34" s="46"/>
      <c r="F34" s="47"/>
      <c r="G34" s="47"/>
      <c r="H34" s="48" t="e">
        <f>SUBTOTAL(9,H22:H33)</f>
        <v>#VALUE!</v>
      </c>
      <c r="I34" s="47"/>
      <c r="J34" s="47"/>
      <c r="K34" s="49"/>
      <c r="L34" s="49"/>
      <c r="M34" s="50"/>
      <c r="N34" s="51"/>
      <c r="O34" s="49"/>
      <c r="P34" s="49"/>
    </row>
  </sheetData>
  <conditionalFormatting sqref="A24:A26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{0263ECFF-7F82-493C-A2A4-B0788619800C}</x14:id>
        </ext>
      </extLst>
    </cfRule>
  </conditionalFormatting>
  <conditionalFormatting sqref="A25:A26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{47D976DE-841F-4AEB-A2F9-FC485FD52B92}</x14:id>
        </ext>
      </extLst>
    </cfRule>
  </conditionalFormatting>
  <conditionalFormatting sqref="A26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263ECFF-7F82-493C-A2A4-B0788619800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A24:A26</xm:sqref>
        </x14:conditionalFormatting>
        <x14:conditionalFormatting xmlns:xm="http://schemas.microsoft.com/office/excel/2006/main">
          <x14:cfRule type="dataBar" id="{47D976DE-841F-4AEB-A2F9-FC485FD52B9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A25:A26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Olfa Soltani</dc:creator>
  <cp:lastModifiedBy>Olfa Soltani</cp:lastModifiedBy>
  <dcterms:created xsi:type="dcterms:W3CDTF">2019-07-12T11:34:16Z</dcterms:created>
  <dcterms:modified xsi:type="dcterms:W3CDTF">2019-07-12T11:39:43Z</dcterms:modified>
</cp:coreProperties>
</file>