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A8A62F5-7C2D-4FD7-889A-58DCE81EDEB4}" xr6:coauthVersionLast="41" xr6:coauthVersionMax="41" xr10:uidLastSave="{00000000-0000-0000-0000-000000000000}"/>
  <bookViews>
    <workbookView xWindow="-120" yWindow="-120" windowWidth="29040" windowHeight="15840" xr2:uid="{934F2CA4-572E-40DD-8E61-4260DAF9FBD5}"/>
  </bookViews>
  <sheets>
    <sheet name="Formulaire client" sheetId="9" r:id="rId1"/>
    <sheet name="Liste de contacts client" sheetId="4" r:id="rId2"/>
    <sheet name="Formulaire réservation" sheetId="10" r:id="rId3"/>
    <sheet name="Réservation" sheetId="2" r:id="rId4"/>
    <sheet name="Visuel Planning" sheetId="6" r:id="rId5"/>
    <sheet name="Facture" sheetId="1" r:id="rId6"/>
    <sheet name="Récap facture" sheetId="8" r:id="rId7"/>
    <sheet name="Paramètres" sheetId="7" r:id="rId8"/>
  </sheets>
  <definedNames>
    <definedName name="L_A_Facturer">T_Clients[Liste]</definedName>
    <definedName name="L_Animal">T_Clients[Nom de l''animal]</definedName>
    <definedName name="L_AnimSupp">T_AnimSupp[Animaux suppl.]</definedName>
    <definedName name="L_Choix">T_Choix[Choix]</definedName>
    <definedName name="L_Code_Animal">T_Réservation[Code]</definedName>
    <definedName name="L_Consultation">T_Consultation[Consultation]</definedName>
    <definedName name="L_Contact">T_Clients[Nom]</definedName>
    <definedName name="L_Nb_visite">T_Nb_visite[Nb de visite]</definedName>
    <definedName name="L_Prestation">T_Prestation[Prestation]</definedName>
    <definedName name="L_Prix">Paramètres!$B$2:$B$5</definedName>
    <definedName name="L_Reglement">T_Reglement[Règlement]</definedName>
    <definedName name="L_Remise">T_Remise[Remise]</definedName>
    <definedName name="L_Type">T_Type[Type]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4" l="1"/>
  <c r="R3" i="4"/>
  <c r="R4" i="4"/>
  <c r="R5" i="4"/>
  <c r="R6" i="4"/>
  <c r="R7" i="4"/>
  <c r="C7" i="6"/>
  <c r="A7" i="2"/>
  <c r="A8" i="2"/>
  <c r="D8" i="2"/>
  <c r="G8" i="2"/>
  <c r="P8" i="2" s="1"/>
  <c r="I8" i="2"/>
  <c r="O8" i="2"/>
  <c r="Q8" i="2"/>
  <c r="A7" i="4"/>
  <c r="S7" i="4"/>
  <c r="A2" i="2" l="1"/>
  <c r="C3" i="6" s="1"/>
  <c r="A3" i="2"/>
  <c r="A4" i="2"/>
  <c r="A5" i="2"/>
  <c r="A6" i="2"/>
  <c r="D7" i="2"/>
  <c r="G7" i="2"/>
  <c r="I7" i="2"/>
  <c r="O7" i="2"/>
  <c r="G6" i="2"/>
  <c r="I6" i="2"/>
  <c r="O6" i="2"/>
  <c r="G5" i="2"/>
  <c r="I5" i="2"/>
  <c r="O5" i="2"/>
  <c r="G4" i="2"/>
  <c r="I4" i="2"/>
  <c r="O4" i="2"/>
  <c r="G3" i="2"/>
  <c r="I3" i="2"/>
  <c r="O3" i="2"/>
  <c r="G2" i="2"/>
  <c r="I2" i="2"/>
  <c r="O2" i="2"/>
  <c r="P7" i="2" l="1"/>
  <c r="B3" i="6"/>
  <c r="P6" i="2"/>
  <c r="P5" i="2"/>
  <c r="P4" i="2"/>
  <c r="P3" i="2"/>
  <c r="P2" i="2"/>
  <c r="A6" i="4"/>
  <c r="A5" i="4"/>
  <c r="D5" i="2" s="1"/>
  <c r="A2" i="4"/>
  <c r="A3" i="4"/>
  <c r="D3" i="2" s="1"/>
  <c r="A4" i="4"/>
  <c r="D4" i="2" s="1"/>
  <c r="F16" i="1"/>
  <c r="H6" i="8" l="1"/>
  <c r="H4" i="8"/>
  <c r="I6" i="8"/>
  <c r="I4" i="8"/>
  <c r="D6" i="2"/>
  <c r="D2" i="2"/>
  <c r="H7" i="8"/>
  <c r="H5" i="8"/>
  <c r="H3" i="8"/>
  <c r="I7" i="8"/>
  <c r="I5" i="8"/>
  <c r="I3" i="8"/>
  <c r="R14" i="8"/>
  <c r="R18" i="8" s="1"/>
  <c r="O16" i="8"/>
  <c r="O15" i="8"/>
  <c r="O14" i="8"/>
  <c r="R17" i="8"/>
  <c r="C12" i="1"/>
  <c r="F15" i="1"/>
  <c r="F14" i="1"/>
  <c r="F13" i="1"/>
  <c r="Q3" i="2" l="1"/>
  <c r="Q7" i="2"/>
  <c r="S6" i="4" s="1"/>
  <c r="Q5" i="2"/>
  <c r="Q6" i="2"/>
  <c r="Q4" i="2"/>
  <c r="Q2" i="2"/>
  <c r="R15" i="8"/>
  <c r="R16" i="8"/>
  <c r="S5" i="4" l="1"/>
  <c r="S3" i="4"/>
  <c r="S2" i="4"/>
  <c r="S4" i="4"/>
  <c r="C14" i="1"/>
  <c r="T7" i="4" l="1"/>
  <c r="T2" i="4"/>
  <c r="T6" i="4"/>
  <c r="T4" i="4"/>
  <c r="T3" i="4"/>
  <c r="T5" i="4"/>
  <c r="B9" i="6"/>
  <c r="P22" i="8"/>
  <c r="O23" i="8"/>
  <c r="O22" i="8"/>
  <c r="N23" i="8"/>
  <c r="P24" i="8"/>
  <c r="R23" i="8"/>
  <c r="R25" i="8"/>
  <c r="N25" i="8"/>
  <c r="R22" i="8"/>
  <c r="P23" i="8"/>
  <c r="O24" i="8"/>
  <c r="N22" i="8"/>
  <c r="N24" i="8"/>
  <c r="O25" i="8"/>
  <c r="P25" i="8"/>
  <c r="R24" i="8"/>
  <c r="C17" i="6"/>
  <c r="B5" i="6"/>
  <c r="C24" i="6"/>
  <c r="D22" i="1"/>
  <c r="C21" i="1"/>
  <c r="B20" i="1"/>
  <c r="D19" i="1"/>
  <c r="F20" i="1"/>
  <c r="D21" i="1"/>
  <c r="C20" i="1"/>
  <c r="F22" i="1"/>
  <c r="C22" i="1"/>
  <c r="B21" i="1"/>
  <c r="C19" i="1"/>
  <c r="F21" i="1"/>
  <c r="B22" i="1"/>
  <c r="D20" i="1"/>
  <c r="G19" i="1"/>
  <c r="B19" i="1"/>
  <c r="F19" i="1"/>
  <c r="D3" i="6"/>
  <c r="B13" i="6"/>
  <c r="D11" i="6"/>
  <c r="D19" i="6"/>
  <c r="D23" i="6"/>
  <c r="C9" i="6"/>
  <c r="C13" i="6"/>
  <c r="C21" i="6"/>
  <c r="B6" i="6"/>
  <c r="B10" i="6"/>
  <c r="B14" i="6"/>
  <c r="B18" i="6"/>
  <c r="B22" i="6"/>
  <c r="D4" i="6"/>
  <c r="D8" i="6"/>
  <c r="D12" i="6"/>
  <c r="D16" i="6"/>
  <c r="D20" i="6"/>
  <c r="D24" i="6"/>
  <c r="C6" i="6"/>
  <c r="C10" i="6"/>
  <c r="C14" i="6"/>
  <c r="C18" i="6"/>
  <c r="C22" i="6"/>
  <c r="B17" i="6"/>
  <c r="B21" i="6"/>
  <c r="D7" i="6"/>
  <c r="D15" i="6"/>
  <c r="C5" i="6"/>
  <c r="B7" i="6"/>
  <c r="B11" i="6"/>
  <c r="B15" i="6"/>
  <c r="B19" i="6"/>
  <c r="B23" i="6"/>
  <c r="D5" i="6"/>
  <c r="D9" i="6"/>
  <c r="D13" i="6"/>
  <c r="D17" i="6"/>
  <c r="D21" i="6"/>
  <c r="C11" i="6"/>
  <c r="C15" i="6"/>
  <c r="C19" i="6"/>
  <c r="C23" i="6"/>
  <c r="B4" i="6"/>
  <c r="B8" i="6"/>
  <c r="B12" i="6"/>
  <c r="B16" i="6"/>
  <c r="B20" i="6"/>
  <c r="B24" i="6"/>
  <c r="D6" i="6"/>
  <c r="D10" i="6"/>
  <c r="D14" i="6"/>
  <c r="D18" i="6"/>
  <c r="D22" i="6"/>
  <c r="C4" i="6"/>
  <c r="C8" i="6"/>
  <c r="C12" i="6"/>
  <c r="C16" i="6"/>
  <c r="C20" i="6"/>
  <c r="AJ24" i="6"/>
  <c r="AK24" i="6" s="1"/>
  <c r="AJ23" i="6"/>
  <c r="AK23" i="6" s="1"/>
  <c r="AJ22" i="6"/>
  <c r="AK22" i="6" s="1"/>
  <c r="AJ21" i="6"/>
  <c r="AK21" i="6" s="1"/>
  <c r="AJ20" i="6"/>
  <c r="AK20" i="6" s="1"/>
  <c r="AJ19" i="6"/>
  <c r="AK19" i="6" s="1"/>
  <c r="AJ18" i="6"/>
  <c r="AK18" i="6" s="1"/>
  <c r="AJ17" i="6"/>
  <c r="AK17" i="6" s="1"/>
  <c r="AJ16" i="6"/>
  <c r="AK16" i="6" s="1"/>
  <c r="AJ15" i="6"/>
  <c r="AK15" i="6" s="1"/>
  <c r="AJ14" i="6"/>
  <c r="AK14" i="6" s="1"/>
  <c r="AJ13" i="6"/>
  <c r="AK13" i="6" s="1"/>
  <c r="AJ12" i="6"/>
  <c r="AK12" i="6" s="1"/>
  <c r="AJ11" i="6"/>
  <c r="AK11" i="6" s="1"/>
  <c r="AJ10" i="6"/>
  <c r="AK10" i="6" s="1"/>
  <c r="AJ9" i="6"/>
  <c r="AK9" i="6" s="1"/>
  <c r="T24" i="8" l="1"/>
  <c r="Q24" i="8"/>
  <c r="S24" i="8" s="1"/>
  <c r="Q29" i="8"/>
  <c r="T22" i="8"/>
  <c r="Q22" i="8"/>
  <c r="S22" i="8" s="1"/>
  <c r="T25" i="8"/>
  <c r="Q25" i="8"/>
  <c r="S25" i="8" s="1"/>
  <c r="T23" i="8"/>
  <c r="Q23" i="8"/>
  <c r="S23" i="8" s="1"/>
  <c r="Q30" i="8"/>
  <c r="E27" i="1"/>
  <c r="E26" i="1"/>
  <c r="E22" i="1"/>
  <c r="G22" i="1" s="1"/>
  <c r="H22" i="1"/>
  <c r="E20" i="1"/>
  <c r="G20" i="1" s="1"/>
  <c r="H20" i="1"/>
  <c r="E21" i="1"/>
  <c r="G21" i="1" s="1"/>
  <c r="H21" i="1"/>
  <c r="C13" i="1"/>
  <c r="S26" i="8" l="1"/>
  <c r="G23" i="1"/>
  <c r="D27" i="1" s="1"/>
  <c r="E2" i="6"/>
  <c r="F2" i="6" s="1"/>
  <c r="G2" i="6" s="1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AI6" i="6" s="1"/>
  <c r="P30" i="8" l="1"/>
  <c r="P29" i="8"/>
  <c r="D26" i="1"/>
  <c r="E1" i="6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R23" i="6"/>
  <c r="P21" i="6"/>
  <c r="U19" i="6"/>
  <c r="AG17" i="6"/>
  <c r="AE15" i="6"/>
  <c r="O13" i="6"/>
  <c r="AH11" i="6"/>
  <c r="AA9" i="6"/>
  <c r="AG7" i="6"/>
  <c r="Y5" i="6"/>
  <c r="K7" i="6"/>
  <c r="AF7" i="6"/>
  <c r="AE5" i="6"/>
  <c r="I5" i="6"/>
  <c r="AD5" i="6"/>
  <c r="P7" i="6"/>
  <c r="G9" i="6"/>
  <c r="N5" i="6"/>
  <c r="AI5" i="6"/>
  <c r="U7" i="6"/>
  <c r="W9" i="6"/>
  <c r="T22" i="6"/>
  <c r="Z20" i="6"/>
  <c r="AB16" i="6"/>
  <c r="L14" i="6"/>
  <c r="AF10" i="6"/>
  <c r="Z8" i="6"/>
  <c r="AH6" i="6"/>
  <c r="S5" i="6"/>
  <c r="E7" i="6"/>
  <c r="AA7" i="6"/>
  <c r="AG24" i="6"/>
  <c r="AC24" i="6"/>
  <c r="Y24" i="6"/>
  <c r="U24" i="6"/>
  <c r="Q24" i="6"/>
  <c r="M24" i="6"/>
  <c r="I24" i="6"/>
  <c r="E24" i="6"/>
  <c r="AI24" i="6"/>
  <c r="AD24" i="6"/>
  <c r="X24" i="6"/>
  <c r="S24" i="6"/>
  <c r="N24" i="6"/>
  <c r="H24" i="6"/>
  <c r="AH24" i="6"/>
  <c r="AB24" i="6"/>
  <c r="W24" i="6"/>
  <c r="R24" i="6"/>
  <c r="L24" i="6"/>
  <c r="G24" i="6"/>
  <c r="Z24" i="6"/>
  <c r="O24" i="6"/>
  <c r="AF24" i="6"/>
  <c r="V24" i="6"/>
  <c r="K24" i="6"/>
  <c r="AE24" i="6"/>
  <c r="T24" i="6"/>
  <c r="J24" i="6"/>
  <c r="AI18" i="6"/>
  <c r="AE18" i="6"/>
  <c r="AA18" i="6"/>
  <c r="W18" i="6"/>
  <c r="S18" i="6"/>
  <c r="O18" i="6"/>
  <c r="K18" i="6"/>
  <c r="G18" i="6"/>
  <c r="AG18" i="6"/>
  <c r="AB18" i="6"/>
  <c r="V18" i="6"/>
  <c r="Q18" i="6"/>
  <c r="L18" i="6"/>
  <c r="F18" i="6"/>
  <c r="AC18" i="6"/>
  <c r="U18" i="6"/>
  <c r="N18" i="6"/>
  <c r="H18" i="6"/>
  <c r="AH18" i="6"/>
  <c r="Z18" i="6"/>
  <c r="T18" i="6"/>
  <c r="M18" i="6"/>
  <c r="E18" i="6"/>
  <c r="AF18" i="6"/>
  <c r="Y18" i="6"/>
  <c r="R18" i="6"/>
  <c r="J18" i="6"/>
  <c r="AG12" i="6"/>
  <c r="AC12" i="6"/>
  <c r="Y12" i="6"/>
  <c r="U12" i="6"/>
  <c r="Q12" i="6"/>
  <c r="M12" i="6"/>
  <c r="I12" i="6"/>
  <c r="E12" i="6"/>
  <c r="AH12" i="6"/>
  <c r="AB12" i="6"/>
  <c r="W12" i="6"/>
  <c r="R12" i="6"/>
  <c r="L12" i="6"/>
  <c r="G12" i="6"/>
  <c r="AF12" i="6"/>
  <c r="AA12" i="6"/>
  <c r="V12" i="6"/>
  <c r="P12" i="6"/>
  <c r="K12" i="6"/>
  <c r="F12" i="6"/>
  <c r="AE12" i="6"/>
  <c r="Z12" i="6"/>
  <c r="T12" i="6"/>
  <c r="O12" i="6"/>
  <c r="J12" i="6"/>
  <c r="AI4" i="6"/>
  <c r="AE4" i="6"/>
  <c r="AA4" i="6"/>
  <c r="W4" i="6"/>
  <c r="S4" i="6"/>
  <c r="J4" i="6"/>
  <c r="N4" i="6"/>
  <c r="R4" i="6"/>
  <c r="X4" i="6"/>
  <c r="AC4" i="6"/>
  <c r="AH4" i="6"/>
  <c r="J6" i="6"/>
  <c r="O6" i="6"/>
  <c r="T6" i="6"/>
  <c r="Z6" i="6"/>
  <c r="AE6" i="6"/>
  <c r="F8" i="6"/>
  <c r="L8" i="6"/>
  <c r="V8" i="6"/>
  <c r="H10" i="6"/>
  <c r="X10" i="6"/>
  <c r="I11" i="6"/>
  <c r="AC11" i="6"/>
  <c r="S12" i="6"/>
  <c r="I13" i="6"/>
  <c r="AE13" i="6"/>
  <c r="Z14" i="6"/>
  <c r="W15" i="6"/>
  <c r="V16" i="6"/>
  <c r="S17" i="6"/>
  <c r="P18" i="6"/>
  <c r="N19" i="6"/>
  <c r="K20" i="6"/>
  <c r="H21" i="6"/>
  <c r="F22" i="6"/>
  <c r="AH22" i="6"/>
  <c r="F24" i="6"/>
  <c r="G4" i="6"/>
  <c r="K4" i="6"/>
  <c r="O4" i="6"/>
  <c r="T4" i="6"/>
  <c r="Y4" i="6"/>
  <c r="AD4" i="6"/>
  <c r="E5" i="6"/>
  <c r="J5" i="6"/>
  <c r="O5" i="6"/>
  <c r="U5" i="6"/>
  <c r="Z5" i="6"/>
  <c r="F6" i="6"/>
  <c r="K6" i="6"/>
  <c r="P6" i="6"/>
  <c r="V6" i="6"/>
  <c r="AA6" i="6"/>
  <c r="AF6" i="6"/>
  <c r="G7" i="6"/>
  <c r="L7" i="6"/>
  <c r="Q7" i="6"/>
  <c r="W7" i="6"/>
  <c r="AB7" i="6"/>
  <c r="H8" i="6"/>
  <c r="M8" i="6"/>
  <c r="K9" i="6"/>
  <c r="L10" i="6"/>
  <c r="AB10" i="6"/>
  <c r="M11" i="6"/>
  <c r="X12" i="6"/>
  <c r="E14" i="6"/>
  <c r="AG14" i="6"/>
  <c r="Y17" i="6"/>
  <c r="X18" i="6"/>
  <c r="R20" i="6"/>
  <c r="M22" i="6"/>
  <c r="J23" i="6"/>
  <c r="P24" i="6"/>
  <c r="AG16" i="6"/>
  <c r="AC16" i="6"/>
  <c r="Y16" i="6"/>
  <c r="U16" i="6"/>
  <c r="Q16" i="6"/>
  <c r="M16" i="6"/>
  <c r="I16" i="6"/>
  <c r="E16" i="6"/>
  <c r="AE16" i="6"/>
  <c r="Z16" i="6"/>
  <c r="T16" i="6"/>
  <c r="O16" i="6"/>
  <c r="J16" i="6"/>
  <c r="AH16" i="6"/>
  <c r="AA16" i="6"/>
  <c r="S16" i="6"/>
  <c r="L16" i="6"/>
  <c r="F16" i="6"/>
  <c r="AF16" i="6"/>
  <c r="X16" i="6"/>
  <c r="R16" i="6"/>
  <c r="K16" i="6"/>
  <c r="AD16" i="6"/>
  <c r="W16" i="6"/>
  <c r="P16" i="6"/>
  <c r="H16" i="6"/>
  <c r="AG8" i="6"/>
  <c r="AC8" i="6"/>
  <c r="Y8" i="6"/>
  <c r="U8" i="6"/>
  <c r="Q8" i="6"/>
  <c r="AF8" i="6"/>
  <c r="AB8" i="6"/>
  <c r="X8" i="6"/>
  <c r="T8" i="6"/>
  <c r="P8" i="6"/>
  <c r="AI8" i="6"/>
  <c r="AE8" i="6"/>
  <c r="AA8" i="6"/>
  <c r="W8" i="6"/>
  <c r="S8" i="6"/>
  <c r="O8" i="6"/>
  <c r="K8" i="6"/>
  <c r="G8" i="6"/>
  <c r="AH21" i="6"/>
  <c r="AD21" i="6"/>
  <c r="Z21" i="6"/>
  <c r="V21" i="6"/>
  <c r="R21" i="6"/>
  <c r="N21" i="6"/>
  <c r="J21" i="6"/>
  <c r="F21" i="6"/>
  <c r="AE21" i="6"/>
  <c r="Y21" i="6"/>
  <c r="T21" i="6"/>
  <c r="O21" i="6"/>
  <c r="I21" i="6"/>
  <c r="AI21" i="6"/>
  <c r="AB21" i="6"/>
  <c r="U21" i="6"/>
  <c r="M21" i="6"/>
  <c r="G21" i="6"/>
  <c r="AG21" i="6"/>
  <c r="AA21" i="6"/>
  <c r="S21" i="6"/>
  <c r="L21" i="6"/>
  <c r="E21" i="6"/>
  <c r="AF21" i="6"/>
  <c r="X21" i="6"/>
  <c r="Q21" i="6"/>
  <c r="K21" i="6"/>
  <c r="AF19" i="6"/>
  <c r="AB19" i="6"/>
  <c r="X19" i="6"/>
  <c r="T19" i="6"/>
  <c r="P19" i="6"/>
  <c r="L19" i="6"/>
  <c r="H19" i="6"/>
  <c r="AH19" i="6"/>
  <c r="AC19" i="6"/>
  <c r="W19" i="6"/>
  <c r="R19" i="6"/>
  <c r="M19" i="6"/>
  <c r="G19" i="6"/>
  <c r="AG19" i="6"/>
  <c r="Z19" i="6"/>
  <c r="S19" i="6"/>
  <c r="K19" i="6"/>
  <c r="E19" i="6"/>
  <c r="AE19" i="6"/>
  <c r="Y19" i="6"/>
  <c r="Q19" i="6"/>
  <c r="J19" i="6"/>
  <c r="AD19" i="6"/>
  <c r="V19" i="6"/>
  <c r="O19" i="6"/>
  <c r="I19" i="6"/>
  <c r="AF15" i="6"/>
  <c r="AB15" i="6"/>
  <c r="X15" i="6"/>
  <c r="T15" i="6"/>
  <c r="P15" i="6"/>
  <c r="L15" i="6"/>
  <c r="H15" i="6"/>
  <c r="AI15" i="6"/>
  <c r="AD15" i="6"/>
  <c r="Y15" i="6"/>
  <c r="S15" i="6"/>
  <c r="N15" i="6"/>
  <c r="I15" i="6"/>
  <c r="AC15" i="6"/>
  <c r="V15" i="6"/>
  <c r="O15" i="6"/>
  <c r="G15" i="6"/>
  <c r="AH15" i="6"/>
  <c r="AA15" i="6"/>
  <c r="U15" i="6"/>
  <c r="M15" i="6"/>
  <c r="F15" i="6"/>
  <c r="AG15" i="6"/>
  <c r="Z15" i="6"/>
  <c r="R15" i="6"/>
  <c r="K15" i="6"/>
  <c r="E15" i="6"/>
  <c r="AH13" i="6"/>
  <c r="AD13" i="6"/>
  <c r="Z13" i="6"/>
  <c r="V13" i="6"/>
  <c r="R13" i="6"/>
  <c r="N13" i="6"/>
  <c r="J13" i="6"/>
  <c r="F13" i="6"/>
  <c r="AI13" i="6"/>
  <c r="AC13" i="6"/>
  <c r="X13" i="6"/>
  <c r="S13" i="6"/>
  <c r="M13" i="6"/>
  <c r="H13" i="6"/>
  <c r="AG13" i="6"/>
  <c r="AB13" i="6"/>
  <c r="W13" i="6"/>
  <c r="Q13" i="6"/>
  <c r="L13" i="6"/>
  <c r="G13" i="6"/>
  <c r="AF13" i="6"/>
  <c r="AA13" i="6"/>
  <c r="U13" i="6"/>
  <c r="P13" i="6"/>
  <c r="K13" i="6"/>
  <c r="E13" i="6"/>
  <c r="AF11" i="6"/>
  <c r="AB11" i="6"/>
  <c r="X11" i="6"/>
  <c r="T11" i="6"/>
  <c r="P11" i="6"/>
  <c r="AG11" i="6"/>
  <c r="AA11" i="6"/>
  <c r="V11" i="6"/>
  <c r="Q11" i="6"/>
  <c r="L11" i="6"/>
  <c r="H11" i="6"/>
  <c r="AE11" i="6"/>
  <c r="Z11" i="6"/>
  <c r="U11" i="6"/>
  <c r="O11" i="6"/>
  <c r="K11" i="6"/>
  <c r="G11" i="6"/>
  <c r="AI11" i="6"/>
  <c r="AD11" i="6"/>
  <c r="Y11" i="6"/>
  <c r="S11" i="6"/>
  <c r="N11" i="6"/>
  <c r="J11" i="6"/>
  <c r="F11" i="6"/>
  <c r="AH9" i="6"/>
  <c r="AD9" i="6"/>
  <c r="Z9" i="6"/>
  <c r="V9" i="6"/>
  <c r="R9" i="6"/>
  <c r="N9" i="6"/>
  <c r="J9" i="6"/>
  <c r="F9" i="6"/>
  <c r="AG9" i="6"/>
  <c r="AC9" i="6"/>
  <c r="Y9" i="6"/>
  <c r="U9" i="6"/>
  <c r="Q9" i="6"/>
  <c r="M9" i="6"/>
  <c r="I9" i="6"/>
  <c r="E9" i="6"/>
  <c r="AF9" i="6"/>
  <c r="AB9" i="6"/>
  <c r="X9" i="6"/>
  <c r="T9" i="6"/>
  <c r="P9" i="6"/>
  <c r="L9" i="6"/>
  <c r="H9" i="6"/>
  <c r="AH7" i="6"/>
  <c r="AD7" i="6"/>
  <c r="Z7" i="6"/>
  <c r="V7" i="6"/>
  <c r="R7" i="6"/>
  <c r="N7" i="6"/>
  <c r="J7" i="6"/>
  <c r="F7" i="6"/>
  <c r="AF5" i="6"/>
  <c r="AB5" i="6"/>
  <c r="X5" i="6"/>
  <c r="T5" i="6"/>
  <c r="P5" i="6"/>
  <c r="L5" i="6"/>
  <c r="H5" i="6"/>
  <c r="H4" i="6"/>
  <c r="L4" i="6"/>
  <c r="P4" i="6"/>
  <c r="U4" i="6"/>
  <c r="Z4" i="6"/>
  <c r="AF4" i="6"/>
  <c r="F5" i="6"/>
  <c r="K5" i="6"/>
  <c r="Q5" i="6"/>
  <c r="V5" i="6"/>
  <c r="AA5" i="6"/>
  <c r="AG5" i="6"/>
  <c r="G6" i="6"/>
  <c r="L6" i="6"/>
  <c r="R6" i="6"/>
  <c r="W6" i="6"/>
  <c r="AB6" i="6"/>
  <c r="H7" i="6"/>
  <c r="M7" i="6"/>
  <c r="S7" i="6"/>
  <c r="X7" i="6"/>
  <c r="AC7" i="6"/>
  <c r="AI7" i="6"/>
  <c r="I8" i="6"/>
  <c r="N8" i="6"/>
  <c r="AD8" i="6"/>
  <c r="O9" i="6"/>
  <c r="AE9" i="6"/>
  <c r="P10" i="6"/>
  <c r="R11" i="6"/>
  <c r="H12" i="6"/>
  <c r="AD12" i="6"/>
  <c r="T13" i="6"/>
  <c r="J15" i="6"/>
  <c r="G16" i="6"/>
  <c r="AI16" i="6"/>
  <c r="AD18" i="6"/>
  <c r="AA19" i="6"/>
  <c r="W21" i="6"/>
  <c r="AA24" i="6"/>
  <c r="AI22" i="6"/>
  <c r="AE22" i="6"/>
  <c r="AA22" i="6"/>
  <c r="W22" i="6"/>
  <c r="S22" i="6"/>
  <c r="O22" i="6"/>
  <c r="K22" i="6"/>
  <c r="G22" i="6"/>
  <c r="AF22" i="6"/>
  <c r="Z22" i="6"/>
  <c r="U22" i="6"/>
  <c r="P22" i="6"/>
  <c r="J22" i="6"/>
  <c r="E22" i="6"/>
  <c r="AG22" i="6"/>
  <c r="Y22" i="6"/>
  <c r="R22" i="6"/>
  <c r="L22" i="6"/>
  <c r="AD22" i="6"/>
  <c r="X22" i="6"/>
  <c r="Q22" i="6"/>
  <c r="I22" i="6"/>
  <c r="AC22" i="6"/>
  <c r="V22" i="6"/>
  <c r="N22" i="6"/>
  <c r="H22" i="6"/>
  <c r="AG20" i="6"/>
  <c r="AC20" i="6"/>
  <c r="Y20" i="6"/>
  <c r="U20" i="6"/>
  <c r="Q20" i="6"/>
  <c r="M20" i="6"/>
  <c r="I20" i="6"/>
  <c r="E20" i="6"/>
  <c r="AI20" i="6"/>
  <c r="AD20" i="6"/>
  <c r="X20" i="6"/>
  <c r="S20" i="6"/>
  <c r="N20" i="6"/>
  <c r="H20" i="6"/>
  <c r="AE20" i="6"/>
  <c r="W20" i="6"/>
  <c r="P20" i="6"/>
  <c r="J20" i="6"/>
  <c r="AB20" i="6"/>
  <c r="V20" i="6"/>
  <c r="O20" i="6"/>
  <c r="G20" i="6"/>
  <c r="AH20" i="6"/>
  <c r="AA20" i="6"/>
  <c r="T20" i="6"/>
  <c r="L20" i="6"/>
  <c r="F20" i="6"/>
  <c r="AI14" i="6"/>
  <c r="AE14" i="6"/>
  <c r="AA14" i="6"/>
  <c r="W14" i="6"/>
  <c r="S14" i="6"/>
  <c r="O14" i="6"/>
  <c r="K14" i="6"/>
  <c r="G14" i="6"/>
  <c r="AH14" i="6"/>
  <c r="AC14" i="6"/>
  <c r="X14" i="6"/>
  <c r="R14" i="6"/>
  <c r="M14" i="6"/>
  <c r="H14" i="6"/>
  <c r="AF14" i="6"/>
  <c r="Y14" i="6"/>
  <c r="Q14" i="6"/>
  <c r="J14" i="6"/>
  <c r="AD14" i="6"/>
  <c r="V14" i="6"/>
  <c r="P14" i="6"/>
  <c r="I14" i="6"/>
  <c r="AB14" i="6"/>
  <c r="U14" i="6"/>
  <c r="N14" i="6"/>
  <c r="F14" i="6"/>
  <c r="AI10" i="6"/>
  <c r="AE10" i="6"/>
  <c r="AA10" i="6"/>
  <c r="W10" i="6"/>
  <c r="S10" i="6"/>
  <c r="O10" i="6"/>
  <c r="K10" i="6"/>
  <c r="G10" i="6"/>
  <c r="AH10" i="6"/>
  <c r="AD10" i="6"/>
  <c r="Z10" i="6"/>
  <c r="V10" i="6"/>
  <c r="R10" i="6"/>
  <c r="N10" i="6"/>
  <c r="J10" i="6"/>
  <c r="F10" i="6"/>
  <c r="AG10" i="6"/>
  <c r="AC10" i="6"/>
  <c r="Y10" i="6"/>
  <c r="U10" i="6"/>
  <c r="Q10" i="6"/>
  <c r="M10" i="6"/>
  <c r="I10" i="6"/>
  <c r="E10" i="6"/>
  <c r="AG6" i="6"/>
  <c r="AC6" i="6"/>
  <c r="Y6" i="6"/>
  <c r="U6" i="6"/>
  <c r="Q6" i="6"/>
  <c r="M6" i="6"/>
  <c r="I6" i="6"/>
  <c r="E6" i="6"/>
  <c r="F4" i="6"/>
  <c r="AF23" i="6"/>
  <c r="AB23" i="6"/>
  <c r="X23" i="6"/>
  <c r="T23" i="6"/>
  <c r="P23" i="6"/>
  <c r="L23" i="6"/>
  <c r="H23" i="6"/>
  <c r="AH23" i="6"/>
  <c r="AC23" i="6"/>
  <c r="W23" i="6"/>
  <c r="AG23" i="6"/>
  <c r="AA23" i="6"/>
  <c r="V23" i="6"/>
  <c r="Q23" i="6"/>
  <c r="K23" i="6"/>
  <c r="F23" i="6"/>
  <c r="AI23" i="6"/>
  <c r="Y23" i="6"/>
  <c r="O23" i="6"/>
  <c r="I23" i="6"/>
  <c r="AE23" i="6"/>
  <c r="U23" i="6"/>
  <c r="N23" i="6"/>
  <c r="G23" i="6"/>
  <c r="AD23" i="6"/>
  <c r="S23" i="6"/>
  <c r="M23" i="6"/>
  <c r="E23" i="6"/>
  <c r="AH17" i="6"/>
  <c r="AD17" i="6"/>
  <c r="Z17" i="6"/>
  <c r="V17" i="6"/>
  <c r="R17" i="6"/>
  <c r="N17" i="6"/>
  <c r="J17" i="6"/>
  <c r="F17" i="6"/>
  <c r="AF17" i="6"/>
  <c r="AA17" i="6"/>
  <c r="U17" i="6"/>
  <c r="P17" i="6"/>
  <c r="K17" i="6"/>
  <c r="E17" i="6"/>
  <c r="AE17" i="6"/>
  <c r="X17" i="6"/>
  <c r="Q17" i="6"/>
  <c r="I17" i="6"/>
  <c r="AC17" i="6"/>
  <c r="W17" i="6"/>
  <c r="O17" i="6"/>
  <c r="H17" i="6"/>
  <c r="AI17" i="6"/>
  <c r="AB17" i="6"/>
  <c r="T17" i="6"/>
  <c r="M17" i="6"/>
  <c r="G17" i="6"/>
  <c r="H3" i="6"/>
  <c r="E4" i="6"/>
  <c r="I4" i="6"/>
  <c r="M4" i="6"/>
  <c r="Q4" i="6"/>
  <c r="V4" i="6"/>
  <c r="AB4" i="6"/>
  <c r="AG4" i="6"/>
  <c r="G5" i="6"/>
  <c r="M5" i="6"/>
  <c r="R5" i="6"/>
  <c r="W5" i="6"/>
  <c r="AC5" i="6"/>
  <c r="AH5" i="6"/>
  <c r="H6" i="6"/>
  <c r="N6" i="6"/>
  <c r="S6" i="6"/>
  <c r="X6" i="6"/>
  <c r="AD6" i="6"/>
  <c r="I7" i="6"/>
  <c r="O7" i="6"/>
  <c r="T7" i="6"/>
  <c r="Y7" i="6"/>
  <c r="AE7" i="6"/>
  <c r="E8" i="6"/>
  <c r="J8" i="6"/>
  <c r="R8" i="6"/>
  <c r="AH8" i="6"/>
  <c r="S9" i="6"/>
  <c r="AI9" i="6"/>
  <c r="T10" i="6"/>
  <c r="E11" i="6"/>
  <c r="W11" i="6"/>
  <c r="N12" i="6"/>
  <c r="AI12" i="6"/>
  <c r="Y13" i="6"/>
  <c r="T14" i="6"/>
  <c r="Q15" i="6"/>
  <c r="N16" i="6"/>
  <c r="L17" i="6"/>
  <c r="I18" i="6"/>
  <c r="F19" i="6"/>
  <c r="AI19" i="6"/>
  <c r="AF20" i="6"/>
  <c r="AC21" i="6"/>
  <c r="AB22" i="6"/>
  <c r="Z23" i="6"/>
  <c r="AI3" i="6"/>
  <c r="AE3" i="6"/>
  <c r="AA3" i="6"/>
  <c r="W3" i="6"/>
  <c r="S3" i="6"/>
  <c r="O3" i="6"/>
  <c r="K3" i="6"/>
  <c r="G3" i="6"/>
  <c r="AH3" i="6"/>
  <c r="AD3" i="6"/>
  <c r="Z3" i="6"/>
  <c r="V3" i="6"/>
  <c r="R3" i="6"/>
  <c r="N3" i="6"/>
  <c r="J3" i="6"/>
  <c r="F3" i="6"/>
  <c r="AG3" i="6"/>
  <c r="AC3" i="6"/>
  <c r="Y3" i="6"/>
  <c r="U3" i="6"/>
  <c r="Q3" i="6"/>
  <c r="M3" i="6"/>
  <c r="I3" i="6"/>
  <c r="E3" i="6"/>
  <c r="AF3" i="6"/>
  <c r="AB3" i="6"/>
  <c r="X3" i="6"/>
  <c r="T3" i="6"/>
  <c r="P3" i="6"/>
  <c r="L3" i="6"/>
  <c r="AJ8" i="6" l="1"/>
  <c r="AK8" i="6" s="1"/>
  <c r="AJ7" i="6"/>
  <c r="AK7" i="6" s="1"/>
  <c r="AJ3" i="6"/>
  <c r="AK3" i="6" s="1"/>
  <c r="AJ5" i="6"/>
  <c r="AK5" i="6" s="1"/>
  <c r="AJ4" i="6"/>
  <c r="AK4" i="6" s="1"/>
  <c r="AJ6" i="6"/>
  <c r="AK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B2" authorId="0" shapeId="0" xr:uid="{3C847A7A-302C-41A4-8524-F43FB6F80450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ici il y aura mon identité professionnelle </t>
        </r>
      </text>
    </comment>
  </commentList>
</comments>
</file>

<file path=xl/sharedStrings.xml><?xml version="1.0" encoding="utf-8"?>
<sst xmlns="http://schemas.openxmlformats.org/spreadsheetml/2006/main" count="270" uniqueCount="151">
  <si>
    <t>société</t>
  </si>
  <si>
    <t>Facture</t>
  </si>
  <si>
    <t>N° Facture :</t>
  </si>
  <si>
    <t>Garde</t>
  </si>
  <si>
    <t>Visite</t>
  </si>
  <si>
    <t>adresse</t>
  </si>
  <si>
    <t>CP, Ville</t>
  </si>
  <si>
    <t>Réf  :</t>
  </si>
  <si>
    <t>Type</t>
  </si>
  <si>
    <t>Promenade</t>
  </si>
  <si>
    <t>Téléphone</t>
  </si>
  <si>
    <t>Email</t>
  </si>
  <si>
    <t>N° Siren</t>
  </si>
  <si>
    <t>Paiement</t>
  </si>
  <si>
    <t xml:space="preserve">Especes </t>
  </si>
  <si>
    <t>Chèque</t>
  </si>
  <si>
    <t>Montant net</t>
  </si>
  <si>
    <t>TVA non applicable, art 293 B du CGI</t>
  </si>
  <si>
    <t>Forfait</t>
  </si>
  <si>
    <t>Remise</t>
  </si>
  <si>
    <t>Forfait journalier</t>
  </si>
  <si>
    <t>Chien</t>
  </si>
  <si>
    <t>Chat</t>
  </si>
  <si>
    <t>NAC</t>
  </si>
  <si>
    <t>Oiseau</t>
  </si>
  <si>
    <t>G</t>
  </si>
  <si>
    <t>Durée du séjour</t>
  </si>
  <si>
    <t>Nom de l'animal</t>
  </si>
  <si>
    <t>Autre</t>
  </si>
  <si>
    <t>Prestation</t>
  </si>
  <si>
    <t>Nombre de visite</t>
  </si>
  <si>
    <t>Animaux suppl.</t>
  </si>
  <si>
    <t>Garde ou Visite</t>
  </si>
  <si>
    <t>Ville</t>
  </si>
  <si>
    <t>Alimentation</t>
  </si>
  <si>
    <t>Portion</t>
  </si>
  <si>
    <t>Quantité</t>
  </si>
  <si>
    <t>Ok Eau</t>
  </si>
  <si>
    <t>E-mail</t>
  </si>
  <si>
    <t>Notes</t>
  </si>
  <si>
    <t>TOULOUSE</t>
  </si>
  <si>
    <t>MEDORE</t>
  </si>
  <si>
    <t>MINOU</t>
  </si>
  <si>
    <t>Adresse</t>
  </si>
  <si>
    <t>PERPIGNAN</t>
  </si>
  <si>
    <t>Ref animal</t>
  </si>
  <si>
    <t>Prix</t>
  </si>
  <si>
    <t>Nb de visite</t>
  </si>
  <si>
    <t>Début séjour</t>
  </si>
  <si>
    <t>Fin séjour</t>
  </si>
  <si>
    <t>NAC - garde</t>
  </si>
  <si>
    <t>NAC - visite</t>
  </si>
  <si>
    <t>IGGY</t>
  </si>
  <si>
    <t>Règlement</t>
  </si>
  <si>
    <t>Heure début</t>
  </si>
  <si>
    <t>Heure fin</t>
  </si>
  <si>
    <t>Temps</t>
  </si>
  <si>
    <t>25 avenue Clément</t>
  </si>
  <si>
    <t>TITI</t>
  </si>
  <si>
    <t>1 allée des roses</t>
  </si>
  <si>
    <t>Total
mois</t>
  </si>
  <si>
    <t>Nombre
de jour</t>
  </si>
  <si>
    <t>Gobelet</t>
  </si>
  <si>
    <t>Choix</t>
  </si>
  <si>
    <t>Oui</t>
  </si>
  <si>
    <t>Non</t>
  </si>
  <si>
    <t>Consultation</t>
  </si>
  <si>
    <t>Catégorie animal</t>
  </si>
  <si>
    <t>Réf Client</t>
  </si>
  <si>
    <t>Code postal</t>
  </si>
  <si>
    <t>Ok Enfant</t>
  </si>
  <si>
    <t>V</t>
  </si>
  <si>
    <t>Coût journalier</t>
  </si>
  <si>
    <t>Animal :</t>
  </si>
  <si>
    <r>
      <rPr>
        <b/>
        <sz val="12"/>
        <color rgb="FF969696"/>
        <rFont val="Calibri"/>
        <family val="2"/>
        <scheme val="minor"/>
      </rPr>
      <t>Date :</t>
    </r>
  </si>
  <si>
    <r>
      <rPr>
        <b/>
        <sz val="12"/>
        <color rgb="FF969696"/>
        <rFont val="Calibri"/>
        <family val="2"/>
        <scheme val="minor"/>
      </rPr>
      <t>Facturer à :</t>
    </r>
  </si>
  <si>
    <t>Chien - garde</t>
  </si>
  <si>
    <t>Chien - promenade</t>
  </si>
  <si>
    <t>Chat - garde</t>
  </si>
  <si>
    <t>Chat - visite</t>
  </si>
  <si>
    <t>Oiseau - garde</t>
  </si>
  <si>
    <t>Oiseau - visite</t>
  </si>
  <si>
    <t>Code</t>
  </si>
  <si>
    <t>MEDORE_1</t>
  </si>
  <si>
    <t>MINOU_1</t>
  </si>
  <si>
    <t>IGGY_1</t>
  </si>
  <si>
    <t>TITI_1</t>
  </si>
  <si>
    <t>MEDORE_2</t>
  </si>
  <si>
    <t>Chien - Visite</t>
  </si>
  <si>
    <t>Note :</t>
  </si>
  <si>
    <t>Nom</t>
  </si>
  <si>
    <t>Prénom</t>
  </si>
  <si>
    <t>DUPONT</t>
  </si>
  <si>
    <t>CLEMENT</t>
  </si>
  <si>
    <t>CONNORS</t>
  </si>
  <si>
    <t>TAIRIEUR</t>
  </si>
  <si>
    <t>1ère échéance</t>
  </si>
  <si>
    <t>2ème échéance</t>
  </si>
  <si>
    <t>La facture se règle en deux parties 50% le jour du début de la prestation, 50% à la fin de la prestation.</t>
  </si>
  <si>
    <t>Ok Voiture</t>
  </si>
  <si>
    <t>date</t>
  </si>
  <si>
    <t>Référence</t>
  </si>
  <si>
    <t>Total facture</t>
  </si>
  <si>
    <t xml:space="preserve">Valeur en votre aimable règlement suivant modalités décrites ci-dessous.  </t>
  </si>
  <si>
    <r>
      <t xml:space="preserve">Rappel : </t>
    </r>
    <r>
      <rPr>
        <i/>
        <sz val="10"/>
        <color rgb="FF969696"/>
        <rFont val="Calibri"/>
        <family val="2"/>
        <scheme val="minor"/>
      </rPr>
      <t>Merci d’inclure le numéro de facture sur votre chèque.</t>
    </r>
  </si>
  <si>
    <t>Rééditer facture</t>
  </si>
  <si>
    <t>Animal</t>
  </si>
  <si>
    <t>Accéder à la facturation</t>
  </si>
  <si>
    <t>Accéder au récap de facture</t>
  </si>
  <si>
    <t>Accéder à la liste clients</t>
  </si>
  <si>
    <t>medore@gmail.com</t>
  </si>
  <si>
    <t>minou@hotmail.fr</t>
  </si>
  <si>
    <t>MELISSA</t>
  </si>
  <si>
    <t>100 avenue de la République</t>
  </si>
  <si>
    <t>Croquettes</t>
  </si>
  <si>
    <t>2 Matin / 2 Soir</t>
  </si>
  <si>
    <t>Animal peureux. Ne pas le stresser.</t>
  </si>
  <si>
    <t>AURELIE</t>
  </si>
  <si>
    <t>96 rue de Strasbourg</t>
  </si>
  <si>
    <t>1 Matin / 1 Soir</t>
  </si>
  <si>
    <t>SARAH</t>
  </si>
  <si>
    <t>Angoulême</t>
  </si>
  <si>
    <t>iggy@free.fr</t>
  </si>
  <si>
    <t>Déjà préparée</t>
  </si>
  <si>
    <t>Animal frileux, faire attention aux courants d'air.</t>
  </si>
  <si>
    <t>ALEX</t>
  </si>
  <si>
    <t>titi@yahoo.fr</t>
  </si>
  <si>
    <t>Graines</t>
  </si>
  <si>
    <t>1 Gobelet</t>
  </si>
  <si>
    <t>201908001</t>
  </si>
  <si>
    <t>CDUP001</t>
  </si>
  <si>
    <t>201908002</t>
  </si>
  <si>
    <t>CCLE001</t>
  </si>
  <si>
    <t>201908003</t>
  </si>
  <si>
    <t>CCON001</t>
  </si>
  <si>
    <t>201908004</t>
  </si>
  <si>
    <t>CTAI001</t>
  </si>
  <si>
    <t>A facturer</t>
  </si>
  <si>
    <t>N° ligne</t>
  </si>
  <si>
    <t>Liste</t>
  </si>
  <si>
    <t>https://excel.developpez.com/faq/index.php?page=ListeValidation#CellVideListeValidation</t>
  </si>
  <si>
    <t>Source calcul colonne R, S et T</t>
  </si>
  <si>
    <t>FLIPPER</t>
  </si>
  <si>
    <t>CODDY</t>
  </si>
  <si>
    <t>CHARLIE</t>
  </si>
  <si>
    <t>12 rue de la carrière</t>
  </si>
  <si>
    <t>flipper@free.fr</t>
  </si>
  <si>
    <t>poisson</t>
  </si>
  <si>
    <t>matin et soir</t>
  </si>
  <si>
    <t>2 kg</t>
  </si>
  <si>
    <t>FLIPPER_1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</si>
</sst>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-40C]d\ mmmm\ yyyy;@"/>
    <numFmt numFmtId="165" formatCode="[$-409]mmmm\ d\,\ yyyy;@"/>
    <numFmt numFmtId="166" formatCode="ddd"/>
    <numFmt numFmtId="167" formatCode="#,##0.00\ &quot;€&quot;"/>
    <numFmt numFmtId="168" formatCode="0#&quot; &quot;##&quot; &quot;##&quot; &quot;##&quot; &quot;##"/>
    <numFmt numFmtId="169" formatCode="00000"/>
    <numFmt numFmtId="170" formatCode="mmmm\ yyyy"/>
    <numFmt numFmtId="171" formatCode="d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8"/>
      <color theme="4" tint="-0.24994659260841701"/>
      <name val="Calibri"/>
      <family val="2"/>
      <scheme val="minor"/>
    </font>
    <font>
      <b/>
      <sz val="16"/>
      <color theme="0"/>
      <name val="Calibri Light"/>
      <family val="2"/>
      <scheme val="maj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 tint="-0.249977111117893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969696"/>
      <name val="Calibri"/>
      <family val="2"/>
      <scheme val="minor"/>
    </font>
    <font>
      <b/>
      <sz val="12"/>
      <color indexed="55"/>
      <name val="Calibri"/>
      <family val="2"/>
      <scheme val="minor"/>
    </font>
    <font>
      <sz val="12"/>
      <color indexed="55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i/>
      <sz val="12"/>
      <color theme="2" tint="-0.499984740745262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4A5359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i/>
      <sz val="10"/>
      <color theme="2" tint="-0.49998474074526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969696"/>
      <name val="Calibri"/>
      <family val="2"/>
      <scheme val="minor"/>
    </font>
    <font>
      <i/>
      <sz val="10"/>
      <color rgb="FF969696"/>
      <name val="Calibri"/>
      <family val="2"/>
      <scheme val="minor"/>
    </font>
    <font>
      <sz val="8"/>
      <color rgb="FF000000"/>
      <name val="Segoe UI"/>
      <family val="2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thin">
        <color theme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/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1" fillId="11" borderId="0" applyNumberFormat="0" applyBorder="0" applyProtection="0">
      <alignment horizontal="left" vertical="center"/>
    </xf>
    <xf numFmtId="0" fontId="9" fillId="0" borderId="0">
      <alignment horizontal="left" wrapText="1"/>
    </xf>
    <xf numFmtId="169" fontId="9" fillId="0" borderId="0" applyFont="0" applyFill="0" applyBorder="0" applyAlignment="0">
      <alignment horizontal="left" wrapText="1"/>
    </xf>
    <xf numFmtId="0" fontId="12" fillId="0" borderId="0" applyFill="0" applyBorder="0" applyAlignment="0" applyProtection="0"/>
    <xf numFmtId="0" fontId="1" fillId="0" borderId="0">
      <alignment horizontal="left" vertical="center"/>
    </xf>
    <xf numFmtId="0" fontId="13" fillId="0" borderId="0">
      <alignment horizontal="center"/>
    </xf>
    <xf numFmtId="0" fontId="10" fillId="4" borderId="0" applyNumberFormat="0" applyBorder="0" applyProtection="0">
      <alignment horizontal="center" vertical="center"/>
    </xf>
    <xf numFmtId="0" fontId="1" fillId="4" borderId="0" applyNumberFormat="0" applyBorder="0" applyAlignment="0" applyProtection="0"/>
    <xf numFmtId="1" fontId="1" fillId="0" borderId="0" applyFill="0" applyBorder="0" applyProtection="0">
      <alignment horizontal="center" vertical="center"/>
    </xf>
  </cellStyleXfs>
  <cellXfs count="247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4" fontId="17" fillId="0" borderId="0" xfId="7" applyNumberFormat="1" applyFont="1" applyAlignment="1">
      <alignment horizontal="center" vertical="center"/>
    </xf>
    <xf numFmtId="0" fontId="17" fillId="0" borderId="0" xfId="7" applyFont="1">
      <alignment horizontal="left" vertical="center"/>
    </xf>
    <xf numFmtId="0" fontId="17" fillId="0" borderId="9" xfId="7" applyFont="1" applyBorder="1">
      <alignment horizontal="left" vertical="center"/>
    </xf>
    <xf numFmtId="0" fontId="17" fillId="0" borderId="0" xfId="7" quotePrefix="1" applyFont="1">
      <alignment horizontal="left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0" fontId="15" fillId="0" borderId="0" xfId="0" applyNumberFormat="1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10" fontId="17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2" applyFont="1" applyAlignment="1">
      <alignment vertical="center"/>
    </xf>
    <xf numFmtId="0" fontId="17" fillId="0" borderId="0" xfId="7" applyNumberFormat="1" applyFont="1">
      <alignment horizontal="left" vertical="center"/>
    </xf>
    <xf numFmtId="0" fontId="17" fillId="0" borderId="0" xfId="7" applyNumberFormat="1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169" fontId="17" fillId="0" borderId="0" xfId="5" applyFont="1" applyAlignment="1">
      <alignment horizontal="center" vertical="center" wrapText="1"/>
    </xf>
    <xf numFmtId="1" fontId="17" fillId="0" borderId="0" xfId="0" applyNumberFormat="1" applyFont="1" applyAlignment="1">
      <alignment vertical="center"/>
    </xf>
    <xf numFmtId="0" fontId="17" fillId="0" borderId="0" xfId="0" applyFont="1"/>
    <xf numFmtId="0" fontId="23" fillId="0" borderId="0" xfId="7" applyFont="1">
      <alignment horizontal="left" vertical="center"/>
    </xf>
    <xf numFmtId="0" fontId="17" fillId="5" borderId="21" xfId="7" applyFont="1" applyFill="1" applyBorder="1">
      <alignment horizontal="left" vertical="center"/>
    </xf>
    <xf numFmtId="0" fontId="17" fillId="10" borderId="21" xfId="7" applyFont="1" applyFill="1" applyBorder="1">
      <alignment horizontal="left" vertical="center"/>
    </xf>
    <xf numFmtId="0" fontId="17" fillId="9" borderId="21" xfId="7" applyFont="1" applyFill="1" applyBorder="1" applyAlignment="1">
      <alignment horizontal="center" vertical="center"/>
    </xf>
    <xf numFmtId="0" fontId="17" fillId="10" borderId="21" xfId="7" applyFont="1" applyFill="1" applyBorder="1" applyAlignment="1">
      <alignment horizontal="center" vertical="center"/>
    </xf>
    <xf numFmtId="0" fontId="17" fillId="8" borderId="21" xfId="7" applyFont="1" applyFill="1" applyBorder="1" applyAlignment="1">
      <alignment horizontal="center" vertical="center"/>
    </xf>
    <xf numFmtId="0" fontId="17" fillId="10" borderId="22" xfId="7" applyFont="1" applyFill="1" applyBorder="1">
      <alignment horizontal="left" vertical="center"/>
    </xf>
    <xf numFmtId="0" fontId="17" fillId="5" borderId="23" xfId="7" applyFont="1" applyFill="1" applyBorder="1">
      <alignment horizontal="left" vertical="center"/>
    </xf>
    <xf numFmtId="0" fontId="17" fillId="5" borderId="23" xfId="7" applyFont="1" applyFill="1" applyBorder="1" applyAlignment="1">
      <alignment horizontal="center" vertical="center"/>
    </xf>
    <xf numFmtId="0" fontId="17" fillId="5" borderId="25" xfId="7" applyFont="1" applyFill="1" applyBorder="1" applyAlignment="1">
      <alignment horizontal="center" vertical="center"/>
    </xf>
    <xf numFmtId="0" fontId="17" fillId="10" borderId="26" xfId="7" applyFont="1" applyFill="1" applyBorder="1" applyAlignment="1">
      <alignment horizontal="center" vertical="center"/>
    </xf>
    <xf numFmtId="0" fontId="17" fillId="5" borderId="26" xfId="7" applyFont="1" applyFill="1" applyBorder="1" applyAlignment="1">
      <alignment horizontal="center" vertical="center"/>
    </xf>
    <xf numFmtId="0" fontId="17" fillId="10" borderId="24" xfId="7" applyFont="1" applyFill="1" applyBorder="1" applyAlignment="1">
      <alignment horizontal="center" vertical="center"/>
    </xf>
    <xf numFmtId="166" fontId="21" fillId="7" borderId="27" xfId="7" applyNumberFormat="1" applyFont="1" applyFill="1" applyBorder="1" applyAlignment="1">
      <alignment horizontal="center" vertical="center"/>
    </xf>
    <xf numFmtId="166" fontId="21" fillId="7" borderId="28" xfId="7" applyNumberFormat="1" applyFont="1" applyFill="1" applyBorder="1" applyAlignment="1">
      <alignment horizontal="center" vertical="center"/>
    </xf>
    <xf numFmtId="0" fontId="17" fillId="5" borderId="30" xfId="7" applyFont="1" applyFill="1" applyBorder="1" applyAlignment="1">
      <alignment horizontal="center" vertical="center"/>
    </xf>
    <xf numFmtId="0" fontId="17" fillId="9" borderId="32" xfId="7" applyFont="1" applyFill="1" applyBorder="1" applyAlignment="1">
      <alignment horizontal="center" vertical="center"/>
    </xf>
    <xf numFmtId="0" fontId="17" fillId="8" borderId="32" xfId="7" applyFont="1" applyFill="1" applyBorder="1" applyAlignment="1">
      <alignment horizontal="center" vertical="center"/>
    </xf>
    <xf numFmtId="0" fontId="17" fillId="9" borderId="34" xfId="7" applyFont="1" applyFill="1" applyBorder="1" applyAlignment="1">
      <alignment horizontal="center" vertical="center"/>
    </xf>
    <xf numFmtId="0" fontId="17" fillId="9" borderId="35" xfId="7" applyFont="1" applyFill="1" applyBorder="1" applyAlignment="1">
      <alignment horizontal="center" vertical="center"/>
    </xf>
    <xf numFmtId="166" fontId="21" fillId="7" borderId="37" xfId="7" applyNumberFormat="1" applyFont="1" applyFill="1" applyBorder="1" applyAlignment="1">
      <alignment horizontal="center" vertical="center"/>
    </xf>
    <xf numFmtId="0" fontId="17" fillId="9" borderId="26" xfId="7" applyFont="1" applyFill="1" applyBorder="1" applyAlignment="1">
      <alignment horizontal="center" vertical="center"/>
    </xf>
    <xf numFmtId="0" fontId="17" fillId="8" borderId="26" xfId="7" applyFont="1" applyFill="1" applyBorder="1" applyAlignment="1">
      <alignment horizontal="center" vertical="center"/>
    </xf>
    <xf numFmtId="0" fontId="17" fillId="9" borderId="38" xfId="7" applyFont="1" applyFill="1" applyBorder="1" applyAlignment="1">
      <alignment horizontal="center" vertical="center"/>
    </xf>
    <xf numFmtId="1" fontId="17" fillId="8" borderId="30" xfId="11" applyFont="1" applyFill="1" applyBorder="1">
      <alignment horizontal="center" vertical="center"/>
    </xf>
    <xf numFmtId="1" fontId="17" fillId="8" borderId="32" xfId="11" applyFont="1" applyFill="1" applyBorder="1">
      <alignment horizontal="center" vertical="center"/>
    </xf>
    <xf numFmtId="1" fontId="17" fillId="8" borderId="34" xfId="11" applyFont="1" applyFill="1" applyBorder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49" fontId="4" fillId="2" borderId="6" xfId="0" applyNumberFormat="1" applyFont="1" applyFill="1" applyBorder="1" applyAlignment="1">
      <alignment vertical="center"/>
    </xf>
    <xf numFmtId="49" fontId="4" fillId="2" borderId="7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4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 shrinkToFit="1"/>
    </xf>
    <xf numFmtId="164" fontId="17" fillId="2" borderId="0" xfId="0" applyNumberFormat="1" applyFont="1" applyFill="1" applyAlignment="1">
      <alignment horizontal="left" vertical="center"/>
    </xf>
    <xf numFmtId="165" fontId="17" fillId="2" borderId="0" xfId="0" applyNumberFormat="1" applyFont="1" applyFill="1" applyAlignment="1">
      <alignment horizontal="left" vertical="center"/>
    </xf>
    <xf numFmtId="0" fontId="16" fillId="0" borderId="39" xfId="0" applyFont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9" fillId="2" borderId="0" xfId="0" applyFont="1" applyFill="1" applyAlignment="1">
      <alignment vertical="center"/>
    </xf>
    <xf numFmtId="14" fontId="21" fillId="7" borderId="20" xfId="7" applyNumberFormat="1" applyFont="1" applyFill="1" applyBorder="1" applyAlignment="1">
      <alignment horizontal="center" vertical="center" wrapText="1"/>
    </xf>
    <xf numFmtId="0" fontId="22" fillId="7" borderId="42" xfId="9" applyFont="1" applyFill="1" applyBorder="1">
      <alignment horizontal="center" vertical="center"/>
    </xf>
    <xf numFmtId="0" fontId="19" fillId="0" borderId="0" xfId="4" applyFont="1" applyAlignment="1">
      <alignment horizontal="center" vertical="center" wrapText="1"/>
    </xf>
    <xf numFmtId="1" fontId="19" fillId="0" borderId="0" xfId="4" applyNumberFormat="1" applyFont="1" applyAlignment="1">
      <alignment horizontal="center" vertical="center" wrapText="1"/>
    </xf>
    <xf numFmtId="168" fontId="19" fillId="0" borderId="0" xfId="4" applyNumberFormat="1" applyFont="1" applyAlignment="1">
      <alignment horizontal="center" vertical="center" wrapText="1"/>
    </xf>
    <xf numFmtId="0" fontId="19" fillId="0" borderId="0" xfId="4" applyFont="1" applyAlignment="1">
      <alignment horizontal="left" vertical="center" wrapText="1"/>
    </xf>
    <xf numFmtId="14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Alignment="1">
      <alignment horizontal="left" vertical="center" wrapText="1"/>
    </xf>
    <xf numFmtId="169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Fill="1" applyAlignment="1">
      <alignment horizontal="left" vertical="center" wrapText="1"/>
    </xf>
    <xf numFmtId="168" fontId="19" fillId="0" borderId="0" xfId="4" applyNumberFormat="1" applyFont="1" applyAlignment="1">
      <alignment horizontal="left" vertical="center" wrapText="1"/>
    </xf>
    <xf numFmtId="0" fontId="19" fillId="0" borderId="0" xfId="4" applyFont="1" applyFill="1" applyAlignment="1">
      <alignment horizontal="center" vertical="center" wrapText="1"/>
    </xf>
    <xf numFmtId="0" fontId="19" fillId="0" borderId="0" xfId="4" applyFont="1" applyFill="1" applyAlignment="1">
      <alignment horizontal="left" vertical="center" wrapText="1"/>
    </xf>
    <xf numFmtId="0" fontId="19" fillId="0" borderId="0" xfId="4" applyFont="1" applyAlignment="1">
      <alignment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167" fontId="30" fillId="0" borderId="15" xfId="0" applyNumberFormat="1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0" fillId="0" borderId="0" xfId="0" applyFont="1" applyFill="1" applyAlignment="1">
      <alignment wrapText="1"/>
    </xf>
    <xf numFmtId="0" fontId="30" fillId="0" borderId="0" xfId="0" applyFont="1" applyFill="1" applyAlignment="1">
      <alignment horizontal="center" wrapText="1"/>
    </xf>
    <xf numFmtId="0" fontId="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67" fontId="12" fillId="0" borderId="18" xfId="0" applyNumberFormat="1" applyFont="1" applyBorder="1" applyAlignment="1">
      <alignment horizontal="center" vertical="center"/>
    </xf>
    <xf numFmtId="20" fontId="12" fillId="0" borderId="18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6" fontId="0" fillId="0" borderId="0" xfId="0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0" fillId="0" borderId="0" xfId="0" applyFont="1"/>
    <xf numFmtId="167" fontId="0" fillId="0" borderId="0" xfId="0" applyNumberFormat="1" applyFont="1"/>
    <xf numFmtId="0" fontId="0" fillId="0" borderId="0" xfId="0" applyFont="1" applyFill="1"/>
    <xf numFmtId="0" fontId="2" fillId="0" borderId="0" xfId="2" applyFont="1" applyAlignment="1"/>
    <xf numFmtId="14" fontId="1" fillId="5" borderId="23" xfId="7" applyNumberFormat="1" applyFont="1" applyFill="1" applyBorder="1" applyAlignment="1">
      <alignment horizontal="center" vertical="center"/>
    </xf>
    <xf numFmtId="44" fontId="1" fillId="5" borderId="31" xfId="1" applyFont="1" applyFill="1" applyBorder="1" applyAlignment="1">
      <alignment horizontal="center" vertical="center"/>
    </xf>
    <xf numFmtId="14" fontId="1" fillId="10" borderId="21" xfId="7" applyNumberFormat="1" applyFont="1" applyFill="1" applyBorder="1" applyAlignment="1">
      <alignment horizontal="center" vertical="center"/>
    </xf>
    <xf numFmtId="44" fontId="1" fillId="5" borderId="33" xfId="1" applyFont="1" applyFill="1" applyBorder="1" applyAlignment="1">
      <alignment horizontal="center" vertical="center"/>
    </xf>
    <xf numFmtId="14" fontId="1" fillId="5" borderId="21" xfId="7" applyNumberFormat="1" applyFont="1" applyFill="1" applyBorder="1" applyAlignment="1">
      <alignment horizontal="center" vertical="center"/>
    </xf>
    <xf numFmtId="14" fontId="1" fillId="10" borderId="22" xfId="7" applyNumberFormat="1" applyFont="1" applyFill="1" applyBorder="1" applyAlignment="1">
      <alignment horizontal="center" vertical="center"/>
    </xf>
    <xf numFmtId="44" fontId="1" fillId="5" borderId="36" xfId="1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0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2" borderId="39" xfId="0" applyNumberFormat="1" applyFont="1" applyFill="1" applyBorder="1" applyAlignment="1">
      <alignment horizontal="center" vertical="center"/>
    </xf>
    <xf numFmtId="167" fontId="0" fillId="0" borderId="39" xfId="0" applyNumberFormat="1" applyFont="1" applyBorder="1" applyAlignment="1">
      <alignment horizontal="center" vertical="center"/>
    </xf>
    <xf numFmtId="10" fontId="16" fillId="0" borderId="39" xfId="0" applyNumberFormat="1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27" fillId="3" borderId="39" xfId="0" applyFont="1" applyFill="1" applyBorder="1" applyAlignment="1">
      <alignment vertical="center"/>
    </xf>
    <xf numFmtId="0" fontId="27" fillId="3" borderId="3" xfId="0" applyFont="1" applyFill="1" applyBorder="1" applyAlignment="1">
      <alignment vertical="center"/>
    </xf>
    <xf numFmtId="0" fontId="27" fillId="3" borderId="2" xfId="0" applyFont="1" applyFill="1" applyBorder="1" applyAlignment="1">
      <alignment horizontal="left" vertical="center"/>
    </xf>
    <xf numFmtId="0" fontId="28" fillId="2" borderId="0" xfId="0" applyFont="1" applyFill="1" applyAlignment="1">
      <alignment vertical="center" wrapText="1"/>
    </xf>
    <xf numFmtId="170" fontId="22" fillId="7" borderId="40" xfId="7" applyNumberFormat="1" applyFont="1" applyFill="1" applyBorder="1" applyAlignment="1">
      <alignment vertical="center"/>
    </xf>
    <xf numFmtId="170" fontId="22" fillId="7" borderId="41" xfId="7" applyNumberFormat="1" applyFont="1" applyFill="1" applyBorder="1" applyAlignment="1">
      <alignment vertical="center"/>
    </xf>
    <xf numFmtId="171" fontId="21" fillId="6" borderId="29" xfId="7" applyNumberFormat="1" applyFont="1" applyFill="1" applyBorder="1" applyAlignment="1">
      <alignment horizontal="center" vertical="center" wrapText="1"/>
    </xf>
    <xf numFmtId="171" fontId="21" fillId="6" borderId="22" xfId="7" applyNumberFormat="1" applyFont="1" applyFill="1" applyBorder="1" applyAlignment="1">
      <alignment horizontal="center" vertical="center" wrapText="1"/>
    </xf>
    <xf numFmtId="171" fontId="21" fillId="6" borderId="24" xfId="7" applyNumberFormat="1" applyFont="1" applyFill="1" applyBorder="1" applyAlignment="1">
      <alignment horizontal="center" vertical="center" wrapText="1"/>
    </xf>
    <xf numFmtId="0" fontId="21" fillId="7" borderId="20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167" fontId="28" fillId="2" borderId="0" xfId="0" applyNumberFormat="1" applyFont="1" applyFill="1" applyAlignment="1">
      <alignment vertical="center" wrapText="1"/>
    </xf>
    <xf numFmtId="14" fontId="28" fillId="2" borderId="0" xfId="0" applyNumberFormat="1" applyFont="1" applyFill="1" applyAlignment="1">
      <alignment vertical="center" wrapText="1"/>
    </xf>
    <xf numFmtId="14" fontId="17" fillId="0" borderId="0" xfId="0" applyNumberFormat="1" applyFont="1" applyFill="1" applyBorder="1" applyAlignment="1">
      <alignment vertical="center"/>
    </xf>
    <xf numFmtId="0" fontId="33" fillId="2" borderId="0" xfId="0" applyFont="1" applyFill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4" fillId="2" borderId="0" xfId="0" applyFont="1" applyFill="1" applyAlignment="1">
      <alignment vertical="center" wrapText="1"/>
    </xf>
    <xf numFmtId="167" fontId="34" fillId="2" borderId="0" xfId="0" applyNumberFormat="1" applyFont="1" applyFill="1" applyAlignment="1">
      <alignment vertical="center" wrapText="1"/>
    </xf>
    <xf numFmtId="14" fontId="34" fillId="2" borderId="0" xfId="0" applyNumberFormat="1" applyFont="1" applyFill="1" applyAlignment="1">
      <alignment vertical="center" wrapText="1"/>
    </xf>
    <xf numFmtId="0" fontId="35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167" fontId="15" fillId="0" borderId="1" xfId="0" applyNumberFormat="1" applyFont="1" applyBorder="1" applyAlignment="1">
      <alignment horizontal="center" vertical="center"/>
    </xf>
    <xf numFmtId="0" fontId="17" fillId="0" borderId="0" xfId="0" applyNumberFormat="1" applyFont="1"/>
    <xf numFmtId="0" fontId="17" fillId="0" borderId="5" xfId="0" applyNumberFormat="1" applyFont="1" applyBorder="1" applyAlignment="1">
      <alignment horizontal="center"/>
    </xf>
    <xf numFmtId="14" fontId="17" fillId="0" borderId="48" xfId="0" applyNumberFormat="1" applyFont="1" applyBorder="1" applyAlignment="1">
      <alignment horizontal="center"/>
    </xf>
    <xf numFmtId="0" fontId="17" fillId="0" borderId="48" xfId="0" applyNumberFormat="1" applyFont="1" applyBorder="1" applyAlignment="1">
      <alignment horizontal="center"/>
    </xf>
    <xf numFmtId="10" fontId="17" fillId="0" borderId="48" xfId="0" applyNumberFormat="1" applyFont="1" applyBorder="1" applyAlignment="1">
      <alignment horizontal="center"/>
    </xf>
    <xf numFmtId="4" fontId="17" fillId="0" borderId="48" xfId="0" applyNumberFormat="1" applyFont="1" applyBorder="1"/>
    <xf numFmtId="0" fontId="17" fillId="0" borderId="4" xfId="0" applyNumberFormat="1" applyFont="1" applyBorder="1" applyAlignment="1">
      <alignment horizontal="center"/>
    </xf>
    <xf numFmtId="0" fontId="15" fillId="2" borderId="0" xfId="0" applyFont="1" applyFill="1" applyAlignment="1">
      <alignment vertical="center"/>
    </xf>
    <xf numFmtId="49" fontId="17" fillId="2" borderId="2" xfId="0" applyNumberFormat="1" applyFont="1" applyFill="1" applyBorder="1" applyAlignment="1">
      <alignment vertical="center"/>
    </xf>
    <xf numFmtId="49" fontId="17" fillId="2" borderId="3" xfId="0" applyNumberFormat="1" applyFont="1" applyFill="1" applyBorder="1" applyAlignment="1">
      <alignment vertical="center"/>
    </xf>
    <xf numFmtId="49" fontId="17" fillId="2" borderId="4" xfId="0" applyNumberFormat="1" applyFont="1" applyFill="1" applyBorder="1" applyAlignment="1">
      <alignment vertical="center"/>
    </xf>
    <xf numFmtId="49" fontId="17" fillId="2" borderId="5" xfId="0" applyNumberFormat="1" applyFont="1" applyFill="1" applyBorder="1" applyAlignment="1">
      <alignment vertical="center"/>
    </xf>
    <xf numFmtId="0" fontId="20" fillId="2" borderId="0" xfId="2" applyFont="1" applyFill="1" applyAlignment="1">
      <alignment vertical="center"/>
    </xf>
    <xf numFmtId="49" fontId="17" fillId="2" borderId="6" xfId="0" applyNumberFormat="1" applyFont="1" applyFill="1" applyBorder="1" applyAlignment="1">
      <alignment vertical="center"/>
    </xf>
    <xf numFmtId="49" fontId="17" fillId="2" borderId="7" xfId="0" applyNumberFormat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horizontal="center" vertical="center"/>
    </xf>
    <xf numFmtId="14" fontId="17" fillId="2" borderId="39" xfId="0" applyNumberFormat="1" applyFont="1" applyFill="1" applyBorder="1" applyAlignment="1">
      <alignment horizontal="center" vertical="center"/>
    </xf>
    <xf numFmtId="167" fontId="17" fillId="0" borderId="39" xfId="0" applyNumberFormat="1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14" fontId="17" fillId="2" borderId="0" xfId="0" applyNumberFormat="1" applyFont="1" applyFill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4" fontId="17" fillId="2" borderId="0" xfId="0" applyNumberFormat="1" applyFont="1" applyFill="1" applyAlignment="1">
      <alignment horizontal="left" vertical="center"/>
    </xf>
    <xf numFmtId="0" fontId="21" fillId="6" borderId="0" xfId="0" applyNumberFormat="1" applyFont="1" applyFill="1"/>
    <xf numFmtId="0" fontId="17" fillId="10" borderId="0" xfId="0" applyNumberFormat="1" applyFont="1" applyFill="1"/>
    <xf numFmtId="0" fontId="21" fillId="6" borderId="7" xfId="0" applyNumberFormat="1" applyFont="1" applyFill="1" applyBorder="1" applyAlignment="1">
      <alignment horizontal="center" vertical="center"/>
    </xf>
    <xf numFmtId="0" fontId="21" fillId="6" borderId="47" xfId="0" applyNumberFormat="1" applyFont="1" applyFill="1" applyBorder="1" applyAlignment="1">
      <alignment horizontal="center" vertical="center"/>
    </xf>
    <xf numFmtId="0" fontId="21" fillId="6" borderId="6" xfId="0" applyNumberFormat="1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2" fillId="0" borderId="0" xfId="2" applyFill="1" applyAlignment="1">
      <alignment horizontal="center" vertical="center" wrapText="1"/>
    </xf>
    <xf numFmtId="167" fontId="2" fillId="0" borderId="0" xfId="2" applyNumberFormat="1" applyFill="1" applyAlignment="1">
      <alignment horizontal="center" wrapText="1"/>
    </xf>
    <xf numFmtId="167" fontId="2" fillId="0" borderId="0" xfId="2" applyNumberFormat="1" applyFill="1" applyAlignment="1">
      <alignment horizontal="center" vertical="center"/>
    </xf>
    <xf numFmtId="0" fontId="39" fillId="6" borderId="0" xfId="4" applyNumberFormat="1" applyFont="1" applyFill="1" applyBorder="1" applyAlignment="1">
      <alignment horizontal="left" vertical="center" wrapText="1"/>
    </xf>
    <xf numFmtId="1" fontId="39" fillId="6" borderId="0" xfId="4" applyNumberFormat="1" applyFont="1" applyFill="1" applyBorder="1" applyAlignment="1">
      <alignment horizontal="left" vertical="center" wrapText="1"/>
    </xf>
    <xf numFmtId="168" fontId="39" fillId="6" borderId="0" xfId="4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0" fillId="0" borderId="0" xfId="0" applyFont="1" applyAlignment="1">
      <alignment vertical="center"/>
    </xf>
    <xf numFmtId="0" fontId="0" fillId="6" borderId="0" xfId="0" applyFill="1" applyBorder="1" applyAlignment="1">
      <alignment vertical="center"/>
    </xf>
    <xf numFmtId="0" fontId="40" fillId="6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horizontal="left" vertical="center" wrapText="1"/>
    </xf>
    <xf numFmtId="0" fontId="39" fillId="6" borderId="0" xfId="4" applyNumberFormat="1" applyFont="1" applyFill="1" applyBorder="1" applyAlignment="1">
      <alignment horizontal="left" vertical="top" wrapText="1"/>
    </xf>
    <xf numFmtId="0" fontId="40" fillId="0" borderId="0" xfId="0" applyFont="1" applyFill="1" applyBorder="1" applyAlignment="1" applyProtection="1">
      <alignment vertical="center"/>
      <protection locked="0"/>
    </xf>
    <xf numFmtId="169" fontId="40" fillId="0" borderId="0" xfId="0" applyNumberFormat="1" applyFont="1" applyFill="1" applyBorder="1" applyAlignment="1" applyProtection="1">
      <alignment horizontal="left" vertical="center"/>
      <protection locked="0"/>
    </xf>
    <xf numFmtId="168" fontId="40" fillId="0" borderId="0" xfId="0" applyNumberFormat="1" applyFont="1" applyFill="1" applyBorder="1" applyAlignment="1" applyProtection="1">
      <alignment horizontal="left" vertical="center"/>
      <protection locked="0"/>
    </xf>
    <xf numFmtId="0" fontId="40" fillId="0" borderId="0" xfId="0" applyFont="1" applyFill="1" applyBorder="1" applyAlignment="1" applyProtection="1">
      <alignment horizontal="left" vertical="top" wrapText="1"/>
      <protection locked="0"/>
    </xf>
    <xf numFmtId="168" fontId="19" fillId="0" borderId="0" xfId="4" applyNumberFormat="1" applyFont="1" applyFill="1" applyAlignment="1">
      <alignment horizontal="center" vertical="center" wrapText="1"/>
    </xf>
    <xf numFmtId="0" fontId="30" fillId="12" borderId="0" xfId="0" applyFont="1" applyFill="1" applyBorder="1" applyAlignment="1">
      <alignment horizontal="left" vertical="center" wrapText="1"/>
    </xf>
    <xf numFmtId="0" fontId="40" fillId="12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horizontal="left" vertical="center"/>
      <protection locked="0"/>
    </xf>
    <xf numFmtId="14" fontId="40" fillId="0" borderId="0" xfId="0" applyNumberFormat="1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0" fontId="40" fillId="12" borderId="0" xfId="0" applyFont="1" applyFill="1" applyBorder="1" applyAlignment="1">
      <alignment horizontal="left" vertical="center"/>
    </xf>
    <xf numFmtId="14" fontId="40" fillId="0" borderId="0" xfId="0" applyNumberFormat="1" applyFont="1" applyFill="1" applyBorder="1" applyAlignment="1" applyProtection="1">
      <alignment horizontal="left" vertical="center"/>
      <protection locked="0"/>
    </xf>
    <xf numFmtId="14" fontId="40" fillId="12" borderId="0" xfId="0" applyNumberFormat="1" applyFont="1" applyFill="1" applyBorder="1" applyAlignment="1">
      <alignment horizontal="left" vertical="center"/>
    </xf>
    <xf numFmtId="0" fontId="42" fillId="0" borderId="0" xfId="0" applyFont="1" applyAlignment="1">
      <alignment vertical="center"/>
    </xf>
    <xf numFmtId="0" fontId="0" fillId="6" borderId="0" xfId="0" applyFill="1" applyBorder="1" applyAlignment="1">
      <alignment horizontal="center" vertical="center"/>
    </xf>
    <xf numFmtId="0" fontId="19" fillId="0" borderId="0" xfId="4" applyFont="1" applyFill="1" applyAlignment="1">
      <alignment horizontal="left" vertical="center" wrapText="1"/>
    </xf>
    <xf numFmtId="0" fontId="21" fillId="7" borderId="0" xfId="10" applyFont="1" applyFill="1" applyBorder="1" applyAlignment="1">
      <alignment horizontal="center" vertical="center" wrapText="1"/>
    </xf>
    <xf numFmtId="0" fontId="21" fillId="7" borderId="46" xfId="10" applyFont="1" applyFill="1" applyBorder="1" applyAlignment="1">
      <alignment horizontal="center" vertical="center" wrapText="1"/>
    </xf>
    <xf numFmtId="0" fontId="21" fillId="7" borderId="39" xfId="10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14" fontId="15" fillId="2" borderId="8" xfId="0" applyNumberFormat="1" applyFont="1" applyFill="1" applyBorder="1" applyAlignment="1">
      <alignment horizontal="right" vertical="center"/>
    </xf>
    <xf numFmtId="14" fontId="15" fillId="2" borderId="44" xfId="0" applyNumberFormat="1" applyFont="1" applyFill="1" applyBorder="1" applyAlignment="1">
      <alignment horizontal="right" vertical="center"/>
    </xf>
    <xf numFmtId="14" fontId="15" fillId="2" borderId="45" xfId="0" applyNumberFormat="1" applyFont="1" applyFill="1" applyBorder="1" applyAlignment="1">
      <alignment horizontal="right" vertical="center"/>
    </xf>
    <xf numFmtId="0" fontId="27" fillId="3" borderId="4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43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4" fillId="2" borderId="0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" fillId="0" borderId="0" xfId="2" applyAlignment="1">
      <alignment horizontal="left" vertical="center" wrapText="1"/>
    </xf>
    <xf numFmtId="0" fontId="43" fillId="0" borderId="0" xfId="0" applyFont="1" applyAlignment="1">
      <alignment horizontal="center"/>
    </xf>
    <xf numFmtId="0" fontId="19" fillId="0" borderId="0" xfId="4" applyNumberFormat="1" applyFont="1" applyAlignment="1">
      <alignment horizontal="center" vertical="center" wrapText="1"/>
    </xf>
    <xf numFmtId="0" fontId="0" fillId="0" borderId="17" xfId="0" applyNumberFormat="1" applyFont="1" applyBorder="1" applyAlignment="1">
      <alignment horizontal="left" vertical="center"/>
    </xf>
    <xf numFmtId="0" fontId="12" fillId="0" borderId="19" xfId="0" applyNumberFormat="1" applyFont="1" applyBorder="1" applyAlignment="1">
      <alignment horizontal="center" vertical="center"/>
    </xf>
    <xf numFmtId="167" fontId="0" fillId="0" borderId="0" xfId="0" applyNumberFormat="1" applyFont="1" applyFill="1"/>
  </cellXfs>
  <cellStyles count="12">
    <cellStyle name="20 % - Accent3 2" xfId="10" xr:uid="{9E454DEC-8116-4988-93E2-4A1FF5E6997E}"/>
    <cellStyle name="Code postal" xfId="5" xr:uid="{F13E1A05-F275-4E2E-86E6-D4C9A3D69FE1}"/>
    <cellStyle name="Étiquette" xfId="8" xr:uid="{BCCEC09D-E25E-400F-B25B-3229E9BC1C92}"/>
    <cellStyle name="Lien hypertexte" xfId="2" builtinId="8"/>
    <cellStyle name="Lien hypertexte 2" xfId="6" xr:uid="{4AF828CE-9D27-4652-9A77-4C6D583A1DAC}"/>
    <cellStyle name="Monétaire" xfId="1" builtinId="4"/>
    <cellStyle name="Normal" xfId="0" builtinId="0"/>
    <cellStyle name="Normal 2" xfId="4" xr:uid="{F6A3125D-8E80-4247-8A25-742073BA910A}"/>
    <cellStyle name="Normal 3" xfId="7" xr:uid="{D11F298A-2B8E-4933-BFDB-BD7A011E8D15}"/>
    <cellStyle name="Titre 2" xfId="3" xr:uid="{0C292E7D-4070-41D3-A40B-1B9581CBAB25}"/>
    <cellStyle name="Titre 2 2" xfId="9" xr:uid="{2B7BC8A8-3CC3-480A-ADFB-6849E1F63DE7}"/>
    <cellStyle name="Total 2" xfId="11" xr:uid="{48748A28-92AA-413E-967E-E4EACABAB2B0}"/>
  </cellStyles>
  <dxfs count="99"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3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99A8BD"/>
        </patternFill>
      </fill>
    </dxf>
    <dxf>
      <fill>
        <patternFill>
          <bgColor rgb="FFFFC000"/>
        </patternFill>
      </fill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9" formatCode="00000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" formatCode="0"/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</border>
    </dxf>
    <dxf>
      <border diagonalUp="0" diagonalDown="0">
        <left/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4" formatCode="#,##0.0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vertical style="thin">
          <color indexed="64"/>
        </vertic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>
        <top style="hair">
          <color theme="1"/>
        </top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</dxf>
    <dxf>
      <border>
        <bottom style="hair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99A8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Label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R&#233;servation!A1"/><Relationship Id="rId7" Type="http://schemas.openxmlformats.org/officeDocument/2006/relationships/image" Target="../media/image6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&#233;servation!A1"/><Relationship Id="rId2" Type="http://schemas.openxmlformats.org/officeDocument/2006/relationships/image" Target="../media/image8.svg"/><Relationship Id="rId1" Type="http://schemas.openxmlformats.org/officeDocument/2006/relationships/image" Target="../media/image7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419100</xdr:colOff>
          <xdr:row>33</xdr:row>
          <xdr:rowOff>171450</xdr:rowOff>
        </xdr:from>
        <xdr:to>
          <xdr:col>2</xdr:col>
          <xdr:colOff>1038225</xdr:colOff>
          <xdr:row>34</xdr:row>
          <xdr:rowOff>533400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16</xdr:row>
          <xdr:rowOff>57150</xdr:rowOff>
        </xdr:from>
        <xdr:to>
          <xdr:col>3</xdr:col>
          <xdr:colOff>1962150</xdr:colOff>
          <xdr:row>16</xdr:row>
          <xdr:rowOff>619125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réservation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24888</xdr:colOff>
      <xdr:row>3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 rot="20265558">
          <a:off x="2939538" y="4932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  <xdr:twoCellAnchor editAs="absolute">
    <xdr:from>
      <xdr:col>0</xdr:col>
      <xdr:colOff>123825</xdr:colOff>
      <xdr:row>0</xdr:row>
      <xdr:rowOff>161925</xdr:rowOff>
    </xdr:from>
    <xdr:to>
      <xdr:col>0</xdr:col>
      <xdr:colOff>519825</xdr:colOff>
      <xdr:row>2</xdr:row>
      <xdr:rowOff>100725</xdr:rowOff>
    </xdr:to>
    <xdr:pic macro="[0]!archivage">
      <xdr:nvPicPr>
        <xdr:cNvPr id="4" name="Graphique 3" descr="Télécharger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3825" y="161925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2</xdr:row>
          <xdr:rowOff>142875</xdr:rowOff>
        </xdr:from>
        <xdr:to>
          <xdr:col>0</xdr:col>
          <xdr:colOff>628650</xdr:colOff>
          <xdr:row>3</xdr:row>
          <xdr:rowOff>142875</xdr:rowOff>
        </xdr:to>
        <xdr:sp macro="" textlink="">
          <xdr:nvSpPr>
            <xdr:cNvPr id="1034" name="Labe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5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Archivage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123825</xdr:colOff>
      <xdr:row>8</xdr:row>
      <xdr:rowOff>19050</xdr:rowOff>
    </xdr:from>
    <xdr:to>
      <xdr:col>0</xdr:col>
      <xdr:colOff>519825</xdr:colOff>
      <xdr:row>8</xdr:row>
      <xdr:rowOff>415050</xdr:rowOff>
    </xdr:to>
    <xdr:pic>
      <xdr:nvPicPr>
        <xdr:cNvPr id="5" name="Graphique 4" descr="Flèche : demi-tour horizont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3825" y="1676400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8</xdr:row>
          <xdr:rowOff>419100</xdr:rowOff>
        </xdr:from>
        <xdr:to>
          <xdr:col>0</xdr:col>
          <xdr:colOff>647700</xdr:colOff>
          <xdr:row>9</xdr:row>
          <xdr:rowOff>257175</xdr:rowOff>
        </xdr:to>
        <xdr:sp macro="" textlink="">
          <xdr:nvSpPr>
            <xdr:cNvPr id="1035" name="Labe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5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réservation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119870</xdr:colOff>
      <xdr:row>3</xdr:row>
      <xdr:rowOff>190500</xdr:rowOff>
    </xdr:from>
    <xdr:to>
      <xdr:col>0</xdr:col>
      <xdr:colOff>515870</xdr:colOff>
      <xdr:row>5</xdr:row>
      <xdr:rowOff>186450</xdr:rowOff>
    </xdr:to>
    <xdr:pic macro="[0]!Mail">
      <xdr:nvPicPr>
        <xdr:cNvPr id="7" name="Graphique 6" descr="E-ma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19870" y="847725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6</xdr:row>
          <xdr:rowOff>85725</xdr:rowOff>
        </xdr:from>
        <xdr:to>
          <xdr:col>0</xdr:col>
          <xdr:colOff>647700</xdr:colOff>
          <xdr:row>7</xdr:row>
          <xdr:rowOff>66675</xdr:rowOff>
        </xdr:to>
        <xdr:sp macro="" textlink="">
          <xdr:nvSpPr>
            <xdr:cNvPr id="1039" name="Labe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Envoi mail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24888</xdr:colOff>
      <xdr:row>5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 rot="20265558">
          <a:off x="5063613" y="6837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  <xdr:twoCellAnchor editAs="absolute">
    <xdr:from>
      <xdr:col>10</xdr:col>
      <xdr:colOff>745825</xdr:colOff>
      <xdr:row>2</xdr:row>
      <xdr:rowOff>53915</xdr:rowOff>
    </xdr:from>
    <xdr:to>
      <xdr:col>10</xdr:col>
      <xdr:colOff>1141825</xdr:colOff>
      <xdr:row>4</xdr:row>
      <xdr:rowOff>54537</xdr:rowOff>
    </xdr:to>
    <xdr:pic macro="[0]!Imprime">
      <xdr:nvPicPr>
        <xdr:cNvPr id="4" name="Graphique 3" descr="Caisse enregistreus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039764" y="449292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10</xdr:col>
      <xdr:colOff>718868</xdr:colOff>
      <xdr:row>5</xdr:row>
      <xdr:rowOff>188699</xdr:rowOff>
    </xdr:from>
    <xdr:to>
      <xdr:col>10</xdr:col>
      <xdr:colOff>1114868</xdr:colOff>
      <xdr:row>7</xdr:row>
      <xdr:rowOff>189321</xdr:rowOff>
    </xdr:to>
    <xdr:pic>
      <xdr:nvPicPr>
        <xdr:cNvPr id="5" name="Graphique 4" descr="Flèche : demi-tour horizont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9012807" y="1177142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542925</xdr:colOff>
          <xdr:row>7</xdr:row>
          <xdr:rowOff>200025</xdr:rowOff>
        </xdr:from>
        <xdr:to>
          <xdr:col>11</xdr:col>
          <xdr:colOff>76200</xdr:colOff>
          <xdr:row>8</xdr:row>
          <xdr:rowOff>200025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6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réservation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647700</xdr:colOff>
          <xdr:row>4</xdr:row>
          <xdr:rowOff>95250</xdr:rowOff>
        </xdr:from>
        <xdr:to>
          <xdr:col>10</xdr:col>
          <xdr:colOff>1228725</xdr:colOff>
          <xdr:row>5</xdr:row>
          <xdr:rowOff>85725</xdr:rowOff>
        </xdr:to>
        <xdr:sp macro="" textlink="">
          <xdr:nvSpPr>
            <xdr:cNvPr id="2051" name="Label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6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Impression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6FD3A-7561-45AD-B40E-3C272BA00B37}" name="T_Clients" displayName="T_Clients" ref="A1:T7" totalsRowShown="0" headerRowDxfId="32" dataDxfId="31">
  <autoFilter ref="A1:T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E45AA187-D09C-4D46-AA42-4AFD5A413222}" name="Réf Client" dataDxfId="30">
      <calculatedColumnFormula>IF(ISBLANK(T_Clients[[#This Row],[Nom de l''animal]]),"",UPPER("C"&amp;LEFT(T_Clients[[#This Row],[Nom]],3)&amp;"001"))</calculatedColumnFormula>
    </tableColumn>
    <tableColumn id="2" xr3:uid="{CA5BA3AA-2B61-4196-9112-FB64E6AD259A}" name="Nom de l'animal" dataDxfId="29"/>
    <tableColumn id="3" xr3:uid="{7A6E14C7-57D7-4622-9E2F-CB925A38A1CE}" name="Nom" dataDxfId="28"/>
    <tableColumn id="18" xr3:uid="{3806B9D2-1F70-480B-83A2-CF59B6EB9AAC}" name="Prénom" dataDxfId="27"/>
    <tableColumn id="17" xr3:uid="{72EBB99C-D32B-4E4B-9F26-E2909CB6E2F5}" name="Adresse" dataDxfId="26" dataCellStyle="Normal 2"/>
    <tableColumn id="10" xr3:uid="{DE55AF86-B05E-4340-8DF1-A35BC436D793}" name="Code postal" dataDxfId="25"/>
    <tableColumn id="5" xr3:uid="{E88EA3FC-4E76-45EB-B1FB-4EE2464C8C3E}" name="Ville" dataDxfId="24"/>
    <tableColumn id="4" xr3:uid="{F0D0D34D-21AE-44D0-865F-7D2FEBD943B9}" name="Téléphone" dataDxfId="23" dataCellStyle="Normal 2"/>
    <tableColumn id="12" xr3:uid="{7BC94D90-84EA-411C-8AB2-6DBDBE99CDB7}" name="E-mail" dataDxfId="22" dataCellStyle="Normal 2"/>
    <tableColumn id="14" xr3:uid="{43575AE0-A722-4FEE-B77A-16492BBFC0A0}" name="Garde ou Visite" dataDxfId="21" dataCellStyle="Normal 2"/>
    <tableColumn id="6" xr3:uid="{7892297E-3F67-48F5-BB92-0DC2B0E83A04}" name="Alimentation" dataDxfId="20"/>
    <tableColumn id="7" xr3:uid="{D00C3222-37D6-4527-B9D3-CE8D79DDD2ED}" name="Portion" dataDxfId="19" dataCellStyle="Code postal"/>
    <tableColumn id="8" xr3:uid="{9BCD0477-23CD-4393-955C-9121CCC9EBF7}" name="Quantité" dataDxfId="18"/>
    <tableColumn id="16" xr3:uid="{75F0840E-35EF-4AC7-8ED7-CC603F7D1652}" name="Ok Eau" dataDxfId="17"/>
    <tableColumn id="15" xr3:uid="{84D4B794-7F88-436C-B7CE-712B5EFB0994}" name="Ok Enfant" dataDxfId="16"/>
    <tableColumn id="9" xr3:uid="{9F84D2F0-F08D-4E90-8D57-645C8281FEF7}" name="Ok Voiture" dataDxfId="15"/>
    <tableColumn id="13" xr3:uid="{41D75EA1-5E26-49FD-8F8F-F3880228C78A}" name="Notes" dataDxfId="14"/>
    <tableColumn id="11" xr3:uid="{10FBE2C6-0C1F-48E0-8FEF-08594EFCD9B2}" name="A facturer" dataDxfId="0">
      <calculatedColumnFormula>IFERROR(IF(INDEX(T_Réservation[Facture],MATCH(T_Clients[[#This Row],[Nom de l''animal]],T_Réservation[Nom de l''animal],0))="",T_Clients[[#This Row],[Nom de l''animal]],""),"")</calculatedColumnFormula>
    </tableColumn>
    <tableColumn id="19" xr3:uid="{46D60FB3-D2D4-44E0-ACD9-C38A02E5CC9C}" name="N° ligne" dataDxfId="13">
      <calculatedColumnFormula>IF(R2="","",SUMPRODUCT((T_Clients[A facturer]&lt;=R2)-(ISBLANK(T_Clients[A facturer]))))</calculatedColumnFormula>
    </tableColumn>
    <tableColumn id="20" xr3:uid="{DEA6263C-46A6-4444-A0BD-BAB637E7DFE8}" name="Liste" dataDxfId="12">
      <calculatedColumnFormula>IF(ISNA(MATCH(MIN(T_Clients[N° ligne])+ROW()-ROW($T$2),T_Clients[N° ligne],0)),"",INDEX(T_Clients[A facturer],MATCH(MIN(T_Clients[N° ligne])+ROW()-ROW($T$2),T_Clients[N° ligne],0)))</calculatedColumnFormula>
    </tableColumn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Customer ID, Company Name, Contact Name, Billing Address, City, State or Province, Postal Code, Country or Region, Contact Title, Phone &amp; Fax Number, Email and No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8FE477-45CD-48B8-875D-267599439C93}" name="T_Réservation" displayName="T_Réservation" ref="A1:Q8" totalsRowShown="0" headerRowDxfId="98" dataDxfId="96" headerRowBorderDxfId="97" tableBorderDxfId="95" totalsRowBorderDxfId="94">
  <autoFilter ref="A1:Q8" xr:uid="{9717CA68-02A2-4CA5-B41A-E651F8A690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7" xr3:uid="{095D5AC4-664B-463E-AC3D-F5AB231533E9}" name="Code" dataDxfId="93">
      <calculatedColumnFormula>IF(ISBLANK(T_Réservation[[#This Row],[Nom de l''animal]]),"",B2&amp;"_"&amp;COUNTIF($B$2:B2,B2))</calculatedColumnFormula>
    </tableColumn>
    <tableColumn id="1" xr3:uid="{F79EF6DE-D578-4CFD-BB69-4254558BC152}" name="Nom de l'animal" dataDxfId="92"/>
    <tableColumn id="2" xr3:uid="{18D96B73-CDCA-4403-B5D6-380B40F83CE6}" name="Type" dataDxfId="91"/>
    <tableColumn id="3" xr3:uid="{B20E4618-1B6E-4EE6-9E77-AF592354E42F}" name="Ref animal" dataDxfId="90">
      <calculatedColumnFormula>IFERROR(INDEX(T_Clients[Réf Client],MATCH(B2,T_Clients[Nom de l''animal],0)),"")&amp;"-"&amp;T_Réservation[[#This Row],[Nom de l''animal]]</calculatedColumnFormula>
    </tableColumn>
    <tableColumn id="4" xr3:uid="{7B36D944-5616-431A-AD7A-A2A56A1F48E4}" name="Début séjour" dataDxfId="89"/>
    <tableColumn id="5" xr3:uid="{355A2A3D-4757-4FCC-AE32-6AE3AE2AFF2F}" name="Fin séjour" dataDxfId="88"/>
    <tableColumn id="6" xr3:uid="{0F2048DE-4583-4355-B293-19DF7C6DD34C}" name="Durée du séjour" dataDxfId="87">
      <calculatedColumnFormula>IF(B2&lt;&gt;"",F2-E2,"")</calculatedColumnFormula>
    </tableColumn>
    <tableColumn id="7" xr3:uid="{690E396B-F5D1-4EC3-B588-0F2B46270B81}" name="Animaux suppl." dataDxfId="86"/>
    <tableColumn id="8" xr3:uid="{3FC38FDB-FE77-445B-AD77-D10FCE5BA0DC}" name="Coût journalier" dataDxfId="85">
      <calculatedColumnFormula>IFERROR(INDEX(L_Prix,MATCH(T_Réservation[[#This Row],[Type]],T_Type[Type],0)),"")</calculatedColumnFormula>
    </tableColumn>
    <tableColumn id="9" xr3:uid="{B9C8BD79-CDF9-484E-888B-C157B639810D}" name="Prestation" dataDxfId="84"/>
    <tableColumn id="10" xr3:uid="{EF5917FA-2D54-4D8A-95A0-7730DDEEE9F3}" name="Nombre de visite" dataDxfId="83"/>
    <tableColumn id="11" xr3:uid="{90AFCC0E-AE31-4269-904E-939AD2E3811D}" name="Heure début" dataDxfId="82"/>
    <tableColumn id="12" xr3:uid="{6E7732FF-36DB-4A78-849A-3EBA8A750F73}" name="Heure fin" dataDxfId="81"/>
    <tableColumn id="13" xr3:uid="{9EBCB291-51B8-42C1-A406-F3E436A32D43}" name="Temps" dataDxfId="80"/>
    <tableColumn id="14" xr3:uid="{9E0E2A58-BAF8-4F46-8B8F-247923697AA6}" name="Forfait" dataDxfId="79">
      <calculatedColumnFormula>IFERROR(VLOOKUP(C2&amp;" - "&amp;J2,T_Forfait[],2,0),"")</calculatedColumnFormula>
    </tableColumn>
    <tableColumn id="15" xr3:uid="{022BD1F0-52A5-43B7-B0B0-0DE88A0390A8}" name="Montant net" dataDxfId="78">
      <calculatedColumnFormula>IFERROR((G2*O2)*K2+(H2*I2)*G2*K2,"")</calculatedColumnFormula>
    </tableColumn>
    <tableColumn id="16" xr3:uid="{0E2821F1-12D8-454B-B973-BD7BC6670440}" name="Facture" dataDxfId="77">
      <calculatedColumnFormula>IFERROR(INDEX(T_Récap_Facture[Facture],MATCH(T_Réservation[[#This Row],[Nom de l''animal]],T_Récap_Facture[Animal],0)),"")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CE23231-05F5-4F4C-B743-078930F0D03C}" name="T_Récap_Facture" displayName="T_Récap_Facture" ref="B2:I7" totalsRowShown="0" headerRowDxfId="76" dataDxfId="74" headerRowBorderDxfId="75" tableBorderDxfId="73">
  <autoFilter ref="B2:I7" xr:uid="{4F537719-07F3-47B1-9963-5419E92E437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CE108105-4E14-4C51-959D-8E079C4D6332}" name="Facture" dataDxfId="72"/>
    <tableColumn id="9" xr3:uid="{61EECFBF-0C3B-48CA-A5B9-6B5F79FCB995}" name="date" dataDxfId="71"/>
    <tableColumn id="10" xr3:uid="{A7BD114A-D5B5-440E-9683-95DC831C4FD2}" name="Référence" dataDxfId="70"/>
    <tableColumn id="4" xr3:uid="{4EB3AB57-2F0F-496C-B7AA-24633D3D7407}" name="Remise" dataDxfId="69"/>
    <tableColumn id="6" xr3:uid="{686F7B89-CEAA-429A-AB53-C686D7496AFC}" name="Total facture" dataDxfId="68"/>
    <tableColumn id="7" xr3:uid="{F1683FEC-3B43-46A1-9A0D-ED3F3309E941}" name="Paiement" dataDxfId="67"/>
    <tableColumn id="1" xr3:uid="{1F44C44D-137F-4D7F-883C-C76F9DB32130}" name="Animal" dataDxfId="66">
      <calculatedColumnFormula>IFERROR(INDEX(T_Clients[Nom de l''animal],MATCH($D3,T_Clients[Réf Client],0)),"")</calculatedColumnFormula>
    </tableColumn>
    <tableColumn id="2" xr3:uid="{ED396904-111A-4B67-A74F-017813DC94E2}" name="Nom" dataDxfId="65">
      <calculatedColumnFormula>IFERROR(INDEX(T_Clients[Nom],MATCH($D3,T_Clients[Réf Client],0)),"")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CCF8BB-9E3D-4658-8788-821839981577}" name="T_Type" displayName="T_Type" ref="A1:B5" totalsRowShown="0" headerRowDxfId="64" dataDxfId="63" tableBorderDxfId="62">
  <autoFilter ref="A1:B5" xr:uid="{9369FF83-6BE5-478A-84A9-2671634974D6}">
    <filterColumn colId="0" hiddenButton="1"/>
    <filterColumn colId="1" hiddenButton="1"/>
  </autoFilter>
  <tableColumns count="2">
    <tableColumn id="1" xr3:uid="{FF68D1DB-27CD-4109-9314-57CA6B111F18}" name="Type" dataDxfId="61"/>
    <tableColumn id="2" xr3:uid="{A6CD5818-3596-4C02-9C1B-37F0108E66EB}" name="Prix" dataDxfId="60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A52D72-6C3C-411A-92D4-86D4B204F7BF}" name="T_AnimSupp" displayName="T_AnimSupp" ref="D1:D6" totalsRowShown="0" headerRowDxfId="59" dataDxfId="58">
  <autoFilter ref="D1:D6" xr:uid="{7EEAA622-BE46-4CB3-8A3A-D7FF095F8C06}">
    <filterColumn colId="0" hiddenButton="1"/>
  </autoFilter>
  <tableColumns count="1">
    <tableColumn id="1" xr3:uid="{82A60CF2-0033-4AF4-A5A3-26AC1AAB20A1}" name="Animaux suppl." dataDxfId="57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F1BD1C-5C4A-4DC5-830A-567545D6712D}" name="T_Prestation" displayName="T_Prestation" ref="F1:F5" totalsRowShown="0" headerRowDxfId="56" dataDxfId="55">
  <autoFilter ref="F1:F5" xr:uid="{BE4074AE-98D8-48A6-A4B5-0A9FF5410B82}">
    <filterColumn colId="0" hiddenButton="1"/>
  </autoFilter>
  <tableColumns count="1">
    <tableColumn id="1" xr3:uid="{00734B05-A0C7-44AE-BBC7-287FC270F6E7}" name="Prestation" dataDxfId="54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85AB0B-0D1D-4A59-8CCC-31F8C61E683D}" name="T_Nb_visite" displayName="T_Nb_visite" ref="H1:H4" totalsRowShown="0" headerRowDxfId="53" dataDxfId="52">
  <autoFilter ref="H1:H4" xr:uid="{D589C724-469D-4A01-A21A-8E7698A85CFA}">
    <filterColumn colId="0" hiddenButton="1"/>
  </autoFilter>
  <tableColumns count="1">
    <tableColumn id="1" xr3:uid="{E4100374-0C1B-486B-BB8D-7F33243A5A99}" name="Nb de visite" dataDxfId="51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A6F9AE3-E729-4D8D-BDC3-2241324A1F03}" name="T_Forfait" displayName="T_Forfait" ref="J1:K10" totalsRowShown="0" headerRowDxfId="50" dataDxfId="49" tableBorderDxfId="48">
  <autoFilter ref="J1:K10" xr:uid="{234FB66A-BC57-48AD-945A-DD27640002B6}">
    <filterColumn colId="0" hiddenButton="1"/>
    <filterColumn colId="1" hiddenButton="1"/>
  </autoFilter>
  <tableColumns count="2">
    <tableColumn id="1" xr3:uid="{87427C77-8143-4831-9E45-8456C05930C3}" name="Forfait journalier" dataDxfId="47"/>
    <tableColumn id="2" xr3:uid="{BAD3A5EC-2EB3-4935-B5F5-5DF949EBCC30}" name="Prix" dataDxfId="46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2E428C7-CA66-48D5-9024-1698041B11EB}" name="T_Remise" displayName="T_Remise" ref="M1:M22" totalsRowShown="0" headerRowDxfId="45" dataDxfId="44">
  <autoFilter ref="M1:M22" xr:uid="{49B5BA51-3661-416A-92B4-067DA4BC0E61}">
    <filterColumn colId="0" hiddenButton="1"/>
  </autoFilter>
  <tableColumns count="1">
    <tableColumn id="1" xr3:uid="{7AA8DCA7-7A59-4797-A7D0-928F242C13C8}" name="Remise" dataDxfId="43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FB24939-E57A-4B3D-B02C-51C173C58F1C}" name="T_Reglement" displayName="T_Reglement" ref="O1:O3" totalsRowShown="0" headerRowDxfId="42" dataDxfId="41" tableBorderDxfId="40">
  <autoFilter ref="O1:O3" xr:uid="{50EFCEAF-2DF7-4F74-9395-3D562E5C4D9F}">
    <filterColumn colId="0" hiddenButton="1"/>
  </autoFilter>
  <tableColumns count="1">
    <tableColumn id="1" xr3:uid="{71B24178-F305-4861-A9D2-DF65F531EAE1}" name="Règlement" dataDxfId="39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B3E557-5306-41DC-8A77-0D45F23E7E12}" name="T_Choix" displayName="T_Choix" ref="Q1:Q3" totalsRowShown="0" headerRowDxfId="38" dataDxfId="37">
  <autoFilter ref="Q1:Q3" xr:uid="{5BBA3030-113A-41D9-A2A1-8109F0681E24}">
    <filterColumn colId="0" hiddenButton="1"/>
  </autoFilter>
  <tableColumns count="1">
    <tableColumn id="1" xr3:uid="{0F01D29D-1A4D-4815-99FA-6C2C9C2070CA}" name="Choix" dataDxfId="36"/>
  </tableColumns>
  <tableStyleInfo name="TableStyleLight1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8D13513-17D8-4BF4-96D2-4E582CCC314C}" name="T_Consultation" displayName="T_Consultation" ref="S1:S3" totalsRowShown="0" headerRowDxfId="35" dataDxfId="34">
  <autoFilter ref="S1:S3" xr:uid="{B38012C2-9024-4452-BF4F-5510A6CD5EF7}">
    <filterColumn colId="0" hiddenButton="1"/>
  </autoFilter>
  <tableColumns count="1">
    <tableColumn id="1" xr3:uid="{A4A4403E-CF76-4595-9FFE-712AC8616945}" name="Consultation" dataDxfId="3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xcel.developpez.com/faq/index.php?page=ListeValidation" TargetMode="External"/><Relationship Id="rId1" Type="http://schemas.openxmlformats.org/officeDocument/2006/relationships/hyperlink" Target="https://excel.developpez.com/faq/index.php?page=ListeValidation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B780-4F92-4F4A-BD9D-932F5484546A}">
  <sheetPr codeName="Feuil7">
    <tabColor rgb="FFFF0000"/>
  </sheetPr>
  <dimension ref="B2:E36"/>
  <sheetViews>
    <sheetView showGridLines="0" tabSelected="1" workbookViewId="0">
      <selection activeCell="D3" sqref="D3"/>
    </sheetView>
  </sheetViews>
  <sheetFormatPr baseColWidth="10" defaultColWidth="29" defaultRowHeight="18.75"/>
  <cols>
    <col min="1" max="1" width="4.7109375" style="201" customWidth="1"/>
    <col min="2" max="2" width="10.7109375" style="201" customWidth="1"/>
    <col min="3" max="3" width="25.7109375" style="201" customWidth="1"/>
    <col min="4" max="4" width="58" style="202" customWidth="1"/>
    <col min="5" max="5" width="10.7109375" style="201" customWidth="1"/>
    <col min="6" max="6" width="4.7109375" style="201" customWidth="1"/>
    <col min="7" max="7" width="9.42578125" style="201" bestFit="1" customWidth="1"/>
    <col min="8" max="8" width="10.5703125" style="201" bestFit="1" customWidth="1"/>
    <col min="9" max="9" width="8.85546875" style="201" bestFit="1" customWidth="1"/>
    <col min="10" max="10" width="27.7109375" style="201" bestFit="1" customWidth="1"/>
    <col min="11" max="11" width="6.7109375" style="201" bestFit="1" customWidth="1"/>
    <col min="12" max="12" width="11.85546875" style="201" bestFit="1" customWidth="1"/>
    <col min="13" max="13" width="14.7109375" style="201" bestFit="1" customWidth="1"/>
    <col min="14" max="14" width="19.7109375" style="201" bestFit="1" customWidth="1"/>
    <col min="15" max="15" width="2.42578125" style="201" bestFit="1" customWidth="1"/>
    <col min="16" max="16" width="13.7109375" style="201" bestFit="1" customWidth="1"/>
    <col min="17" max="17" width="14.5703125" style="201" bestFit="1" customWidth="1"/>
    <col min="18" max="18" width="15.140625" style="201" bestFit="1" customWidth="1"/>
    <col min="19" max="21" width="4.5703125" style="201" bestFit="1" customWidth="1"/>
    <col min="22" max="16384" width="29" style="201"/>
  </cols>
  <sheetData>
    <row r="2" spans="2:5" ht="20.100000000000001" customHeight="1">
      <c r="B2" s="203"/>
      <c r="C2" s="203"/>
      <c r="D2" s="204"/>
      <c r="E2" s="203"/>
    </row>
    <row r="3" spans="2:5" ht="30" customHeight="1">
      <c r="B3" s="203"/>
      <c r="C3" s="198" t="s">
        <v>27</v>
      </c>
      <c r="D3" s="208"/>
      <c r="E3" s="203"/>
    </row>
    <row r="4" spans="2:5">
      <c r="B4" s="203"/>
      <c r="C4" s="198"/>
      <c r="D4" s="204"/>
      <c r="E4" s="203"/>
    </row>
    <row r="5" spans="2:5" ht="30" customHeight="1">
      <c r="B5" s="203"/>
      <c r="C5" s="198" t="s">
        <v>90</v>
      </c>
      <c r="D5" s="208"/>
      <c r="E5" s="203"/>
    </row>
    <row r="6" spans="2:5">
      <c r="B6" s="203"/>
      <c r="C6" s="198"/>
      <c r="D6" s="204"/>
      <c r="E6" s="203"/>
    </row>
    <row r="7" spans="2:5" ht="30" customHeight="1">
      <c r="B7" s="203"/>
      <c r="C7" s="198" t="s">
        <v>91</v>
      </c>
      <c r="D7" s="208"/>
      <c r="E7" s="203"/>
    </row>
    <row r="8" spans="2:5">
      <c r="B8" s="203"/>
      <c r="C8" s="198"/>
      <c r="D8" s="204"/>
      <c r="E8" s="203"/>
    </row>
    <row r="9" spans="2:5" ht="30" customHeight="1">
      <c r="B9" s="203"/>
      <c r="C9" s="199" t="s">
        <v>43</v>
      </c>
      <c r="D9" s="208"/>
      <c r="E9" s="203"/>
    </row>
    <row r="10" spans="2:5">
      <c r="B10" s="203"/>
      <c r="C10" s="199"/>
      <c r="D10" s="204"/>
      <c r="E10" s="203"/>
    </row>
    <row r="11" spans="2:5" ht="30" customHeight="1">
      <c r="B11" s="203"/>
      <c r="C11" s="199" t="s">
        <v>69</v>
      </c>
      <c r="D11" s="209"/>
      <c r="E11" s="203"/>
    </row>
    <row r="12" spans="2:5">
      <c r="B12" s="203"/>
      <c r="C12" s="199"/>
      <c r="D12" s="204"/>
      <c r="E12" s="203"/>
    </row>
    <row r="13" spans="2:5" ht="30" customHeight="1">
      <c r="B13" s="203"/>
      <c r="C13" s="198" t="s">
        <v>33</v>
      </c>
      <c r="D13" s="208"/>
      <c r="E13" s="203"/>
    </row>
    <row r="14" spans="2:5">
      <c r="B14" s="203"/>
      <c r="C14" s="198"/>
      <c r="D14" s="204"/>
      <c r="E14" s="203"/>
    </row>
    <row r="15" spans="2:5" ht="30" customHeight="1">
      <c r="B15" s="203"/>
      <c r="C15" s="200" t="s">
        <v>10</v>
      </c>
      <c r="D15" s="210"/>
      <c r="E15" s="203"/>
    </row>
    <row r="16" spans="2:5">
      <c r="B16" s="203"/>
      <c r="C16" s="200"/>
      <c r="D16" s="204"/>
      <c r="E16" s="203"/>
    </row>
    <row r="17" spans="2:5" ht="30" customHeight="1">
      <c r="B17" s="203"/>
      <c r="C17" s="198" t="s">
        <v>38</v>
      </c>
      <c r="D17" s="208"/>
      <c r="E17" s="203"/>
    </row>
    <row r="18" spans="2:5">
      <c r="B18" s="203"/>
      <c r="C18" s="198"/>
      <c r="D18" s="204"/>
      <c r="E18" s="203"/>
    </row>
    <row r="19" spans="2:5" ht="30" customHeight="1">
      <c r="B19" s="203"/>
      <c r="C19" s="198" t="s">
        <v>32</v>
      </c>
      <c r="D19" s="208"/>
      <c r="E19" s="203"/>
    </row>
    <row r="20" spans="2:5">
      <c r="B20" s="203"/>
      <c r="C20" s="198"/>
      <c r="D20" s="204"/>
      <c r="E20" s="203"/>
    </row>
    <row r="21" spans="2:5" ht="30" customHeight="1">
      <c r="B21" s="203"/>
      <c r="C21" s="198" t="s">
        <v>34</v>
      </c>
      <c r="D21" s="208"/>
      <c r="E21" s="203"/>
    </row>
    <row r="22" spans="2:5">
      <c r="B22" s="203"/>
      <c r="C22" s="198"/>
      <c r="D22" s="204"/>
      <c r="E22" s="203"/>
    </row>
    <row r="23" spans="2:5" ht="30" customHeight="1">
      <c r="B23" s="203"/>
      <c r="C23" s="198" t="s">
        <v>35</v>
      </c>
      <c r="D23" s="208"/>
      <c r="E23" s="203"/>
    </row>
    <row r="24" spans="2:5">
      <c r="B24" s="203"/>
      <c r="C24" s="198"/>
      <c r="D24" s="204"/>
      <c r="E24" s="203"/>
    </row>
    <row r="25" spans="2:5" ht="30" customHeight="1">
      <c r="B25" s="203"/>
      <c r="C25" s="198" t="s">
        <v>36</v>
      </c>
      <c r="D25" s="208"/>
      <c r="E25" s="203"/>
    </row>
    <row r="26" spans="2:5">
      <c r="B26" s="203"/>
      <c r="C26" s="198"/>
      <c r="D26" s="204"/>
      <c r="E26" s="203"/>
    </row>
    <row r="27" spans="2:5" ht="30" customHeight="1">
      <c r="B27" s="203"/>
      <c r="C27" s="198" t="s">
        <v>37</v>
      </c>
      <c r="D27" s="208"/>
      <c r="E27" s="203"/>
    </row>
    <row r="28" spans="2:5">
      <c r="B28" s="203"/>
      <c r="C28" s="198"/>
      <c r="D28" s="204"/>
      <c r="E28" s="203"/>
    </row>
    <row r="29" spans="2:5" ht="30" customHeight="1">
      <c r="B29" s="203"/>
      <c r="C29" s="198" t="s">
        <v>70</v>
      </c>
      <c r="D29" s="208"/>
      <c r="E29" s="203"/>
    </row>
    <row r="30" spans="2:5">
      <c r="B30" s="203"/>
      <c r="C30" s="198"/>
      <c r="D30" s="204"/>
      <c r="E30" s="203"/>
    </row>
    <row r="31" spans="2:5" ht="30" customHeight="1">
      <c r="B31" s="203"/>
      <c r="C31" s="198" t="s">
        <v>99</v>
      </c>
      <c r="D31" s="208"/>
      <c r="E31" s="203"/>
    </row>
    <row r="32" spans="2:5">
      <c r="B32" s="203"/>
      <c r="C32" s="198"/>
      <c r="D32" s="204"/>
      <c r="E32" s="203"/>
    </row>
    <row r="33" spans="2:5" ht="60" customHeight="1">
      <c r="B33" s="203"/>
      <c r="C33" s="207" t="s">
        <v>39</v>
      </c>
      <c r="D33" s="211"/>
      <c r="E33" s="203"/>
    </row>
    <row r="34" spans="2:5">
      <c r="B34" s="203"/>
      <c r="C34" s="203"/>
      <c r="D34" s="204"/>
      <c r="E34" s="203"/>
    </row>
    <row r="35" spans="2:5" ht="50.1" customHeight="1">
      <c r="B35" s="222"/>
      <c r="C35" s="222"/>
      <c r="D35" s="222"/>
      <c r="E35" s="222"/>
    </row>
    <row r="36" spans="2:5">
      <c r="B36" s="203"/>
      <c r="C36" s="203"/>
      <c r="D36" s="204"/>
      <c r="E36" s="203"/>
    </row>
  </sheetData>
  <sheetProtection sheet="1" selectLockedCells="1"/>
  <mergeCells count="1">
    <mergeCell ref="B35:E35"/>
  </mergeCells>
  <dataValidations count="3">
    <dataValidation allowBlank="1" showErrorMessage="1" sqref="C3:C33" xr:uid="{A4EF6BF5-64FA-4FA8-9C70-158A545919C9}"/>
    <dataValidation type="list" allowBlank="1" showInputMessage="1" showErrorMessage="1" sqref="D19 O3:O6" xr:uid="{0EF35A27-5B93-4BFB-B222-6B20BE1E1AF2}">
      <formula1>"G,V"</formula1>
    </dataValidation>
    <dataValidation type="list" allowBlank="1" showInputMessage="1" showErrorMessage="1" sqref="D27 D29 D31" xr:uid="{06AC9950-0DF0-4C7C-9483-3E1F87CD4166}">
      <formula1>"Oui,Non"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locked="0" defaultSize="0" print="0" autoFill="0" autoPict="0" macro="[0]!Ajout_Client">
                <anchor moveWithCells="1" sizeWithCells="1">
                  <from>
                    <xdr:col>1</xdr:col>
                    <xdr:colOff>419100</xdr:colOff>
                    <xdr:row>33</xdr:row>
                    <xdr:rowOff>171450</xdr:rowOff>
                  </from>
                  <to>
                    <xdr:col>2</xdr:col>
                    <xdr:colOff>1038225</xdr:colOff>
                    <xdr:row>34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BF9-78E8-4FAE-9564-0F6BCC5B6506}">
  <sheetPr codeName="Feuil4">
    <tabColor rgb="FFFF0000"/>
    <pageSetUpPr fitToPage="1"/>
  </sheetPr>
  <dimension ref="A1:W20"/>
  <sheetViews>
    <sheetView showGridLines="0" workbookViewId="0">
      <selection activeCell="R3" sqref="R3"/>
    </sheetView>
  </sheetViews>
  <sheetFormatPr baseColWidth="10" defaultColWidth="10.28515625" defaultRowHeight="15.75" outlineLevelCol="1"/>
  <cols>
    <col min="1" max="1" width="12.7109375" style="91" customWidth="1"/>
    <col min="2" max="2" width="18.7109375" style="94" customWidth="1"/>
    <col min="3" max="4" width="18.7109375" style="28" customWidth="1"/>
    <col min="5" max="5" width="35.7109375" style="28" customWidth="1"/>
    <col min="6" max="6" width="15.7109375" style="28" customWidth="1"/>
    <col min="7" max="7" width="25.7109375" style="37" customWidth="1"/>
    <col min="8" max="8" width="16.5703125" style="99" customWidth="1"/>
    <col min="9" max="9" width="26.28515625" style="91" customWidth="1"/>
    <col min="10" max="10" width="24.28515625" style="91" customWidth="1"/>
    <col min="11" max="11" width="17.85546875" style="94" customWidth="1"/>
    <col min="12" max="12" width="17.85546875" style="91" customWidth="1"/>
    <col min="13" max="13" width="17.7109375" style="94" customWidth="1"/>
    <col min="14" max="14" width="16" style="91" customWidth="1"/>
    <col min="15" max="16" width="12.7109375" style="91" customWidth="1"/>
    <col min="17" max="17" width="57.28515625" style="91" customWidth="1"/>
    <col min="18" max="18" width="10.85546875" style="29" hidden="1" customWidth="1" outlineLevel="1"/>
    <col min="19" max="20" width="8.5703125" style="94" hidden="1" customWidth="1" outlineLevel="1"/>
    <col min="21" max="21" width="4.7109375" style="94" hidden="1" customWidth="1" outlineLevel="1"/>
    <col min="22" max="22" width="84.85546875" style="94" hidden="1" customWidth="1" outlineLevel="1"/>
    <col min="23" max="23" width="10.28515625" style="94" customWidth="1" collapsed="1"/>
    <col min="24" max="16384" width="10.28515625" style="94"/>
  </cols>
  <sheetData>
    <row r="1" spans="1:22">
      <c r="A1" s="91" t="s">
        <v>68</v>
      </c>
      <c r="B1" s="91" t="s">
        <v>27</v>
      </c>
      <c r="C1" s="91" t="s">
        <v>90</v>
      </c>
      <c r="D1" s="91" t="s">
        <v>91</v>
      </c>
      <c r="E1" s="92" t="s">
        <v>43</v>
      </c>
      <c r="F1" s="92" t="s">
        <v>69</v>
      </c>
      <c r="G1" s="91" t="s">
        <v>33</v>
      </c>
      <c r="H1" s="93" t="s">
        <v>10</v>
      </c>
      <c r="I1" s="91" t="s">
        <v>38</v>
      </c>
      <c r="J1" s="91" t="s">
        <v>32</v>
      </c>
      <c r="K1" s="91" t="s">
        <v>34</v>
      </c>
      <c r="L1" s="91" t="s">
        <v>35</v>
      </c>
      <c r="M1" s="91" t="s">
        <v>36</v>
      </c>
      <c r="N1" s="91" t="s">
        <v>37</v>
      </c>
      <c r="O1" s="91" t="s">
        <v>70</v>
      </c>
      <c r="P1" s="91" t="s">
        <v>99</v>
      </c>
      <c r="Q1" s="91" t="s">
        <v>39</v>
      </c>
      <c r="R1" s="91" t="s">
        <v>137</v>
      </c>
      <c r="S1" s="91" t="s">
        <v>138</v>
      </c>
      <c r="T1" s="91" t="s">
        <v>139</v>
      </c>
      <c r="U1" s="91"/>
      <c r="V1" s="242" t="s">
        <v>141</v>
      </c>
    </row>
    <row r="2" spans="1:22">
      <c r="A2" s="95" t="str">
        <f>IF(ISBLANK(T_Clients[[#This Row],[Nom de l''animal]]),"",UPPER("C"&amp;LEFT(T_Clients[[#This Row],[Nom]],3)&amp;"001"))</f>
        <v>CDUP001</v>
      </c>
      <c r="B2" s="94" t="s">
        <v>41</v>
      </c>
      <c r="C2" s="94" t="s">
        <v>92</v>
      </c>
      <c r="D2" s="94" t="s">
        <v>112</v>
      </c>
      <c r="E2" s="96" t="s">
        <v>113</v>
      </c>
      <c r="F2" s="97">
        <v>31000</v>
      </c>
      <c r="G2" s="94" t="s">
        <v>40</v>
      </c>
      <c r="H2" s="93">
        <v>600000000</v>
      </c>
      <c r="I2" s="34" t="s">
        <v>110</v>
      </c>
      <c r="J2" s="91" t="s">
        <v>71</v>
      </c>
      <c r="K2" s="94" t="s">
        <v>114</v>
      </c>
      <c r="L2" s="35" t="s">
        <v>62</v>
      </c>
      <c r="M2" s="91" t="s">
        <v>115</v>
      </c>
      <c r="N2" s="91" t="s">
        <v>64</v>
      </c>
      <c r="O2" s="91" t="s">
        <v>64</v>
      </c>
      <c r="P2" s="91" t="s">
        <v>64</v>
      </c>
      <c r="Q2" s="94" t="s">
        <v>116</v>
      </c>
      <c r="R2" s="91" t="str">
        <f>IFERROR(IF(INDEX(T_Réservation[Facture],MATCH(T_Clients[[#This Row],[Nom de l''animal]],T_Réservation[Nom de l''animal],0))="",T_Clients[[#This Row],[Nom de l''animal]],""),"")</f>
        <v/>
      </c>
      <c r="S2" s="91" t="str">
        <f>IF(R2="","",SUMPRODUCT((T_Clients[A facturer]&lt;=R2)-(ISBLANK(T_Clients[A facturer]))))</f>
        <v/>
      </c>
      <c r="T2" s="91" t="str">
        <f>IF(ISNA(MATCH(MIN(T_Clients[N° ligne])+ROW()-ROW($T$2),T_Clients[N° ligne],0)),"",INDEX(T_Clients[A facturer],MATCH(MIN(T_Clients[N° ligne])+ROW()-ROW($T$2),T_Clients[N° ligne],0)))</f>
        <v>FLIPPER</v>
      </c>
      <c r="U2" s="91"/>
      <c r="V2" s="241" t="s">
        <v>140</v>
      </c>
    </row>
    <row r="3" spans="1:22">
      <c r="A3" s="95" t="str">
        <f>IF(ISBLANK(T_Clients[[#This Row],[Nom de l''animal]]),"",UPPER("C"&amp;LEFT(T_Clients[[#This Row],[Nom]],3)&amp;"001"))</f>
        <v>CCLE001</v>
      </c>
      <c r="B3" s="94" t="s">
        <v>42</v>
      </c>
      <c r="C3" s="94" t="s">
        <v>93</v>
      </c>
      <c r="D3" s="94" t="s">
        <v>117</v>
      </c>
      <c r="E3" s="98" t="s">
        <v>118</v>
      </c>
      <c r="F3" s="97">
        <v>66000</v>
      </c>
      <c r="G3" s="94" t="s">
        <v>44</v>
      </c>
      <c r="H3" s="212">
        <v>701010101</v>
      </c>
      <c r="I3" s="100" t="s">
        <v>111</v>
      </c>
      <c r="J3" s="100" t="s">
        <v>25</v>
      </c>
      <c r="K3" s="94" t="s">
        <v>114</v>
      </c>
      <c r="L3" s="35" t="s">
        <v>123</v>
      </c>
      <c r="M3" s="91" t="s">
        <v>119</v>
      </c>
      <c r="N3" s="91" t="s">
        <v>64</v>
      </c>
      <c r="O3" s="91" t="s">
        <v>64</v>
      </c>
      <c r="P3" s="91" t="s">
        <v>64</v>
      </c>
      <c r="Q3" s="94"/>
      <c r="R3" s="91" t="str">
        <f>IFERROR(IF(INDEX(T_Réservation[Facture],MATCH(T_Clients[[#This Row],[Nom de l''animal]],T_Réservation[Nom de l''animal],0))="",T_Clients[[#This Row],[Nom de l''animal]],""),"")</f>
        <v/>
      </c>
      <c r="S3" s="91" t="str">
        <f>IF(R3="","",SUMPRODUCT((T_Clients[A facturer]&lt;=R3)-(ISBLANK(T_Clients[A facturer]))))</f>
        <v/>
      </c>
      <c r="T3" s="91" t="str">
        <f>IF(ISNA(MATCH(MIN(T_Clients[N° ligne])+ROW()-ROW($T$2),T_Clients[N° ligne],0)),"",INDEX(T_Clients[A facturer],MATCH(MIN(T_Clients[N° ligne])+ROW()-ROW($T$2),T_Clients[N° ligne],0)))</f>
        <v/>
      </c>
      <c r="U3" s="91"/>
      <c r="V3" s="221"/>
    </row>
    <row r="4" spans="1:22">
      <c r="A4" s="95" t="str">
        <f>IF(ISBLANK(T_Clients[[#This Row],[Nom de l''animal]]),"",UPPER("C"&amp;LEFT(T_Clients[[#This Row],[Nom]],3)&amp;"001"))</f>
        <v>CCON001</v>
      </c>
      <c r="B4" s="94" t="s">
        <v>52</v>
      </c>
      <c r="C4" s="94" t="s">
        <v>94</v>
      </c>
      <c r="D4" s="94" t="s">
        <v>120</v>
      </c>
      <c r="E4" s="98" t="s">
        <v>59</v>
      </c>
      <c r="F4" s="97">
        <v>16000</v>
      </c>
      <c r="G4" s="94" t="s">
        <v>121</v>
      </c>
      <c r="H4" s="212">
        <v>102030405</v>
      </c>
      <c r="I4" s="100" t="s">
        <v>122</v>
      </c>
      <c r="J4" s="100" t="s">
        <v>25</v>
      </c>
      <c r="K4" s="94" t="s">
        <v>114</v>
      </c>
      <c r="L4" s="35" t="s">
        <v>123</v>
      </c>
      <c r="M4" s="91" t="s">
        <v>119</v>
      </c>
      <c r="N4" s="91" t="s">
        <v>64</v>
      </c>
      <c r="O4" s="91" t="s">
        <v>64</v>
      </c>
      <c r="P4" s="91" t="s">
        <v>64</v>
      </c>
      <c r="Q4" s="94" t="s">
        <v>124</v>
      </c>
      <c r="R4" s="91" t="str">
        <f>IFERROR(IF(INDEX(T_Réservation[Facture],MATCH(T_Clients[[#This Row],[Nom de l''animal]],T_Réservation[Nom de l''animal],0))="",T_Clients[[#This Row],[Nom de l''animal]],""),"")</f>
        <v/>
      </c>
      <c r="S4" s="91" t="str">
        <f>IF(R4="","",SUMPRODUCT((T_Clients[A facturer]&lt;=R4)-(ISBLANK(T_Clients[A facturer]))))</f>
        <v/>
      </c>
      <c r="T4" s="91" t="str">
        <f>IF(ISNA(MATCH(MIN(T_Clients[N° ligne])+ROW()-ROW($T$2),T_Clients[N° ligne],0)),"",INDEX(T_Clients[A facturer],MATCH(MIN(T_Clients[N° ligne])+ROW()-ROW($T$2),T_Clients[N° ligne],0)))</f>
        <v/>
      </c>
      <c r="U4" s="91"/>
      <c r="V4" s="221"/>
    </row>
    <row r="5" spans="1:22">
      <c r="A5" s="95" t="str">
        <f>IF(ISBLANK(T_Clients[[#This Row],[Nom de l''animal]]),"",UPPER("C"&amp;LEFT(T_Clients[[#This Row],[Nom]],3)&amp;"001"))</f>
        <v>CTAI001</v>
      </c>
      <c r="B5" s="94" t="s">
        <v>58</v>
      </c>
      <c r="C5" s="94" t="s">
        <v>95</v>
      </c>
      <c r="D5" s="94" t="s">
        <v>125</v>
      </c>
      <c r="E5" s="98" t="s">
        <v>57</v>
      </c>
      <c r="F5" s="97">
        <v>31000</v>
      </c>
      <c r="G5" s="94" t="s">
        <v>40</v>
      </c>
      <c r="H5" s="212">
        <v>908070605</v>
      </c>
      <c r="I5" s="100" t="s">
        <v>126</v>
      </c>
      <c r="J5" s="100" t="s">
        <v>71</v>
      </c>
      <c r="K5" s="94" t="s">
        <v>127</v>
      </c>
      <c r="L5" s="35" t="s">
        <v>128</v>
      </c>
      <c r="M5" s="91" t="s">
        <v>119</v>
      </c>
      <c r="N5" s="91" t="s">
        <v>64</v>
      </c>
      <c r="O5" s="91" t="s">
        <v>64</v>
      </c>
      <c r="P5" s="91" t="s">
        <v>64</v>
      </c>
      <c r="Q5" s="94"/>
      <c r="R5" s="91" t="str">
        <f>IFERROR(IF(INDEX(T_Réservation[Facture],MATCH(T_Clients[[#This Row],[Nom de l''animal]],T_Réservation[Nom de l''animal],0))="",T_Clients[[#This Row],[Nom de l''animal]],""),"")</f>
        <v/>
      </c>
      <c r="S5" s="29" t="str">
        <f>IF(R5="","",SUMPRODUCT((T_Clients[A facturer]&lt;=R5)-(ISBLANK(T_Clients[A facturer]))))</f>
        <v/>
      </c>
      <c r="T5" s="91" t="str">
        <f>IF(ISNA(MATCH(MIN(T_Clients[N° ligne])+ROW()-ROW($T$2),T_Clients[N° ligne],0)),"",INDEX(T_Clients[A facturer],MATCH(MIN(T_Clients[N° ligne])+ROW()-ROW($T$2),T_Clients[N° ligne],0)))</f>
        <v/>
      </c>
      <c r="U5" s="91"/>
      <c r="V5" s="221"/>
    </row>
    <row r="6" spans="1:22">
      <c r="A6" s="95" t="str">
        <f>IF(ISBLANK(T_Clients[[#This Row],[Nom de l''animal]]),"",UPPER("C"&amp;LEFT(T_Clients[[#This Row],[Nom]],3)&amp;"001"))</f>
        <v>CCOD001</v>
      </c>
      <c r="B6" s="94" t="s">
        <v>142</v>
      </c>
      <c r="C6" s="94" t="s">
        <v>143</v>
      </c>
      <c r="D6" s="94" t="s">
        <v>144</v>
      </c>
      <c r="E6" s="98" t="s">
        <v>145</v>
      </c>
      <c r="F6" s="97">
        <v>31000</v>
      </c>
      <c r="G6" s="94" t="s">
        <v>40</v>
      </c>
      <c r="H6" s="212">
        <v>206090702</v>
      </c>
      <c r="I6" s="100" t="s">
        <v>146</v>
      </c>
      <c r="J6" s="100" t="s">
        <v>25</v>
      </c>
      <c r="K6" s="94" t="s">
        <v>147</v>
      </c>
      <c r="L6" s="35" t="s">
        <v>148</v>
      </c>
      <c r="M6" s="91" t="s">
        <v>149</v>
      </c>
      <c r="N6" s="91" t="s">
        <v>64</v>
      </c>
      <c r="O6" s="91" t="s">
        <v>64</v>
      </c>
      <c r="P6" s="91" t="s">
        <v>65</v>
      </c>
      <c r="Q6" s="94"/>
      <c r="R6" s="91" t="str">
        <f>IFERROR(IF(INDEX(T_Réservation[Facture],MATCH(T_Clients[[#This Row],[Nom de l''animal]],T_Réservation[Nom de l''animal],0))="",T_Clients[[#This Row],[Nom de l''animal]],""),"")</f>
        <v>FLIPPER</v>
      </c>
      <c r="S6" s="91">
        <f>IF(R6="","",SUMPRODUCT((T_Clients[A facturer]&lt;=R6)-(ISBLANK(T_Clients[A facturer]))))</f>
        <v>6</v>
      </c>
      <c r="T6" s="91" t="str">
        <f>IF(ISNA(MATCH(MIN(T_Clients[N° ligne])+ROW()-ROW($T$2),T_Clients[N° ligne],0)),"",INDEX(T_Clients[A facturer],MATCH(MIN(T_Clients[N° ligne])+ROW()-ROW($T$2),T_Clients[N° ligne],0)))</f>
        <v/>
      </c>
      <c r="U6" s="91"/>
      <c r="V6" s="221"/>
    </row>
    <row r="7" spans="1:22">
      <c r="A7" s="95" t="str">
        <f>IF(ISBLANK(T_Clients[[#This Row],[Nom de l''animal]]),"",UPPER("C"&amp;LEFT(T_Clients[[#This Row],[Nom]],3)&amp;"001"))</f>
        <v/>
      </c>
      <c r="C7" s="94"/>
      <c r="D7" s="94"/>
      <c r="E7" s="98"/>
      <c r="F7" s="97"/>
      <c r="G7" s="94"/>
      <c r="H7" s="212"/>
      <c r="I7" s="100"/>
      <c r="J7" s="100"/>
      <c r="L7" s="35"/>
      <c r="M7" s="91"/>
      <c r="Q7" s="94"/>
      <c r="R7" s="91" t="str">
        <f>IFERROR(IF(INDEX(T_Réservation[Facture],MATCH(T_Clients[[#This Row],[Nom de l''animal]],T_Réservation[Nom de l''animal],0))="",T_Clients[[#This Row],[Nom de l''animal]],""),"")</f>
        <v/>
      </c>
      <c r="S7" s="243" t="str">
        <f>IF(R7="","",SUMPRODUCT((T_Clients[A facturer]&lt;=R7)-(ISBLANK(T_Clients[A facturer]))))</f>
        <v/>
      </c>
      <c r="T7" s="243" t="str">
        <f>IF(ISNA(MATCH(MIN(T_Clients[N° ligne])+ROW()-ROW($T$2),T_Clients[N° ligne],0)),"",INDEX(T_Clients[A facturer],MATCH(MIN(T_Clients[N° ligne])+ROW()-ROW($T$2),T_Clients[N° ligne],0)))</f>
        <v/>
      </c>
    </row>
    <row r="8" spans="1:22">
      <c r="E8" s="36"/>
      <c r="F8" s="36"/>
    </row>
    <row r="9" spans="1:22" ht="18.75"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6"/>
    </row>
    <row r="16" spans="1:22">
      <c r="A16" s="100"/>
      <c r="B16" s="101"/>
      <c r="C16" s="23"/>
      <c r="D16" s="23"/>
      <c r="E16" s="23"/>
      <c r="F16" s="23"/>
    </row>
    <row r="17" spans="1:9">
      <c r="A17" s="223"/>
      <c r="B17" s="223"/>
      <c r="C17" s="223"/>
      <c r="D17" s="223"/>
      <c r="E17" s="223"/>
      <c r="F17" s="101"/>
      <c r="I17" s="102"/>
    </row>
    <row r="18" spans="1:9">
      <c r="A18" s="100"/>
      <c r="B18" s="101"/>
      <c r="C18" s="23"/>
      <c r="D18" s="23"/>
      <c r="E18" s="23"/>
      <c r="F18" s="23"/>
    </row>
    <row r="19" spans="1:9">
      <c r="A19" s="100"/>
      <c r="B19" s="101"/>
      <c r="C19" s="23"/>
      <c r="D19" s="23"/>
      <c r="E19" s="23"/>
      <c r="F19" s="23"/>
    </row>
    <row r="20" spans="1:9">
      <c r="A20" s="100"/>
      <c r="B20" s="101"/>
      <c r="C20" s="23"/>
      <c r="D20" s="23"/>
      <c r="E20" s="23"/>
      <c r="F20" s="23"/>
    </row>
  </sheetData>
  <mergeCells count="1">
    <mergeCell ref="A17:E17"/>
  </mergeCells>
  <conditionalFormatting sqref="A2:A7">
    <cfRule type="duplicateValues" dxfId="11" priority="10"/>
  </conditionalFormatting>
  <dataValidations count="3">
    <dataValidation type="list" allowBlank="1" showInputMessage="1" showErrorMessage="1" sqref="J9 J2:J7" xr:uid="{830B2CBA-3613-485A-9B6E-5F6B185B0E3D}">
      <formula1>"G,V"</formula1>
    </dataValidation>
    <dataValidation allowBlank="1" showErrorMessage="1" sqref="A1:XFD1 V2" xr:uid="{A0B496AF-D890-4891-8636-09EFF4FA828D}"/>
    <dataValidation type="list" allowBlank="1" showInputMessage="1" showErrorMessage="1" sqref="N9:P9" xr:uid="{00A17A88-5B45-4E7B-9E08-2B83A3BF8719}">
      <formula1>"Oui,Non"</formula1>
    </dataValidation>
  </dataValidations>
  <hyperlinks>
    <hyperlink ref="V1" r:id="rId1" location="CellVideListeValidation" display="https://excel.developpez.com/faq/index.php?page=ListeValidation#CellVideListeValidation" xr:uid="{8281A356-571C-452B-9490-966D2704681E}"/>
    <hyperlink ref="V2" r:id="rId2" location="CellVideListeValidation" xr:uid="{8871B58A-4CE7-4D3E-8436-7A21507A942F}"/>
  </hyperlinks>
  <printOptions horizontalCentered="1"/>
  <pageMargins left="0.25" right="0.25" top="0.75" bottom="0.75" header="0.3" footer="0.3"/>
  <pageSetup paperSize="9" scale="41" fitToHeight="0" orientation="landscape" r:id="rId3"/>
  <headerFooter differentFirst="1">
    <oddFooter>Page &amp;P of &amp;N</oddFooter>
  </headerFooter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FFCF-7D40-406A-A784-51409EC90F98}">
  <sheetPr codeName="Feuil8">
    <tabColor rgb="FF00B050"/>
  </sheetPr>
  <dimension ref="B2:P18"/>
  <sheetViews>
    <sheetView showGridLines="0" showRowColHeaders="0" workbookViewId="0">
      <selection activeCell="D3" sqref="D3"/>
    </sheetView>
  </sheetViews>
  <sheetFormatPr baseColWidth="10" defaultRowHeight="18.75"/>
  <cols>
    <col min="1" max="1" width="11.42578125" style="205"/>
    <col min="2" max="2" width="10.7109375" style="205" customWidth="1"/>
    <col min="3" max="3" width="21" style="205" bestFit="1" customWidth="1"/>
    <col min="4" max="4" width="33.7109375" style="205" customWidth="1"/>
    <col min="5" max="5" width="10.7109375" style="205" customWidth="1"/>
    <col min="6" max="10" width="11.42578125" style="205"/>
    <col min="11" max="12" width="14.7109375" style="205" bestFit="1" customWidth="1"/>
    <col min="13" max="15" width="11.5703125" style="205" bestFit="1" customWidth="1"/>
    <col min="16" max="16" width="11.42578125" style="205"/>
    <col min="17" max="17" width="11.5703125" style="205" bestFit="1" customWidth="1"/>
    <col min="18" max="16384" width="11.42578125" style="205"/>
  </cols>
  <sheetData>
    <row r="2" spans="2:16" ht="30" customHeight="1">
      <c r="B2" s="214"/>
      <c r="C2" s="214"/>
      <c r="D2" s="214"/>
      <c r="E2" s="214"/>
    </row>
    <row r="3" spans="2:16" ht="39.950000000000003" customHeight="1">
      <c r="B3" s="214"/>
      <c r="C3" s="213" t="s">
        <v>27</v>
      </c>
      <c r="D3" s="215"/>
      <c r="E3" s="214"/>
      <c r="K3" s="216"/>
      <c r="L3" s="216"/>
      <c r="M3" s="217"/>
      <c r="N3" s="217"/>
      <c r="O3" s="217"/>
      <c r="P3" s="217"/>
    </row>
    <row r="4" spans="2:16">
      <c r="B4" s="214"/>
      <c r="C4" s="213"/>
      <c r="D4" s="218"/>
      <c r="E4" s="214"/>
      <c r="K4" s="216"/>
      <c r="L4" s="216"/>
      <c r="M4" s="217"/>
      <c r="N4" s="217"/>
      <c r="O4" s="217"/>
      <c r="P4" s="217"/>
    </row>
    <row r="5" spans="2:16" ht="39.950000000000003" customHeight="1">
      <c r="B5" s="214"/>
      <c r="C5" s="213" t="s">
        <v>8</v>
      </c>
      <c r="D5" s="215"/>
      <c r="E5" s="214"/>
      <c r="K5" s="216"/>
      <c r="L5" s="216"/>
      <c r="M5" s="217"/>
      <c r="N5" s="217"/>
      <c r="O5" s="217"/>
      <c r="P5" s="217"/>
    </row>
    <row r="6" spans="2:16">
      <c r="B6" s="214"/>
      <c r="C6" s="213"/>
      <c r="D6" s="218"/>
      <c r="E6" s="214"/>
      <c r="K6" s="216"/>
      <c r="L6" s="216"/>
      <c r="M6" s="217"/>
      <c r="N6" s="217"/>
      <c r="O6" s="217"/>
      <c r="P6" s="217"/>
    </row>
    <row r="7" spans="2:16" ht="39.950000000000003" customHeight="1">
      <c r="B7" s="214"/>
      <c r="C7" s="213" t="s">
        <v>48</v>
      </c>
      <c r="D7" s="219"/>
      <c r="E7" s="214"/>
      <c r="K7" s="216"/>
      <c r="L7" s="216"/>
      <c r="M7" s="217"/>
      <c r="N7" s="217"/>
      <c r="O7" s="217"/>
      <c r="P7" s="217"/>
    </row>
    <row r="8" spans="2:16">
      <c r="B8" s="214"/>
      <c r="C8" s="213"/>
      <c r="D8" s="220"/>
      <c r="E8" s="214"/>
    </row>
    <row r="9" spans="2:16" ht="39.950000000000003" customHeight="1">
      <c r="B9" s="214"/>
      <c r="C9" s="213" t="s">
        <v>49</v>
      </c>
      <c r="D9" s="219"/>
      <c r="E9" s="214"/>
    </row>
    <row r="10" spans="2:16">
      <c r="B10" s="214"/>
      <c r="C10" s="213"/>
      <c r="D10" s="220"/>
      <c r="E10" s="214"/>
    </row>
    <row r="11" spans="2:16" ht="39.950000000000003" customHeight="1">
      <c r="B11" s="214"/>
      <c r="C11" s="213" t="s">
        <v>31</v>
      </c>
      <c r="D11" s="215"/>
      <c r="E11" s="214"/>
    </row>
    <row r="12" spans="2:16">
      <c r="B12" s="214"/>
      <c r="C12" s="213"/>
      <c r="D12" s="218"/>
      <c r="E12" s="214"/>
    </row>
    <row r="13" spans="2:16" ht="39.950000000000003" customHeight="1">
      <c r="B13" s="214"/>
      <c r="C13" s="213" t="s">
        <v>29</v>
      </c>
      <c r="D13" s="215"/>
      <c r="E13" s="214"/>
    </row>
    <row r="14" spans="2:16">
      <c r="B14" s="214"/>
      <c r="C14" s="213"/>
      <c r="D14" s="218"/>
      <c r="E14" s="214"/>
    </row>
    <row r="15" spans="2:16" ht="39.950000000000003" customHeight="1">
      <c r="B15" s="214"/>
      <c r="C15" s="213" t="s">
        <v>30</v>
      </c>
      <c r="D15" s="215"/>
      <c r="E15" s="214"/>
    </row>
    <row r="16" spans="2:16">
      <c r="B16" s="214"/>
      <c r="C16" s="214"/>
      <c r="D16" s="214"/>
      <c r="E16" s="214"/>
    </row>
    <row r="17" spans="2:5" ht="50.1" customHeight="1">
      <c r="B17" s="214"/>
      <c r="C17" s="214"/>
      <c r="D17" s="214"/>
      <c r="E17" s="214"/>
    </row>
    <row r="18" spans="2:5" ht="30" customHeight="1">
      <c r="B18" s="214"/>
      <c r="C18" s="214"/>
      <c r="D18" s="214"/>
      <c r="E18" s="214"/>
    </row>
  </sheetData>
  <sheetProtection sheet="1" objects="1" scenarios="1" selectLockedCells="1"/>
  <dataValidations count="5">
    <dataValidation type="list" allowBlank="1" showInputMessage="1" showErrorMessage="1" sqref="D3:D4" xr:uid="{FC7EB599-3382-4B7E-A01F-0C9E47E949DE}">
      <formula1>L_Animal</formula1>
    </dataValidation>
    <dataValidation type="list" allowBlank="1" showInputMessage="1" showErrorMessage="1" sqref="D5:D6" xr:uid="{CE1F5F16-93AA-4EBC-9EBF-6C88ED7E32FA}">
      <formula1>L_Type</formula1>
    </dataValidation>
    <dataValidation type="list" allowBlank="1" showInputMessage="1" showErrorMessage="1" sqref="D11:D12" xr:uid="{60434342-E865-402F-8F30-B41E67F5E8DA}">
      <formula1>L_AnimSupp</formula1>
    </dataValidation>
    <dataValidation type="list" allowBlank="1" showInputMessage="1" showErrorMessage="1" sqref="D13:D14" xr:uid="{B7522F7B-67EF-4F2F-8EB4-AACBC55DBF49}">
      <formula1>L_Prestation</formula1>
    </dataValidation>
    <dataValidation type="list" allowBlank="1" showInputMessage="1" showErrorMessage="1" sqref="D15" xr:uid="{FCE213FA-56B6-47FA-9D9B-184C9E404D67}">
      <formula1>L_Nb_visite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locked="0" defaultSize="0" print="0" autoFill="0" autoPict="0" macro="[0]!Saisie_reservation">
                <anchor moveWithCells="1" sizeWithCells="1">
                  <from>
                    <xdr:col>3</xdr:col>
                    <xdr:colOff>200025</xdr:colOff>
                    <xdr:row>16</xdr:row>
                    <xdr:rowOff>57150</xdr:rowOff>
                  </from>
                  <to>
                    <xdr:col>3</xdr:col>
                    <xdr:colOff>1962150</xdr:colOff>
                    <xdr:row>16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68B6-AE7D-488E-AFDD-DC12BCC3943A}">
  <sheetPr codeName="Feuil1">
    <tabColor rgb="FF00B050"/>
  </sheetPr>
  <dimension ref="A1:AA16"/>
  <sheetViews>
    <sheetView showGridLines="0" workbookViewId="0">
      <selection activeCell="Q7" sqref="Q7"/>
    </sheetView>
  </sheetViews>
  <sheetFormatPr baseColWidth="10" defaultRowHeight="20.100000000000001" customHeight="1" outlineLevelCol="1"/>
  <cols>
    <col min="1" max="1" width="11.42578125" style="124"/>
    <col min="2" max="2" width="22.28515625" style="124" customWidth="1"/>
    <col min="3" max="3" width="10.7109375" style="124" customWidth="1"/>
    <col min="4" max="4" width="17.28515625" style="124" bestFit="1" customWidth="1"/>
    <col min="5" max="8" width="12.7109375" style="124" customWidth="1"/>
    <col min="9" max="9" width="14" style="124" customWidth="1"/>
    <col min="10" max="10" width="15.5703125" style="124" customWidth="1"/>
    <col min="11" max="11" width="12.7109375" style="124" customWidth="1"/>
    <col min="12" max="14" width="10.7109375" style="124" hidden="1" customWidth="1" outlineLevel="1"/>
    <col min="15" max="15" width="11.140625" style="125" customWidth="1" collapsed="1"/>
    <col min="16" max="16" width="12.7109375" style="125" customWidth="1"/>
    <col min="17" max="17" width="13.85546875" style="124" customWidth="1"/>
    <col min="18" max="18" width="2.7109375" style="124" customWidth="1"/>
    <col min="19" max="19" width="33.85546875" style="126" customWidth="1"/>
    <col min="20" max="25" width="11.42578125" style="126"/>
    <col min="26" max="16384" width="11.42578125" style="124"/>
  </cols>
  <sheetData>
    <row r="1" spans="1:27" s="107" customFormat="1" ht="36" customHeight="1">
      <c r="A1" s="103" t="s">
        <v>82</v>
      </c>
      <c r="B1" s="104" t="s">
        <v>27</v>
      </c>
      <c r="C1" s="104" t="s">
        <v>8</v>
      </c>
      <c r="D1" s="104" t="s">
        <v>45</v>
      </c>
      <c r="E1" s="104" t="s">
        <v>48</v>
      </c>
      <c r="F1" s="104" t="s">
        <v>49</v>
      </c>
      <c r="G1" s="104" t="s">
        <v>26</v>
      </c>
      <c r="H1" s="104" t="s">
        <v>31</v>
      </c>
      <c r="I1" s="104" t="s">
        <v>72</v>
      </c>
      <c r="J1" s="104" t="s">
        <v>29</v>
      </c>
      <c r="K1" s="104" t="s">
        <v>30</v>
      </c>
      <c r="L1" s="104" t="s">
        <v>54</v>
      </c>
      <c r="M1" s="104" t="s">
        <v>55</v>
      </c>
      <c r="N1" s="104" t="s">
        <v>56</v>
      </c>
      <c r="O1" s="105" t="s">
        <v>18</v>
      </c>
      <c r="P1" s="105" t="s">
        <v>16</v>
      </c>
      <c r="Q1" s="106" t="s">
        <v>1</v>
      </c>
      <c r="S1" s="195" t="s">
        <v>107</v>
      </c>
      <c r="T1" s="108"/>
      <c r="U1" s="108"/>
      <c r="V1" s="108"/>
      <c r="W1" s="108"/>
      <c r="X1" s="108"/>
      <c r="Y1" s="109"/>
    </row>
    <row r="2" spans="1:27" s="118" customFormat="1" ht="20.100000000000001" customHeight="1">
      <c r="A2" s="110" t="str">
        <f>IF(ISBLANK(T_Réservation[[#This Row],[Nom de l''animal]]),"",B2&amp;"_"&amp;COUNTIF($B$2:B2,B2))</f>
        <v>MEDORE_1</v>
      </c>
      <c r="B2" s="111" t="s">
        <v>41</v>
      </c>
      <c r="C2" s="112" t="s">
        <v>21</v>
      </c>
      <c r="D2" s="111" t="str">
        <f>IFERROR(INDEX(T_Clients[Réf Client],MATCH(B2,T_Clients[Nom de l''animal],0)),"")&amp;"-"&amp;T_Réservation[[#This Row],[Nom de l''animal]]</f>
        <v>CDUP001-MEDORE</v>
      </c>
      <c r="E2" s="113">
        <v>43690</v>
      </c>
      <c r="F2" s="113">
        <v>43697</v>
      </c>
      <c r="G2" s="111">
        <f t="shared" ref="G2:G7" si="0">IF(B2&lt;&gt;"",F2-E2,"")</f>
        <v>7</v>
      </c>
      <c r="H2" s="112">
        <v>1</v>
      </c>
      <c r="I2" s="114">
        <f>IFERROR(INDEX(L_Prix,MATCH(T_Réservation[[#This Row],[Type]],T_Type[Type],0)),"")</f>
        <v>5</v>
      </c>
      <c r="J2" s="112" t="s">
        <v>4</v>
      </c>
      <c r="K2" s="112">
        <v>2</v>
      </c>
      <c r="L2" s="115"/>
      <c r="M2" s="115"/>
      <c r="N2" s="116"/>
      <c r="O2" s="114">
        <f>IFERROR(VLOOKUP(C2&amp;" - "&amp;J2,T_Forfait[],2,0),"")</f>
        <v>10</v>
      </c>
      <c r="P2" s="114">
        <f t="shared" ref="P2:P7" si="1">IFERROR((G2*O2)*K2+(H2*I2)*G2*K2,"")</f>
        <v>210</v>
      </c>
      <c r="Q2" s="117" t="str">
        <f>IFERROR(INDEX(T_Récap_Facture[Facture],MATCH(T_Réservation[[#This Row],[Nom de l''animal]],T_Récap_Facture[Animal],0)),"")</f>
        <v>201908001</v>
      </c>
      <c r="S2" s="196" t="s">
        <v>108</v>
      </c>
      <c r="T2" s="108"/>
      <c r="U2" s="108"/>
      <c r="V2" s="108"/>
      <c r="W2" s="108"/>
      <c r="X2" s="108"/>
      <c r="Y2" s="119"/>
    </row>
    <row r="3" spans="1:27" s="118" customFormat="1" ht="20.100000000000001" customHeight="1">
      <c r="A3" s="110" t="str">
        <f>IF(ISBLANK(T_Réservation[[#This Row],[Nom de l''animal]]),"",B3&amp;"_"&amp;COUNTIF($B$2:B3,B3))</f>
        <v>MINOU_1</v>
      </c>
      <c r="B3" s="111" t="s">
        <v>42</v>
      </c>
      <c r="C3" s="112" t="s">
        <v>22</v>
      </c>
      <c r="D3" s="111" t="str">
        <f>IFERROR(INDEX(T_Clients[Réf Client],MATCH(B3,T_Clients[Nom de l''animal],0)),"")&amp;"-"&amp;T_Réservation[[#This Row],[Nom de l''animal]]</f>
        <v>CCLE001-MINOU</v>
      </c>
      <c r="E3" s="113">
        <v>43692</v>
      </c>
      <c r="F3" s="113">
        <v>43698</v>
      </c>
      <c r="G3" s="111">
        <f t="shared" si="0"/>
        <v>6</v>
      </c>
      <c r="H3" s="112">
        <v>1</v>
      </c>
      <c r="I3" s="114">
        <f>IFERROR(INDEX(L_Prix,MATCH(T_Réservation[[#This Row],[Type]],T_Type[Type],0)),"")</f>
        <v>2</v>
      </c>
      <c r="J3" s="112" t="s">
        <v>4</v>
      </c>
      <c r="K3" s="112">
        <v>2</v>
      </c>
      <c r="L3" s="115"/>
      <c r="M3" s="115"/>
      <c r="N3" s="116"/>
      <c r="O3" s="114">
        <f>IFERROR(VLOOKUP(C3&amp;" - "&amp;J3,T_Forfait[],2,0),"")</f>
        <v>8</v>
      </c>
      <c r="P3" s="114">
        <f t="shared" si="1"/>
        <v>120</v>
      </c>
      <c r="Q3" s="117" t="str">
        <f>IFERROR(INDEX(T_Récap_Facture[Facture],MATCH(T_Réservation[[#This Row],[Nom de l''animal]],T_Récap_Facture[Animal],0)),"")</f>
        <v>201908002</v>
      </c>
      <c r="S3" s="119"/>
      <c r="T3" s="119"/>
      <c r="U3" s="119"/>
      <c r="V3" s="119"/>
      <c r="W3" s="119"/>
      <c r="X3" s="119"/>
      <c r="Y3" s="119"/>
    </row>
    <row r="4" spans="1:27" s="118" customFormat="1" ht="20.100000000000001" customHeight="1">
      <c r="A4" s="110" t="str">
        <f>IF(ISBLANK(T_Réservation[[#This Row],[Nom de l''animal]]),"",B4&amp;"_"&amp;COUNTIF($B$2:B4,B4))</f>
        <v>IGGY_1</v>
      </c>
      <c r="B4" s="111" t="s">
        <v>52</v>
      </c>
      <c r="C4" s="112" t="s">
        <v>23</v>
      </c>
      <c r="D4" s="111" t="str">
        <f>IFERROR(INDEX(T_Clients[Réf Client],MATCH(B4,T_Clients[Nom de l''animal],0)),"")&amp;"-"&amp;T_Réservation[[#This Row],[Nom de l''animal]]</f>
        <v>CCON001-IGGY</v>
      </c>
      <c r="E4" s="113">
        <v>43697</v>
      </c>
      <c r="F4" s="113">
        <v>43708</v>
      </c>
      <c r="G4" s="111">
        <f t="shared" si="0"/>
        <v>11</v>
      </c>
      <c r="H4" s="112">
        <v>0</v>
      </c>
      <c r="I4" s="114">
        <f>IFERROR(INDEX(L_Prix,MATCH(T_Réservation[[#This Row],[Type]],T_Type[Type],0)),"")</f>
        <v>2</v>
      </c>
      <c r="J4" s="112" t="s">
        <v>3</v>
      </c>
      <c r="K4" s="112">
        <v>1</v>
      </c>
      <c r="L4" s="115"/>
      <c r="M4" s="115"/>
      <c r="N4" s="116"/>
      <c r="O4" s="114">
        <f>IFERROR(VLOOKUP(C4&amp;" - "&amp;J4,T_Forfait[],2,0),"")</f>
        <v>5</v>
      </c>
      <c r="P4" s="114">
        <f t="shared" si="1"/>
        <v>55</v>
      </c>
      <c r="Q4" s="117" t="str">
        <f>IFERROR(INDEX(T_Récap_Facture[Facture],MATCH(T_Réservation[[#This Row],[Nom de l''animal]],T_Récap_Facture[Animal],0)),"")</f>
        <v>201908003</v>
      </c>
      <c r="S4" s="197" t="s">
        <v>109</v>
      </c>
      <c r="T4" s="119"/>
      <c r="U4" s="119"/>
      <c r="V4" s="119"/>
      <c r="W4" s="119"/>
      <c r="X4" s="119"/>
      <c r="Y4" s="119"/>
    </row>
    <row r="5" spans="1:27" s="118" customFormat="1" ht="20.100000000000001" customHeight="1">
      <c r="A5" s="110" t="str">
        <f>IF(ISBLANK(T_Réservation[[#This Row],[Nom de l''animal]]),"",B5&amp;"_"&amp;COUNTIF($B$2:B5,B5))</f>
        <v>TITI_1</v>
      </c>
      <c r="B5" s="111" t="s">
        <v>58</v>
      </c>
      <c r="C5" s="112" t="s">
        <v>24</v>
      </c>
      <c r="D5" s="111" t="str">
        <f>IFERROR(INDEX(T_Clients[Réf Client],MATCH(B5,T_Clients[Nom de l''animal],0)),"")&amp;"-"&amp;T_Réservation[[#This Row],[Nom de l''animal]]</f>
        <v>CTAI001-TITI</v>
      </c>
      <c r="E5" s="113">
        <v>43694</v>
      </c>
      <c r="F5" s="113">
        <v>43706</v>
      </c>
      <c r="G5" s="111">
        <f t="shared" si="0"/>
        <v>12</v>
      </c>
      <c r="H5" s="112">
        <v>1</v>
      </c>
      <c r="I5" s="114">
        <f>IFERROR(INDEX(L_Prix,MATCH(T_Réservation[[#This Row],[Type]],T_Type[Type],0)),"")</f>
        <v>2</v>
      </c>
      <c r="J5" s="112" t="s">
        <v>4</v>
      </c>
      <c r="K5" s="112">
        <v>1</v>
      </c>
      <c r="L5" s="115"/>
      <c r="M5" s="115"/>
      <c r="N5" s="116"/>
      <c r="O5" s="114">
        <f>IFERROR(VLOOKUP(C5&amp;" - "&amp;J5,T_Forfait[],2,0),"")</f>
        <v>7</v>
      </c>
      <c r="P5" s="114">
        <f t="shared" si="1"/>
        <v>108</v>
      </c>
      <c r="Q5" s="117" t="str">
        <f>IFERROR(INDEX(T_Récap_Facture[Facture],MATCH(T_Réservation[[#This Row],[Nom de l''animal]],T_Récap_Facture[Animal],0)),"")</f>
        <v>201908004</v>
      </c>
      <c r="S5" s="120"/>
      <c r="T5" s="120"/>
      <c r="U5" s="120"/>
      <c r="V5" s="120"/>
      <c r="W5" s="120"/>
      <c r="X5" s="120"/>
      <c r="Y5" s="119"/>
    </row>
    <row r="6" spans="1:27" s="118" customFormat="1" ht="20.100000000000001" customHeight="1">
      <c r="A6" s="110" t="str">
        <f>IF(ISBLANK(T_Réservation[[#This Row],[Nom de l''animal]]),"",B6&amp;"_"&amp;COUNTIF($B$2:B6,B6))</f>
        <v>MEDORE_2</v>
      </c>
      <c r="B6" s="111" t="s">
        <v>41</v>
      </c>
      <c r="C6" s="112" t="s">
        <v>21</v>
      </c>
      <c r="D6" s="111" t="str">
        <f>IFERROR(INDEX(T_Clients[Réf Client],MATCH(B6,T_Clients[Nom de l''animal],0)),"")&amp;"-"&amp;T_Réservation[[#This Row],[Nom de l''animal]]</f>
        <v>CDUP001-MEDORE</v>
      </c>
      <c r="E6" s="113">
        <v>43702</v>
      </c>
      <c r="F6" s="113">
        <v>43703</v>
      </c>
      <c r="G6" s="111">
        <f t="shared" si="0"/>
        <v>1</v>
      </c>
      <c r="H6" s="112">
        <v>0</v>
      </c>
      <c r="I6" s="114">
        <f>IFERROR(INDEX(L_Prix,MATCH(T_Réservation[[#This Row],[Type]],T_Type[Type],0)),"")</f>
        <v>5</v>
      </c>
      <c r="J6" s="112" t="s">
        <v>3</v>
      </c>
      <c r="K6" s="112">
        <v>1</v>
      </c>
      <c r="L6" s="115"/>
      <c r="M6" s="115"/>
      <c r="N6" s="116"/>
      <c r="O6" s="114">
        <f>IFERROR(VLOOKUP(C6&amp;" - "&amp;J6,T_Forfait[],2,0),"")</f>
        <v>15</v>
      </c>
      <c r="P6" s="114">
        <f t="shared" si="1"/>
        <v>15</v>
      </c>
      <c r="Q6" s="117" t="str">
        <f>IFERROR(INDEX(T_Récap_Facture[Facture],MATCH(T_Réservation[[#This Row],[Nom de l''animal]],T_Récap_Facture[Animal],0)),"")</f>
        <v>201908001</v>
      </c>
      <c r="S6" s="119"/>
      <c r="T6" s="119"/>
      <c r="U6" s="119"/>
      <c r="V6" s="119"/>
      <c r="W6" s="119"/>
      <c r="X6" s="119"/>
      <c r="Y6" s="119"/>
    </row>
    <row r="7" spans="1:27" s="118" customFormat="1" ht="20.100000000000001" customHeight="1">
      <c r="A7" s="110" t="str">
        <f>IF(ISBLANK(T_Réservation[[#This Row],[Nom de l''animal]]),"",B7&amp;"_"&amp;COUNTIF($B$2:B8,B7))</f>
        <v>FLIPPER_1</v>
      </c>
      <c r="B7" s="111" t="s">
        <v>142</v>
      </c>
      <c r="C7" s="112" t="s">
        <v>23</v>
      </c>
      <c r="D7" s="111" t="str">
        <f>IFERROR(INDEX(T_Clients[Réf Client],MATCH(B7,T_Clients[Nom de l''animal],0)),"")&amp;"-"&amp;T_Réservation[[#This Row],[Nom de l''animal]]</f>
        <v>CCOD001-FLIPPER</v>
      </c>
      <c r="E7" s="113">
        <v>43703</v>
      </c>
      <c r="F7" s="113">
        <v>43718</v>
      </c>
      <c r="G7" s="111">
        <f t="shared" si="0"/>
        <v>15</v>
      </c>
      <c r="H7" s="112">
        <v>0</v>
      </c>
      <c r="I7" s="114">
        <f>IFERROR(INDEX(L_Prix,MATCH(T_Réservation[[#This Row],[Type]],T_Type[Type],0)),"")</f>
        <v>2</v>
      </c>
      <c r="J7" s="112" t="s">
        <v>4</v>
      </c>
      <c r="K7" s="112">
        <v>2</v>
      </c>
      <c r="L7" s="115"/>
      <c r="M7" s="115"/>
      <c r="N7" s="116"/>
      <c r="O7" s="114">
        <f>IFERROR(VLOOKUP(C7&amp;" - "&amp;J7,T_Forfait[],2,0),"")</f>
        <v>7</v>
      </c>
      <c r="P7" s="114">
        <f t="shared" si="1"/>
        <v>210</v>
      </c>
      <c r="Q7" s="117" t="str">
        <f>IFERROR(INDEX(T_Récap_Facture[Facture],MATCH(T_Réservation[[#This Row],[Nom de l''animal]],T_Récap_Facture[Animal],0)),"")</f>
        <v/>
      </c>
      <c r="S7" s="119"/>
      <c r="T7" s="119"/>
      <c r="U7" s="119"/>
      <c r="V7" s="119"/>
      <c r="W7" s="119"/>
      <c r="X7" s="119"/>
      <c r="Y7" s="119"/>
    </row>
    <row r="8" spans="1:27" s="118" customFormat="1" ht="20.100000000000001" customHeight="1">
      <c r="A8" s="244" t="str">
        <f>IF(ISBLANK(T_Réservation[[#This Row],[Nom de l''animal]]),"",B8&amp;"_"&amp;COUNTIF($B$2:B8,B8))</f>
        <v/>
      </c>
      <c r="B8" s="111"/>
      <c r="C8" s="112"/>
      <c r="D8" s="111" t="str">
        <f>IFERROR(INDEX(T_Clients[Réf Client],MATCH(B8,T_Clients[Nom de l''animal],0)),"")&amp;"-"&amp;T_Réservation[[#This Row],[Nom de l''animal]]</f>
        <v>-</v>
      </c>
      <c r="E8" s="113"/>
      <c r="F8" s="113"/>
      <c r="G8" s="111" t="str">
        <f>IF(B8&lt;&gt;"",F8-E8,"")</f>
        <v/>
      </c>
      <c r="H8" s="112"/>
      <c r="I8" s="114" t="str">
        <f>IFERROR(INDEX(L_Prix,MATCH(T_Réservation[[#This Row],[Type]],T_Type[Type],0)),"")</f>
        <v/>
      </c>
      <c r="J8" s="112"/>
      <c r="K8" s="112"/>
      <c r="L8" s="115"/>
      <c r="M8" s="115"/>
      <c r="N8" s="116"/>
      <c r="O8" s="114" t="str">
        <f>IFERROR(VLOOKUP(C8&amp;" - "&amp;J8,T_Forfait[],2,0),"")</f>
        <v/>
      </c>
      <c r="P8" s="114" t="str">
        <f>IFERROR((G8*O8)*K8+(H8*I8)*G8*K8,"")</f>
        <v/>
      </c>
      <c r="Q8" s="245" t="str">
        <f>IFERROR(INDEX(T_Récap_Facture[Facture],MATCH(T_Réservation[[#This Row],[Nom de l''animal]],T_Récap_Facture[Animal],0)),"")</f>
        <v/>
      </c>
      <c r="S8" s="121"/>
      <c r="T8" s="119"/>
      <c r="U8" s="119"/>
      <c r="V8" s="119"/>
      <c r="W8" s="119"/>
      <c r="X8" s="119"/>
      <c r="Y8" s="119"/>
    </row>
    <row r="9" spans="1:27" s="118" customFormat="1" ht="20.100000000000001" customHeight="1">
      <c r="B9" s="121"/>
      <c r="C9" s="122"/>
      <c r="D9" s="122"/>
      <c r="E9" s="123"/>
      <c r="F9" s="122"/>
      <c r="G9" s="121"/>
      <c r="H9" s="123"/>
      <c r="I9" s="123"/>
      <c r="J9" s="121"/>
      <c r="K9" s="121"/>
      <c r="L9" s="122"/>
      <c r="M9" s="124"/>
      <c r="N9" s="124"/>
      <c r="O9" s="125"/>
      <c r="P9" s="125"/>
      <c r="Q9" s="124"/>
      <c r="S9" s="119"/>
      <c r="T9" s="119"/>
      <c r="U9" s="119"/>
      <c r="V9" s="119"/>
      <c r="W9" s="119"/>
      <c r="X9" s="119"/>
      <c r="Y9" s="119"/>
    </row>
    <row r="10" spans="1:27" ht="20.100000000000001" customHeight="1">
      <c r="A10" s="118"/>
      <c r="B10" s="121"/>
      <c r="C10" s="122"/>
      <c r="D10" s="122"/>
      <c r="E10" s="123"/>
      <c r="F10" s="122"/>
      <c r="G10" s="121"/>
      <c r="H10" s="123"/>
      <c r="I10" s="123"/>
      <c r="J10" s="121"/>
      <c r="K10" s="121"/>
      <c r="L10" s="122"/>
    </row>
    <row r="11" spans="1:27" ht="20.100000000000001" customHeight="1">
      <c r="A11" s="118"/>
      <c r="B11" s="121"/>
      <c r="C11" s="122"/>
      <c r="D11" s="122"/>
      <c r="E11" s="123"/>
      <c r="F11" s="122"/>
      <c r="G11" s="121"/>
      <c r="H11" s="123"/>
      <c r="I11" s="123"/>
      <c r="J11" s="121"/>
      <c r="K11" s="121"/>
      <c r="L11" s="122"/>
    </row>
    <row r="12" spans="1:27" ht="20.100000000000001" customHeight="1">
      <c r="B12" s="121"/>
      <c r="C12" s="122"/>
      <c r="D12" s="122"/>
      <c r="E12" s="123"/>
      <c r="F12" s="122"/>
      <c r="G12" s="121"/>
      <c r="H12" s="121"/>
      <c r="I12" s="121"/>
      <c r="J12" s="121"/>
      <c r="K12" s="121"/>
      <c r="L12" s="121"/>
      <c r="S12" s="246"/>
    </row>
    <row r="13" spans="1:27" ht="20.100000000000001" customHeight="1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S13" s="246"/>
    </row>
    <row r="16" spans="1:27" ht="20.100000000000001" customHeight="1">
      <c r="T16" s="127"/>
      <c r="U16" s="127"/>
      <c r="V16" s="127"/>
      <c r="W16" s="127"/>
      <c r="X16" s="127"/>
      <c r="Y16" s="127"/>
      <c r="Z16" s="127"/>
      <c r="AA16" s="127"/>
    </row>
  </sheetData>
  <conditionalFormatting sqref="A2:Q8">
    <cfRule type="expression" dxfId="10" priority="1">
      <formula>$C2="nac"</formula>
    </cfRule>
    <cfRule type="expression" dxfId="9" priority="2">
      <formula>$C2="oiseau"</formula>
    </cfRule>
    <cfRule type="expression" dxfId="8" priority="3">
      <formula>$C2="chat"</formula>
    </cfRule>
    <cfRule type="expression" dxfId="7" priority="4">
      <formula>$C2="chien"</formula>
    </cfRule>
  </conditionalFormatting>
  <dataValidations count="6">
    <dataValidation type="list" allowBlank="1" showInputMessage="1" showErrorMessage="1" prompt="Choisir dans la liste déroulante." sqref="B2:B8" xr:uid="{843C16EE-80FC-4CB1-B0A7-4A10408A81D0}">
      <formula1>L_Animal</formula1>
    </dataValidation>
    <dataValidation type="list" allowBlank="1" showInputMessage="1" showErrorMessage="1" prompt="Choisir dans la liste déroulante." sqref="H2:H8" xr:uid="{0452A47C-0DE6-4492-B7F7-7F409629713C}">
      <formula1>L_AnimSupp</formula1>
    </dataValidation>
    <dataValidation type="list" allowBlank="1" showInputMessage="1" showErrorMessage="1" prompt="Choisir dans la liste déroulante." sqref="J2:J8" xr:uid="{76C8AA49-12E7-456C-BC78-3C44600357C4}">
      <formula1>L_Prestation</formula1>
    </dataValidation>
    <dataValidation type="list" allowBlank="1" showInputMessage="1" showErrorMessage="1" prompt="Choisir dans la liste déroulante." sqref="K2:K8" xr:uid="{A165A988-6EF4-42C2-A9BE-8B2C3C0E0035}">
      <formula1>L_Nb_visite</formula1>
    </dataValidation>
    <dataValidation type="list" allowBlank="1" showInputMessage="1" showErrorMessage="1" prompt="Choisir dans la liste déroulante." sqref="C2:C8" xr:uid="{75F2F56D-B8FE-483F-A12C-39BD3A4F236C}">
      <formula1>L_Type</formula1>
    </dataValidation>
    <dataValidation allowBlank="1" showInputMessage="1" sqref="O2:O8" xr:uid="{8ABF48D7-A92F-44A9-9585-6104B7682CFE}"/>
  </dataValidations>
  <hyperlinks>
    <hyperlink ref="S1" location="Facture!A1" display="Accéder à la facturation" xr:uid="{9E29A3DF-AD65-464A-8965-6A62E3C95057}"/>
    <hyperlink ref="S2" location="'Récap facture'!A1" display="Accéder au récap de facture" xr:uid="{B476B757-D566-4A48-9E1B-DC13C4564ADD}"/>
    <hyperlink ref="S4" location="'Liste de contacts client'!A1" display="Accéder à la liste clients" xr:uid="{6BDF2372-AEE7-466A-8EDE-F81CDF41FFA9}"/>
  </hyperlinks>
  <pageMargins left="0.25" right="0.25" top="0.75" bottom="0.75" header="0.3" footer="0.3"/>
  <pageSetup paperSize="9" orientation="landscape" horizont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EF92-5A79-4568-8FCE-58ADE6C8BA28}">
  <sheetPr codeName="Feuil2">
    <tabColor rgb="FFFFC000"/>
    <pageSetUpPr fitToPage="1"/>
  </sheetPr>
  <dimension ref="A1:AM147"/>
  <sheetViews>
    <sheetView showGridLines="0" workbookViewId="0">
      <selection activeCell="A8" sqref="A8"/>
    </sheetView>
  </sheetViews>
  <sheetFormatPr baseColWidth="10" defaultColWidth="9.140625" defaultRowHeight="20.100000000000001" customHeight="1"/>
  <cols>
    <col min="1" max="1" width="21.5703125" style="13" customWidth="1"/>
    <col min="2" max="3" width="15.7109375" style="12" customWidth="1"/>
    <col min="4" max="4" width="15.7109375" style="13" customWidth="1"/>
    <col min="5" max="35" width="5" style="13" customWidth="1"/>
    <col min="36" max="36" width="9.85546875" style="13" customWidth="1"/>
    <col min="37" max="37" width="15" style="13" customWidth="1"/>
    <col min="38" max="16384" width="9.140625" style="13"/>
  </cols>
  <sheetData>
    <row r="1" spans="1:39" s="38" customFormat="1" ht="30.75" customHeight="1">
      <c r="A1" s="147">
        <v>43678</v>
      </c>
      <c r="B1" s="148"/>
      <c r="C1" s="148"/>
      <c r="D1" s="90"/>
      <c r="E1" s="51">
        <f>E2</f>
        <v>43678</v>
      </c>
      <c r="F1" s="52">
        <f t="shared" ref="F1:AI1" si="0">E1+1</f>
        <v>43679</v>
      </c>
      <c r="G1" s="52">
        <f t="shared" si="0"/>
        <v>43680</v>
      </c>
      <c r="H1" s="52">
        <f t="shared" si="0"/>
        <v>43681</v>
      </c>
      <c r="I1" s="52">
        <f t="shared" si="0"/>
        <v>43682</v>
      </c>
      <c r="J1" s="52">
        <f t="shared" si="0"/>
        <v>43683</v>
      </c>
      <c r="K1" s="52">
        <f t="shared" si="0"/>
        <v>43684</v>
      </c>
      <c r="L1" s="52">
        <f t="shared" si="0"/>
        <v>43685</v>
      </c>
      <c r="M1" s="52">
        <f t="shared" si="0"/>
        <v>43686</v>
      </c>
      <c r="N1" s="52">
        <f t="shared" si="0"/>
        <v>43687</v>
      </c>
      <c r="O1" s="52">
        <f t="shared" si="0"/>
        <v>43688</v>
      </c>
      <c r="P1" s="52">
        <f t="shared" si="0"/>
        <v>43689</v>
      </c>
      <c r="Q1" s="52">
        <f t="shared" si="0"/>
        <v>43690</v>
      </c>
      <c r="R1" s="52">
        <f t="shared" si="0"/>
        <v>43691</v>
      </c>
      <c r="S1" s="52">
        <f t="shared" si="0"/>
        <v>43692</v>
      </c>
      <c r="T1" s="52">
        <f t="shared" si="0"/>
        <v>43693</v>
      </c>
      <c r="U1" s="52">
        <f t="shared" si="0"/>
        <v>43694</v>
      </c>
      <c r="V1" s="52">
        <f t="shared" si="0"/>
        <v>43695</v>
      </c>
      <c r="W1" s="52">
        <f t="shared" si="0"/>
        <v>43696</v>
      </c>
      <c r="X1" s="52">
        <f t="shared" si="0"/>
        <v>43697</v>
      </c>
      <c r="Y1" s="52">
        <f t="shared" si="0"/>
        <v>43698</v>
      </c>
      <c r="Z1" s="52">
        <f t="shared" si="0"/>
        <v>43699</v>
      </c>
      <c r="AA1" s="52">
        <f t="shared" si="0"/>
        <v>43700</v>
      </c>
      <c r="AB1" s="52">
        <f t="shared" si="0"/>
        <v>43701</v>
      </c>
      <c r="AC1" s="52">
        <f t="shared" si="0"/>
        <v>43702</v>
      </c>
      <c r="AD1" s="52">
        <f t="shared" si="0"/>
        <v>43703</v>
      </c>
      <c r="AE1" s="52">
        <f t="shared" si="0"/>
        <v>43704</v>
      </c>
      <c r="AF1" s="52">
        <f t="shared" si="0"/>
        <v>43705</v>
      </c>
      <c r="AG1" s="52">
        <f t="shared" si="0"/>
        <v>43706</v>
      </c>
      <c r="AH1" s="52">
        <f t="shared" si="0"/>
        <v>43707</v>
      </c>
      <c r="AI1" s="58">
        <f t="shared" si="0"/>
        <v>43708</v>
      </c>
      <c r="AJ1" s="224" t="s">
        <v>61</v>
      </c>
      <c r="AK1" s="226" t="s">
        <v>60</v>
      </c>
    </row>
    <row r="2" spans="1:39" s="153" customFormat="1" ht="33.75" customHeight="1">
      <c r="A2" s="152" t="s">
        <v>27</v>
      </c>
      <c r="B2" s="89" t="s">
        <v>48</v>
      </c>
      <c r="C2" s="89" t="s">
        <v>49</v>
      </c>
      <c r="D2" s="89" t="s">
        <v>67</v>
      </c>
      <c r="E2" s="149">
        <f>A1</f>
        <v>43678</v>
      </c>
      <c r="F2" s="150">
        <f t="shared" ref="F2:AE2" si="1">E2+1</f>
        <v>43679</v>
      </c>
      <c r="G2" s="150">
        <f t="shared" si="1"/>
        <v>43680</v>
      </c>
      <c r="H2" s="150">
        <f t="shared" si="1"/>
        <v>43681</v>
      </c>
      <c r="I2" s="150">
        <f t="shared" si="1"/>
        <v>43682</v>
      </c>
      <c r="J2" s="150">
        <f t="shared" si="1"/>
        <v>43683</v>
      </c>
      <c r="K2" s="150">
        <f t="shared" si="1"/>
        <v>43684</v>
      </c>
      <c r="L2" s="150">
        <f t="shared" si="1"/>
        <v>43685</v>
      </c>
      <c r="M2" s="150">
        <f t="shared" si="1"/>
        <v>43686</v>
      </c>
      <c r="N2" s="150">
        <f t="shared" si="1"/>
        <v>43687</v>
      </c>
      <c r="O2" s="150">
        <f t="shared" si="1"/>
        <v>43688</v>
      </c>
      <c r="P2" s="150">
        <f t="shared" si="1"/>
        <v>43689</v>
      </c>
      <c r="Q2" s="150">
        <f t="shared" si="1"/>
        <v>43690</v>
      </c>
      <c r="R2" s="150">
        <f t="shared" si="1"/>
        <v>43691</v>
      </c>
      <c r="S2" s="150">
        <f t="shared" si="1"/>
        <v>43692</v>
      </c>
      <c r="T2" s="150">
        <f t="shared" si="1"/>
        <v>43693</v>
      </c>
      <c r="U2" s="150">
        <f t="shared" si="1"/>
        <v>43694</v>
      </c>
      <c r="V2" s="150">
        <f t="shared" si="1"/>
        <v>43695</v>
      </c>
      <c r="W2" s="150">
        <f t="shared" si="1"/>
        <v>43696</v>
      </c>
      <c r="X2" s="150">
        <f t="shared" si="1"/>
        <v>43697</v>
      </c>
      <c r="Y2" s="150">
        <f t="shared" si="1"/>
        <v>43698</v>
      </c>
      <c r="Z2" s="150">
        <f t="shared" si="1"/>
        <v>43699</v>
      </c>
      <c r="AA2" s="150">
        <f t="shared" si="1"/>
        <v>43700</v>
      </c>
      <c r="AB2" s="150">
        <f t="shared" si="1"/>
        <v>43701</v>
      </c>
      <c r="AC2" s="150">
        <f t="shared" si="1"/>
        <v>43702</v>
      </c>
      <c r="AD2" s="150">
        <f t="shared" si="1"/>
        <v>43703</v>
      </c>
      <c r="AE2" s="150">
        <f t="shared" si="1"/>
        <v>43704</v>
      </c>
      <c r="AF2" s="150">
        <f>IFERROR(IF(MONTH($A$1)&lt;MONTH(AE2+1),"",AE2+1),"")</f>
        <v>43705</v>
      </c>
      <c r="AG2" s="150">
        <f t="shared" ref="AG2:AI2" si="2">IFERROR(IF(MONTH($A$1)&lt;MONTH(AF2+1),"",AF2+1),"")</f>
        <v>43706</v>
      </c>
      <c r="AH2" s="150">
        <f t="shared" si="2"/>
        <v>43707</v>
      </c>
      <c r="AI2" s="151">
        <f t="shared" si="2"/>
        <v>43708</v>
      </c>
      <c r="AJ2" s="225"/>
      <c r="AK2" s="225"/>
    </row>
    <row r="3" spans="1:39" ht="20.100000000000001" customHeight="1">
      <c r="A3" s="45" t="s">
        <v>83</v>
      </c>
      <c r="B3" s="128">
        <f>IFERROR(INDEX(T_Réservation[Début séjour],MATCH($A3,T_Réservation[Code],0)),"")</f>
        <v>43690</v>
      </c>
      <c r="C3" s="128">
        <f>IFERROR(INDEX(T_Réservation[Fin séjour],MATCH($A3,T_Réservation[Code],0))-1,"")</f>
        <v>43696</v>
      </c>
      <c r="D3" s="47" t="str">
        <f>IFERROR(INDEX(T_Réservation[Type],MATCH($A3,T_Réservation[Code],0)),"")</f>
        <v>Chien</v>
      </c>
      <c r="E3" s="53" t="str">
        <f t="shared" ref="E3:N12" si="3">IF(AND(E$2&lt;=$C3,E$2&gt;=$B3),1,"")</f>
        <v/>
      </c>
      <c r="F3" s="46" t="str">
        <f t="shared" si="3"/>
        <v/>
      </c>
      <c r="G3" s="46" t="str">
        <f t="shared" si="3"/>
        <v/>
      </c>
      <c r="H3" s="46" t="str">
        <f t="shared" si="3"/>
        <v/>
      </c>
      <c r="I3" s="46" t="str">
        <f t="shared" si="3"/>
        <v/>
      </c>
      <c r="J3" s="46" t="str">
        <f t="shared" si="3"/>
        <v/>
      </c>
      <c r="K3" s="46" t="str">
        <f t="shared" si="3"/>
        <v/>
      </c>
      <c r="L3" s="46" t="str">
        <f t="shared" si="3"/>
        <v/>
      </c>
      <c r="M3" s="46" t="str">
        <f t="shared" si="3"/>
        <v/>
      </c>
      <c r="N3" s="46" t="str">
        <f t="shared" si="3"/>
        <v/>
      </c>
      <c r="O3" s="46" t="str">
        <f t="shared" ref="O3:X12" si="4">IF(AND(O$2&lt;=$C3,O$2&gt;=$B3),1,"")</f>
        <v/>
      </c>
      <c r="P3" s="46" t="str">
        <f t="shared" si="4"/>
        <v/>
      </c>
      <c r="Q3" s="46">
        <f t="shared" si="4"/>
        <v>1</v>
      </c>
      <c r="R3" s="46">
        <f t="shared" si="4"/>
        <v>1</v>
      </c>
      <c r="S3" s="46">
        <f t="shared" si="4"/>
        <v>1</v>
      </c>
      <c r="T3" s="46">
        <f t="shared" si="4"/>
        <v>1</v>
      </c>
      <c r="U3" s="46">
        <f t="shared" si="4"/>
        <v>1</v>
      </c>
      <c r="V3" s="46">
        <f t="shared" si="4"/>
        <v>1</v>
      </c>
      <c r="W3" s="46">
        <f t="shared" si="4"/>
        <v>1</v>
      </c>
      <c r="X3" s="46" t="str">
        <f t="shared" si="4"/>
        <v/>
      </c>
      <c r="Y3" s="46" t="str">
        <f t="shared" ref="Y3:AI12" si="5">IF(AND(Y$2&lt;=$C3,Y$2&gt;=$B3),1,"")</f>
        <v/>
      </c>
      <c r="Z3" s="46" t="str">
        <f t="shared" si="5"/>
        <v/>
      </c>
      <c r="AA3" s="46" t="str">
        <f t="shared" si="5"/>
        <v/>
      </c>
      <c r="AB3" s="46" t="str">
        <f t="shared" si="5"/>
        <v/>
      </c>
      <c r="AC3" s="46" t="str">
        <f t="shared" si="5"/>
        <v/>
      </c>
      <c r="AD3" s="46" t="str">
        <f t="shared" si="5"/>
        <v/>
      </c>
      <c r="AE3" s="46" t="str">
        <f t="shared" si="5"/>
        <v/>
      </c>
      <c r="AF3" s="46" t="str">
        <f t="shared" si="5"/>
        <v/>
      </c>
      <c r="AG3" s="46" t="str">
        <f t="shared" si="5"/>
        <v/>
      </c>
      <c r="AH3" s="46" t="str">
        <f t="shared" si="5"/>
        <v/>
      </c>
      <c r="AI3" s="47" t="str">
        <f t="shared" si="5"/>
        <v/>
      </c>
      <c r="AJ3" s="62">
        <f>IF(ISBLANK(A3),"",SUM(E3:AI3))</f>
        <v>7</v>
      </c>
      <c r="AK3" s="129">
        <f>IFERROR(INDEX(T_Réservation[Montant net],MATCH($A3,T_Réservation[Code],0))/INDEX(T_Réservation[Durée du séjour],MATCH($A3,T_Réservation[Code],0))*AJ3,"")</f>
        <v>210</v>
      </c>
      <c r="AM3" s="15"/>
    </row>
    <row r="4" spans="1:39" ht="20.100000000000001" customHeight="1">
      <c r="A4" s="40" t="s">
        <v>84</v>
      </c>
      <c r="B4" s="130">
        <f>IFERROR(INDEX(T_Réservation[Début séjour],MATCH($A4,T_Réservation[Code],0)),"")</f>
        <v>43692</v>
      </c>
      <c r="C4" s="130">
        <f>IFERROR(INDEX(T_Réservation[Fin séjour],MATCH($A4,T_Réservation[Code],0))-1,"")</f>
        <v>43697</v>
      </c>
      <c r="D4" s="48" t="str">
        <f>IFERROR(INDEX(T_Réservation[Type],MATCH($A4,T_Réservation[Code],0)),"")</f>
        <v>Chat</v>
      </c>
      <c r="E4" s="54" t="str">
        <f t="shared" si="3"/>
        <v/>
      </c>
      <c r="F4" s="41" t="str">
        <f t="shared" si="3"/>
        <v/>
      </c>
      <c r="G4" s="41" t="str">
        <f t="shared" si="3"/>
        <v/>
      </c>
      <c r="H4" s="41" t="str">
        <f t="shared" si="3"/>
        <v/>
      </c>
      <c r="I4" s="41" t="str">
        <f t="shared" si="3"/>
        <v/>
      </c>
      <c r="J4" s="41" t="str">
        <f t="shared" si="3"/>
        <v/>
      </c>
      <c r="K4" s="41" t="str">
        <f t="shared" si="3"/>
        <v/>
      </c>
      <c r="L4" s="41" t="str">
        <f t="shared" si="3"/>
        <v/>
      </c>
      <c r="M4" s="41" t="str">
        <f t="shared" si="3"/>
        <v/>
      </c>
      <c r="N4" s="41" t="str">
        <f t="shared" si="3"/>
        <v/>
      </c>
      <c r="O4" s="41" t="str">
        <f t="shared" si="4"/>
        <v/>
      </c>
      <c r="P4" s="41" t="str">
        <f t="shared" si="4"/>
        <v/>
      </c>
      <c r="Q4" s="41" t="str">
        <f t="shared" si="4"/>
        <v/>
      </c>
      <c r="R4" s="41" t="str">
        <f t="shared" si="4"/>
        <v/>
      </c>
      <c r="S4" s="41">
        <f t="shared" si="4"/>
        <v>1</v>
      </c>
      <c r="T4" s="41">
        <f t="shared" si="4"/>
        <v>1</v>
      </c>
      <c r="U4" s="41">
        <f t="shared" si="4"/>
        <v>1</v>
      </c>
      <c r="V4" s="41">
        <f t="shared" si="4"/>
        <v>1</v>
      </c>
      <c r="W4" s="41">
        <f t="shared" si="4"/>
        <v>1</v>
      </c>
      <c r="X4" s="41">
        <f t="shared" si="4"/>
        <v>1</v>
      </c>
      <c r="Y4" s="41" t="str">
        <f t="shared" si="5"/>
        <v/>
      </c>
      <c r="Z4" s="41" t="str">
        <f t="shared" si="5"/>
        <v/>
      </c>
      <c r="AA4" s="41" t="str">
        <f t="shared" si="5"/>
        <v/>
      </c>
      <c r="AB4" s="41" t="str">
        <f t="shared" si="5"/>
        <v/>
      </c>
      <c r="AC4" s="41" t="str">
        <f t="shared" si="5"/>
        <v/>
      </c>
      <c r="AD4" s="41" t="str">
        <f t="shared" si="5"/>
        <v/>
      </c>
      <c r="AE4" s="41" t="str">
        <f t="shared" si="5"/>
        <v/>
      </c>
      <c r="AF4" s="41" t="str">
        <f t="shared" si="5"/>
        <v/>
      </c>
      <c r="AG4" s="41" t="str">
        <f t="shared" si="5"/>
        <v/>
      </c>
      <c r="AH4" s="42" t="str">
        <f t="shared" si="5"/>
        <v/>
      </c>
      <c r="AI4" s="48" t="str">
        <f t="shared" si="5"/>
        <v/>
      </c>
      <c r="AJ4" s="63">
        <f t="shared" ref="AJ4:AJ24" si="6">IF(ISBLANK(A4),"",SUM(E4:AI4))</f>
        <v>6</v>
      </c>
      <c r="AK4" s="131">
        <f>IFERROR(INDEX(T_Réservation[Montant net],MATCH($A4,T_Réservation[Code],0))/INDEX(T_Réservation[Durée du séjour],MATCH($A4,T_Réservation[Code],0))*AJ4,"")</f>
        <v>120</v>
      </c>
    </row>
    <row r="5" spans="1:39" ht="20.100000000000001" customHeight="1">
      <c r="A5" s="39" t="s">
        <v>85</v>
      </c>
      <c r="B5" s="132">
        <f>IFERROR(INDEX(T_Réservation[Début séjour],MATCH($A5,T_Réservation[Code],0)),"")</f>
        <v>43697</v>
      </c>
      <c r="C5" s="132">
        <f>IFERROR(INDEX(T_Réservation[Fin séjour],MATCH($A5,T_Réservation[Code],0))-1,"")</f>
        <v>43707</v>
      </c>
      <c r="D5" s="49" t="str">
        <f>IFERROR(INDEX(T_Réservation[Type],MATCH($A5,T_Réservation[Code],0)),"")</f>
        <v>NAC</v>
      </c>
      <c r="E5" s="55" t="str">
        <f t="shared" si="3"/>
        <v/>
      </c>
      <c r="F5" s="43" t="str">
        <f t="shared" si="3"/>
        <v/>
      </c>
      <c r="G5" s="43" t="str">
        <f t="shared" si="3"/>
        <v/>
      </c>
      <c r="H5" s="43" t="str">
        <f t="shared" si="3"/>
        <v/>
      </c>
      <c r="I5" s="43" t="str">
        <f t="shared" si="3"/>
        <v/>
      </c>
      <c r="J5" s="43" t="str">
        <f t="shared" si="3"/>
        <v/>
      </c>
      <c r="K5" s="43" t="str">
        <f t="shared" si="3"/>
        <v/>
      </c>
      <c r="L5" s="43" t="str">
        <f t="shared" si="3"/>
        <v/>
      </c>
      <c r="M5" s="43" t="str">
        <f t="shared" si="3"/>
        <v/>
      </c>
      <c r="N5" s="43" t="str">
        <f t="shared" si="3"/>
        <v/>
      </c>
      <c r="O5" s="43" t="str">
        <f t="shared" si="4"/>
        <v/>
      </c>
      <c r="P5" s="43" t="str">
        <f t="shared" si="4"/>
        <v/>
      </c>
      <c r="Q5" s="43" t="str">
        <f t="shared" si="4"/>
        <v/>
      </c>
      <c r="R5" s="43" t="str">
        <f t="shared" si="4"/>
        <v/>
      </c>
      <c r="S5" s="43" t="str">
        <f t="shared" si="4"/>
        <v/>
      </c>
      <c r="T5" s="43" t="str">
        <f t="shared" si="4"/>
        <v/>
      </c>
      <c r="U5" s="43" t="str">
        <f t="shared" si="4"/>
        <v/>
      </c>
      <c r="V5" s="43" t="str">
        <f t="shared" si="4"/>
        <v/>
      </c>
      <c r="W5" s="43" t="str">
        <f t="shared" si="4"/>
        <v/>
      </c>
      <c r="X5" s="43">
        <f t="shared" si="4"/>
        <v>1</v>
      </c>
      <c r="Y5" s="43">
        <f t="shared" si="5"/>
        <v>1</v>
      </c>
      <c r="Z5" s="43">
        <f t="shared" si="5"/>
        <v>1</v>
      </c>
      <c r="AA5" s="43">
        <f t="shared" si="5"/>
        <v>1</v>
      </c>
      <c r="AB5" s="43">
        <f t="shared" si="5"/>
        <v>1</v>
      </c>
      <c r="AC5" s="43">
        <f t="shared" si="5"/>
        <v>1</v>
      </c>
      <c r="AD5" s="43">
        <f t="shared" si="5"/>
        <v>1</v>
      </c>
      <c r="AE5" s="43">
        <f t="shared" si="5"/>
        <v>1</v>
      </c>
      <c r="AF5" s="43">
        <f t="shared" si="5"/>
        <v>1</v>
      </c>
      <c r="AG5" s="43">
        <f t="shared" si="5"/>
        <v>1</v>
      </c>
      <c r="AH5" s="43">
        <f t="shared" si="5"/>
        <v>1</v>
      </c>
      <c r="AI5" s="49" t="str">
        <f t="shared" si="5"/>
        <v/>
      </c>
      <c r="AJ5" s="63">
        <f t="shared" si="6"/>
        <v>11</v>
      </c>
      <c r="AK5" s="131">
        <f>IFERROR(INDEX(T_Réservation[Montant net],MATCH($A5,T_Réservation[Code],0))/INDEX(T_Réservation[Durée du séjour],MATCH($A5,T_Réservation[Code],0))*AJ5,"")</f>
        <v>55</v>
      </c>
    </row>
    <row r="6" spans="1:39" ht="20.100000000000001" customHeight="1">
      <c r="A6" s="40" t="s">
        <v>86</v>
      </c>
      <c r="B6" s="130">
        <f>IFERROR(INDEX(T_Réservation[Début séjour],MATCH($A6,T_Réservation[Code],0)),"")</f>
        <v>43694</v>
      </c>
      <c r="C6" s="130">
        <f>IFERROR(INDEX(T_Réservation[Fin séjour],MATCH($A6,T_Réservation[Code],0))-1,"")</f>
        <v>43705</v>
      </c>
      <c r="D6" s="48" t="str">
        <f>IFERROR(INDEX(T_Réservation[Type],MATCH($A6,T_Réservation[Code],0)),"")</f>
        <v>Oiseau</v>
      </c>
      <c r="E6" s="54" t="str">
        <f t="shared" si="3"/>
        <v/>
      </c>
      <c r="F6" s="41" t="str">
        <f t="shared" si="3"/>
        <v/>
      </c>
      <c r="G6" s="41" t="str">
        <f t="shared" si="3"/>
        <v/>
      </c>
      <c r="H6" s="41" t="str">
        <f t="shared" si="3"/>
        <v/>
      </c>
      <c r="I6" s="41" t="str">
        <f t="shared" si="3"/>
        <v/>
      </c>
      <c r="J6" s="41" t="str">
        <f t="shared" si="3"/>
        <v/>
      </c>
      <c r="K6" s="41" t="str">
        <f t="shared" si="3"/>
        <v/>
      </c>
      <c r="L6" s="41" t="str">
        <f t="shared" si="3"/>
        <v/>
      </c>
      <c r="M6" s="41" t="str">
        <f t="shared" si="3"/>
        <v/>
      </c>
      <c r="N6" s="41" t="str">
        <f t="shared" si="3"/>
        <v/>
      </c>
      <c r="O6" s="41" t="str">
        <f t="shared" si="4"/>
        <v/>
      </c>
      <c r="P6" s="41" t="str">
        <f t="shared" si="4"/>
        <v/>
      </c>
      <c r="Q6" s="41" t="str">
        <f t="shared" si="4"/>
        <v/>
      </c>
      <c r="R6" s="41" t="str">
        <f t="shared" si="4"/>
        <v/>
      </c>
      <c r="S6" s="41" t="str">
        <f t="shared" si="4"/>
        <v/>
      </c>
      <c r="T6" s="41" t="str">
        <f t="shared" si="4"/>
        <v/>
      </c>
      <c r="U6" s="41">
        <f t="shared" si="4"/>
        <v>1</v>
      </c>
      <c r="V6" s="41">
        <f t="shared" si="4"/>
        <v>1</v>
      </c>
      <c r="W6" s="41">
        <f t="shared" si="4"/>
        <v>1</v>
      </c>
      <c r="X6" s="41">
        <f t="shared" si="4"/>
        <v>1</v>
      </c>
      <c r="Y6" s="41">
        <f t="shared" si="5"/>
        <v>1</v>
      </c>
      <c r="Z6" s="41">
        <f t="shared" si="5"/>
        <v>1</v>
      </c>
      <c r="AA6" s="41">
        <f t="shared" si="5"/>
        <v>1</v>
      </c>
      <c r="AB6" s="41">
        <f t="shared" si="5"/>
        <v>1</v>
      </c>
      <c r="AC6" s="41">
        <f t="shared" si="5"/>
        <v>1</v>
      </c>
      <c r="AD6" s="41">
        <f t="shared" si="5"/>
        <v>1</v>
      </c>
      <c r="AE6" s="41">
        <f t="shared" si="5"/>
        <v>1</v>
      </c>
      <c r="AF6" s="41">
        <f t="shared" si="5"/>
        <v>1</v>
      </c>
      <c r="AG6" s="41" t="str">
        <f t="shared" si="5"/>
        <v/>
      </c>
      <c r="AH6" s="41" t="str">
        <f t="shared" si="5"/>
        <v/>
      </c>
      <c r="AI6" s="59" t="str">
        <f t="shared" si="5"/>
        <v/>
      </c>
      <c r="AJ6" s="63">
        <f t="shared" si="6"/>
        <v>12</v>
      </c>
      <c r="AK6" s="131">
        <f>IFERROR(INDEX(T_Réservation[Montant net],MATCH($A6,T_Réservation[Code],0))/INDEX(T_Réservation[Durée du séjour],MATCH($A6,T_Réservation[Code],0))*AJ6,"")</f>
        <v>108</v>
      </c>
    </row>
    <row r="7" spans="1:39" ht="20.100000000000001" customHeight="1">
      <c r="A7" s="39" t="s">
        <v>87</v>
      </c>
      <c r="B7" s="132">
        <f>IFERROR(INDEX(T_Réservation[Début séjour],MATCH($A7,T_Réservation[Code],0)),"")</f>
        <v>43702</v>
      </c>
      <c r="C7" s="132">
        <f>IFERROR(INDEX(T_Réservation[Fin séjour],MATCH($A7,T_Réservation[Code],0))-1,"")</f>
        <v>43702</v>
      </c>
      <c r="D7" s="49" t="str">
        <f>IFERROR(INDEX(T_Réservation[Type],MATCH($A7,T_Réservation[Code],0)),"")</f>
        <v>Chien</v>
      </c>
      <c r="E7" s="55" t="str">
        <f t="shared" si="3"/>
        <v/>
      </c>
      <c r="F7" s="43" t="str">
        <f t="shared" si="3"/>
        <v/>
      </c>
      <c r="G7" s="43" t="str">
        <f t="shared" si="3"/>
        <v/>
      </c>
      <c r="H7" s="43" t="str">
        <f t="shared" si="3"/>
        <v/>
      </c>
      <c r="I7" s="43" t="str">
        <f t="shared" si="3"/>
        <v/>
      </c>
      <c r="J7" s="43" t="str">
        <f t="shared" si="3"/>
        <v/>
      </c>
      <c r="K7" s="43" t="str">
        <f t="shared" si="3"/>
        <v/>
      </c>
      <c r="L7" s="43" t="str">
        <f t="shared" si="3"/>
        <v/>
      </c>
      <c r="M7" s="43" t="str">
        <f t="shared" si="3"/>
        <v/>
      </c>
      <c r="N7" s="43" t="str">
        <f t="shared" si="3"/>
        <v/>
      </c>
      <c r="O7" s="43" t="str">
        <f t="shared" si="4"/>
        <v/>
      </c>
      <c r="P7" s="43" t="str">
        <f t="shared" si="4"/>
        <v/>
      </c>
      <c r="Q7" s="43" t="str">
        <f t="shared" si="4"/>
        <v/>
      </c>
      <c r="R7" s="43" t="str">
        <f t="shared" si="4"/>
        <v/>
      </c>
      <c r="S7" s="43" t="str">
        <f t="shared" si="4"/>
        <v/>
      </c>
      <c r="T7" s="43" t="str">
        <f t="shared" si="4"/>
        <v/>
      </c>
      <c r="U7" s="43" t="str">
        <f t="shared" si="4"/>
        <v/>
      </c>
      <c r="V7" s="43" t="str">
        <f t="shared" si="4"/>
        <v/>
      </c>
      <c r="W7" s="43" t="str">
        <f t="shared" si="4"/>
        <v/>
      </c>
      <c r="X7" s="43" t="str">
        <f t="shared" si="4"/>
        <v/>
      </c>
      <c r="Y7" s="43" t="str">
        <f t="shared" si="5"/>
        <v/>
      </c>
      <c r="Z7" s="43" t="str">
        <f t="shared" si="5"/>
        <v/>
      </c>
      <c r="AA7" s="43" t="str">
        <f t="shared" si="5"/>
        <v/>
      </c>
      <c r="AB7" s="43" t="str">
        <f t="shared" si="5"/>
        <v/>
      </c>
      <c r="AC7" s="43">
        <f t="shared" si="5"/>
        <v>1</v>
      </c>
      <c r="AD7" s="43" t="str">
        <f t="shared" si="5"/>
        <v/>
      </c>
      <c r="AE7" s="43" t="str">
        <f t="shared" si="5"/>
        <v/>
      </c>
      <c r="AF7" s="43" t="str">
        <f t="shared" si="5"/>
        <v/>
      </c>
      <c r="AG7" s="43" t="str">
        <f t="shared" si="5"/>
        <v/>
      </c>
      <c r="AH7" s="43" t="str">
        <f t="shared" si="5"/>
        <v/>
      </c>
      <c r="AI7" s="60" t="str">
        <f t="shared" si="5"/>
        <v/>
      </c>
      <c r="AJ7" s="63">
        <f t="shared" si="6"/>
        <v>1</v>
      </c>
      <c r="AK7" s="131">
        <f>IFERROR(INDEX(T_Réservation[Montant net],MATCH($A7,T_Réservation[Code],0))/INDEX(T_Réservation[Durée du séjour],MATCH($A7,T_Réservation[Code],0))*AJ7,"")</f>
        <v>15</v>
      </c>
      <c r="AM7" s="14"/>
    </row>
    <row r="8" spans="1:39" ht="20.100000000000001" customHeight="1">
      <c r="A8" s="40" t="s">
        <v>150</v>
      </c>
      <c r="B8" s="130">
        <f>IFERROR(INDEX(T_Réservation[Début séjour],MATCH($A8,T_Réservation[Code],0)),"")</f>
        <v>43703</v>
      </c>
      <c r="C8" s="130">
        <f>IFERROR(INDEX(T_Réservation[Fin séjour],MATCH($A8,T_Réservation[Code],0))-1,"")</f>
        <v>43717</v>
      </c>
      <c r="D8" s="48" t="str">
        <f>IFERROR(INDEX(T_Réservation[Type],MATCH($A8,T_Réservation[Code],0)),"")</f>
        <v>NAC</v>
      </c>
      <c r="E8" s="54" t="str">
        <f t="shared" si="3"/>
        <v/>
      </c>
      <c r="F8" s="41" t="str">
        <f t="shared" si="3"/>
        <v/>
      </c>
      <c r="G8" s="41" t="str">
        <f t="shared" si="3"/>
        <v/>
      </c>
      <c r="H8" s="41" t="str">
        <f t="shared" si="3"/>
        <v/>
      </c>
      <c r="I8" s="41" t="str">
        <f t="shared" si="3"/>
        <v/>
      </c>
      <c r="J8" s="41" t="str">
        <f t="shared" si="3"/>
        <v/>
      </c>
      <c r="K8" s="41" t="str">
        <f t="shared" si="3"/>
        <v/>
      </c>
      <c r="L8" s="41" t="str">
        <f t="shared" si="3"/>
        <v/>
      </c>
      <c r="M8" s="41" t="str">
        <f t="shared" si="3"/>
        <v/>
      </c>
      <c r="N8" s="41" t="str">
        <f t="shared" si="3"/>
        <v/>
      </c>
      <c r="O8" s="41" t="str">
        <f t="shared" si="4"/>
        <v/>
      </c>
      <c r="P8" s="41" t="str">
        <f t="shared" si="4"/>
        <v/>
      </c>
      <c r="Q8" s="41" t="str">
        <f t="shared" si="4"/>
        <v/>
      </c>
      <c r="R8" s="41" t="str">
        <f t="shared" si="4"/>
        <v/>
      </c>
      <c r="S8" s="41" t="str">
        <f t="shared" si="4"/>
        <v/>
      </c>
      <c r="T8" s="41" t="str">
        <f t="shared" si="4"/>
        <v/>
      </c>
      <c r="U8" s="41" t="str">
        <f t="shared" si="4"/>
        <v/>
      </c>
      <c r="V8" s="41" t="str">
        <f t="shared" si="4"/>
        <v/>
      </c>
      <c r="W8" s="41" t="str">
        <f t="shared" si="4"/>
        <v/>
      </c>
      <c r="X8" s="41" t="str">
        <f t="shared" si="4"/>
        <v/>
      </c>
      <c r="Y8" s="41" t="str">
        <f t="shared" si="5"/>
        <v/>
      </c>
      <c r="Z8" s="41" t="str">
        <f t="shared" si="5"/>
        <v/>
      </c>
      <c r="AA8" s="41" t="str">
        <f t="shared" si="5"/>
        <v/>
      </c>
      <c r="AB8" s="41" t="str">
        <f t="shared" si="5"/>
        <v/>
      </c>
      <c r="AC8" s="41" t="str">
        <f t="shared" si="5"/>
        <v/>
      </c>
      <c r="AD8" s="41">
        <f t="shared" si="5"/>
        <v>1</v>
      </c>
      <c r="AE8" s="41">
        <f t="shared" si="5"/>
        <v>1</v>
      </c>
      <c r="AF8" s="41">
        <f t="shared" si="5"/>
        <v>1</v>
      </c>
      <c r="AG8" s="41">
        <f t="shared" si="5"/>
        <v>1</v>
      </c>
      <c r="AH8" s="41">
        <f t="shared" si="5"/>
        <v>1</v>
      </c>
      <c r="AI8" s="59">
        <f t="shared" si="5"/>
        <v>1</v>
      </c>
      <c r="AJ8" s="63">
        <f t="shared" si="6"/>
        <v>6</v>
      </c>
      <c r="AK8" s="131">
        <f>IFERROR(INDEX(T_Réservation[Montant net],MATCH($A8,T_Réservation[Code],0))/INDEX(T_Réservation[Durée du séjour],MATCH($A8,T_Réservation[Code],0))*AJ8,"")</f>
        <v>84</v>
      </c>
    </row>
    <row r="9" spans="1:39" ht="20.100000000000001" customHeight="1">
      <c r="A9" s="39"/>
      <c r="B9" s="132" t="str">
        <f>IFERROR(INDEX(T_Réservation[Début séjour],MATCH($A9,T_Réservation[Code],0)),"")</f>
        <v/>
      </c>
      <c r="C9" s="132" t="str">
        <f>IFERROR(INDEX(T_Réservation[Fin séjour],MATCH($A9,T_Réservation[Code],0))-1,"")</f>
        <v/>
      </c>
      <c r="D9" s="49" t="str">
        <f>IFERROR(INDEX(T_Réservation[Type],MATCH($A9,T_Réservation[Code],0)),"")</f>
        <v/>
      </c>
      <c r="E9" s="55" t="str">
        <f t="shared" si="3"/>
        <v/>
      </c>
      <c r="F9" s="43" t="str">
        <f t="shared" si="3"/>
        <v/>
      </c>
      <c r="G9" s="43" t="str">
        <f t="shared" si="3"/>
        <v/>
      </c>
      <c r="H9" s="43" t="str">
        <f t="shared" si="3"/>
        <v/>
      </c>
      <c r="I9" s="43" t="str">
        <f t="shared" si="3"/>
        <v/>
      </c>
      <c r="J9" s="43" t="str">
        <f t="shared" si="3"/>
        <v/>
      </c>
      <c r="K9" s="43" t="str">
        <f t="shared" si="3"/>
        <v/>
      </c>
      <c r="L9" s="43" t="str">
        <f t="shared" si="3"/>
        <v/>
      </c>
      <c r="M9" s="43" t="str">
        <f t="shared" si="3"/>
        <v/>
      </c>
      <c r="N9" s="43" t="str">
        <f t="shared" si="3"/>
        <v/>
      </c>
      <c r="O9" s="43" t="str">
        <f t="shared" si="4"/>
        <v/>
      </c>
      <c r="P9" s="43" t="str">
        <f t="shared" si="4"/>
        <v/>
      </c>
      <c r="Q9" s="43" t="str">
        <f t="shared" si="4"/>
        <v/>
      </c>
      <c r="R9" s="43" t="str">
        <f t="shared" si="4"/>
        <v/>
      </c>
      <c r="S9" s="43" t="str">
        <f t="shared" si="4"/>
        <v/>
      </c>
      <c r="T9" s="43" t="str">
        <f t="shared" si="4"/>
        <v/>
      </c>
      <c r="U9" s="43" t="str">
        <f t="shared" si="4"/>
        <v/>
      </c>
      <c r="V9" s="43" t="str">
        <f t="shared" si="4"/>
        <v/>
      </c>
      <c r="W9" s="43" t="str">
        <f t="shared" si="4"/>
        <v/>
      </c>
      <c r="X9" s="43" t="str">
        <f t="shared" si="4"/>
        <v/>
      </c>
      <c r="Y9" s="43" t="str">
        <f t="shared" si="5"/>
        <v/>
      </c>
      <c r="Z9" s="43" t="str">
        <f t="shared" si="5"/>
        <v/>
      </c>
      <c r="AA9" s="43" t="str">
        <f t="shared" si="5"/>
        <v/>
      </c>
      <c r="AB9" s="43" t="str">
        <f t="shared" si="5"/>
        <v/>
      </c>
      <c r="AC9" s="43" t="str">
        <f t="shared" si="5"/>
        <v/>
      </c>
      <c r="AD9" s="43" t="str">
        <f t="shared" si="5"/>
        <v/>
      </c>
      <c r="AE9" s="43" t="str">
        <f t="shared" si="5"/>
        <v/>
      </c>
      <c r="AF9" s="43" t="str">
        <f t="shared" si="5"/>
        <v/>
      </c>
      <c r="AG9" s="43" t="str">
        <f t="shared" si="5"/>
        <v/>
      </c>
      <c r="AH9" s="43" t="str">
        <f t="shared" si="5"/>
        <v/>
      </c>
      <c r="AI9" s="60" t="str">
        <f t="shared" si="5"/>
        <v/>
      </c>
      <c r="AJ9" s="63" t="str">
        <f t="shared" si="6"/>
        <v/>
      </c>
      <c r="AK9" s="131" t="str">
        <f>IFERROR(INDEX(T_Réservation[Montant net],MATCH($A9,T_Réservation[Code],0))/INDEX(T_Réservation[Durée du séjour],MATCH($A9,T_Réservation[Code],0))*AJ9,"")</f>
        <v/>
      </c>
    </row>
    <row r="10" spans="1:39" ht="20.100000000000001" customHeight="1">
      <c r="A10" s="40"/>
      <c r="B10" s="130" t="str">
        <f>IFERROR(INDEX(T_Réservation[Début séjour],MATCH($A10,T_Réservation[Code],0)),"")</f>
        <v/>
      </c>
      <c r="C10" s="130" t="str">
        <f>IFERROR(INDEX(T_Réservation[Fin séjour],MATCH($A10,T_Réservation[Code],0))-1,"")</f>
        <v/>
      </c>
      <c r="D10" s="48" t="str">
        <f>IFERROR(INDEX(T_Réservation[Type],MATCH($A10,T_Réservation[Code],0)),"")</f>
        <v/>
      </c>
      <c r="E10" s="54" t="str">
        <f t="shared" si="3"/>
        <v/>
      </c>
      <c r="F10" s="41" t="str">
        <f t="shared" si="3"/>
        <v/>
      </c>
      <c r="G10" s="41" t="str">
        <f t="shared" si="3"/>
        <v/>
      </c>
      <c r="H10" s="41" t="str">
        <f t="shared" si="3"/>
        <v/>
      </c>
      <c r="I10" s="41" t="str">
        <f t="shared" si="3"/>
        <v/>
      </c>
      <c r="J10" s="41" t="str">
        <f t="shared" si="3"/>
        <v/>
      </c>
      <c r="K10" s="41" t="str">
        <f t="shared" si="3"/>
        <v/>
      </c>
      <c r="L10" s="41" t="str">
        <f t="shared" si="3"/>
        <v/>
      </c>
      <c r="M10" s="41" t="str">
        <f t="shared" si="3"/>
        <v/>
      </c>
      <c r="N10" s="41" t="str">
        <f t="shared" si="3"/>
        <v/>
      </c>
      <c r="O10" s="41" t="str">
        <f t="shared" si="4"/>
        <v/>
      </c>
      <c r="P10" s="41" t="str">
        <f t="shared" si="4"/>
        <v/>
      </c>
      <c r="Q10" s="41" t="str">
        <f t="shared" si="4"/>
        <v/>
      </c>
      <c r="R10" s="41" t="str">
        <f t="shared" si="4"/>
        <v/>
      </c>
      <c r="S10" s="41" t="str">
        <f t="shared" si="4"/>
        <v/>
      </c>
      <c r="T10" s="41" t="str">
        <f t="shared" si="4"/>
        <v/>
      </c>
      <c r="U10" s="41" t="str">
        <f t="shared" si="4"/>
        <v/>
      </c>
      <c r="V10" s="41" t="str">
        <f t="shared" si="4"/>
        <v/>
      </c>
      <c r="W10" s="41" t="str">
        <f t="shared" si="4"/>
        <v/>
      </c>
      <c r="X10" s="41" t="str">
        <f t="shared" si="4"/>
        <v/>
      </c>
      <c r="Y10" s="41" t="str">
        <f t="shared" si="5"/>
        <v/>
      </c>
      <c r="Z10" s="41" t="str">
        <f t="shared" si="5"/>
        <v/>
      </c>
      <c r="AA10" s="41" t="str">
        <f t="shared" si="5"/>
        <v/>
      </c>
      <c r="AB10" s="41" t="str">
        <f t="shared" si="5"/>
        <v/>
      </c>
      <c r="AC10" s="41" t="str">
        <f t="shared" si="5"/>
        <v/>
      </c>
      <c r="AD10" s="41" t="str">
        <f t="shared" si="5"/>
        <v/>
      </c>
      <c r="AE10" s="41" t="str">
        <f t="shared" si="5"/>
        <v/>
      </c>
      <c r="AF10" s="41" t="str">
        <f t="shared" si="5"/>
        <v/>
      </c>
      <c r="AG10" s="41" t="str">
        <f t="shared" si="5"/>
        <v/>
      </c>
      <c r="AH10" s="41" t="str">
        <f t="shared" si="5"/>
        <v/>
      </c>
      <c r="AI10" s="59" t="str">
        <f t="shared" si="5"/>
        <v/>
      </c>
      <c r="AJ10" s="63" t="str">
        <f t="shared" si="6"/>
        <v/>
      </c>
      <c r="AK10" s="131" t="str">
        <f>IFERROR(INDEX(T_Réservation[Montant net],MATCH($A10,T_Réservation[Code],0))/INDEX(T_Réservation[Durée du séjour],MATCH($A10,T_Réservation[Code],0))*AJ10,"")</f>
        <v/>
      </c>
    </row>
    <row r="11" spans="1:39" ht="20.100000000000001" customHeight="1">
      <c r="A11" s="39"/>
      <c r="B11" s="132" t="str">
        <f>IFERROR(INDEX(T_Réservation[Début séjour],MATCH($A11,T_Réservation[Code],0)),"")</f>
        <v/>
      </c>
      <c r="C11" s="132" t="str">
        <f>IFERROR(INDEX(T_Réservation[Fin séjour],MATCH($A11,T_Réservation[Code],0))-1,"")</f>
        <v/>
      </c>
      <c r="D11" s="49" t="str">
        <f>IFERROR(INDEX(T_Réservation[Type],MATCH($A11,T_Réservation[Code],0)),"")</f>
        <v/>
      </c>
      <c r="E11" s="55" t="str">
        <f t="shared" si="3"/>
        <v/>
      </c>
      <c r="F11" s="43" t="str">
        <f t="shared" si="3"/>
        <v/>
      </c>
      <c r="G11" s="43" t="str">
        <f t="shared" si="3"/>
        <v/>
      </c>
      <c r="H11" s="43" t="str">
        <f t="shared" si="3"/>
        <v/>
      </c>
      <c r="I11" s="43" t="str">
        <f t="shared" si="3"/>
        <v/>
      </c>
      <c r="J11" s="43" t="str">
        <f t="shared" si="3"/>
        <v/>
      </c>
      <c r="K11" s="43" t="str">
        <f t="shared" si="3"/>
        <v/>
      </c>
      <c r="L11" s="43" t="str">
        <f t="shared" si="3"/>
        <v/>
      </c>
      <c r="M11" s="43" t="str">
        <f t="shared" si="3"/>
        <v/>
      </c>
      <c r="N11" s="43" t="str">
        <f t="shared" si="3"/>
        <v/>
      </c>
      <c r="O11" s="43" t="str">
        <f t="shared" si="4"/>
        <v/>
      </c>
      <c r="P11" s="43" t="str">
        <f t="shared" si="4"/>
        <v/>
      </c>
      <c r="Q11" s="43" t="str">
        <f t="shared" si="4"/>
        <v/>
      </c>
      <c r="R11" s="43" t="str">
        <f t="shared" si="4"/>
        <v/>
      </c>
      <c r="S11" s="43" t="str">
        <f t="shared" si="4"/>
        <v/>
      </c>
      <c r="T11" s="43" t="str">
        <f t="shared" si="4"/>
        <v/>
      </c>
      <c r="U11" s="43" t="str">
        <f t="shared" si="4"/>
        <v/>
      </c>
      <c r="V11" s="43" t="str">
        <f t="shared" si="4"/>
        <v/>
      </c>
      <c r="W11" s="43" t="str">
        <f t="shared" si="4"/>
        <v/>
      </c>
      <c r="X11" s="43" t="str">
        <f t="shared" si="4"/>
        <v/>
      </c>
      <c r="Y11" s="43" t="str">
        <f t="shared" si="5"/>
        <v/>
      </c>
      <c r="Z11" s="43" t="str">
        <f t="shared" si="5"/>
        <v/>
      </c>
      <c r="AA11" s="43" t="str">
        <f t="shared" si="5"/>
        <v/>
      </c>
      <c r="AB11" s="43" t="str">
        <f t="shared" si="5"/>
        <v/>
      </c>
      <c r="AC11" s="43" t="str">
        <f t="shared" si="5"/>
        <v/>
      </c>
      <c r="AD11" s="43" t="str">
        <f t="shared" si="5"/>
        <v/>
      </c>
      <c r="AE11" s="43" t="str">
        <f t="shared" si="5"/>
        <v/>
      </c>
      <c r="AF11" s="43" t="str">
        <f t="shared" si="5"/>
        <v/>
      </c>
      <c r="AG11" s="43" t="str">
        <f t="shared" si="5"/>
        <v/>
      </c>
      <c r="AH11" s="43" t="str">
        <f t="shared" si="5"/>
        <v/>
      </c>
      <c r="AI11" s="60" t="str">
        <f t="shared" si="5"/>
        <v/>
      </c>
      <c r="AJ11" s="63" t="str">
        <f t="shared" si="6"/>
        <v/>
      </c>
      <c r="AK11" s="131" t="str">
        <f>IFERROR(INDEX(T_Réservation[Montant net],MATCH($A11,T_Réservation[Code],0))/INDEX(T_Réservation[Durée du séjour],MATCH($A11,T_Réservation[Code],0))*AJ11,"")</f>
        <v/>
      </c>
    </row>
    <row r="12" spans="1:39" ht="20.100000000000001" customHeight="1">
      <c r="A12" s="40"/>
      <c r="B12" s="130" t="str">
        <f>IFERROR(INDEX(T_Réservation[Début séjour],MATCH($A12,T_Réservation[Code],0)),"")</f>
        <v/>
      </c>
      <c r="C12" s="130" t="str">
        <f>IFERROR(INDEX(T_Réservation[Fin séjour],MATCH($A12,T_Réservation[Code],0))-1,"")</f>
        <v/>
      </c>
      <c r="D12" s="48" t="str">
        <f>IFERROR(INDEX(T_Réservation[Type],MATCH($A12,T_Réservation[Code],0)),"")</f>
        <v/>
      </c>
      <c r="E12" s="54" t="str">
        <f t="shared" si="3"/>
        <v/>
      </c>
      <c r="F12" s="41" t="str">
        <f t="shared" si="3"/>
        <v/>
      </c>
      <c r="G12" s="41" t="str">
        <f t="shared" si="3"/>
        <v/>
      </c>
      <c r="H12" s="41" t="str">
        <f t="shared" si="3"/>
        <v/>
      </c>
      <c r="I12" s="41" t="str">
        <f t="shared" si="3"/>
        <v/>
      </c>
      <c r="J12" s="41" t="str">
        <f t="shared" si="3"/>
        <v/>
      </c>
      <c r="K12" s="41" t="str">
        <f t="shared" si="3"/>
        <v/>
      </c>
      <c r="L12" s="41" t="str">
        <f t="shared" si="3"/>
        <v/>
      </c>
      <c r="M12" s="41" t="str">
        <f t="shared" si="3"/>
        <v/>
      </c>
      <c r="N12" s="41" t="str">
        <f t="shared" si="3"/>
        <v/>
      </c>
      <c r="O12" s="41" t="str">
        <f t="shared" si="4"/>
        <v/>
      </c>
      <c r="P12" s="41" t="str">
        <f t="shared" si="4"/>
        <v/>
      </c>
      <c r="Q12" s="41" t="str">
        <f t="shared" si="4"/>
        <v/>
      </c>
      <c r="R12" s="41" t="str">
        <f t="shared" si="4"/>
        <v/>
      </c>
      <c r="S12" s="41" t="str">
        <f t="shared" si="4"/>
        <v/>
      </c>
      <c r="T12" s="41" t="str">
        <f t="shared" si="4"/>
        <v/>
      </c>
      <c r="U12" s="41" t="str">
        <f t="shared" si="4"/>
        <v/>
      </c>
      <c r="V12" s="41" t="str">
        <f t="shared" si="4"/>
        <v/>
      </c>
      <c r="W12" s="41" t="str">
        <f t="shared" si="4"/>
        <v/>
      </c>
      <c r="X12" s="41" t="str">
        <f t="shared" si="4"/>
        <v/>
      </c>
      <c r="Y12" s="41" t="str">
        <f t="shared" si="5"/>
        <v/>
      </c>
      <c r="Z12" s="41" t="str">
        <f t="shared" si="5"/>
        <v/>
      </c>
      <c r="AA12" s="41" t="str">
        <f t="shared" si="5"/>
        <v/>
      </c>
      <c r="AB12" s="41" t="str">
        <f t="shared" si="5"/>
        <v/>
      </c>
      <c r="AC12" s="41" t="str">
        <f t="shared" si="5"/>
        <v/>
      </c>
      <c r="AD12" s="41" t="str">
        <f t="shared" si="5"/>
        <v/>
      </c>
      <c r="AE12" s="41" t="str">
        <f t="shared" si="5"/>
        <v/>
      </c>
      <c r="AF12" s="41" t="str">
        <f t="shared" si="5"/>
        <v/>
      </c>
      <c r="AG12" s="41" t="str">
        <f t="shared" si="5"/>
        <v/>
      </c>
      <c r="AH12" s="41" t="str">
        <f t="shared" si="5"/>
        <v/>
      </c>
      <c r="AI12" s="59" t="str">
        <f t="shared" si="5"/>
        <v/>
      </c>
      <c r="AJ12" s="63" t="str">
        <f t="shared" si="6"/>
        <v/>
      </c>
      <c r="AK12" s="131" t="str">
        <f>IFERROR(INDEX(T_Réservation[Montant net],MATCH($A12,T_Réservation[Code],0))/INDEX(T_Réservation[Durée du séjour],MATCH($A12,T_Réservation[Code],0))*AJ12,"")</f>
        <v/>
      </c>
    </row>
    <row r="13" spans="1:39" ht="20.100000000000001" customHeight="1">
      <c r="A13" s="39"/>
      <c r="B13" s="132" t="str">
        <f>IFERROR(INDEX(T_Réservation[Début séjour],MATCH($A13,T_Réservation[Code],0)),"")</f>
        <v/>
      </c>
      <c r="C13" s="132" t="str">
        <f>IFERROR(INDEX(T_Réservation[Fin séjour],MATCH($A13,T_Réservation[Code],0))-1,"")</f>
        <v/>
      </c>
      <c r="D13" s="49" t="str">
        <f>IFERROR(INDEX(T_Réservation[Type],MATCH($A13,T_Réservation[Code],0)),"")</f>
        <v/>
      </c>
      <c r="E13" s="55" t="str">
        <f t="shared" ref="E13:N24" si="7">IF(AND(E$2&lt;=$C13,E$2&gt;=$B13),1,"")</f>
        <v/>
      </c>
      <c r="F13" s="43" t="str">
        <f t="shared" si="7"/>
        <v/>
      </c>
      <c r="G13" s="43" t="str">
        <f t="shared" si="7"/>
        <v/>
      </c>
      <c r="H13" s="43" t="str">
        <f t="shared" si="7"/>
        <v/>
      </c>
      <c r="I13" s="43" t="str">
        <f t="shared" si="7"/>
        <v/>
      </c>
      <c r="J13" s="43" t="str">
        <f t="shared" si="7"/>
        <v/>
      </c>
      <c r="K13" s="43" t="str">
        <f t="shared" si="7"/>
        <v/>
      </c>
      <c r="L13" s="43" t="str">
        <f t="shared" si="7"/>
        <v/>
      </c>
      <c r="M13" s="43" t="str">
        <f t="shared" si="7"/>
        <v/>
      </c>
      <c r="N13" s="43" t="str">
        <f t="shared" si="7"/>
        <v/>
      </c>
      <c r="O13" s="43" t="str">
        <f t="shared" ref="O13:X24" si="8">IF(AND(O$2&lt;=$C13,O$2&gt;=$B13),1,"")</f>
        <v/>
      </c>
      <c r="P13" s="43" t="str">
        <f t="shared" si="8"/>
        <v/>
      </c>
      <c r="Q13" s="43" t="str">
        <f t="shared" si="8"/>
        <v/>
      </c>
      <c r="R13" s="43" t="str">
        <f t="shared" si="8"/>
        <v/>
      </c>
      <c r="S13" s="43" t="str">
        <f t="shared" si="8"/>
        <v/>
      </c>
      <c r="T13" s="43" t="str">
        <f t="shared" si="8"/>
        <v/>
      </c>
      <c r="U13" s="43" t="str">
        <f t="shared" si="8"/>
        <v/>
      </c>
      <c r="V13" s="43" t="str">
        <f t="shared" si="8"/>
        <v/>
      </c>
      <c r="W13" s="43" t="str">
        <f t="shared" si="8"/>
        <v/>
      </c>
      <c r="X13" s="43" t="str">
        <f t="shared" si="8"/>
        <v/>
      </c>
      <c r="Y13" s="43" t="str">
        <f t="shared" ref="Y13:AI24" si="9">IF(AND(Y$2&lt;=$C13,Y$2&gt;=$B13),1,"")</f>
        <v/>
      </c>
      <c r="Z13" s="43" t="str">
        <f t="shared" si="9"/>
        <v/>
      </c>
      <c r="AA13" s="43" t="str">
        <f t="shared" si="9"/>
        <v/>
      </c>
      <c r="AB13" s="43" t="str">
        <f t="shared" si="9"/>
        <v/>
      </c>
      <c r="AC13" s="43" t="str">
        <f t="shared" si="9"/>
        <v/>
      </c>
      <c r="AD13" s="43" t="str">
        <f t="shared" si="9"/>
        <v/>
      </c>
      <c r="AE13" s="43" t="str">
        <f t="shared" si="9"/>
        <v/>
      </c>
      <c r="AF13" s="43" t="str">
        <f t="shared" si="9"/>
        <v/>
      </c>
      <c r="AG13" s="43" t="str">
        <f t="shared" si="9"/>
        <v/>
      </c>
      <c r="AH13" s="43" t="str">
        <f t="shared" si="9"/>
        <v/>
      </c>
      <c r="AI13" s="60" t="str">
        <f t="shared" si="9"/>
        <v/>
      </c>
      <c r="AJ13" s="63" t="str">
        <f t="shared" si="6"/>
        <v/>
      </c>
      <c r="AK13" s="131" t="str">
        <f>IFERROR(INDEX(T_Réservation[Montant net],MATCH($A13,T_Réservation[Code],0))/INDEX(T_Réservation[Durée du séjour],MATCH($A13,T_Réservation[Code],0))*AJ13,"")</f>
        <v/>
      </c>
    </row>
    <row r="14" spans="1:39" ht="20.100000000000001" customHeight="1">
      <c r="A14" s="40"/>
      <c r="B14" s="130" t="str">
        <f>IFERROR(INDEX(T_Réservation[Début séjour],MATCH($A14,T_Réservation[Code],0)),"")</f>
        <v/>
      </c>
      <c r="C14" s="130" t="str">
        <f>IFERROR(INDEX(T_Réservation[Fin séjour],MATCH($A14,T_Réservation[Code],0))-1,"")</f>
        <v/>
      </c>
      <c r="D14" s="48" t="str">
        <f>IFERROR(INDEX(T_Réservation[Type],MATCH($A14,T_Réservation[Code],0)),"")</f>
        <v/>
      </c>
      <c r="E14" s="54" t="str">
        <f t="shared" si="7"/>
        <v/>
      </c>
      <c r="F14" s="41" t="str">
        <f t="shared" si="7"/>
        <v/>
      </c>
      <c r="G14" s="41" t="str">
        <f t="shared" si="7"/>
        <v/>
      </c>
      <c r="H14" s="41" t="str">
        <f t="shared" si="7"/>
        <v/>
      </c>
      <c r="I14" s="41" t="str">
        <f t="shared" si="7"/>
        <v/>
      </c>
      <c r="J14" s="41" t="str">
        <f t="shared" si="7"/>
        <v/>
      </c>
      <c r="K14" s="41" t="str">
        <f t="shared" si="7"/>
        <v/>
      </c>
      <c r="L14" s="41" t="str">
        <f t="shared" si="7"/>
        <v/>
      </c>
      <c r="M14" s="41" t="str">
        <f t="shared" si="7"/>
        <v/>
      </c>
      <c r="N14" s="41" t="str">
        <f t="shared" si="7"/>
        <v/>
      </c>
      <c r="O14" s="41" t="str">
        <f t="shared" si="8"/>
        <v/>
      </c>
      <c r="P14" s="41" t="str">
        <f t="shared" si="8"/>
        <v/>
      </c>
      <c r="Q14" s="41" t="str">
        <f t="shared" si="8"/>
        <v/>
      </c>
      <c r="R14" s="41" t="str">
        <f t="shared" si="8"/>
        <v/>
      </c>
      <c r="S14" s="41" t="str">
        <f t="shared" si="8"/>
        <v/>
      </c>
      <c r="T14" s="41" t="str">
        <f t="shared" si="8"/>
        <v/>
      </c>
      <c r="U14" s="41" t="str">
        <f t="shared" si="8"/>
        <v/>
      </c>
      <c r="V14" s="41" t="str">
        <f t="shared" si="8"/>
        <v/>
      </c>
      <c r="W14" s="41" t="str">
        <f t="shared" si="8"/>
        <v/>
      </c>
      <c r="X14" s="41" t="str">
        <f t="shared" si="8"/>
        <v/>
      </c>
      <c r="Y14" s="41" t="str">
        <f t="shared" si="9"/>
        <v/>
      </c>
      <c r="Z14" s="41" t="str">
        <f t="shared" si="9"/>
        <v/>
      </c>
      <c r="AA14" s="41" t="str">
        <f t="shared" si="9"/>
        <v/>
      </c>
      <c r="AB14" s="41" t="str">
        <f t="shared" si="9"/>
        <v/>
      </c>
      <c r="AC14" s="41" t="str">
        <f t="shared" si="9"/>
        <v/>
      </c>
      <c r="AD14" s="41" t="str">
        <f t="shared" si="9"/>
        <v/>
      </c>
      <c r="AE14" s="41" t="str">
        <f t="shared" si="9"/>
        <v/>
      </c>
      <c r="AF14" s="41" t="str">
        <f t="shared" si="9"/>
        <v/>
      </c>
      <c r="AG14" s="41" t="str">
        <f t="shared" si="9"/>
        <v/>
      </c>
      <c r="AH14" s="41" t="str">
        <f t="shared" si="9"/>
        <v/>
      </c>
      <c r="AI14" s="59" t="str">
        <f t="shared" si="9"/>
        <v/>
      </c>
      <c r="AJ14" s="63" t="str">
        <f t="shared" si="6"/>
        <v/>
      </c>
      <c r="AK14" s="131" t="str">
        <f>IFERROR(INDEX(T_Réservation[Montant net],MATCH($A14,T_Réservation[Code],0))/INDEX(T_Réservation[Durée du séjour],MATCH($A14,T_Réservation[Code],0))*AJ14,"")</f>
        <v/>
      </c>
    </row>
    <row r="15" spans="1:39" ht="20.100000000000001" customHeight="1">
      <c r="A15" s="39"/>
      <c r="B15" s="132" t="str">
        <f>IFERROR(INDEX(T_Réservation[Début séjour],MATCH($A15,T_Réservation[Code],0)),"")</f>
        <v/>
      </c>
      <c r="C15" s="132" t="str">
        <f>IFERROR(INDEX(T_Réservation[Fin séjour],MATCH($A15,T_Réservation[Code],0))-1,"")</f>
        <v/>
      </c>
      <c r="D15" s="49" t="str">
        <f>IFERROR(INDEX(T_Réservation[Type],MATCH($A15,T_Réservation[Code],0)),"")</f>
        <v/>
      </c>
      <c r="E15" s="55" t="str">
        <f t="shared" si="7"/>
        <v/>
      </c>
      <c r="F15" s="43" t="str">
        <f t="shared" si="7"/>
        <v/>
      </c>
      <c r="G15" s="43" t="str">
        <f t="shared" si="7"/>
        <v/>
      </c>
      <c r="H15" s="43" t="str">
        <f t="shared" si="7"/>
        <v/>
      </c>
      <c r="I15" s="43" t="str">
        <f t="shared" si="7"/>
        <v/>
      </c>
      <c r="J15" s="43" t="str">
        <f t="shared" si="7"/>
        <v/>
      </c>
      <c r="K15" s="43" t="str">
        <f t="shared" si="7"/>
        <v/>
      </c>
      <c r="L15" s="43" t="str">
        <f t="shared" si="7"/>
        <v/>
      </c>
      <c r="M15" s="43" t="str">
        <f t="shared" si="7"/>
        <v/>
      </c>
      <c r="N15" s="43" t="str">
        <f t="shared" si="7"/>
        <v/>
      </c>
      <c r="O15" s="43" t="str">
        <f t="shared" si="8"/>
        <v/>
      </c>
      <c r="P15" s="43" t="str">
        <f t="shared" si="8"/>
        <v/>
      </c>
      <c r="Q15" s="43" t="str">
        <f t="shared" si="8"/>
        <v/>
      </c>
      <c r="R15" s="43" t="str">
        <f t="shared" si="8"/>
        <v/>
      </c>
      <c r="S15" s="43" t="str">
        <f t="shared" si="8"/>
        <v/>
      </c>
      <c r="T15" s="43" t="str">
        <f t="shared" si="8"/>
        <v/>
      </c>
      <c r="U15" s="43" t="str">
        <f t="shared" si="8"/>
        <v/>
      </c>
      <c r="V15" s="43" t="str">
        <f t="shared" si="8"/>
        <v/>
      </c>
      <c r="W15" s="43" t="str">
        <f t="shared" si="8"/>
        <v/>
      </c>
      <c r="X15" s="43" t="str">
        <f t="shared" si="8"/>
        <v/>
      </c>
      <c r="Y15" s="43" t="str">
        <f t="shared" si="9"/>
        <v/>
      </c>
      <c r="Z15" s="43" t="str">
        <f t="shared" si="9"/>
        <v/>
      </c>
      <c r="AA15" s="43" t="str">
        <f t="shared" si="9"/>
        <v/>
      </c>
      <c r="AB15" s="43" t="str">
        <f t="shared" si="9"/>
        <v/>
      </c>
      <c r="AC15" s="43" t="str">
        <f t="shared" si="9"/>
        <v/>
      </c>
      <c r="AD15" s="43" t="str">
        <f t="shared" si="9"/>
        <v/>
      </c>
      <c r="AE15" s="43" t="str">
        <f t="shared" si="9"/>
        <v/>
      </c>
      <c r="AF15" s="43" t="str">
        <f t="shared" si="9"/>
        <v/>
      </c>
      <c r="AG15" s="43" t="str">
        <f t="shared" si="9"/>
        <v/>
      </c>
      <c r="AH15" s="43" t="str">
        <f t="shared" si="9"/>
        <v/>
      </c>
      <c r="AI15" s="60" t="str">
        <f t="shared" si="9"/>
        <v/>
      </c>
      <c r="AJ15" s="63" t="str">
        <f t="shared" si="6"/>
        <v/>
      </c>
      <c r="AK15" s="131" t="str">
        <f>IFERROR(INDEX(T_Réservation[Montant net],MATCH($A15,T_Réservation[Code],0))/INDEX(T_Réservation[Durée du séjour],MATCH($A15,T_Réservation[Code],0))*AJ15,"")</f>
        <v/>
      </c>
    </row>
    <row r="16" spans="1:39" ht="20.100000000000001" customHeight="1">
      <c r="A16" s="40"/>
      <c r="B16" s="130" t="str">
        <f>IFERROR(INDEX(T_Réservation[Début séjour],MATCH($A16,T_Réservation[Code],0)),"")</f>
        <v/>
      </c>
      <c r="C16" s="130" t="str">
        <f>IFERROR(INDEX(T_Réservation[Fin séjour],MATCH($A16,T_Réservation[Code],0))-1,"")</f>
        <v/>
      </c>
      <c r="D16" s="48" t="str">
        <f>IFERROR(INDEX(T_Réservation[Type],MATCH($A16,T_Réservation[Code],0)),"")</f>
        <v/>
      </c>
      <c r="E16" s="54" t="str">
        <f t="shared" si="7"/>
        <v/>
      </c>
      <c r="F16" s="41" t="str">
        <f t="shared" si="7"/>
        <v/>
      </c>
      <c r="G16" s="41" t="str">
        <f t="shared" si="7"/>
        <v/>
      </c>
      <c r="H16" s="41" t="str">
        <f t="shared" si="7"/>
        <v/>
      </c>
      <c r="I16" s="41" t="str">
        <f t="shared" si="7"/>
        <v/>
      </c>
      <c r="J16" s="41" t="str">
        <f t="shared" si="7"/>
        <v/>
      </c>
      <c r="K16" s="41" t="str">
        <f t="shared" si="7"/>
        <v/>
      </c>
      <c r="L16" s="41" t="str">
        <f t="shared" si="7"/>
        <v/>
      </c>
      <c r="M16" s="41" t="str">
        <f t="shared" si="7"/>
        <v/>
      </c>
      <c r="N16" s="41" t="str">
        <f t="shared" si="7"/>
        <v/>
      </c>
      <c r="O16" s="41" t="str">
        <f t="shared" si="8"/>
        <v/>
      </c>
      <c r="P16" s="41" t="str">
        <f t="shared" si="8"/>
        <v/>
      </c>
      <c r="Q16" s="41" t="str">
        <f t="shared" si="8"/>
        <v/>
      </c>
      <c r="R16" s="41" t="str">
        <f t="shared" si="8"/>
        <v/>
      </c>
      <c r="S16" s="41" t="str">
        <f t="shared" si="8"/>
        <v/>
      </c>
      <c r="T16" s="41" t="str">
        <f t="shared" si="8"/>
        <v/>
      </c>
      <c r="U16" s="41" t="str">
        <f t="shared" si="8"/>
        <v/>
      </c>
      <c r="V16" s="41" t="str">
        <f t="shared" si="8"/>
        <v/>
      </c>
      <c r="W16" s="41" t="str">
        <f t="shared" si="8"/>
        <v/>
      </c>
      <c r="X16" s="41" t="str">
        <f t="shared" si="8"/>
        <v/>
      </c>
      <c r="Y16" s="41" t="str">
        <f t="shared" si="9"/>
        <v/>
      </c>
      <c r="Z16" s="41" t="str">
        <f t="shared" si="9"/>
        <v/>
      </c>
      <c r="AA16" s="41" t="str">
        <f t="shared" si="9"/>
        <v/>
      </c>
      <c r="AB16" s="41" t="str">
        <f t="shared" si="9"/>
        <v/>
      </c>
      <c r="AC16" s="41" t="str">
        <f t="shared" si="9"/>
        <v/>
      </c>
      <c r="AD16" s="41" t="str">
        <f t="shared" si="9"/>
        <v/>
      </c>
      <c r="AE16" s="41" t="str">
        <f t="shared" si="9"/>
        <v/>
      </c>
      <c r="AF16" s="41" t="str">
        <f t="shared" si="9"/>
        <v/>
      </c>
      <c r="AG16" s="41" t="str">
        <f t="shared" si="9"/>
        <v/>
      </c>
      <c r="AH16" s="41" t="str">
        <f t="shared" si="9"/>
        <v/>
      </c>
      <c r="AI16" s="59" t="str">
        <f t="shared" si="9"/>
        <v/>
      </c>
      <c r="AJ16" s="63" t="str">
        <f t="shared" si="6"/>
        <v/>
      </c>
      <c r="AK16" s="131" t="str">
        <f>IFERROR(INDEX(T_Réservation[Montant net],MATCH($A16,T_Réservation[Code],0))/INDEX(T_Réservation[Durée du séjour],MATCH($A16,T_Réservation[Code],0))*AJ16,"")</f>
        <v/>
      </c>
    </row>
    <row r="17" spans="1:37" ht="20.100000000000001" customHeight="1">
      <c r="A17" s="39"/>
      <c r="B17" s="132" t="str">
        <f>IFERROR(INDEX(T_Réservation[Début séjour],MATCH($A17,T_Réservation[Code],0)),"")</f>
        <v/>
      </c>
      <c r="C17" s="132" t="str">
        <f>IFERROR(INDEX(T_Réservation[Fin séjour],MATCH($A17,T_Réservation[Code],0))-1,"")</f>
        <v/>
      </c>
      <c r="D17" s="49" t="str">
        <f>IFERROR(INDEX(T_Réservation[Type],MATCH($A17,T_Réservation[Code],0)),"")</f>
        <v/>
      </c>
      <c r="E17" s="55" t="str">
        <f t="shared" si="7"/>
        <v/>
      </c>
      <c r="F17" s="43" t="str">
        <f t="shared" si="7"/>
        <v/>
      </c>
      <c r="G17" s="43" t="str">
        <f t="shared" si="7"/>
        <v/>
      </c>
      <c r="H17" s="43" t="str">
        <f t="shared" si="7"/>
        <v/>
      </c>
      <c r="I17" s="43" t="str">
        <f t="shared" si="7"/>
        <v/>
      </c>
      <c r="J17" s="43" t="str">
        <f t="shared" si="7"/>
        <v/>
      </c>
      <c r="K17" s="43" t="str">
        <f t="shared" si="7"/>
        <v/>
      </c>
      <c r="L17" s="43" t="str">
        <f t="shared" si="7"/>
        <v/>
      </c>
      <c r="M17" s="43" t="str">
        <f t="shared" si="7"/>
        <v/>
      </c>
      <c r="N17" s="43" t="str">
        <f t="shared" si="7"/>
        <v/>
      </c>
      <c r="O17" s="43" t="str">
        <f t="shared" si="8"/>
        <v/>
      </c>
      <c r="P17" s="43" t="str">
        <f t="shared" si="8"/>
        <v/>
      </c>
      <c r="Q17" s="43" t="str">
        <f t="shared" si="8"/>
        <v/>
      </c>
      <c r="R17" s="43" t="str">
        <f t="shared" si="8"/>
        <v/>
      </c>
      <c r="S17" s="43" t="str">
        <f t="shared" si="8"/>
        <v/>
      </c>
      <c r="T17" s="43" t="str">
        <f t="shared" si="8"/>
        <v/>
      </c>
      <c r="U17" s="43" t="str">
        <f t="shared" si="8"/>
        <v/>
      </c>
      <c r="V17" s="43" t="str">
        <f t="shared" si="8"/>
        <v/>
      </c>
      <c r="W17" s="43" t="str">
        <f t="shared" si="8"/>
        <v/>
      </c>
      <c r="X17" s="43" t="str">
        <f t="shared" si="8"/>
        <v/>
      </c>
      <c r="Y17" s="43" t="str">
        <f t="shared" si="9"/>
        <v/>
      </c>
      <c r="Z17" s="43" t="str">
        <f t="shared" si="9"/>
        <v/>
      </c>
      <c r="AA17" s="43" t="str">
        <f t="shared" si="9"/>
        <v/>
      </c>
      <c r="AB17" s="43" t="str">
        <f t="shared" si="9"/>
        <v/>
      </c>
      <c r="AC17" s="43" t="str">
        <f t="shared" si="9"/>
        <v/>
      </c>
      <c r="AD17" s="43" t="str">
        <f t="shared" si="9"/>
        <v/>
      </c>
      <c r="AE17" s="43" t="str">
        <f t="shared" si="9"/>
        <v/>
      </c>
      <c r="AF17" s="43" t="str">
        <f t="shared" si="9"/>
        <v/>
      </c>
      <c r="AG17" s="43" t="str">
        <f t="shared" si="9"/>
        <v/>
      </c>
      <c r="AH17" s="43" t="str">
        <f t="shared" si="9"/>
        <v/>
      </c>
      <c r="AI17" s="60" t="str">
        <f t="shared" si="9"/>
        <v/>
      </c>
      <c r="AJ17" s="63" t="str">
        <f t="shared" si="6"/>
        <v/>
      </c>
      <c r="AK17" s="131" t="str">
        <f>IFERROR(INDEX(T_Réservation[Montant net],MATCH($A17,T_Réservation[Code],0))/INDEX(T_Réservation[Durée du séjour],MATCH($A17,T_Réservation[Code],0))*AJ17,"")</f>
        <v/>
      </c>
    </row>
    <row r="18" spans="1:37" ht="20.100000000000001" customHeight="1">
      <c r="A18" s="40"/>
      <c r="B18" s="130" t="str">
        <f>IFERROR(INDEX(T_Réservation[Début séjour],MATCH($A18,T_Réservation[Code],0)),"")</f>
        <v/>
      </c>
      <c r="C18" s="130" t="str">
        <f>IFERROR(INDEX(T_Réservation[Fin séjour],MATCH($A18,T_Réservation[Code],0))-1,"")</f>
        <v/>
      </c>
      <c r="D18" s="48" t="str">
        <f>IFERROR(INDEX(T_Réservation[Type],MATCH($A18,T_Réservation[Code],0)),"")</f>
        <v/>
      </c>
      <c r="E18" s="54" t="str">
        <f t="shared" si="7"/>
        <v/>
      </c>
      <c r="F18" s="41" t="str">
        <f t="shared" si="7"/>
        <v/>
      </c>
      <c r="G18" s="41" t="str">
        <f t="shared" si="7"/>
        <v/>
      </c>
      <c r="H18" s="41" t="str">
        <f t="shared" si="7"/>
        <v/>
      </c>
      <c r="I18" s="41" t="str">
        <f t="shared" si="7"/>
        <v/>
      </c>
      <c r="J18" s="41" t="str">
        <f t="shared" si="7"/>
        <v/>
      </c>
      <c r="K18" s="41" t="str">
        <f t="shared" si="7"/>
        <v/>
      </c>
      <c r="L18" s="41" t="str">
        <f t="shared" si="7"/>
        <v/>
      </c>
      <c r="M18" s="41" t="str">
        <f t="shared" si="7"/>
        <v/>
      </c>
      <c r="N18" s="41" t="str">
        <f t="shared" si="7"/>
        <v/>
      </c>
      <c r="O18" s="41" t="str">
        <f t="shared" si="8"/>
        <v/>
      </c>
      <c r="P18" s="41" t="str">
        <f t="shared" si="8"/>
        <v/>
      </c>
      <c r="Q18" s="41" t="str">
        <f t="shared" si="8"/>
        <v/>
      </c>
      <c r="R18" s="41" t="str">
        <f t="shared" si="8"/>
        <v/>
      </c>
      <c r="S18" s="41" t="str">
        <f t="shared" si="8"/>
        <v/>
      </c>
      <c r="T18" s="41" t="str">
        <f t="shared" si="8"/>
        <v/>
      </c>
      <c r="U18" s="41" t="str">
        <f t="shared" si="8"/>
        <v/>
      </c>
      <c r="V18" s="41" t="str">
        <f t="shared" si="8"/>
        <v/>
      </c>
      <c r="W18" s="41" t="str">
        <f t="shared" si="8"/>
        <v/>
      </c>
      <c r="X18" s="41" t="str">
        <f t="shared" si="8"/>
        <v/>
      </c>
      <c r="Y18" s="41" t="str">
        <f t="shared" si="9"/>
        <v/>
      </c>
      <c r="Z18" s="41" t="str">
        <f t="shared" si="9"/>
        <v/>
      </c>
      <c r="AA18" s="41" t="str">
        <f t="shared" si="9"/>
        <v/>
      </c>
      <c r="AB18" s="41" t="str">
        <f t="shared" si="9"/>
        <v/>
      </c>
      <c r="AC18" s="41" t="str">
        <f t="shared" si="9"/>
        <v/>
      </c>
      <c r="AD18" s="41" t="str">
        <f t="shared" si="9"/>
        <v/>
      </c>
      <c r="AE18" s="41" t="str">
        <f t="shared" si="9"/>
        <v/>
      </c>
      <c r="AF18" s="41" t="str">
        <f t="shared" si="9"/>
        <v/>
      </c>
      <c r="AG18" s="41" t="str">
        <f t="shared" si="9"/>
        <v/>
      </c>
      <c r="AH18" s="41" t="str">
        <f t="shared" si="9"/>
        <v/>
      </c>
      <c r="AI18" s="59" t="str">
        <f t="shared" si="9"/>
        <v/>
      </c>
      <c r="AJ18" s="63" t="str">
        <f t="shared" si="6"/>
        <v/>
      </c>
      <c r="AK18" s="131" t="str">
        <f>IFERROR(INDEX(T_Réservation[Montant net],MATCH($A18,T_Réservation[Code],0))/INDEX(T_Réservation[Durée du séjour],MATCH($A18,T_Réservation[Code],0))*AJ18,"")</f>
        <v/>
      </c>
    </row>
    <row r="19" spans="1:37" ht="20.100000000000001" customHeight="1">
      <c r="A19" s="39"/>
      <c r="B19" s="132" t="str">
        <f>IFERROR(INDEX(T_Réservation[Début séjour],MATCH($A19,T_Réservation[Code],0)),"")</f>
        <v/>
      </c>
      <c r="C19" s="132" t="str">
        <f>IFERROR(INDEX(T_Réservation[Fin séjour],MATCH($A19,T_Réservation[Code],0))-1,"")</f>
        <v/>
      </c>
      <c r="D19" s="49" t="str">
        <f>IFERROR(INDEX(T_Réservation[Type],MATCH($A19,T_Réservation[Code],0)),"")</f>
        <v/>
      </c>
      <c r="E19" s="55" t="str">
        <f t="shared" si="7"/>
        <v/>
      </c>
      <c r="F19" s="43" t="str">
        <f t="shared" si="7"/>
        <v/>
      </c>
      <c r="G19" s="43" t="str">
        <f t="shared" si="7"/>
        <v/>
      </c>
      <c r="H19" s="43" t="str">
        <f t="shared" si="7"/>
        <v/>
      </c>
      <c r="I19" s="43" t="str">
        <f t="shared" si="7"/>
        <v/>
      </c>
      <c r="J19" s="43" t="str">
        <f t="shared" si="7"/>
        <v/>
      </c>
      <c r="K19" s="43" t="str">
        <f t="shared" si="7"/>
        <v/>
      </c>
      <c r="L19" s="43" t="str">
        <f t="shared" si="7"/>
        <v/>
      </c>
      <c r="M19" s="43" t="str">
        <f t="shared" si="7"/>
        <v/>
      </c>
      <c r="N19" s="43" t="str">
        <f t="shared" si="7"/>
        <v/>
      </c>
      <c r="O19" s="43" t="str">
        <f t="shared" si="8"/>
        <v/>
      </c>
      <c r="P19" s="43" t="str">
        <f t="shared" si="8"/>
        <v/>
      </c>
      <c r="Q19" s="43" t="str">
        <f t="shared" si="8"/>
        <v/>
      </c>
      <c r="R19" s="43" t="str">
        <f t="shared" si="8"/>
        <v/>
      </c>
      <c r="S19" s="43" t="str">
        <f t="shared" si="8"/>
        <v/>
      </c>
      <c r="T19" s="43" t="str">
        <f t="shared" si="8"/>
        <v/>
      </c>
      <c r="U19" s="43" t="str">
        <f t="shared" si="8"/>
        <v/>
      </c>
      <c r="V19" s="43" t="str">
        <f t="shared" si="8"/>
        <v/>
      </c>
      <c r="W19" s="43" t="str">
        <f t="shared" si="8"/>
        <v/>
      </c>
      <c r="X19" s="43" t="str">
        <f t="shared" si="8"/>
        <v/>
      </c>
      <c r="Y19" s="43" t="str">
        <f t="shared" si="9"/>
        <v/>
      </c>
      <c r="Z19" s="43" t="str">
        <f t="shared" si="9"/>
        <v/>
      </c>
      <c r="AA19" s="43" t="str">
        <f t="shared" si="9"/>
        <v/>
      </c>
      <c r="AB19" s="43" t="str">
        <f t="shared" si="9"/>
        <v/>
      </c>
      <c r="AC19" s="43" t="str">
        <f t="shared" si="9"/>
        <v/>
      </c>
      <c r="AD19" s="43" t="str">
        <f t="shared" si="9"/>
        <v/>
      </c>
      <c r="AE19" s="43" t="str">
        <f t="shared" si="9"/>
        <v/>
      </c>
      <c r="AF19" s="43" t="str">
        <f t="shared" si="9"/>
        <v/>
      </c>
      <c r="AG19" s="43" t="str">
        <f t="shared" si="9"/>
        <v/>
      </c>
      <c r="AH19" s="43" t="str">
        <f t="shared" si="9"/>
        <v/>
      </c>
      <c r="AI19" s="60" t="str">
        <f t="shared" si="9"/>
        <v/>
      </c>
      <c r="AJ19" s="63" t="str">
        <f t="shared" si="6"/>
        <v/>
      </c>
      <c r="AK19" s="131" t="str">
        <f>IFERROR(INDEX(T_Réservation[Montant net],MATCH($A19,T_Réservation[Code],0))/INDEX(T_Réservation[Durée du séjour],MATCH($A19,T_Réservation[Code],0))*AJ19,"")</f>
        <v/>
      </c>
    </row>
    <row r="20" spans="1:37" ht="20.100000000000001" customHeight="1">
      <c r="A20" s="40"/>
      <c r="B20" s="130" t="str">
        <f>IFERROR(INDEX(T_Réservation[Début séjour],MATCH($A20,T_Réservation[Code],0)),"")</f>
        <v/>
      </c>
      <c r="C20" s="130" t="str">
        <f>IFERROR(INDEX(T_Réservation[Fin séjour],MATCH($A20,T_Réservation[Code],0))-1,"")</f>
        <v/>
      </c>
      <c r="D20" s="48" t="str">
        <f>IFERROR(INDEX(T_Réservation[Type],MATCH($A20,T_Réservation[Code],0)),"")</f>
        <v/>
      </c>
      <c r="E20" s="54" t="str">
        <f t="shared" si="7"/>
        <v/>
      </c>
      <c r="F20" s="41" t="str">
        <f t="shared" si="7"/>
        <v/>
      </c>
      <c r="G20" s="41" t="str">
        <f t="shared" si="7"/>
        <v/>
      </c>
      <c r="H20" s="41" t="str">
        <f t="shared" si="7"/>
        <v/>
      </c>
      <c r="I20" s="41" t="str">
        <f t="shared" si="7"/>
        <v/>
      </c>
      <c r="J20" s="41" t="str">
        <f t="shared" si="7"/>
        <v/>
      </c>
      <c r="K20" s="41" t="str">
        <f t="shared" si="7"/>
        <v/>
      </c>
      <c r="L20" s="41" t="str">
        <f t="shared" si="7"/>
        <v/>
      </c>
      <c r="M20" s="41" t="str">
        <f t="shared" si="7"/>
        <v/>
      </c>
      <c r="N20" s="41" t="str">
        <f t="shared" si="7"/>
        <v/>
      </c>
      <c r="O20" s="41" t="str">
        <f t="shared" si="8"/>
        <v/>
      </c>
      <c r="P20" s="41" t="str">
        <f t="shared" si="8"/>
        <v/>
      </c>
      <c r="Q20" s="41" t="str">
        <f t="shared" si="8"/>
        <v/>
      </c>
      <c r="R20" s="41" t="str">
        <f t="shared" si="8"/>
        <v/>
      </c>
      <c r="S20" s="41" t="str">
        <f t="shared" si="8"/>
        <v/>
      </c>
      <c r="T20" s="41" t="str">
        <f t="shared" si="8"/>
        <v/>
      </c>
      <c r="U20" s="41" t="str">
        <f t="shared" si="8"/>
        <v/>
      </c>
      <c r="V20" s="41" t="str">
        <f t="shared" si="8"/>
        <v/>
      </c>
      <c r="W20" s="41" t="str">
        <f t="shared" si="8"/>
        <v/>
      </c>
      <c r="X20" s="41" t="str">
        <f t="shared" si="8"/>
        <v/>
      </c>
      <c r="Y20" s="41" t="str">
        <f t="shared" si="9"/>
        <v/>
      </c>
      <c r="Z20" s="41" t="str">
        <f t="shared" si="9"/>
        <v/>
      </c>
      <c r="AA20" s="41" t="str">
        <f t="shared" si="9"/>
        <v/>
      </c>
      <c r="AB20" s="41" t="str">
        <f t="shared" si="9"/>
        <v/>
      </c>
      <c r="AC20" s="41" t="str">
        <f t="shared" si="9"/>
        <v/>
      </c>
      <c r="AD20" s="41" t="str">
        <f t="shared" si="9"/>
        <v/>
      </c>
      <c r="AE20" s="41" t="str">
        <f t="shared" si="9"/>
        <v/>
      </c>
      <c r="AF20" s="41" t="str">
        <f t="shared" si="9"/>
        <v/>
      </c>
      <c r="AG20" s="41" t="str">
        <f t="shared" si="9"/>
        <v/>
      </c>
      <c r="AH20" s="41" t="str">
        <f t="shared" si="9"/>
        <v/>
      </c>
      <c r="AI20" s="59" t="str">
        <f t="shared" si="9"/>
        <v/>
      </c>
      <c r="AJ20" s="63" t="str">
        <f t="shared" si="6"/>
        <v/>
      </c>
      <c r="AK20" s="131" t="str">
        <f>IFERROR(INDEX(T_Réservation[Montant net],MATCH($A20,T_Réservation[Code],0))/INDEX(T_Réservation[Durée du séjour],MATCH($A20,T_Réservation[Code],0))*AJ20,"")</f>
        <v/>
      </c>
    </row>
    <row r="21" spans="1:37" ht="20.100000000000001" customHeight="1">
      <c r="A21" s="39"/>
      <c r="B21" s="132" t="str">
        <f>IFERROR(INDEX(T_Réservation[Début séjour],MATCH($A21,T_Réservation[Code],0)),"")</f>
        <v/>
      </c>
      <c r="C21" s="132" t="str">
        <f>IFERROR(INDEX(T_Réservation[Fin séjour],MATCH($A21,T_Réservation[Code],0))-1,"")</f>
        <v/>
      </c>
      <c r="D21" s="49" t="str">
        <f>IFERROR(INDEX(T_Réservation[Type],MATCH($A21,T_Réservation[Code],0)),"")</f>
        <v/>
      </c>
      <c r="E21" s="55" t="str">
        <f t="shared" si="7"/>
        <v/>
      </c>
      <c r="F21" s="43" t="str">
        <f t="shared" si="7"/>
        <v/>
      </c>
      <c r="G21" s="43" t="str">
        <f t="shared" si="7"/>
        <v/>
      </c>
      <c r="H21" s="43" t="str">
        <f t="shared" si="7"/>
        <v/>
      </c>
      <c r="I21" s="43" t="str">
        <f t="shared" si="7"/>
        <v/>
      </c>
      <c r="J21" s="43" t="str">
        <f t="shared" si="7"/>
        <v/>
      </c>
      <c r="K21" s="43" t="str">
        <f t="shared" si="7"/>
        <v/>
      </c>
      <c r="L21" s="43" t="str">
        <f t="shared" si="7"/>
        <v/>
      </c>
      <c r="M21" s="43" t="str">
        <f t="shared" si="7"/>
        <v/>
      </c>
      <c r="N21" s="43" t="str">
        <f t="shared" si="7"/>
        <v/>
      </c>
      <c r="O21" s="43" t="str">
        <f t="shared" si="8"/>
        <v/>
      </c>
      <c r="P21" s="43" t="str">
        <f t="shared" si="8"/>
        <v/>
      </c>
      <c r="Q21" s="43" t="str">
        <f t="shared" si="8"/>
        <v/>
      </c>
      <c r="R21" s="43" t="str">
        <f t="shared" si="8"/>
        <v/>
      </c>
      <c r="S21" s="43" t="str">
        <f t="shared" si="8"/>
        <v/>
      </c>
      <c r="T21" s="43" t="str">
        <f t="shared" si="8"/>
        <v/>
      </c>
      <c r="U21" s="43" t="str">
        <f t="shared" si="8"/>
        <v/>
      </c>
      <c r="V21" s="43" t="str">
        <f t="shared" si="8"/>
        <v/>
      </c>
      <c r="W21" s="43" t="str">
        <f t="shared" si="8"/>
        <v/>
      </c>
      <c r="X21" s="43" t="str">
        <f t="shared" si="8"/>
        <v/>
      </c>
      <c r="Y21" s="43" t="str">
        <f t="shared" si="9"/>
        <v/>
      </c>
      <c r="Z21" s="43" t="str">
        <f t="shared" si="9"/>
        <v/>
      </c>
      <c r="AA21" s="43" t="str">
        <f t="shared" si="9"/>
        <v/>
      </c>
      <c r="AB21" s="43" t="str">
        <f t="shared" si="9"/>
        <v/>
      </c>
      <c r="AC21" s="43" t="str">
        <f t="shared" si="9"/>
        <v/>
      </c>
      <c r="AD21" s="43" t="str">
        <f t="shared" si="9"/>
        <v/>
      </c>
      <c r="AE21" s="43" t="str">
        <f t="shared" si="9"/>
        <v/>
      </c>
      <c r="AF21" s="43" t="str">
        <f t="shared" si="9"/>
        <v/>
      </c>
      <c r="AG21" s="43" t="str">
        <f t="shared" si="9"/>
        <v/>
      </c>
      <c r="AH21" s="43" t="str">
        <f t="shared" si="9"/>
        <v/>
      </c>
      <c r="AI21" s="60" t="str">
        <f t="shared" si="9"/>
        <v/>
      </c>
      <c r="AJ21" s="63" t="str">
        <f t="shared" si="6"/>
        <v/>
      </c>
      <c r="AK21" s="131" t="str">
        <f>IFERROR(INDEX(T_Réservation[Montant net],MATCH($A21,T_Réservation[Code],0))/INDEX(T_Réservation[Durée du séjour],MATCH($A21,T_Réservation[Code],0))*AJ21,"")</f>
        <v/>
      </c>
    </row>
    <row r="22" spans="1:37" ht="20.100000000000001" customHeight="1">
      <c r="A22" s="40"/>
      <c r="B22" s="130" t="str">
        <f>IFERROR(INDEX(T_Réservation[Début séjour],MATCH($A22,T_Réservation[Code],0)),"")</f>
        <v/>
      </c>
      <c r="C22" s="130" t="str">
        <f>IFERROR(INDEX(T_Réservation[Fin séjour],MATCH($A22,T_Réservation[Code],0))-1,"")</f>
        <v/>
      </c>
      <c r="D22" s="48" t="str">
        <f>IFERROR(INDEX(T_Réservation[Type],MATCH($A22,T_Réservation[Code],0)),"")</f>
        <v/>
      </c>
      <c r="E22" s="54" t="str">
        <f t="shared" si="7"/>
        <v/>
      </c>
      <c r="F22" s="41" t="str">
        <f t="shared" si="7"/>
        <v/>
      </c>
      <c r="G22" s="41" t="str">
        <f t="shared" si="7"/>
        <v/>
      </c>
      <c r="H22" s="41" t="str">
        <f t="shared" si="7"/>
        <v/>
      </c>
      <c r="I22" s="41" t="str">
        <f t="shared" si="7"/>
        <v/>
      </c>
      <c r="J22" s="41" t="str">
        <f t="shared" si="7"/>
        <v/>
      </c>
      <c r="K22" s="41" t="str">
        <f t="shared" si="7"/>
        <v/>
      </c>
      <c r="L22" s="41" t="str">
        <f t="shared" si="7"/>
        <v/>
      </c>
      <c r="M22" s="41" t="str">
        <f t="shared" si="7"/>
        <v/>
      </c>
      <c r="N22" s="41" t="str">
        <f t="shared" si="7"/>
        <v/>
      </c>
      <c r="O22" s="41" t="str">
        <f t="shared" si="8"/>
        <v/>
      </c>
      <c r="P22" s="41" t="str">
        <f t="shared" si="8"/>
        <v/>
      </c>
      <c r="Q22" s="41" t="str">
        <f t="shared" si="8"/>
        <v/>
      </c>
      <c r="R22" s="41" t="str">
        <f t="shared" si="8"/>
        <v/>
      </c>
      <c r="S22" s="41" t="str">
        <f t="shared" si="8"/>
        <v/>
      </c>
      <c r="T22" s="41" t="str">
        <f t="shared" si="8"/>
        <v/>
      </c>
      <c r="U22" s="41" t="str">
        <f t="shared" si="8"/>
        <v/>
      </c>
      <c r="V22" s="41" t="str">
        <f t="shared" si="8"/>
        <v/>
      </c>
      <c r="W22" s="41" t="str">
        <f t="shared" si="8"/>
        <v/>
      </c>
      <c r="X22" s="41" t="str">
        <f t="shared" si="8"/>
        <v/>
      </c>
      <c r="Y22" s="41" t="str">
        <f t="shared" si="9"/>
        <v/>
      </c>
      <c r="Z22" s="41" t="str">
        <f t="shared" si="9"/>
        <v/>
      </c>
      <c r="AA22" s="41" t="str">
        <f t="shared" si="9"/>
        <v/>
      </c>
      <c r="AB22" s="41" t="str">
        <f t="shared" si="9"/>
        <v/>
      </c>
      <c r="AC22" s="41" t="str">
        <f t="shared" si="9"/>
        <v/>
      </c>
      <c r="AD22" s="41" t="str">
        <f t="shared" si="9"/>
        <v/>
      </c>
      <c r="AE22" s="41" t="str">
        <f t="shared" si="9"/>
        <v/>
      </c>
      <c r="AF22" s="41" t="str">
        <f t="shared" si="9"/>
        <v/>
      </c>
      <c r="AG22" s="41" t="str">
        <f t="shared" si="9"/>
        <v/>
      </c>
      <c r="AH22" s="41" t="str">
        <f t="shared" si="9"/>
        <v/>
      </c>
      <c r="AI22" s="59" t="str">
        <f t="shared" si="9"/>
        <v/>
      </c>
      <c r="AJ22" s="63" t="str">
        <f t="shared" si="6"/>
        <v/>
      </c>
      <c r="AK22" s="131" t="str">
        <f>IFERROR(INDEX(T_Réservation[Montant net],MATCH($A22,T_Réservation[Code],0))/INDEX(T_Réservation[Durée du séjour],MATCH($A22,T_Réservation[Code],0))*AJ22,"")</f>
        <v/>
      </c>
    </row>
    <row r="23" spans="1:37" ht="20.100000000000001" customHeight="1">
      <c r="A23" s="39"/>
      <c r="B23" s="132" t="str">
        <f>IFERROR(INDEX(T_Réservation[Début séjour],MATCH($A23,T_Réservation[Code],0)),"")</f>
        <v/>
      </c>
      <c r="C23" s="132" t="str">
        <f>IFERROR(INDEX(T_Réservation[Fin séjour],MATCH($A23,T_Réservation[Code],0))-1,"")</f>
        <v/>
      </c>
      <c r="D23" s="49" t="str">
        <f>IFERROR(INDEX(T_Réservation[Type],MATCH($A23,T_Réservation[Code],0)),"")</f>
        <v/>
      </c>
      <c r="E23" s="55" t="str">
        <f t="shared" si="7"/>
        <v/>
      </c>
      <c r="F23" s="43" t="str">
        <f t="shared" si="7"/>
        <v/>
      </c>
      <c r="G23" s="43" t="str">
        <f t="shared" si="7"/>
        <v/>
      </c>
      <c r="H23" s="43" t="str">
        <f t="shared" si="7"/>
        <v/>
      </c>
      <c r="I23" s="43" t="str">
        <f t="shared" si="7"/>
        <v/>
      </c>
      <c r="J23" s="43" t="str">
        <f t="shared" si="7"/>
        <v/>
      </c>
      <c r="K23" s="43" t="str">
        <f t="shared" si="7"/>
        <v/>
      </c>
      <c r="L23" s="43" t="str">
        <f t="shared" si="7"/>
        <v/>
      </c>
      <c r="M23" s="43" t="str">
        <f t="shared" si="7"/>
        <v/>
      </c>
      <c r="N23" s="43" t="str">
        <f t="shared" si="7"/>
        <v/>
      </c>
      <c r="O23" s="43" t="str">
        <f t="shared" si="8"/>
        <v/>
      </c>
      <c r="P23" s="43" t="str">
        <f t="shared" si="8"/>
        <v/>
      </c>
      <c r="Q23" s="43" t="str">
        <f t="shared" si="8"/>
        <v/>
      </c>
      <c r="R23" s="43" t="str">
        <f t="shared" si="8"/>
        <v/>
      </c>
      <c r="S23" s="43" t="str">
        <f t="shared" si="8"/>
        <v/>
      </c>
      <c r="T23" s="43" t="str">
        <f t="shared" si="8"/>
        <v/>
      </c>
      <c r="U23" s="43" t="str">
        <f t="shared" si="8"/>
        <v/>
      </c>
      <c r="V23" s="43" t="str">
        <f t="shared" si="8"/>
        <v/>
      </c>
      <c r="W23" s="43" t="str">
        <f t="shared" si="8"/>
        <v/>
      </c>
      <c r="X23" s="43" t="str">
        <f t="shared" si="8"/>
        <v/>
      </c>
      <c r="Y23" s="43" t="str">
        <f t="shared" si="9"/>
        <v/>
      </c>
      <c r="Z23" s="43" t="str">
        <f t="shared" si="9"/>
        <v/>
      </c>
      <c r="AA23" s="43" t="str">
        <f t="shared" si="9"/>
        <v/>
      </c>
      <c r="AB23" s="43" t="str">
        <f t="shared" si="9"/>
        <v/>
      </c>
      <c r="AC23" s="43" t="str">
        <f t="shared" si="9"/>
        <v/>
      </c>
      <c r="AD23" s="43" t="str">
        <f t="shared" si="9"/>
        <v/>
      </c>
      <c r="AE23" s="43" t="str">
        <f t="shared" si="9"/>
        <v/>
      </c>
      <c r="AF23" s="43" t="str">
        <f t="shared" si="9"/>
        <v/>
      </c>
      <c r="AG23" s="43" t="str">
        <f t="shared" si="9"/>
        <v/>
      </c>
      <c r="AH23" s="43" t="str">
        <f t="shared" si="9"/>
        <v/>
      </c>
      <c r="AI23" s="60" t="str">
        <f t="shared" si="9"/>
        <v/>
      </c>
      <c r="AJ23" s="63" t="str">
        <f t="shared" si="6"/>
        <v/>
      </c>
      <c r="AK23" s="131" t="str">
        <f>IFERROR(INDEX(T_Réservation[Montant net],MATCH($A23,T_Réservation[Code],0))/INDEX(T_Réservation[Durée du séjour],MATCH($A23,T_Réservation[Code],0))*AJ23,"")</f>
        <v/>
      </c>
    </row>
    <row r="24" spans="1:37" ht="20.100000000000001" customHeight="1">
      <c r="A24" s="44"/>
      <c r="B24" s="133" t="str">
        <f>IFERROR(INDEX(T_Réservation[Début séjour],MATCH($A24,T_Réservation[Code],0)),"")</f>
        <v/>
      </c>
      <c r="C24" s="133" t="str">
        <f>IFERROR(INDEX(T_Réservation[Fin séjour],MATCH($A24,T_Réservation[Code],0))-1,"")</f>
        <v/>
      </c>
      <c r="D24" s="50" t="str">
        <f>IFERROR(INDEX(T_Réservation[Type],MATCH($A24,T_Réservation[Code],0)),"")</f>
        <v/>
      </c>
      <c r="E24" s="56" t="str">
        <f t="shared" si="7"/>
        <v/>
      </c>
      <c r="F24" s="57" t="str">
        <f t="shared" si="7"/>
        <v/>
      </c>
      <c r="G24" s="57" t="str">
        <f t="shared" si="7"/>
        <v/>
      </c>
      <c r="H24" s="57" t="str">
        <f t="shared" si="7"/>
        <v/>
      </c>
      <c r="I24" s="57" t="str">
        <f t="shared" si="7"/>
        <v/>
      </c>
      <c r="J24" s="57" t="str">
        <f t="shared" si="7"/>
        <v/>
      </c>
      <c r="K24" s="57" t="str">
        <f t="shared" si="7"/>
        <v/>
      </c>
      <c r="L24" s="57" t="str">
        <f t="shared" si="7"/>
        <v/>
      </c>
      <c r="M24" s="57" t="str">
        <f t="shared" si="7"/>
        <v/>
      </c>
      <c r="N24" s="57" t="str">
        <f t="shared" si="7"/>
        <v/>
      </c>
      <c r="O24" s="57" t="str">
        <f t="shared" si="8"/>
        <v/>
      </c>
      <c r="P24" s="57" t="str">
        <f t="shared" si="8"/>
        <v/>
      </c>
      <c r="Q24" s="57" t="str">
        <f t="shared" si="8"/>
        <v/>
      </c>
      <c r="R24" s="57" t="str">
        <f t="shared" si="8"/>
        <v/>
      </c>
      <c r="S24" s="57" t="str">
        <f t="shared" si="8"/>
        <v/>
      </c>
      <c r="T24" s="57" t="str">
        <f t="shared" si="8"/>
        <v/>
      </c>
      <c r="U24" s="57" t="str">
        <f t="shared" si="8"/>
        <v/>
      </c>
      <c r="V24" s="57" t="str">
        <f t="shared" si="8"/>
        <v/>
      </c>
      <c r="W24" s="57" t="str">
        <f t="shared" si="8"/>
        <v/>
      </c>
      <c r="X24" s="57" t="str">
        <f t="shared" si="8"/>
        <v/>
      </c>
      <c r="Y24" s="57" t="str">
        <f t="shared" si="9"/>
        <v/>
      </c>
      <c r="Z24" s="57" t="str">
        <f t="shared" si="9"/>
        <v/>
      </c>
      <c r="AA24" s="57" t="str">
        <f t="shared" si="9"/>
        <v/>
      </c>
      <c r="AB24" s="57" t="str">
        <f t="shared" si="9"/>
        <v/>
      </c>
      <c r="AC24" s="57" t="str">
        <f t="shared" si="9"/>
        <v/>
      </c>
      <c r="AD24" s="57" t="str">
        <f t="shared" si="9"/>
        <v/>
      </c>
      <c r="AE24" s="57" t="str">
        <f t="shared" si="9"/>
        <v/>
      </c>
      <c r="AF24" s="57" t="str">
        <f t="shared" si="9"/>
        <v/>
      </c>
      <c r="AG24" s="57" t="str">
        <f t="shared" si="9"/>
        <v/>
      </c>
      <c r="AH24" s="57" t="str">
        <f t="shared" si="9"/>
        <v/>
      </c>
      <c r="AI24" s="61" t="str">
        <f t="shared" si="9"/>
        <v/>
      </c>
      <c r="AJ24" s="64" t="str">
        <f t="shared" si="6"/>
        <v/>
      </c>
      <c r="AK24" s="134" t="str">
        <f>IFERROR(INDEX(T_Réservation[Montant net],MATCH($A24,T_Réservation[Code],0))/INDEX(T_Réservation[Durée du séjour],MATCH($A24,T_Réservation[Code],0))*AJ24,"")</f>
        <v/>
      </c>
    </row>
    <row r="25" spans="1:37" s="32" customFormat="1" ht="20.100000000000001" customHeight="1">
      <c r="B25" s="33"/>
      <c r="C25" s="33"/>
    </row>
    <row r="26" spans="1:37" s="32" customFormat="1" ht="20.100000000000001" customHeight="1">
      <c r="B26" s="33"/>
      <c r="C26" s="33"/>
    </row>
    <row r="27" spans="1:37" s="32" customFormat="1" ht="20.100000000000001" customHeight="1">
      <c r="B27" s="33"/>
      <c r="C27" s="33"/>
    </row>
    <row r="28" spans="1:37" s="32" customFormat="1" ht="20.100000000000001" customHeight="1">
      <c r="B28" s="33"/>
      <c r="C28" s="33"/>
    </row>
    <row r="29" spans="1:37" s="32" customFormat="1" ht="20.100000000000001" customHeight="1">
      <c r="B29" s="33"/>
      <c r="C29" s="33"/>
    </row>
    <row r="30" spans="1:37" s="32" customFormat="1" ht="20.100000000000001" customHeight="1">
      <c r="B30" s="33"/>
      <c r="C30" s="33"/>
    </row>
    <row r="31" spans="1:37" s="32" customFormat="1" ht="20.100000000000001" customHeight="1">
      <c r="B31" s="33"/>
      <c r="C31" s="33"/>
    </row>
    <row r="32" spans="1:37" s="32" customFormat="1" ht="20.100000000000001" customHeight="1">
      <c r="B32" s="33"/>
      <c r="C32" s="33"/>
    </row>
    <row r="33" spans="2:3" s="32" customFormat="1" ht="20.100000000000001" customHeight="1">
      <c r="B33" s="33"/>
      <c r="C33" s="33"/>
    </row>
    <row r="34" spans="2:3" s="32" customFormat="1" ht="20.100000000000001" customHeight="1">
      <c r="B34" s="33"/>
      <c r="C34" s="33"/>
    </row>
    <row r="35" spans="2:3" s="32" customFormat="1" ht="20.100000000000001" customHeight="1">
      <c r="B35" s="33"/>
      <c r="C35" s="33"/>
    </row>
    <row r="36" spans="2:3" s="32" customFormat="1" ht="20.100000000000001" customHeight="1">
      <c r="B36" s="33"/>
      <c r="C36" s="33"/>
    </row>
    <row r="37" spans="2:3" s="32" customFormat="1" ht="20.100000000000001" customHeight="1">
      <c r="B37" s="33"/>
      <c r="C37" s="33"/>
    </row>
    <row r="38" spans="2:3" s="32" customFormat="1" ht="20.100000000000001" customHeight="1">
      <c r="B38" s="33"/>
      <c r="C38" s="33"/>
    </row>
    <row r="39" spans="2:3" s="32" customFormat="1" ht="20.100000000000001" customHeight="1">
      <c r="B39" s="33"/>
      <c r="C39" s="33"/>
    </row>
    <row r="40" spans="2:3" s="32" customFormat="1" ht="20.100000000000001" customHeight="1">
      <c r="B40" s="33"/>
      <c r="C40" s="33"/>
    </row>
    <row r="41" spans="2:3" s="32" customFormat="1" ht="20.100000000000001" customHeight="1">
      <c r="B41" s="33"/>
      <c r="C41" s="33"/>
    </row>
    <row r="42" spans="2:3" s="32" customFormat="1" ht="20.100000000000001" customHeight="1">
      <c r="B42" s="33"/>
      <c r="C42" s="33"/>
    </row>
    <row r="43" spans="2:3" s="32" customFormat="1" ht="20.100000000000001" customHeight="1">
      <c r="B43" s="33"/>
      <c r="C43" s="33"/>
    </row>
    <row r="44" spans="2:3" s="32" customFormat="1" ht="20.100000000000001" customHeight="1">
      <c r="B44" s="33"/>
      <c r="C44" s="33"/>
    </row>
    <row r="45" spans="2:3" s="32" customFormat="1" ht="20.100000000000001" customHeight="1">
      <c r="B45" s="33"/>
      <c r="C45" s="33"/>
    </row>
    <row r="46" spans="2:3" s="32" customFormat="1" ht="20.100000000000001" customHeight="1">
      <c r="B46" s="33"/>
      <c r="C46" s="33"/>
    </row>
    <row r="47" spans="2:3" s="32" customFormat="1" ht="20.100000000000001" customHeight="1">
      <c r="B47" s="33"/>
      <c r="C47" s="33"/>
    </row>
    <row r="48" spans="2:3" s="32" customFormat="1" ht="20.100000000000001" customHeight="1">
      <c r="B48" s="33"/>
      <c r="C48" s="33"/>
    </row>
    <row r="49" spans="2:3" s="32" customFormat="1" ht="20.100000000000001" customHeight="1">
      <c r="B49" s="33"/>
      <c r="C49" s="33"/>
    </row>
    <row r="50" spans="2:3" s="32" customFormat="1" ht="20.100000000000001" customHeight="1">
      <c r="B50" s="33"/>
      <c r="C50" s="33"/>
    </row>
    <row r="51" spans="2:3" s="32" customFormat="1" ht="20.100000000000001" customHeight="1">
      <c r="B51" s="33"/>
      <c r="C51" s="33"/>
    </row>
    <row r="52" spans="2:3" s="32" customFormat="1" ht="20.100000000000001" customHeight="1">
      <c r="B52" s="33"/>
      <c r="C52" s="33"/>
    </row>
    <row r="53" spans="2:3" s="32" customFormat="1" ht="20.100000000000001" customHeight="1">
      <c r="B53" s="33"/>
      <c r="C53" s="33"/>
    </row>
    <row r="54" spans="2:3" s="32" customFormat="1" ht="20.100000000000001" customHeight="1">
      <c r="B54" s="33"/>
      <c r="C54" s="33"/>
    </row>
    <row r="55" spans="2:3" s="32" customFormat="1" ht="20.100000000000001" customHeight="1">
      <c r="B55" s="33"/>
      <c r="C55" s="33"/>
    </row>
    <row r="56" spans="2:3" s="32" customFormat="1" ht="20.100000000000001" customHeight="1">
      <c r="B56" s="33"/>
      <c r="C56" s="33"/>
    </row>
    <row r="57" spans="2:3" s="32" customFormat="1" ht="20.100000000000001" customHeight="1">
      <c r="B57" s="33"/>
      <c r="C57" s="33"/>
    </row>
    <row r="58" spans="2:3" s="32" customFormat="1" ht="20.100000000000001" customHeight="1">
      <c r="B58" s="33"/>
      <c r="C58" s="33"/>
    </row>
    <row r="59" spans="2:3" s="32" customFormat="1" ht="20.100000000000001" customHeight="1">
      <c r="B59" s="33"/>
      <c r="C59" s="33"/>
    </row>
    <row r="60" spans="2:3" s="32" customFormat="1" ht="20.100000000000001" customHeight="1">
      <c r="B60" s="33"/>
      <c r="C60" s="33"/>
    </row>
    <row r="61" spans="2:3" s="32" customFormat="1" ht="20.100000000000001" customHeight="1">
      <c r="B61" s="33"/>
      <c r="C61" s="33"/>
    </row>
    <row r="62" spans="2:3" s="32" customFormat="1" ht="20.100000000000001" customHeight="1">
      <c r="B62" s="33"/>
      <c r="C62" s="33"/>
    </row>
    <row r="63" spans="2:3" s="32" customFormat="1" ht="20.100000000000001" customHeight="1">
      <c r="B63" s="33"/>
      <c r="C63" s="33"/>
    </row>
    <row r="64" spans="2:3" s="32" customFormat="1" ht="20.100000000000001" customHeight="1">
      <c r="B64" s="33"/>
      <c r="C64" s="33"/>
    </row>
    <row r="65" spans="2:3" s="32" customFormat="1" ht="20.100000000000001" customHeight="1">
      <c r="B65" s="33"/>
      <c r="C65" s="33"/>
    </row>
    <row r="66" spans="2:3" s="32" customFormat="1" ht="20.100000000000001" customHeight="1">
      <c r="B66" s="33"/>
      <c r="C66" s="33"/>
    </row>
    <row r="67" spans="2:3" s="32" customFormat="1" ht="20.100000000000001" customHeight="1">
      <c r="B67" s="33"/>
      <c r="C67" s="33"/>
    </row>
    <row r="68" spans="2:3" s="32" customFormat="1" ht="20.100000000000001" customHeight="1">
      <c r="B68" s="33"/>
      <c r="C68" s="33"/>
    </row>
    <row r="69" spans="2:3" s="32" customFormat="1" ht="20.100000000000001" customHeight="1">
      <c r="B69" s="33"/>
      <c r="C69" s="33"/>
    </row>
    <row r="70" spans="2:3" s="32" customFormat="1" ht="20.100000000000001" customHeight="1">
      <c r="B70" s="33"/>
      <c r="C70" s="33"/>
    </row>
    <row r="71" spans="2:3" s="32" customFormat="1" ht="20.100000000000001" customHeight="1">
      <c r="B71" s="33"/>
      <c r="C71" s="33"/>
    </row>
    <row r="72" spans="2:3" s="32" customFormat="1" ht="20.100000000000001" customHeight="1">
      <c r="B72" s="33"/>
      <c r="C72" s="33"/>
    </row>
    <row r="73" spans="2:3" s="32" customFormat="1" ht="20.100000000000001" customHeight="1">
      <c r="B73" s="33"/>
      <c r="C73" s="33"/>
    </row>
    <row r="74" spans="2:3" s="32" customFormat="1" ht="20.100000000000001" customHeight="1">
      <c r="B74" s="33"/>
      <c r="C74" s="33"/>
    </row>
    <row r="75" spans="2:3" s="32" customFormat="1" ht="20.100000000000001" customHeight="1">
      <c r="B75" s="33"/>
      <c r="C75" s="33"/>
    </row>
    <row r="76" spans="2:3" s="32" customFormat="1" ht="20.100000000000001" customHeight="1">
      <c r="B76" s="33"/>
      <c r="C76" s="33"/>
    </row>
    <row r="77" spans="2:3" s="32" customFormat="1" ht="20.100000000000001" customHeight="1">
      <c r="B77" s="33"/>
      <c r="C77" s="33"/>
    </row>
    <row r="78" spans="2:3" s="32" customFormat="1" ht="20.100000000000001" customHeight="1">
      <c r="B78" s="33"/>
      <c r="C78" s="33"/>
    </row>
    <row r="79" spans="2:3" s="32" customFormat="1" ht="20.100000000000001" customHeight="1">
      <c r="B79" s="33"/>
      <c r="C79" s="33"/>
    </row>
    <row r="80" spans="2:3" s="32" customFormat="1" ht="20.100000000000001" customHeight="1">
      <c r="B80" s="33"/>
      <c r="C80" s="33"/>
    </row>
    <row r="81" spans="2:3" s="32" customFormat="1" ht="20.100000000000001" customHeight="1">
      <c r="B81" s="33"/>
      <c r="C81" s="33"/>
    </row>
    <row r="82" spans="2:3" s="32" customFormat="1" ht="20.100000000000001" customHeight="1">
      <c r="B82" s="33"/>
      <c r="C82" s="33"/>
    </row>
    <row r="83" spans="2:3" s="32" customFormat="1" ht="20.100000000000001" customHeight="1">
      <c r="B83" s="33"/>
      <c r="C83" s="33"/>
    </row>
    <row r="84" spans="2:3" s="32" customFormat="1" ht="20.100000000000001" customHeight="1">
      <c r="B84" s="33"/>
      <c r="C84" s="33"/>
    </row>
    <row r="85" spans="2:3" s="32" customFormat="1" ht="20.100000000000001" customHeight="1">
      <c r="B85" s="33"/>
      <c r="C85" s="33"/>
    </row>
    <row r="86" spans="2:3" s="32" customFormat="1" ht="20.100000000000001" customHeight="1">
      <c r="B86" s="33"/>
      <c r="C86" s="33"/>
    </row>
    <row r="87" spans="2:3" s="32" customFormat="1" ht="20.100000000000001" customHeight="1">
      <c r="B87" s="33"/>
      <c r="C87" s="33"/>
    </row>
    <row r="88" spans="2:3" s="32" customFormat="1" ht="20.100000000000001" customHeight="1">
      <c r="B88" s="33"/>
      <c r="C88" s="33"/>
    </row>
    <row r="89" spans="2:3" s="32" customFormat="1" ht="20.100000000000001" customHeight="1">
      <c r="B89" s="33"/>
      <c r="C89" s="33"/>
    </row>
    <row r="90" spans="2:3" s="32" customFormat="1" ht="20.100000000000001" customHeight="1">
      <c r="B90" s="33"/>
      <c r="C90" s="33"/>
    </row>
    <row r="91" spans="2:3" s="32" customFormat="1" ht="20.100000000000001" customHeight="1">
      <c r="B91" s="33"/>
      <c r="C91" s="33"/>
    </row>
    <row r="92" spans="2:3" s="32" customFormat="1" ht="20.100000000000001" customHeight="1">
      <c r="B92" s="33"/>
      <c r="C92" s="33"/>
    </row>
    <row r="93" spans="2:3" s="32" customFormat="1" ht="20.100000000000001" customHeight="1">
      <c r="B93" s="33"/>
      <c r="C93" s="33"/>
    </row>
    <row r="94" spans="2:3" s="32" customFormat="1" ht="20.100000000000001" customHeight="1">
      <c r="B94" s="33"/>
      <c r="C94" s="33"/>
    </row>
    <row r="95" spans="2:3" s="32" customFormat="1" ht="20.100000000000001" customHeight="1">
      <c r="B95" s="33"/>
      <c r="C95" s="33"/>
    </row>
    <row r="96" spans="2:3" s="32" customFormat="1" ht="20.100000000000001" customHeight="1">
      <c r="B96" s="33"/>
      <c r="C96" s="33"/>
    </row>
    <row r="97" spans="2:3" s="32" customFormat="1" ht="20.100000000000001" customHeight="1">
      <c r="B97" s="33"/>
      <c r="C97" s="33"/>
    </row>
    <row r="98" spans="2:3" s="32" customFormat="1" ht="20.100000000000001" customHeight="1">
      <c r="B98" s="33"/>
      <c r="C98" s="33"/>
    </row>
    <row r="99" spans="2:3" s="32" customFormat="1" ht="20.100000000000001" customHeight="1">
      <c r="B99" s="33"/>
      <c r="C99" s="33"/>
    </row>
    <row r="100" spans="2:3" s="32" customFormat="1" ht="20.100000000000001" customHeight="1">
      <c r="B100" s="33"/>
      <c r="C100" s="33"/>
    </row>
    <row r="101" spans="2:3" s="32" customFormat="1" ht="20.100000000000001" customHeight="1">
      <c r="B101" s="33"/>
      <c r="C101" s="33"/>
    </row>
    <row r="102" spans="2:3" s="32" customFormat="1" ht="20.100000000000001" customHeight="1">
      <c r="B102" s="33"/>
      <c r="C102" s="33"/>
    </row>
    <row r="103" spans="2:3" s="32" customFormat="1" ht="20.100000000000001" customHeight="1">
      <c r="B103" s="33"/>
      <c r="C103" s="33"/>
    </row>
    <row r="104" spans="2:3" s="32" customFormat="1" ht="20.100000000000001" customHeight="1">
      <c r="B104" s="33"/>
      <c r="C104" s="33"/>
    </row>
    <row r="105" spans="2:3" s="32" customFormat="1" ht="20.100000000000001" customHeight="1">
      <c r="B105" s="33"/>
      <c r="C105" s="33"/>
    </row>
    <row r="106" spans="2:3" s="32" customFormat="1" ht="20.100000000000001" customHeight="1">
      <c r="B106" s="33"/>
      <c r="C106" s="33"/>
    </row>
    <row r="107" spans="2:3" s="32" customFormat="1" ht="20.100000000000001" customHeight="1">
      <c r="B107" s="33"/>
      <c r="C107" s="33"/>
    </row>
    <row r="108" spans="2:3" s="32" customFormat="1" ht="20.100000000000001" customHeight="1">
      <c r="B108" s="33"/>
      <c r="C108" s="33"/>
    </row>
    <row r="109" spans="2:3" s="32" customFormat="1" ht="20.100000000000001" customHeight="1">
      <c r="B109" s="33"/>
      <c r="C109" s="33"/>
    </row>
    <row r="110" spans="2:3" s="32" customFormat="1" ht="20.100000000000001" customHeight="1">
      <c r="B110" s="33"/>
      <c r="C110" s="33"/>
    </row>
    <row r="111" spans="2:3" s="32" customFormat="1" ht="20.100000000000001" customHeight="1">
      <c r="B111" s="33"/>
      <c r="C111" s="33"/>
    </row>
    <row r="112" spans="2:3" s="32" customFormat="1" ht="20.100000000000001" customHeight="1">
      <c r="B112" s="33"/>
      <c r="C112" s="33"/>
    </row>
    <row r="113" spans="2:3" s="32" customFormat="1" ht="20.100000000000001" customHeight="1">
      <c r="B113" s="33"/>
      <c r="C113" s="33"/>
    </row>
    <row r="114" spans="2:3" s="32" customFormat="1" ht="20.100000000000001" customHeight="1">
      <c r="B114" s="33"/>
      <c r="C114" s="33"/>
    </row>
    <row r="115" spans="2:3" s="32" customFormat="1" ht="20.100000000000001" customHeight="1">
      <c r="B115" s="33"/>
      <c r="C115" s="33"/>
    </row>
    <row r="116" spans="2:3" s="32" customFormat="1" ht="20.100000000000001" customHeight="1">
      <c r="B116" s="33"/>
      <c r="C116" s="33"/>
    </row>
    <row r="117" spans="2:3" s="32" customFormat="1" ht="20.100000000000001" customHeight="1">
      <c r="B117" s="33"/>
      <c r="C117" s="33"/>
    </row>
    <row r="118" spans="2:3" s="32" customFormat="1" ht="20.100000000000001" customHeight="1">
      <c r="B118" s="33"/>
      <c r="C118" s="33"/>
    </row>
    <row r="119" spans="2:3" s="32" customFormat="1" ht="20.100000000000001" customHeight="1">
      <c r="B119" s="33"/>
      <c r="C119" s="33"/>
    </row>
    <row r="120" spans="2:3" s="32" customFormat="1" ht="20.100000000000001" customHeight="1">
      <c r="B120" s="33"/>
      <c r="C120" s="33"/>
    </row>
    <row r="121" spans="2:3" s="32" customFormat="1" ht="20.100000000000001" customHeight="1">
      <c r="B121" s="33"/>
      <c r="C121" s="33"/>
    </row>
    <row r="122" spans="2:3" s="32" customFormat="1" ht="20.100000000000001" customHeight="1">
      <c r="B122" s="33"/>
      <c r="C122" s="33"/>
    </row>
    <row r="123" spans="2:3" s="32" customFormat="1" ht="20.100000000000001" customHeight="1">
      <c r="B123" s="33"/>
      <c r="C123" s="33"/>
    </row>
    <row r="124" spans="2:3" s="32" customFormat="1" ht="20.100000000000001" customHeight="1">
      <c r="B124" s="33"/>
      <c r="C124" s="33"/>
    </row>
    <row r="125" spans="2:3" s="32" customFormat="1" ht="20.100000000000001" customHeight="1">
      <c r="B125" s="33"/>
      <c r="C125" s="33"/>
    </row>
    <row r="126" spans="2:3" s="32" customFormat="1" ht="20.100000000000001" customHeight="1">
      <c r="B126" s="33"/>
      <c r="C126" s="33"/>
    </row>
    <row r="127" spans="2:3" s="32" customFormat="1" ht="20.100000000000001" customHeight="1">
      <c r="B127" s="33"/>
      <c r="C127" s="33"/>
    </row>
    <row r="128" spans="2:3" s="32" customFormat="1" ht="20.100000000000001" customHeight="1">
      <c r="B128" s="33"/>
      <c r="C128" s="33"/>
    </row>
    <row r="129" spans="2:3" s="32" customFormat="1" ht="20.100000000000001" customHeight="1">
      <c r="B129" s="33"/>
      <c r="C129" s="33"/>
    </row>
    <row r="130" spans="2:3" s="32" customFormat="1" ht="20.100000000000001" customHeight="1">
      <c r="B130" s="33"/>
      <c r="C130" s="33"/>
    </row>
    <row r="131" spans="2:3" s="32" customFormat="1" ht="20.100000000000001" customHeight="1">
      <c r="B131" s="33"/>
      <c r="C131" s="33"/>
    </row>
    <row r="132" spans="2:3" s="32" customFormat="1" ht="20.100000000000001" customHeight="1">
      <c r="B132" s="33"/>
      <c r="C132" s="33"/>
    </row>
    <row r="133" spans="2:3" s="32" customFormat="1" ht="20.100000000000001" customHeight="1">
      <c r="B133" s="33"/>
      <c r="C133" s="33"/>
    </row>
    <row r="134" spans="2:3" s="32" customFormat="1" ht="20.100000000000001" customHeight="1">
      <c r="B134" s="33"/>
      <c r="C134" s="33"/>
    </row>
    <row r="135" spans="2:3" s="32" customFormat="1" ht="20.100000000000001" customHeight="1">
      <c r="B135" s="33"/>
      <c r="C135" s="33"/>
    </row>
    <row r="136" spans="2:3" s="32" customFormat="1" ht="20.100000000000001" customHeight="1">
      <c r="B136" s="33"/>
      <c r="C136" s="33"/>
    </row>
    <row r="137" spans="2:3" s="32" customFormat="1" ht="20.100000000000001" customHeight="1">
      <c r="B137" s="33"/>
      <c r="C137" s="33"/>
    </row>
    <row r="138" spans="2:3" s="32" customFormat="1" ht="20.100000000000001" customHeight="1">
      <c r="B138" s="33"/>
      <c r="C138" s="33"/>
    </row>
    <row r="139" spans="2:3" s="32" customFormat="1" ht="20.100000000000001" customHeight="1">
      <c r="B139" s="33"/>
      <c r="C139" s="33"/>
    </row>
    <row r="140" spans="2:3" s="32" customFormat="1" ht="20.100000000000001" customHeight="1">
      <c r="B140" s="33"/>
      <c r="C140" s="33"/>
    </row>
    <row r="141" spans="2:3" s="32" customFormat="1" ht="20.100000000000001" customHeight="1">
      <c r="B141" s="33"/>
      <c r="C141" s="33"/>
    </row>
    <row r="142" spans="2:3" s="32" customFormat="1" ht="20.100000000000001" customHeight="1">
      <c r="B142" s="33"/>
      <c r="C142" s="33"/>
    </row>
    <row r="143" spans="2:3" s="32" customFormat="1" ht="20.100000000000001" customHeight="1">
      <c r="B143" s="33"/>
      <c r="C143" s="33"/>
    </row>
    <row r="144" spans="2:3" s="32" customFormat="1" ht="20.100000000000001" customHeight="1">
      <c r="B144" s="33"/>
      <c r="C144" s="33"/>
    </row>
    <row r="145" spans="2:3" s="32" customFormat="1" ht="20.100000000000001" customHeight="1">
      <c r="B145" s="33"/>
      <c r="C145" s="33"/>
    </row>
    <row r="146" spans="2:3" s="32" customFormat="1" ht="20.100000000000001" customHeight="1">
      <c r="B146" s="33"/>
      <c r="C146" s="33"/>
    </row>
    <row r="147" spans="2:3" s="32" customFormat="1" ht="20.100000000000001" customHeight="1">
      <c r="B147" s="33"/>
      <c r="C147" s="33"/>
    </row>
  </sheetData>
  <mergeCells count="2">
    <mergeCell ref="AJ1:AJ2"/>
    <mergeCell ref="AK1:AK2"/>
  </mergeCells>
  <conditionalFormatting sqref="E3:AI24">
    <cfRule type="expression" dxfId="6" priority="1">
      <formula>AND($D3="chat")</formula>
    </cfRule>
    <cfRule type="expression" dxfId="5" priority="2">
      <formula>AND($D3="chien")</formula>
    </cfRule>
    <cfRule type="expression" dxfId="4" priority="3">
      <formula>AND($D3="nac")</formula>
    </cfRule>
  </conditionalFormatting>
  <conditionalFormatting sqref="AJ3:AJ24">
    <cfRule type="dataBar" priority="7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{3B8C2F81-73EC-4F6E-B1D8-6C9A7D926E34}</x14:id>
        </ext>
      </extLst>
    </cfRule>
  </conditionalFormatting>
  <conditionalFormatting sqref="AK3:AK24">
    <cfRule type="dataBar" priority="6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{C9A0A5E0-43F6-4358-B54C-ECAC58717F2F}</x14:id>
        </ext>
      </extLst>
    </cfRule>
  </conditionalFormatting>
  <conditionalFormatting sqref="E4:AI24">
    <cfRule type="expression" dxfId="3" priority="4">
      <formula>AND($D4="Oiseau")</formula>
    </cfRule>
  </conditionalFormatting>
  <dataValidations count="4">
    <dataValidation allowBlank="1" showErrorMessage="1" sqref="D1:D2 AK1" xr:uid="{8BCA24E2-BE6F-449A-8D78-9CE38F585711}"/>
    <dataValidation type="list" allowBlank="1" showInputMessage="1" showErrorMessage="1" prompt="Choisir dans la liste déroulante" sqref="A3:A24" xr:uid="{A7600231-B838-4813-9047-B6AB3D703F99}">
      <formula1>L_Code_Animal</formula1>
    </dataValidation>
    <dataValidation allowBlank="1" showInputMessage="1" showErrorMessage="1" prompt="Calcule automatiquement le nombre total de jours d’absence d’un employé durant ce mois" sqref="AJ1" xr:uid="{7485BE1F-6B0A-4986-9DDF-E23534D878C2}"/>
    <dataValidation allowBlank="1" showInputMessage="1" showErrorMessage="1" prompt="Saisir le premier jour du mois" sqref="A1" xr:uid="{53D9979B-6464-473D-9309-C485BBF3E2BC}"/>
  </dataValidations>
  <printOptions horizontalCentered="1"/>
  <pageMargins left="0.25" right="0.25" top="0.75" bottom="0.75" header="0.3" footer="0.3"/>
  <pageSetup paperSize="9" scale="62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8C2F81-73EC-4F6E-B1D8-6C9A7D926E34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AJ3:AJ24</xm:sqref>
        </x14:conditionalFormatting>
        <x14:conditionalFormatting xmlns:xm="http://schemas.microsoft.com/office/excel/2006/main">
          <x14:cfRule type="dataBar" id="{C9A0A5E0-43F6-4358-B54C-ECAC58717F2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AK3:AK24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89685-0249-442C-9E4F-D6BE204F3156}">
  <sheetPr codeName="Feuil3">
    <tabColor theme="4" tint="-0.249977111117893"/>
    <pageSetUpPr fitToPage="1"/>
  </sheetPr>
  <dimension ref="B2:Q44"/>
  <sheetViews>
    <sheetView showGridLines="0" workbookViewId="0">
      <selection activeCell="F12" sqref="F12"/>
    </sheetView>
  </sheetViews>
  <sheetFormatPr baseColWidth="10" defaultRowHeight="15"/>
  <cols>
    <col min="1" max="1" width="10.7109375" style="66" customWidth="1"/>
    <col min="2" max="8" width="16.7109375" style="66" customWidth="1"/>
    <col min="9" max="9" width="11.42578125" style="66"/>
    <col min="10" max="10" width="11.85546875" style="66" bestFit="1" customWidth="1"/>
    <col min="11" max="16384" width="11.42578125" style="66"/>
  </cols>
  <sheetData>
    <row r="2" spans="2:17" ht="21">
      <c r="B2" s="1" t="s">
        <v>0</v>
      </c>
      <c r="C2" s="1"/>
      <c r="D2" s="1"/>
      <c r="E2" s="65"/>
      <c r="F2" s="65"/>
      <c r="G2" s="65"/>
      <c r="H2" s="65"/>
    </row>
    <row r="3" spans="2:17" ht="15.75" customHeight="1">
      <c r="B3" s="2"/>
      <c r="C3" s="2"/>
      <c r="D3" s="11"/>
      <c r="E3" s="11"/>
      <c r="F3" s="67"/>
      <c r="G3" s="68"/>
      <c r="H3" s="2"/>
    </row>
    <row r="4" spans="2:17" ht="15.75">
      <c r="B4" s="76" t="s">
        <v>5</v>
      </c>
      <c r="C4" s="2"/>
      <c r="D4" s="2"/>
      <c r="E4" s="11"/>
      <c r="F4" s="69"/>
      <c r="G4" s="70"/>
      <c r="H4" s="2"/>
    </row>
    <row r="5" spans="2:17" ht="15.75">
      <c r="B5" s="76" t="s">
        <v>6</v>
      </c>
      <c r="C5" s="2"/>
      <c r="D5" s="2"/>
      <c r="E5" s="11"/>
      <c r="F5" s="69"/>
      <c r="G5" s="70"/>
      <c r="H5" s="2"/>
    </row>
    <row r="6" spans="2:17" ht="15.75">
      <c r="B6" s="76" t="s">
        <v>10</v>
      </c>
      <c r="C6" s="2"/>
      <c r="D6" s="2"/>
      <c r="E6" s="11"/>
      <c r="F6" s="69"/>
      <c r="G6" s="70"/>
      <c r="H6" s="2"/>
    </row>
    <row r="7" spans="2:17" ht="15.75">
      <c r="B7" s="76" t="s">
        <v>11</v>
      </c>
      <c r="C7" s="2"/>
      <c r="D7" s="11"/>
      <c r="E7" s="71"/>
      <c r="F7" s="69"/>
      <c r="G7" s="70"/>
      <c r="H7" s="2"/>
    </row>
    <row r="8" spans="2:17" ht="15.75">
      <c r="B8" s="76" t="s">
        <v>12</v>
      </c>
      <c r="C8" s="2"/>
      <c r="D8" s="2"/>
      <c r="E8" s="2"/>
      <c r="F8" s="72"/>
      <c r="G8" s="73"/>
      <c r="H8" s="2"/>
      <c r="J8" s="74"/>
      <c r="K8" s="74"/>
      <c r="L8" s="74"/>
      <c r="M8" s="74"/>
      <c r="N8" s="74"/>
      <c r="O8" s="74"/>
      <c r="P8" s="74"/>
      <c r="Q8" s="74"/>
    </row>
    <row r="9" spans="2:17" ht="39" customHeight="1">
      <c r="B9" s="2"/>
      <c r="C9" s="2"/>
      <c r="D9" s="2"/>
      <c r="E9" s="2"/>
      <c r="F9" s="75"/>
      <c r="G9" s="75"/>
      <c r="H9" s="2"/>
      <c r="J9" s="74"/>
      <c r="K9" s="74"/>
      <c r="L9" s="74"/>
      <c r="M9" s="74"/>
      <c r="N9" s="74"/>
      <c r="O9" s="74"/>
      <c r="P9" s="74"/>
      <c r="Q9" s="74"/>
    </row>
    <row r="10" spans="2:17" s="28" customFormat="1" ht="27" customHeight="1">
      <c r="B10" s="227" t="s">
        <v>1</v>
      </c>
      <c r="C10" s="227"/>
      <c r="D10" s="227"/>
      <c r="E10" s="227"/>
      <c r="F10" s="227"/>
      <c r="G10" s="227"/>
      <c r="H10" s="227"/>
      <c r="J10" s="77"/>
      <c r="K10" s="77"/>
      <c r="L10" s="77"/>
      <c r="M10" s="77"/>
      <c r="N10" s="77"/>
      <c r="O10" s="77"/>
      <c r="P10" s="77"/>
      <c r="Q10" s="77"/>
    </row>
    <row r="11" spans="2:17" s="28" customFormat="1" ht="15.75">
      <c r="B11" s="76"/>
      <c r="C11" s="157">
        <v>5</v>
      </c>
      <c r="D11" s="76"/>
      <c r="E11" s="76"/>
      <c r="F11" s="76"/>
      <c r="G11" s="76"/>
      <c r="H11" s="76"/>
      <c r="J11" s="77"/>
      <c r="K11" s="77"/>
      <c r="L11" s="77"/>
      <c r="M11" s="77"/>
      <c r="N11" s="77"/>
      <c r="O11" s="77"/>
      <c r="P11" s="77"/>
      <c r="Q11" s="77"/>
    </row>
    <row r="12" spans="2:17" s="28" customFormat="1" ht="15.75">
      <c r="B12" s="78" t="s">
        <v>2</v>
      </c>
      <c r="C12" s="76" t="str">
        <f ca="1">TEXT(TODAY(),"aaaamm")&amp;TEXT(C11,"000")</f>
        <v>201908005</v>
      </c>
      <c r="D12" s="79"/>
      <c r="E12" s="80" t="s">
        <v>73</v>
      </c>
      <c r="F12" s="76"/>
      <c r="G12" s="76"/>
      <c r="H12" s="81"/>
      <c r="J12" s="77"/>
      <c r="K12" s="77"/>
      <c r="L12" s="77"/>
      <c r="M12" s="77"/>
      <c r="N12" s="77"/>
      <c r="O12" s="77"/>
      <c r="P12" s="77"/>
      <c r="Q12" s="77"/>
    </row>
    <row r="13" spans="2:17" s="28" customFormat="1" ht="15.75">
      <c r="B13" s="80" t="s">
        <v>74</v>
      </c>
      <c r="C13" s="82">
        <f ca="1">TODAY()</f>
        <v>43695</v>
      </c>
      <c r="D13" s="83"/>
      <c r="E13" s="80" t="s">
        <v>75</v>
      </c>
      <c r="F13" s="76" t="str">
        <f>IFERROR(INDEX(T_Clients[Nom],MATCH(F12,T_Clients[Nom de l''animal],0)),"")</f>
        <v/>
      </c>
      <c r="G13" s="76"/>
      <c r="H13" s="81"/>
      <c r="J13" s="77"/>
      <c r="K13" s="77"/>
      <c r="L13" s="77"/>
      <c r="M13" s="77"/>
      <c r="N13" s="77"/>
      <c r="O13" s="77"/>
      <c r="P13" s="77"/>
      <c r="Q13" s="77"/>
    </row>
    <row r="14" spans="2:17" s="28" customFormat="1" ht="15.75">
      <c r="B14" s="78" t="s">
        <v>7</v>
      </c>
      <c r="C14" s="76" t="str">
        <f>IFERROR(INDEX(T_Clients[Réf Client],MATCH(F12,T_Clients[Nom de l''animal],0)),"")</f>
        <v/>
      </c>
      <c r="D14" s="79"/>
      <c r="E14" s="76"/>
      <c r="F14" s="76" t="str">
        <f>IFERROR(INDEX(T_Clients[Adresse],MATCH(F12,T_Clients[Nom de l''animal],0)),"")</f>
        <v/>
      </c>
      <c r="G14" s="76"/>
      <c r="H14" s="81"/>
      <c r="J14" s="77"/>
      <c r="K14" s="77"/>
      <c r="L14" s="77"/>
      <c r="M14" s="77"/>
      <c r="N14" s="77"/>
      <c r="O14" s="77"/>
      <c r="P14" s="77"/>
      <c r="Q14" s="77"/>
    </row>
    <row r="15" spans="2:17" s="28" customFormat="1" ht="15.75">
      <c r="B15" s="76"/>
      <c r="C15" s="76"/>
      <c r="D15" s="76"/>
      <c r="E15" s="76"/>
      <c r="F15" s="76" t="str">
        <f>IFERROR(INDEX(T_Clients[Code postal],MATCH(F12,T_Clients[Nom de l''animal],0))&amp;" "&amp;INDEX(T_Clients[Ville],MATCH(F12,T_Clients[Nom de l''animal],0)),"")</f>
        <v/>
      </c>
      <c r="G15" s="76"/>
      <c r="H15" s="81"/>
      <c r="J15" s="77"/>
      <c r="K15" s="77"/>
      <c r="L15" s="77"/>
      <c r="M15" s="77"/>
      <c r="N15" s="77"/>
      <c r="O15" s="77"/>
      <c r="P15" s="77"/>
      <c r="Q15" s="77"/>
    </row>
    <row r="16" spans="2:17" s="28" customFormat="1" ht="15.75">
      <c r="B16" s="76"/>
      <c r="C16" s="76"/>
      <c r="D16" s="76"/>
      <c r="E16" s="76"/>
      <c r="F16" s="76" t="str">
        <f>IFERROR(INDEX(T_Clients[E-mail],MATCH(F12,T_Clients[Nom de l''animal],0)),"")</f>
        <v/>
      </c>
      <c r="G16" s="76"/>
      <c r="H16" s="81"/>
      <c r="J16" s="77"/>
      <c r="K16" s="77"/>
      <c r="L16" s="77"/>
      <c r="M16" s="77"/>
      <c r="N16" s="77"/>
      <c r="O16" s="77"/>
      <c r="P16" s="77"/>
      <c r="Q16" s="77"/>
    </row>
    <row r="17" spans="2:17" s="28" customFormat="1" ht="40.5" customHeight="1">
      <c r="B17" s="76"/>
      <c r="C17" s="76"/>
      <c r="D17" s="76"/>
      <c r="E17" s="76"/>
      <c r="F17" s="76"/>
      <c r="G17" s="76"/>
      <c r="H17" s="76"/>
      <c r="J17" s="77"/>
      <c r="K17" s="77"/>
      <c r="L17" s="77"/>
      <c r="M17" s="77"/>
      <c r="N17" s="77"/>
      <c r="O17" s="77"/>
      <c r="P17" s="77"/>
      <c r="Q17" s="77"/>
    </row>
    <row r="18" spans="2:17" s="163" customFormat="1" ht="31.5">
      <c r="B18" s="194" t="s">
        <v>48</v>
      </c>
      <c r="C18" s="194" t="s">
        <v>49</v>
      </c>
      <c r="D18" s="194" t="s">
        <v>20</v>
      </c>
      <c r="E18" s="194" t="s">
        <v>19</v>
      </c>
      <c r="F18" s="194" t="s">
        <v>8</v>
      </c>
      <c r="G18" s="194" t="s">
        <v>16</v>
      </c>
      <c r="H18" s="194" t="s">
        <v>13</v>
      </c>
      <c r="J18" s="164"/>
      <c r="K18" s="164"/>
      <c r="L18" s="164"/>
      <c r="M18" s="164"/>
      <c r="N18" s="164"/>
      <c r="O18" s="164"/>
      <c r="P18" s="164"/>
      <c r="Q18" s="164"/>
    </row>
    <row r="19" spans="2:17" s="28" customFormat="1" ht="15.75">
      <c r="B19" s="139" t="str">
        <f>IFERROR(INDEX(T_Réservation[Début séjour],MATCH($F$12&amp;"_"&amp;ROW()-18,T_Réservation[Code],0)),"")</f>
        <v/>
      </c>
      <c r="C19" s="139" t="str">
        <f>IFERROR(INDEX(T_Réservation[Fin séjour],MATCH($F$12&amp;"_"&amp;ROW()-18,T_Réservation[Code],0)),"")</f>
        <v/>
      </c>
      <c r="D19" s="140" t="str">
        <f>IFERROR(INDEX(T_Réservation[Forfait],MATCH($F$12&amp;"_"&amp;ROW()-18,T_Réservation[Code],0)),"")</f>
        <v/>
      </c>
      <c r="E19" s="141">
        <v>0</v>
      </c>
      <c r="F19" s="142" t="str">
        <f>IFERROR(INDEX(T_Réservation[Prestation],MATCH($F$12&amp;"_"&amp;ROW()-18,T_Réservation[Code],0)),"")</f>
        <v/>
      </c>
      <c r="G19" s="140" t="str">
        <f>IFERROR(INDEX(T_Réservation[Montant net],MATCH($F$12&amp;"_"&amp;ROW()-18,T_Réservation[Code],0))-INDEX(T_Réservation[Montant net],MATCH($F$12&amp;"_"&amp;ROW()-18,T_Réservation[Code],0))*E19,"")</f>
        <v/>
      </c>
      <c r="H19" s="84" t="s">
        <v>15</v>
      </c>
      <c r="J19" s="156"/>
      <c r="K19" s="156"/>
      <c r="L19" s="77"/>
      <c r="M19" s="77"/>
      <c r="N19" s="77"/>
      <c r="O19" s="77"/>
      <c r="P19" s="77"/>
      <c r="Q19" s="77"/>
    </row>
    <row r="20" spans="2:17" s="28" customFormat="1" ht="15.75">
      <c r="B20" s="135" t="str">
        <f>IFERROR(INDEX(T_Réservation[Début séjour],MATCH($F$12&amp;"_"&amp;ROW()-18,T_Réservation[Code],0)),"")</f>
        <v/>
      </c>
      <c r="C20" s="135" t="str">
        <f>IFERROR(INDEX(T_Réservation[Fin séjour],MATCH($F$12&amp;"_"&amp;ROW()-18,T_Réservation[Code],0)),"")</f>
        <v/>
      </c>
      <c r="D20" s="136" t="str">
        <f>IFERROR(INDEX(T_Réservation[Forfait],MATCH($F$12&amp;"_"&amp;ROW()-18,T_Réservation[Code],0)),"")</f>
        <v/>
      </c>
      <c r="E20" s="137" t="str">
        <f>IF(B20&lt;&gt;"",E19,"")</f>
        <v/>
      </c>
      <c r="F20" s="138" t="str">
        <f>IFERROR(INDEX(T_Réservation[Prestation],MATCH($F$12&amp;"_"&amp;ROW()-18,T_Réservation[Code],0)),"")</f>
        <v/>
      </c>
      <c r="G20" s="136" t="str">
        <f>IFERROR(INDEX(T_Réservation[Montant net],MATCH($F$12&amp;"_"&amp;ROW()-18,T_Réservation[Code],0))-INDEX(T_Réservation[Montant net],MATCH($F$12&amp;"_"&amp;ROW()-18,T_Réservation[Code],0))*E20,"")</f>
        <v/>
      </c>
      <c r="H20" s="27" t="str">
        <f t="shared" ref="H20:H22" si="0">IF(B20&lt;&gt;"",H19,"")</f>
        <v/>
      </c>
    </row>
    <row r="21" spans="2:17" s="28" customFormat="1" ht="15.75">
      <c r="B21" s="135" t="str">
        <f>IFERROR(INDEX(T_Réservation[Début séjour],MATCH($F$12&amp;"_"&amp;ROW()-18,T_Réservation[Code],0)),"")</f>
        <v/>
      </c>
      <c r="C21" s="135" t="str">
        <f>IFERROR(INDEX(T_Réservation[Fin séjour],MATCH($F$12&amp;"_"&amp;ROW()-18,T_Réservation[Code],0)),"")</f>
        <v/>
      </c>
      <c r="D21" s="136" t="str">
        <f>IFERROR(INDEX(T_Réservation[Forfait],MATCH($F$12&amp;"_"&amp;ROW()-18,T_Réservation[Code],0)),"")</f>
        <v/>
      </c>
      <c r="E21" s="137" t="str">
        <f t="shared" ref="E21:E22" si="1">IF(B21&lt;&gt;"",E20,"")</f>
        <v/>
      </c>
      <c r="F21" s="138" t="str">
        <f>IFERROR(INDEX(T_Réservation[Prestation],MATCH($F$12&amp;"_"&amp;ROW()-18,T_Réservation[Code],0)),"")</f>
        <v/>
      </c>
      <c r="G21" s="136" t="str">
        <f>IFERROR(INDEX(T_Réservation[Montant net],MATCH($F$12&amp;"_"&amp;ROW()-18,T_Réservation[Code],0))-INDEX(T_Réservation[Montant net],MATCH($F$12&amp;"_"&amp;ROW()-18,T_Réservation[Code],0))*E21,"")</f>
        <v/>
      </c>
      <c r="H21" s="27" t="str">
        <f t="shared" si="0"/>
        <v/>
      </c>
    </row>
    <row r="22" spans="2:17" s="28" customFormat="1" ht="15.75">
      <c r="B22" s="135" t="str">
        <f>IFERROR(INDEX(T_Réservation[Début séjour],MATCH($F$12&amp;"_"&amp;ROW()-18,T_Réservation[Code],0)),"")</f>
        <v/>
      </c>
      <c r="C22" s="135" t="str">
        <f>IFERROR(INDEX(T_Réservation[Fin séjour],MATCH($F$12&amp;"_"&amp;ROW()-18,T_Réservation[Code],0)),"")</f>
        <v/>
      </c>
      <c r="D22" s="136" t="str">
        <f>IFERROR(INDEX(T_Réservation[Forfait],MATCH($F$12&amp;"_"&amp;ROW()-18,T_Réservation[Code],0)),"")</f>
        <v/>
      </c>
      <c r="E22" s="137" t="str">
        <f t="shared" si="1"/>
        <v/>
      </c>
      <c r="F22" s="138" t="str">
        <f>IFERROR(INDEX(T_Réservation[Prestation],MATCH($F$12&amp;"_"&amp;ROW()-18,T_Réservation[Code],0)),"")</f>
        <v/>
      </c>
      <c r="G22" s="136" t="str">
        <f>IFERROR(INDEX(T_Réservation[Montant net],MATCH($F$12&amp;"_"&amp;ROW()-18,T_Réservation[Code],0))-INDEX(T_Réservation[Montant net],MATCH($F$12&amp;"_"&amp;ROW()-18,T_Réservation[Code],0))*E22,"")</f>
        <v/>
      </c>
      <c r="H22" s="27" t="str">
        <f t="shared" si="0"/>
        <v/>
      </c>
    </row>
    <row r="23" spans="2:17" s="28" customFormat="1" ht="20.100000000000001" customHeight="1">
      <c r="B23" s="228" t="s">
        <v>103</v>
      </c>
      <c r="C23" s="229"/>
      <c r="D23" s="229"/>
      <c r="E23" s="229"/>
      <c r="F23" s="230"/>
      <c r="G23" s="165">
        <f>SUM(G19:G22)</f>
        <v>0</v>
      </c>
      <c r="H23" s="27"/>
    </row>
    <row r="24" spans="2:17" s="28" customFormat="1" ht="15.75">
      <c r="B24" s="240"/>
      <c r="C24" s="240"/>
      <c r="D24" s="240"/>
      <c r="E24" s="240"/>
      <c r="F24" s="240"/>
      <c r="G24" s="240"/>
      <c r="H24" s="240"/>
    </row>
    <row r="25" spans="2:17" s="158" customFormat="1" ht="15.75" customHeight="1">
      <c r="B25" s="238" t="s">
        <v>98</v>
      </c>
      <c r="C25" s="238"/>
      <c r="D25" s="238"/>
      <c r="E25" s="238"/>
      <c r="F25" s="238"/>
      <c r="G25" s="238"/>
      <c r="H25" s="238"/>
    </row>
    <row r="26" spans="2:17" s="162" customFormat="1" ht="12.75">
      <c r="B26" s="159"/>
      <c r="C26" s="159" t="s">
        <v>96</v>
      </c>
      <c r="D26" s="160">
        <f>G23/2</f>
        <v>0</v>
      </c>
      <c r="E26" s="161">
        <f>MIN(B19:B22)</f>
        <v>0</v>
      </c>
      <c r="F26" s="159"/>
      <c r="G26" s="159"/>
      <c r="H26" s="159"/>
    </row>
    <row r="27" spans="2:17" s="162" customFormat="1" ht="12.75">
      <c r="B27" s="159"/>
      <c r="C27" s="159" t="s">
        <v>97</v>
      </c>
      <c r="D27" s="160">
        <f>G23/2</f>
        <v>0</v>
      </c>
      <c r="E27" s="161">
        <f>MAX(C19:C22)</f>
        <v>0</v>
      </c>
      <c r="F27" s="159"/>
      <c r="G27" s="159"/>
      <c r="H27" s="159"/>
    </row>
    <row r="28" spans="2:17" s="162" customFormat="1" ht="12.75">
      <c r="B28" s="159"/>
      <c r="C28" s="159"/>
      <c r="D28" s="160"/>
      <c r="E28" s="161"/>
      <c r="F28" s="159"/>
      <c r="G28" s="159"/>
      <c r="H28" s="159"/>
    </row>
    <row r="29" spans="2:17" s="162" customFormat="1" ht="12.75">
      <c r="B29" s="239" t="s">
        <v>17</v>
      </c>
      <c r="C29" s="239"/>
      <c r="D29" s="239"/>
      <c r="E29" s="239"/>
      <c r="F29" s="239"/>
      <c r="G29" s="239"/>
      <c r="H29" s="239"/>
    </row>
    <row r="30" spans="2:17" s="162" customFormat="1" ht="12.75">
      <c r="B30" s="237" t="s">
        <v>104</v>
      </c>
      <c r="C30" s="237"/>
      <c r="D30" s="237"/>
      <c r="E30" s="237"/>
      <c r="F30" s="237"/>
      <c r="G30" s="237"/>
      <c r="H30" s="237"/>
    </row>
    <row r="31" spans="2:17" s="28" customFormat="1" ht="15.75">
      <c r="B31" s="86"/>
      <c r="C31" s="85"/>
      <c r="D31" s="87"/>
      <c r="E31" s="23"/>
      <c r="F31" s="23"/>
      <c r="G31" s="23"/>
      <c r="H31" s="23"/>
      <c r="I31" s="23"/>
      <c r="J31" s="23"/>
      <c r="K31" s="23"/>
    </row>
    <row r="32" spans="2:17" s="28" customFormat="1" ht="17.25" customHeight="1">
      <c r="B32" s="145" t="s">
        <v>89</v>
      </c>
      <c r="C32" s="143"/>
      <c r="D32" s="143"/>
      <c r="E32" s="143"/>
      <c r="F32" s="143"/>
      <c r="G32" s="143"/>
      <c r="H32" s="144"/>
    </row>
    <row r="33" spans="2:8" s="28" customFormat="1" ht="15.75">
      <c r="B33" s="231"/>
      <c r="C33" s="232"/>
      <c r="D33" s="232"/>
      <c r="E33" s="232"/>
      <c r="F33" s="232"/>
      <c r="G33" s="232"/>
      <c r="H33" s="233"/>
    </row>
    <row r="34" spans="2:8" s="28" customFormat="1" ht="15.75">
      <c r="B34" s="231"/>
      <c r="C34" s="232"/>
      <c r="D34" s="232"/>
      <c r="E34" s="232"/>
      <c r="F34" s="232"/>
      <c r="G34" s="232"/>
      <c r="H34" s="233"/>
    </row>
    <row r="35" spans="2:8" s="28" customFormat="1" ht="15.75">
      <c r="B35" s="231"/>
      <c r="C35" s="232"/>
      <c r="D35" s="232"/>
      <c r="E35" s="232"/>
      <c r="F35" s="232"/>
      <c r="G35" s="232"/>
      <c r="H35" s="233"/>
    </row>
    <row r="36" spans="2:8" s="28" customFormat="1" ht="15.75">
      <c r="B36" s="234"/>
      <c r="C36" s="235"/>
      <c r="D36" s="235"/>
      <c r="E36" s="235"/>
      <c r="F36" s="235"/>
      <c r="G36" s="235"/>
      <c r="H36" s="236"/>
    </row>
    <row r="37" spans="2:8" s="28" customFormat="1" ht="15.75">
      <c r="B37" s="146"/>
      <c r="C37" s="146"/>
      <c r="D37" s="146"/>
      <c r="E37" s="146"/>
      <c r="F37" s="146"/>
      <c r="G37" s="146"/>
      <c r="H37" s="146"/>
    </row>
    <row r="38" spans="2:8" s="28" customFormat="1" ht="15.75">
      <c r="B38" s="146"/>
      <c r="C38" s="146"/>
      <c r="D38" s="154"/>
      <c r="E38" s="155"/>
      <c r="F38" s="146"/>
      <c r="G38" s="146"/>
      <c r="H38" s="146"/>
    </row>
    <row r="39" spans="2:8" s="28" customFormat="1" ht="15.75">
      <c r="C39" s="88"/>
      <c r="D39" s="88"/>
      <c r="E39" s="88"/>
      <c r="F39" s="88"/>
      <c r="G39" s="88"/>
      <c r="H39" s="88"/>
    </row>
    <row r="40" spans="2:8">
      <c r="B40" s="65"/>
      <c r="C40" s="65"/>
      <c r="D40" s="65"/>
      <c r="E40" s="65"/>
      <c r="F40" s="65"/>
      <c r="G40" s="65"/>
      <c r="H40" s="65"/>
    </row>
    <row r="41" spans="2:8">
      <c r="B41" s="65"/>
      <c r="C41" s="65"/>
      <c r="D41" s="65"/>
      <c r="E41" s="65"/>
      <c r="F41" s="65"/>
      <c r="G41" s="65"/>
      <c r="H41" s="65"/>
    </row>
    <row r="42" spans="2:8">
      <c r="B42" s="65"/>
      <c r="C42" s="65"/>
      <c r="D42" s="65"/>
      <c r="E42" s="65"/>
      <c r="F42" s="65"/>
      <c r="G42" s="65"/>
      <c r="H42" s="65"/>
    </row>
    <row r="43" spans="2:8">
      <c r="B43" s="65"/>
      <c r="C43" s="65"/>
      <c r="D43" s="65"/>
      <c r="E43" s="65"/>
      <c r="F43" s="65"/>
      <c r="G43" s="65"/>
      <c r="H43" s="65"/>
    </row>
    <row r="44" spans="2:8">
      <c r="B44" s="65"/>
      <c r="C44" s="65"/>
      <c r="D44" s="65"/>
      <c r="E44" s="65"/>
      <c r="F44" s="65"/>
      <c r="G44" s="65"/>
      <c r="H44" s="65"/>
    </row>
  </sheetData>
  <mergeCells count="7">
    <mergeCell ref="B10:H10"/>
    <mergeCell ref="B23:F23"/>
    <mergeCell ref="B33:H36"/>
    <mergeCell ref="B30:H30"/>
    <mergeCell ref="B25:H25"/>
    <mergeCell ref="B29:H29"/>
    <mergeCell ref="B24:H24"/>
  </mergeCells>
  <phoneticPr fontId="6" type="noConversion"/>
  <conditionalFormatting sqref="B19:H22">
    <cfRule type="expression" dxfId="2" priority="1">
      <formula>$B19&lt;&gt;""</formula>
    </cfRule>
  </conditionalFormatting>
  <dataValidations count="6">
    <dataValidation type="list" allowBlank="1" showInputMessage="1" showErrorMessage="1" prompt="Choisir dans la liste déroulante" sqref="E19" xr:uid="{37034BF8-9DB3-42F4-9344-D78E30FCF4AE}">
      <formula1>L_Remise</formula1>
    </dataValidation>
    <dataValidation type="list" allowBlank="1" showInputMessage="1" showErrorMessage="1" prompt="Choisir dans la liste déroulante" sqref="H19" xr:uid="{2A5333FF-D423-4292-AFE6-39318541304C}">
      <formula1>L_Reglement</formula1>
    </dataValidation>
    <dataValidation allowBlank="1" showInputMessage="1" showErrorMessage="1" prompt="Choisir dans la liste déroulante" sqref="H23:H28" xr:uid="{FE52BAC7-643C-464E-9DF3-8F48BA664D10}"/>
    <dataValidation type="list" allowBlank="1" showInputMessage="1" prompt="Choisir dans la liste déroulante" sqref="E20:E22" xr:uid="{96FABCBB-4370-44C0-B8EE-BF4D2A600929}">
      <formula1>L_Remise</formula1>
    </dataValidation>
    <dataValidation type="list" allowBlank="1" showInputMessage="1" prompt="Choisir dans la liste déroulante" sqref="H20:H22" xr:uid="{411720E4-E42D-4D90-9F2F-8606B6D2B536}">
      <formula1>L_Reglement</formula1>
    </dataValidation>
    <dataValidation type="list" allowBlank="1" showInputMessage="1" showErrorMessage="1" prompt="Choisir dans la liste déroulante" sqref="F12" xr:uid="{8EA3095C-8E1D-4639-B685-82997078C8AD}">
      <formula1>L_A_Facturer</formula1>
    </dataValidation>
  </dataValidations>
  <printOptions horizontalCentered="1" verticalCentered="1"/>
  <pageMargins left="0.19685039370078741" right="0.39370078740157483" top="0.19685039370078741" bottom="0.19685039370078741" header="0.19685039370078741" footer="0.19685039370078741"/>
  <pageSetup paperSize="9" scale="76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Label 10">
              <controlPr defaultSize="0" print="0" autoFill="0" autoLine="0" autoPict="0">
                <anchor>
                  <from>
                    <xdr:col>0</xdr:col>
                    <xdr:colOff>123825</xdr:colOff>
                    <xdr:row>2</xdr:row>
                    <xdr:rowOff>142875</xdr:rowOff>
                  </from>
                  <to>
                    <xdr:col>0</xdr:col>
                    <xdr:colOff>628650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Label 11">
              <controlPr defaultSize="0" print="0" autoFill="0" autoLine="0" autoPict="0">
                <anchor>
                  <from>
                    <xdr:col>0</xdr:col>
                    <xdr:colOff>66675</xdr:colOff>
                    <xdr:row>8</xdr:row>
                    <xdr:rowOff>419100</xdr:rowOff>
                  </from>
                  <to>
                    <xdr:col>0</xdr:col>
                    <xdr:colOff>647700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Label 15">
              <controlPr defaultSize="0" print="0" autoFill="0" autoLine="0" autoPict="0">
                <anchor>
                  <from>
                    <xdr:col>0</xdr:col>
                    <xdr:colOff>66675</xdr:colOff>
                    <xdr:row>6</xdr:row>
                    <xdr:rowOff>85725</xdr:rowOff>
                  </from>
                  <to>
                    <xdr:col>0</xdr:col>
                    <xdr:colOff>647700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5350B-B9F0-41D4-8A19-06004C15907A}">
  <sheetPr codeName="Feuil6">
    <pageSetUpPr fitToPage="1"/>
  </sheetPr>
  <dimension ref="B1:T39"/>
  <sheetViews>
    <sheetView showGridLines="0" workbookViewId="0">
      <selection activeCell="L2" sqref="L2"/>
    </sheetView>
  </sheetViews>
  <sheetFormatPr baseColWidth="10" defaultRowHeight="15.75"/>
  <cols>
    <col min="1" max="1" width="4.7109375" style="166" customWidth="1"/>
    <col min="2" max="2" width="15.7109375" style="166" customWidth="1"/>
    <col min="3" max="4" width="12.7109375" style="166" customWidth="1"/>
    <col min="5" max="5" width="10.7109375" style="166" customWidth="1"/>
    <col min="6" max="9" width="15.7109375" style="166" customWidth="1"/>
    <col min="10" max="10" width="4.7109375" style="37" customWidth="1"/>
    <col min="11" max="11" width="19.7109375" style="37" customWidth="1"/>
    <col min="12" max="12" width="11.42578125" style="37" customWidth="1"/>
    <col min="13" max="13" width="4.7109375" style="37" customWidth="1"/>
    <col min="14" max="20" width="16.7109375" style="166" customWidth="1"/>
    <col min="21" max="16384" width="11.42578125" style="166"/>
  </cols>
  <sheetData>
    <row r="1" spans="2:20">
      <c r="J1" s="166"/>
      <c r="K1" s="166"/>
      <c r="L1" s="166"/>
      <c r="M1" s="166"/>
    </row>
    <row r="2" spans="2:20">
      <c r="B2" s="191" t="s">
        <v>1</v>
      </c>
      <c r="C2" s="192" t="s">
        <v>100</v>
      </c>
      <c r="D2" s="192" t="s">
        <v>101</v>
      </c>
      <c r="E2" s="192" t="s">
        <v>19</v>
      </c>
      <c r="F2" s="192" t="s">
        <v>102</v>
      </c>
      <c r="G2" s="192" t="s">
        <v>13</v>
      </c>
      <c r="H2" s="192" t="s">
        <v>106</v>
      </c>
      <c r="I2" s="193" t="s">
        <v>90</v>
      </c>
      <c r="J2" s="166"/>
      <c r="K2" s="189" t="s">
        <v>105</v>
      </c>
      <c r="L2" s="190"/>
      <c r="M2" s="166"/>
    </row>
    <row r="3" spans="2:20">
      <c r="B3" s="167" t="s">
        <v>129</v>
      </c>
      <c r="C3" s="168">
        <v>43694</v>
      </c>
      <c r="D3" s="169" t="s">
        <v>130</v>
      </c>
      <c r="E3" s="170">
        <v>0</v>
      </c>
      <c r="F3" s="171">
        <v>225</v>
      </c>
      <c r="G3" s="169" t="s">
        <v>15</v>
      </c>
      <c r="H3" s="169" t="str">
        <f>IFERROR(INDEX(T_Clients[Nom de l''animal],MATCH($D3,T_Clients[Réf Client],0)),"")</f>
        <v>MEDORE</v>
      </c>
      <c r="I3" s="172" t="str">
        <f>IFERROR(INDEX(T_Clients[Nom],MATCH($D3,T_Clients[Réf Client],0)),"")</f>
        <v>DUPONT</v>
      </c>
      <c r="J3" s="166"/>
      <c r="K3" s="166"/>
      <c r="L3" s="166"/>
      <c r="M3" s="166"/>
    </row>
    <row r="4" spans="2:20">
      <c r="B4" s="167" t="s">
        <v>131</v>
      </c>
      <c r="C4" s="168">
        <v>43694</v>
      </c>
      <c r="D4" s="169" t="s">
        <v>132</v>
      </c>
      <c r="E4" s="170">
        <v>0</v>
      </c>
      <c r="F4" s="171">
        <v>120</v>
      </c>
      <c r="G4" s="169" t="s">
        <v>15</v>
      </c>
      <c r="H4" s="169" t="str">
        <f>IFERROR(INDEX(T_Clients[Nom de l''animal],MATCH($D4,T_Clients[Réf Client],0)),"")</f>
        <v>MINOU</v>
      </c>
      <c r="I4" s="172" t="str">
        <f>IFERROR(INDEX(T_Clients[Nom],MATCH($D4,T_Clients[Réf Client],0)),"")</f>
        <v>CLEMENT</v>
      </c>
      <c r="N4" s="173" t="s">
        <v>0</v>
      </c>
      <c r="O4" s="173"/>
      <c r="P4" s="173"/>
      <c r="Q4" s="76"/>
      <c r="R4" s="76"/>
      <c r="S4" s="76"/>
      <c r="T4" s="76"/>
    </row>
    <row r="5" spans="2:20">
      <c r="B5" s="167" t="s">
        <v>133</v>
      </c>
      <c r="C5" s="168">
        <v>43694</v>
      </c>
      <c r="D5" s="169" t="s">
        <v>134</v>
      </c>
      <c r="E5" s="170">
        <v>0</v>
      </c>
      <c r="F5" s="171">
        <v>55</v>
      </c>
      <c r="G5" s="169" t="s">
        <v>15</v>
      </c>
      <c r="H5" s="169" t="str">
        <f>IFERROR(INDEX(T_Clients[Nom de l''animal],MATCH($D5,T_Clients[Réf Client],0)),"")</f>
        <v>IGGY</v>
      </c>
      <c r="I5" s="172" t="str">
        <f>IFERROR(INDEX(T_Clients[Nom],MATCH($D5,T_Clients[Réf Client],0)),"")</f>
        <v>CONNORS</v>
      </c>
      <c r="N5" s="76"/>
      <c r="O5" s="76"/>
      <c r="P5" s="80"/>
      <c r="Q5" s="80"/>
      <c r="R5" s="174"/>
      <c r="S5" s="175"/>
      <c r="T5" s="76"/>
    </row>
    <row r="6" spans="2:20">
      <c r="B6" s="167" t="s">
        <v>135</v>
      </c>
      <c r="C6" s="168">
        <v>43694</v>
      </c>
      <c r="D6" s="169" t="s">
        <v>136</v>
      </c>
      <c r="E6" s="170">
        <v>0</v>
      </c>
      <c r="F6" s="171">
        <v>108</v>
      </c>
      <c r="G6" s="169" t="s">
        <v>15</v>
      </c>
      <c r="H6" s="169" t="str">
        <f>IFERROR(INDEX(T_Clients[Nom de l''animal],MATCH($D6,T_Clients[Réf Client],0)),"")</f>
        <v>TITI</v>
      </c>
      <c r="I6" s="172" t="str">
        <f>IFERROR(INDEX(T_Clients[Nom],MATCH($D6,T_Clients[Réf Client],0)),"")</f>
        <v>TAIRIEUR</v>
      </c>
      <c r="N6" s="76" t="s">
        <v>5</v>
      </c>
      <c r="O6" s="76"/>
      <c r="P6" s="76"/>
      <c r="Q6" s="80"/>
      <c r="R6" s="176"/>
      <c r="S6" s="177"/>
      <c r="T6" s="76"/>
    </row>
    <row r="7" spans="2:20">
      <c r="B7" s="167"/>
      <c r="C7" s="168"/>
      <c r="D7" s="169"/>
      <c r="E7" s="170"/>
      <c r="F7" s="171"/>
      <c r="G7" s="169"/>
      <c r="H7" s="169" t="str">
        <f>IFERROR(INDEX(T_Clients[Nom de l''animal],MATCH($D7,T_Clients[Réf Client],0)),"")</f>
        <v/>
      </c>
      <c r="I7" s="172" t="str">
        <f>IFERROR(INDEX(T_Clients[Nom],MATCH($D7,T_Clients[Réf Client],0)),"")</f>
        <v/>
      </c>
      <c r="N7" s="76" t="s">
        <v>6</v>
      </c>
      <c r="O7" s="76"/>
      <c r="P7" s="76"/>
      <c r="Q7" s="80"/>
      <c r="R7" s="176"/>
      <c r="S7" s="177"/>
      <c r="T7" s="76"/>
    </row>
    <row r="8" spans="2:20">
      <c r="N8" s="76" t="s">
        <v>10</v>
      </c>
      <c r="O8" s="76"/>
      <c r="P8" s="76"/>
      <c r="Q8" s="80"/>
      <c r="R8" s="176"/>
      <c r="S8" s="177"/>
      <c r="T8" s="76"/>
    </row>
    <row r="9" spans="2:20">
      <c r="N9" s="76" t="s">
        <v>11</v>
      </c>
      <c r="O9" s="76"/>
      <c r="P9" s="80"/>
      <c r="Q9" s="178"/>
      <c r="R9" s="176"/>
      <c r="S9" s="177"/>
      <c r="T9" s="76"/>
    </row>
    <row r="10" spans="2:20">
      <c r="N10" s="76" t="s">
        <v>12</v>
      </c>
      <c r="O10" s="76"/>
      <c r="P10" s="76"/>
      <c r="Q10" s="76"/>
      <c r="R10" s="179"/>
      <c r="S10" s="180"/>
      <c r="T10" s="76"/>
    </row>
    <row r="11" spans="2:20">
      <c r="N11" s="76"/>
      <c r="O11" s="76"/>
      <c r="P11" s="76"/>
      <c r="Q11" s="76"/>
      <c r="R11" s="181"/>
      <c r="S11" s="181"/>
      <c r="T11" s="76"/>
    </row>
    <row r="12" spans="2:20">
      <c r="N12" s="227" t="s">
        <v>1</v>
      </c>
      <c r="O12" s="227"/>
      <c r="P12" s="227"/>
      <c r="Q12" s="227"/>
      <c r="R12" s="227"/>
      <c r="S12" s="227"/>
      <c r="T12" s="227"/>
    </row>
    <row r="13" spans="2:20">
      <c r="N13" s="76"/>
      <c r="O13" s="157">
        <v>1</v>
      </c>
      <c r="P13" s="76"/>
      <c r="Q13" s="76"/>
      <c r="R13" s="76"/>
      <c r="S13" s="76"/>
      <c r="T13" s="76"/>
    </row>
    <row r="14" spans="2:20">
      <c r="N14" s="78" t="s">
        <v>2</v>
      </c>
      <c r="O14" s="76" t="str">
        <f>IFERROR(INDEX(T_Récap_Facture[Facture],MATCH($L$2,T_Récap_Facture[Référence],0)),"")</f>
        <v/>
      </c>
      <c r="P14" s="79"/>
      <c r="Q14" s="80" t="s">
        <v>73</v>
      </c>
      <c r="R14" s="76">
        <f>L2</f>
        <v>0</v>
      </c>
      <c r="S14" s="76"/>
      <c r="T14" s="81"/>
    </row>
    <row r="15" spans="2:20">
      <c r="N15" s="80" t="s">
        <v>74</v>
      </c>
      <c r="O15" s="188" t="str">
        <f>IFERROR(INDEX(T_Récap_Facture[date],MATCH($L$2,T_Récap_Facture[Référence],0)),"")</f>
        <v/>
      </c>
      <c r="P15" s="83"/>
      <c r="Q15" s="80" t="s">
        <v>75</v>
      </c>
      <c r="R15" s="76" t="str">
        <f>IFERROR(INDEX(T_Clients[Nom],MATCH(R14,T_Clients[Nom de l''animal],0)),"")</f>
        <v/>
      </c>
      <c r="S15" s="76"/>
      <c r="T15" s="81"/>
    </row>
    <row r="16" spans="2:20">
      <c r="N16" s="78" t="s">
        <v>7</v>
      </c>
      <c r="O16" s="188" t="str">
        <f>IFERROR(INDEX(T_Récap_Facture[Référence],MATCH($L$2,T_Récap_Facture[Référence],0)),"")</f>
        <v/>
      </c>
      <c r="P16" s="79"/>
      <c r="Q16" s="76"/>
      <c r="R16" s="76" t="str">
        <f>IFERROR(INDEX(T_Clients[Adresse],MATCH(R14,T_Clients[Nom de l''animal],0)),"")</f>
        <v/>
      </c>
      <c r="S16" s="76"/>
      <c r="T16" s="81"/>
    </row>
    <row r="17" spans="14:20">
      <c r="N17" s="76"/>
      <c r="O17" s="76"/>
      <c r="P17" s="76"/>
      <c r="Q17" s="76"/>
      <c r="R17" s="76" t="str">
        <f>IFERROR(INDEX(T_Clients[Code postal],MATCH(R14,T_Clients[Nom de l''animal],0))&amp;" "&amp;INDEX(T_Clients[Ville],MATCH(R14,T_Clients[Nom de l''animal],0)),"")</f>
        <v/>
      </c>
      <c r="S17" s="76"/>
      <c r="T17" s="81"/>
    </row>
    <row r="18" spans="14:20">
      <c r="N18" s="76"/>
      <c r="O18" s="76"/>
      <c r="P18" s="76"/>
      <c r="Q18" s="76"/>
      <c r="R18" s="76" t="str">
        <f>IFERROR(INDEX(T_Clients[E-mail],MATCH(R14,T_Clients[Nom de l''animal],0)),"")</f>
        <v/>
      </c>
      <c r="S18" s="76"/>
      <c r="T18" s="81"/>
    </row>
    <row r="19" spans="14:20">
      <c r="N19" s="76"/>
      <c r="O19" s="76"/>
      <c r="P19" s="76"/>
      <c r="Q19" s="76"/>
      <c r="R19" s="76"/>
      <c r="S19" s="76"/>
      <c r="T19" s="81"/>
    </row>
    <row r="20" spans="14:20">
      <c r="N20" s="76"/>
      <c r="O20" s="76"/>
      <c r="P20" s="76"/>
      <c r="Q20" s="76"/>
      <c r="R20" s="76"/>
      <c r="S20" s="76"/>
      <c r="T20" s="76"/>
    </row>
    <row r="21" spans="14:20" ht="31.5">
      <c r="N21" s="194" t="s">
        <v>48</v>
      </c>
      <c r="O21" s="194" t="s">
        <v>49</v>
      </c>
      <c r="P21" s="194" t="s">
        <v>20</v>
      </c>
      <c r="Q21" s="194" t="s">
        <v>19</v>
      </c>
      <c r="R21" s="194" t="s">
        <v>8</v>
      </c>
      <c r="S21" s="194" t="s">
        <v>16</v>
      </c>
      <c r="T21" s="194" t="s">
        <v>13</v>
      </c>
    </row>
    <row r="22" spans="14:20">
      <c r="N22" s="182" t="str">
        <f>IFERROR(INDEX(T_Réservation[Début séjour],MATCH($R$14&amp;"_"&amp;ROW()-20,T_Réservation[Code],0)),"")</f>
        <v/>
      </c>
      <c r="O22" s="182" t="str">
        <f>IFERROR(INDEX(T_Réservation[Fin séjour],MATCH($R$14&amp;"_"&amp;ROW()-20,T_Réservation[Code],0)),"")</f>
        <v/>
      </c>
      <c r="P22" s="183" t="str">
        <f>IFERROR(INDEX(T_Réservation[Forfait],MATCH($R$14&amp;"_"&amp;ROW()-20,T_Réservation[Code],0)),"")</f>
        <v/>
      </c>
      <c r="Q22" s="141" t="str">
        <f>IF(N22&lt;&gt;"",INDEX(T_Récap_Facture[Remise],MATCH($L$2,T_Récap_Facture[Animal],0)),"")</f>
        <v/>
      </c>
      <c r="R22" s="184" t="str">
        <f>IFERROR(INDEX(T_Réservation[Prestation],MATCH($R$14&amp;"_"&amp;ROW()-20,T_Réservation[Code],0)),"")</f>
        <v/>
      </c>
      <c r="S22" s="183" t="str">
        <f>IFERROR(INDEX(T_Réservation[Montant net],MATCH($R$14&amp;"_"&amp;ROW()-20,T_Réservation[Code],0))-INDEX(T_Réservation[Montant net],MATCH($R$14&amp;"_"&amp;ROW()-20,T_Réservation[Code],0))*Q22,"")</f>
        <v/>
      </c>
      <c r="T22" s="84" t="str">
        <f>IF(N22&lt;&gt;"",INDEX(T_Récap_Facture[Paiement],MATCH($L$2,T_Récap_Facture[Animal],0)),"")</f>
        <v/>
      </c>
    </row>
    <row r="23" spans="14:20">
      <c r="N23" s="185" t="str">
        <f>IFERROR(INDEX(T_Réservation[Début séjour],MATCH($R$14&amp;"_"&amp;ROW()-20,T_Réservation[Code],0)),"")</f>
        <v/>
      </c>
      <c r="O23" s="185" t="str">
        <f>IFERROR(INDEX(T_Réservation[Fin séjour],MATCH($R$14&amp;"_"&amp;ROW()-20,T_Réservation[Code],0)),"")</f>
        <v/>
      </c>
      <c r="P23" s="186" t="str">
        <f>IFERROR(INDEX(T_Réservation[Forfait],MATCH($R$14&amp;"_"&amp;ROW()-20,T_Réservation[Code],0)),"")</f>
        <v/>
      </c>
      <c r="Q23" s="137" t="str">
        <f>IF(N23&lt;&gt;"",INDEX(T_Récap_Facture[Remise],MATCH($L$2,T_Récap_Facture[Animal],0)),"")</f>
        <v/>
      </c>
      <c r="R23" s="187" t="str">
        <f>IFERROR(INDEX(T_Réservation[Prestation],MATCH($R$14&amp;"_"&amp;ROW()-20,T_Réservation[Code],0)),"")</f>
        <v/>
      </c>
      <c r="S23" s="186" t="str">
        <f>IFERROR(INDEX(T_Réservation[Montant net],MATCH($R$14&amp;"_"&amp;ROW()-20,T_Réservation[Code],0))-INDEX(T_Réservation[Montant net],MATCH($R$14&amp;"_"&amp;ROW()-20,T_Réservation[Code],0))*Q23,"")</f>
        <v/>
      </c>
      <c r="T23" s="27" t="str">
        <f>IF(N23&lt;&gt;"",INDEX(T_Récap_Facture[Paiement],MATCH($L$2,T_Récap_Facture[Animal],0)),"")</f>
        <v/>
      </c>
    </row>
    <row r="24" spans="14:20">
      <c r="N24" s="185" t="str">
        <f>IFERROR(INDEX(T_Réservation[Début séjour],MATCH($R$14&amp;"_"&amp;ROW()-20,T_Réservation[Code],0)),"")</f>
        <v/>
      </c>
      <c r="O24" s="185" t="str">
        <f>IFERROR(INDEX(T_Réservation[Fin séjour],MATCH($R$14&amp;"_"&amp;ROW()-20,T_Réservation[Code],0)),"")</f>
        <v/>
      </c>
      <c r="P24" s="186" t="str">
        <f>IFERROR(INDEX(T_Réservation[Forfait],MATCH($R$14&amp;"_"&amp;ROW()-20,T_Réservation[Code],0)),"")</f>
        <v/>
      </c>
      <c r="Q24" s="137" t="str">
        <f>IF(N24&lt;&gt;"",INDEX(T_Récap_Facture[Remise],MATCH($L$2,T_Récap_Facture[Animal],0)),"")</f>
        <v/>
      </c>
      <c r="R24" s="187" t="str">
        <f>IFERROR(INDEX(T_Réservation[Prestation],MATCH($R$14&amp;"_"&amp;ROW()-20,T_Réservation[Code],0)),"")</f>
        <v/>
      </c>
      <c r="S24" s="186" t="str">
        <f>IFERROR(INDEX(T_Réservation[Montant net],MATCH($R$14&amp;"_"&amp;ROW()-20,T_Réservation[Code],0))-INDEX(T_Réservation[Montant net],MATCH($R$14&amp;"_"&amp;ROW()-20,T_Réservation[Code],0))*Q24,"")</f>
        <v/>
      </c>
      <c r="T24" s="27" t="str">
        <f>IF(N24&lt;&gt;"",INDEX(T_Récap_Facture[Paiement],MATCH($L$2,T_Récap_Facture[Animal],0)),"")</f>
        <v/>
      </c>
    </row>
    <row r="25" spans="14:20">
      <c r="N25" s="185" t="str">
        <f>IFERROR(INDEX(T_Réservation[Début séjour],MATCH($R$14&amp;"_"&amp;ROW()-20,T_Réservation[Code],0)),"")</f>
        <v/>
      </c>
      <c r="O25" s="185" t="str">
        <f>IFERROR(INDEX(T_Réservation[Fin séjour],MATCH($R$14&amp;"_"&amp;ROW()-20,T_Réservation[Code],0)),"")</f>
        <v/>
      </c>
      <c r="P25" s="186" t="str">
        <f>IFERROR(INDEX(T_Réservation[Forfait],MATCH($R$14&amp;"_"&amp;ROW()-20,T_Réservation[Code],0)),"")</f>
        <v/>
      </c>
      <c r="Q25" s="137" t="str">
        <f>IF(N25&lt;&gt;"",INDEX(T_Récap_Facture[Remise],MATCH($L$2,T_Récap_Facture[Animal],0)),"")</f>
        <v/>
      </c>
      <c r="R25" s="187" t="str">
        <f>IFERROR(INDEX(T_Réservation[Prestation],MATCH($R$14&amp;"_"&amp;ROW()-20,T_Réservation[Code],0)),"")</f>
        <v/>
      </c>
      <c r="S25" s="186" t="str">
        <f>IFERROR(INDEX(T_Réservation[Montant net],MATCH($R$14&amp;"_"&amp;ROW()-20,T_Réservation[Code],0))-INDEX(T_Réservation[Montant net],MATCH($R$14&amp;"_"&amp;ROW()-20,T_Réservation[Code],0))*Q25,"")</f>
        <v/>
      </c>
      <c r="T25" s="27" t="str">
        <f>IF(N25&lt;&gt;"",INDEX(T_Récap_Facture[Paiement],MATCH($L$2,T_Récap_Facture[Animal],0)),"")</f>
        <v/>
      </c>
    </row>
    <row r="26" spans="14:20">
      <c r="N26" s="228" t="s">
        <v>103</v>
      </c>
      <c r="O26" s="229"/>
      <c r="P26" s="229"/>
      <c r="Q26" s="229"/>
      <c r="R26" s="230"/>
      <c r="S26" s="165">
        <f>SUM(S22:S25)</f>
        <v>0</v>
      </c>
      <c r="T26" s="27"/>
    </row>
    <row r="27" spans="14:20">
      <c r="N27" s="240"/>
      <c r="O27" s="240"/>
      <c r="P27" s="240"/>
      <c r="Q27" s="240"/>
      <c r="R27" s="240"/>
      <c r="S27" s="240"/>
      <c r="T27" s="240"/>
    </row>
    <row r="28" spans="14:20">
      <c r="N28" s="238" t="s">
        <v>98</v>
      </c>
      <c r="O28" s="238"/>
      <c r="P28" s="238"/>
      <c r="Q28" s="238"/>
      <c r="R28" s="238"/>
      <c r="S28" s="238"/>
      <c r="T28" s="238"/>
    </row>
    <row r="29" spans="14:20">
      <c r="N29" s="159"/>
      <c r="O29" s="159" t="s">
        <v>96</v>
      </c>
      <c r="P29" s="160">
        <f>S26/2</f>
        <v>0</v>
      </c>
      <c r="Q29" s="161">
        <f>MIN(N22:N25)</f>
        <v>0</v>
      </c>
      <c r="R29" s="159"/>
      <c r="S29" s="159"/>
      <c r="T29" s="159"/>
    </row>
    <row r="30" spans="14:20">
      <c r="N30" s="159"/>
      <c r="O30" s="159" t="s">
        <v>97</v>
      </c>
      <c r="P30" s="160">
        <f>S26/2</f>
        <v>0</v>
      </c>
      <c r="Q30" s="161">
        <f>MAX(O22:O25)</f>
        <v>0</v>
      </c>
      <c r="R30" s="159"/>
      <c r="S30" s="159"/>
      <c r="T30" s="159"/>
    </row>
    <row r="31" spans="14:20">
      <c r="N31" s="159"/>
      <c r="O31" s="159"/>
      <c r="P31" s="160"/>
      <c r="Q31" s="161"/>
      <c r="R31" s="159"/>
      <c r="S31" s="159"/>
      <c r="T31" s="159"/>
    </row>
    <row r="32" spans="14:20">
      <c r="N32" s="239" t="s">
        <v>17</v>
      </c>
      <c r="O32" s="239"/>
      <c r="P32" s="239"/>
      <c r="Q32" s="239"/>
      <c r="R32" s="239"/>
      <c r="S32" s="239"/>
      <c r="T32" s="239"/>
    </row>
    <row r="33" spans="14:20">
      <c r="N33" s="237" t="s">
        <v>104</v>
      </c>
      <c r="O33" s="237"/>
      <c r="P33" s="237"/>
      <c r="Q33" s="237"/>
      <c r="R33" s="237"/>
      <c r="S33" s="237"/>
      <c r="T33" s="237"/>
    </row>
    <row r="34" spans="14:20">
      <c r="N34" s="86"/>
      <c r="O34" s="85"/>
      <c r="P34" s="87"/>
      <c r="Q34" s="23"/>
      <c r="R34" s="23"/>
      <c r="S34" s="23"/>
      <c r="T34" s="23"/>
    </row>
    <row r="35" spans="14:20">
      <c r="N35" s="145" t="s">
        <v>89</v>
      </c>
      <c r="O35" s="143"/>
      <c r="P35" s="143"/>
      <c r="Q35" s="143"/>
      <c r="R35" s="143"/>
      <c r="S35" s="143"/>
      <c r="T35" s="144"/>
    </row>
    <row r="36" spans="14:20">
      <c r="N36" s="231"/>
      <c r="O36" s="232"/>
      <c r="P36" s="232"/>
      <c r="Q36" s="232"/>
      <c r="R36" s="232"/>
      <c r="S36" s="232"/>
      <c r="T36" s="233"/>
    </row>
    <row r="37" spans="14:20">
      <c r="N37" s="231"/>
      <c r="O37" s="232"/>
      <c r="P37" s="232"/>
      <c r="Q37" s="232"/>
      <c r="R37" s="232"/>
      <c r="S37" s="232"/>
      <c r="T37" s="233"/>
    </row>
    <row r="38" spans="14:20">
      <c r="N38" s="231"/>
      <c r="O38" s="232"/>
      <c r="P38" s="232"/>
      <c r="Q38" s="232"/>
      <c r="R38" s="232"/>
      <c r="S38" s="232"/>
      <c r="T38" s="233"/>
    </row>
    <row r="39" spans="14:20">
      <c r="N39" s="234"/>
      <c r="O39" s="235"/>
      <c r="P39" s="235"/>
      <c r="Q39" s="235"/>
      <c r="R39" s="235"/>
      <c r="S39" s="235"/>
      <c r="T39" s="236"/>
    </row>
  </sheetData>
  <mergeCells count="7">
    <mergeCell ref="N36:T39"/>
    <mergeCell ref="N12:T12"/>
    <mergeCell ref="N26:R26"/>
    <mergeCell ref="N27:T27"/>
    <mergeCell ref="N28:T28"/>
    <mergeCell ref="N32:T32"/>
    <mergeCell ref="N33:T33"/>
  </mergeCells>
  <conditionalFormatting sqref="N22:T25">
    <cfRule type="expression" dxfId="1" priority="1">
      <formula>$N22&lt;&gt;""</formula>
    </cfRule>
  </conditionalFormatting>
  <dataValidations count="3">
    <dataValidation allowBlank="1" showInputMessage="1" showErrorMessage="1" prompt="Choisir dans la liste déroulante" sqref="T26:T31 R14" xr:uid="{7A8DBCA1-8206-475C-A17B-C05B7A1701EB}"/>
    <dataValidation type="list" allowBlank="1" showInputMessage="1" showErrorMessage="1" sqref="M2" xr:uid="{11C16A31-2BC3-4CE2-94E8-F4978C0AD6CC}">
      <formula1>$D$3:$D$7</formula1>
    </dataValidation>
    <dataValidation type="list" allowBlank="1" showInputMessage="1" showErrorMessage="1" sqref="L2" xr:uid="{4B9AF711-7DBF-4D3B-BD3B-1B7A36E03B4F}">
      <formula1>$H$3:$H$7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6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Label 2">
              <controlPr defaultSize="0" print="0" autoFill="0" autoLine="0" autoPict="0">
                <anchor>
                  <from>
                    <xdr:col>10</xdr:col>
                    <xdr:colOff>542925</xdr:colOff>
                    <xdr:row>7</xdr:row>
                    <xdr:rowOff>200025</xdr:rowOff>
                  </from>
                  <to>
                    <xdr:col>11</xdr:col>
                    <xdr:colOff>76200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Label 3">
              <controlPr defaultSize="0" print="0" autoFill="0" autoLine="0" autoPict="0">
                <anchor>
                  <from>
                    <xdr:col>10</xdr:col>
                    <xdr:colOff>647700</xdr:colOff>
                    <xdr:row>4</xdr:row>
                    <xdr:rowOff>95250</xdr:rowOff>
                  </from>
                  <to>
                    <xdr:col>10</xdr:col>
                    <xdr:colOff>1228725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4263-84CD-4035-93F4-3B80EEC20B93}">
  <sheetPr codeName="Feuil5"/>
  <dimension ref="A1:S35"/>
  <sheetViews>
    <sheetView showGridLines="0" workbookViewId="0"/>
  </sheetViews>
  <sheetFormatPr baseColWidth="10" defaultRowHeight="15.75"/>
  <cols>
    <col min="1" max="1" width="11.42578125" style="28"/>
    <col min="2" max="2" width="11.42578125" style="29"/>
    <col min="3" max="3" width="2.7109375" style="23" customWidth="1"/>
    <col min="4" max="4" width="12.28515625" style="29" customWidth="1"/>
    <col min="5" max="5" width="2.7109375" style="23" customWidth="1"/>
    <col min="6" max="6" width="18.7109375" style="30" customWidth="1"/>
    <col min="7" max="7" width="2.7109375" style="23" customWidth="1"/>
    <col min="8" max="8" width="9.140625" style="29" customWidth="1"/>
    <col min="9" max="9" width="2.7109375" style="23" customWidth="1"/>
    <col min="10" max="10" width="20.7109375" style="28" customWidth="1"/>
    <col min="11" max="11" width="10.7109375" style="29" customWidth="1"/>
    <col min="12" max="12" width="2.7109375" style="23" customWidth="1"/>
    <col min="13" max="13" width="15.7109375" style="26" customWidth="1"/>
    <col min="14" max="14" width="2.7109375" style="23" customWidth="1"/>
    <col min="15" max="15" width="15.7109375" style="28" customWidth="1"/>
    <col min="16" max="16" width="2.7109375" style="23" customWidth="1"/>
    <col min="17" max="17" width="11.42578125" style="28"/>
    <col min="18" max="18" width="2.7109375" style="28" customWidth="1"/>
    <col min="19" max="19" width="15.5703125" style="28" customWidth="1"/>
    <col min="20" max="16384" width="11.42578125" style="28"/>
  </cols>
  <sheetData>
    <row r="1" spans="1:19" s="3" customFormat="1" ht="31.5">
      <c r="A1" s="16" t="s">
        <v>8</v>
      </c>
      <c r="B1" s="17" t="s">
        <v>46</v>
      </c>
      <c r="C1" s="18"/>
      <c r="D1" s="3" t="s">
        <v>31</v>
      </c>
      <c r="E1" s="18"/>
      <c r="F1" s="4" t="s">
        <v>29</v>
      </c>
      <c r="G1" s="18"/>
      <c r="H1" s="3" t="s">
        <v>47</v>
      </c>
      <c r="I1" s="18"/>
      <c r="J1" s="19" t="s">
        <v>20</v>
      </c>
      <c r="K1" s="20" t="s">
        <v>46</v>
      </c>
      <c r="L1" s="18"/>
      <c r="M1" s="21" t="s">
        <v>19</v>
      </c>
      <c r="N1" s="18"/>
      <c r="O1" s="22" t="s">
        <v>53</v>
      </c>
      <c r="P1" s="18"/>
      <c r="Q1" s="3" t="s">
        <v>63</v>
      </c>
      <c r="S1" s="3" t="s">
        <v>66</v>
      </c>
    </row>
    <row r="2" spans="1:19" ht="15" customHeight="1">
      <c r="A2" s="7" t="s">
        <v>21</v>
      </c>
      <c r="B2" s="8">
        <v>5</v>
      </c>
      <c r="D2" s="5">
        <v>0</v>
      </c>
      <c r="F2" s="5" t="s">
        <v>4</v>
      </c>
      <c r="H2" s="5">
        <v>1</v>
      </c>
      <c r="J2" s="24" t="s">
        <v>76</v>
      </c>
      <c r="K2" s="25">
        <v>15</v>
      </c>
      <c r="M2" s="26">
        <v>0</v>
      </c>
      <c r="O2" s="27" t="s">
        <v>14</v>
      </c>
      <c r="Q2" s="28" t="s">
        <v>64</v>
      </c>
      <c r="S2" s="28" t="s">
        <v>3</v>
      </c>
    </row>
    <row r="3" spans="1:19" ht="15" customHeight="1">
      <c r="A3" s="7" t="s">
        <v>22</v>
      </c>
      <c r="B3" s="9">
        <v>2</v>
      </c>
      <c r="D3" s="5">
        <v>1</v>
      </c>
      <c r="F3" s="5" t="s">
        <v>3</v>
      </c>
      <c r="H3" s="5">
        <v>2</v>
      </c>
      <c r="J3" s="24" t="s">
        <v>88</v>
      </c>
      <c r="K3" s="25">
        <v>10</v>
      </c>
      <c r="M3" s="26">
        <v>0.05</v>
      </c>
      <c r="O3" s="27" t="s">
        <v>15</v>
      </c>
      <c r="Q3" s="28" t="s">
        <v>65</v>
      </c>
      <c r="S3" s="28" t="s">
        <v>4</v>
      </c>
    </row>
    <row r="4" spans="1:19">
      <c r="A4" s="7" t="s">
        <v>24</v>
      </c>
      <c r="B4" s="9">
        <v>2</v>
      </c>
      <c r="D4" s="5">
        <v>2</v>
      </c>
      <c r="F4" s="5" t="s">
        <v>9</v>
      </c>
      <c r="H4" s="5">
        <v>3</v>
      </c>
      <c r="J4" s="24" t="s">
        <v>77</v>
      </c>
      <c r="K4" s="25">
        <v>8</v>
      </c>
      <c r="M4" s="26">
        <v>0.1</v>
      </c>
    </row>
    <row r="5" spans="1:19">
      <c r="A5" s="7" t="s">
        <v>23</v>
      </c>
      <c r="B5" s="10">
        <v>2</v>
      </c>
      <c r="D5" s="5">
        <v>3</v>
      </c>
      <c r="F5" s="5" t="s">
        <v>28</v>
      </c>
      <c r="J5" s="24" t="s">
        <v>78</v>
      </c>
      <c r="K5" s="25">
        <v>7</v>
      </c>
      <c r="M5" s="26">
        <v>0.15</v>
      </c>
    </row>
    <row r="6" spans="1:19">
      <c r="B6" s="6"/>
      <c r="D6" s="5">
        <v>4</v>
      </c>
      <c r="J6" s="24" t="s">
        <v>79</v>
      </c>
      <c r="K6" s="25">
        <v>8</v>
      </c>
      <c r="M6" s="26">
        <v>0.2</v>
      </c>
    </row>
    <row r="7" spans="1:19">
      <c r="B7" s="6"/>
      <c r="H7" s="6"/>
      <c r="J7" s="24" t="s">
        <v>50</v>
      </c>
      <c r="K7" s="25">
        <v>5</v>
      </c>
      <c r="M7" s="26">
        <v>0.25</v>
      </c>
    </row>
    <row r="8" spans="1:19">
      <c r="B8" s="6"/>
      <c r="F8" s="5"/>
      <c r="H8" s="6"/>
      <c r="J8" s="24" t="s">
        <v>51</v>
      </c>
      <c r="K8" s="25">
        <v>7</v>
      </c>
      <c r="M8" s="26">
        <v>0.3</v>
      </c>
    </row>
    <row r="9" spans="1:19">
      <c r="J9" s="24" t="s">
        <v>80</v>
      </c>
      <c r="K9" s="25">
        <v>5</v>
      </c>
      <c r="M9" s="26">
        <v>0.35</v>
      </c>
    </row>
    <row r="10" spans="1:19">
      <c r="J10" s="24" t="s">
        <v>81</v>
      </c>
      <c r="K10" s="25">
        <v>7</v>
      </c>
      <c r="M10" s="26">
        <v>0.4</v>
      </c>
    </row>
    <row r="11" spans="1:19">
      <c r="M11" s="26">
        <v>0.45</v>
      </c>
    </row>
    <row r="12" spans="1:19">
      <c r="M12" s="26">
        <v>0.5</v>
      </c>
    </row>
    <row r="13" spans="1:19">
      <c r="M13" s="26">
        <v>0.55000000000000004</v>
      </c>
    </row>
    <row r="14" spans="1:19">
      <c r="M14" s="26">
        <v>0.6</v>
      </c>
    </row>
    <row r="15" spans="1:19">
      <c r="M15" s="26">
        <v>0.65</v>
      </c>
    </row>
    <row r="16" spans="1:19">
      <c r="M16" s="26">
        <v>0.7</v>
      </c>
    </row>
    <row r="17" spans="13:13">
      <c r="M17" s="26">
        <v>0.75</v>
      </c>
    </row>
    <row r="18" spans="13:13">
      <c r="M18" s="26">
        <v>0.8</v>
      </c>
    </row>
    <row r="19" spans="13:13">
      <c r="M19" s="26">
        <v>0.85</v>
      </c>
    </row>
    <row r="20" spans="13:13">
      <c r="M20" s="26">
        <v>0.9</v>
      </c>
    </row>
    <row r="21" spans="13:13">
      <c r="M21" s="26">
        <v>0.95</v>
      </c>
    </row>
    <row r="22" spans="13:13">
      <c r="M22" s="26">
        <v>1</v>
      </c>
    </row>
    <row r="35" spans="1:1">
      <c r="A35" s="31"/>
    </row>
  </sheetData>
  <pageMargins left="0.7" right="0.7" top="0.75" bottom="0.75" header="0.3" footer="0.3"/>
  <pageSetup paperSize="9" orientation="portrait" horizontalDpi="4294967293" verticalDpi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Formulaire client</vt:lpstr>
      <vt:lpstr>Liste de contacts client</vt:lpstr>
      <vt:lpstr>Formulaire réservation</vt:lpstr>
      <vt:lpstr>Réservation</vt:lpstr>
      <vt:lpstr>Visuel Planning</vt:lpstr>
      <vt:lpstr>Facture</vt:lpstr>
      <vt:lpstr>Récap facture</vt:lpstr>
      <vt:lpstr>Paramètres</vt:lpstr>
      <vt:lpstr>L_A_Facturer</vt:lpstr>
      <vt:lpstr>L_Animal</vt:lpstr>
      <vt:lpstr>L_AnimSupp</vt:lpstr>
      <vt:lpstr>L_Choix</vt:lpstr>
      <vt:lpstr>L_Code_Animal</vt:lpstr>
      <vt:lpstr>L_Consultation</vt:lpstr>
      <vt:lpstr>L_Contact</vt:lpstr>
      <vt:lpstr>L_Nb_visite</vt:lpstr>
      <vt:lpstr>L_Prestation</vt:lpstr>
      <vt:lpstr>L_Prix</vt:lpstr>
      <vt:lpstr>L_Reglement</vt:lpstr>
      <vt:lpstr>L_Remise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nikkox</dc:creator>
  <cp:lastModifiedBy>JoDan</cp:lastModifiedBy>
  <cp:lastPrinted>2019-08-17T16:49:22Z</cp:lastPrinted>
  <dcterms:created xsi:type="dcterms:W3CDTF">2019-08-13T06:15:41Z</dcterms:created>
  <dcterms:modified xsi:type="dcterms:W3CDTF">2019-08-17T22:17:44Z</dcterms:modified>
</cp:coreProperties>
</file>