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12415AA2-8512-4FA5-B37F-50FDC882F188}" xr6:coauthVersionLast="41" xr6:coauthVersionMax="41" xr10:uidLastSave="{00000000-0000-0000-0000-000000000000}"/>
  <bookViews>
    <workbookView xWindow="-120" yWindow="-120" windowWidth="29040" windowHeight="15840" xr2:uid="{051311D5-6B63-40C7-A3EE-8EF37A6A0964}"/>
  </bookViews>
  <sheets>
    <sheet name="Liste adhérents" sheetId="4" r:id="rId1"/>
    <sheet name="Planning" sheetId="5" r:id="rId2"/>
    <sheet name="Facture" sheetId="2" r:id="rId3"/>
    <sheet name="Récap facture" sheetId="6" r:id="rId4"/>
    <sheet name="Paramètres" sheetId="3" r:id="rId5"/>
  </sheets>
  <definedNames>
    <definedName name="L_Garderie">T_Garderie[Code]</definedName>
    <definedName name="L_Nom">T_BdD[Nom]</definedName>
    <definedName name="L_Péricentre">Tableau1[Péricentre]</definedName>
    <definedName name="L_periode">Tableau1[Période]</definedName>
    <definedName name="L_Prestations">T_Prestations[Prestations]</definedName>
    <definedName name="Péricentre">Paramètres!$B$3:$B$6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4" i="2" l="1"/>
  <c r="D53" i="2"/>
  <c r="E53" i="2" s="1"/>
  <c r="D52" i="2"/>
  <c r="B52" i="2"/>
  <c r="B24" i="2"/>
  <c r="D40" i="2"/>
  <c r="E40" i="2" s="1"/>
  <c r="D39" i="2"/>
  <c r="E39" i="2" s="1"/>
  <c r="D38" i="2"/>
  <c r="E38" i="2" s="1"/>
  <c r="D37" i="2"/>
  <c r="E37" i="2" s="1"/>
  <c r="D36" i="2"/>
  <c r="D34" i="2"/>
  <c r="E34" i="2" s="1"/>
  <c r="D33" i="2"/>
  <c r="E33" i="2" s="1"/>
  <c r="D32" i="2"/>
  <c r="E32" i="2" s="1"/>
  <c r="D31" i="2"/>
  <c r="E31" i="2" s="1"/>
  <c r="D30" i="2"/>
  <c r="D28" i="2"/>
  <c r="E28" i="2" s="1"/>
  <c r="D27" i="2"/>
  <c r="E27" i="2" s="1"/>
  <c r="D26" i="2"/>
  <c r="E26" i="2" s="1"/>
  <c r="D25" i="2"/>
  <c r="E25" i="2" s="1"/>
  <c r="D24" i="2"/>
  <c r="B20" i="2"/>
  <c r="C20" i="2" s="1"/>
  <c r="C14" i="2"/>
  <c r="C13" i="2"/>
  <c r="C12" i="2"/>
  <c r="C10" i="2"/>
  <c r="C6" i="2"/>
  <c r="C9" i="2"/>
  <c r="C8" i="2"/>
  <c r="C7" i="2"/>
  <c r="C5" i="2"/>
  <c r="C4" i="2"/>
  <c r="C3" i="2"/>
  <c r="C50" i="5"/>
  <c r="C49" i="5"/>
  <c r="C48" i="5"/>
  <c r="C47" i="5"/>
  <c r="C46" i="5"/>
  <c r="C45" i="5"/>
  <c r="C44" i="5"/>
  <c r="C43" i="5"/>
  <c r="C42" i="5"/>
  <c r="C41" i="5"/>
  <c r="C40" i="5"/>
  <c r="C39" i="5"/>
  <c r="C38" i="5"/>
  <c r="C37" i="5"/>
  <c r="C36" i="5"/>
  <c r="C35" i="5"/>
  <c r="C34" i="5"/>
  <c r="C33" i="5"/>
  <c r="C32" i="5"/>
  <c r="C31" i="5"/>
  <c r="C30" i="5"/>
  <c r="C29" i="5"/>
  <c r="C28" i="5"/>
  <c r="C27" i="5"/>
  <c r="C26" i="5"/>
  <c r="C25" i="5"/>
  <c r="C24" i="5"/>
  <c r="C23" i="5"/>
  <c r="C22" i="5"/>
  <c r="C21" i="5"/>
  <c r="C20" i="5"/>
  <c r="C19" i="5"/>
  <c r="C18" i="5"/>
  <c r="C17" i="5"/>
  <c r="C16" i="5"/>
  <c r="C15" i="5"/>
  <c r="C14" i="5"/>
  <c r="C13" i="5"/>
  <c r="C12" i="5"/>
  <c r="C11" i="5"/>
  <c r="C10" i="5"/>
  <c r="C9" i="5"/>
  <c r="C8" i="5"/>
  <c r="C7" i="5"/>
  <c r="C6" i="5"/>
  <c r="C5" i="5"/>
  <c r="C4" i="5"/>
  <c r="C3" i="5"/>
  <c r="O3" i="4" l="1"/>
  <c r="O4" i="4"/>
  <c r="O5" i="4"/>
  <c r="O6" i="4"/>
  <c r="C16" i="2" l="1"/>
  <c r="C17" i="2" l="1"/>
  <c r="AS4" i="5" l="1"/>
  <c r="AT4" i="5"/>
  <c r="AU4" i="5"/>
  <c r="AS5" i="5"/>
  <c r="AT5" i="5"/>
  <c r="AU5" i="5"/>
  <c r="AS6" i="5"/>
  <c r="D45" i="2" s="1"/>
  <c r="AT6" i="5"/>
  <c r="AU6" i="5"/>
  <c r="D47" i="2" s="1"/>
  <c r="AS7" i="5"/>
  <c r="AT7" i="5"/>
  <c r="AU7" i="5"/>
  <c r="AS8" i="5"/>
  <c r="AT8" i="5"/>
  <c r="AU8" i="5"/>
  <c r="AS9" i="5"/>
  <c r="AT9" i="5"/>
  <c r="AU9" i="5"/>
  <c r="AS10" i="5"/>
  <c r="AT10" i="5"/>
  <c r="AU10" i="5"/>
  <c r="AS11" i="5"/>
  <c r="AT11" i="5"/>
  <c r="AU11" i="5"/>
  <c r="AS12" i="5"/>
  <c r="AT12" i="5"/>
  <c r="AU12" i="5"/>
  <c r="AS13" i="5"/>
  <c r="AT13" i="5"/>
  <c r="AU13" i="5"/>
  <c r="AS14" i="5"/>
  <c r="AT14" i="5"/>
  <c r="AU14" i="5"/>
  <c r="AS15" i="5"/>
  <c r="AT15" i="5"/>
  <c r="AU15" i="5"/>
  <c r="AS16" i="5"/>
  <c r="AT16" i="5"/>
  <c r="AU16" i="5"/>
  <c r="AS17" i="5"/>
  <c r="AT17" i="5"/>
  <c r="AU17" i="5"/>
  <c r="AS18" i="5"/>
  <c r="AT18" i="5"/>
  <c r="AU18" i="5"/>
  <c r="AS19" i="5"/>
  <c r="AT19" i="5"/>
  <c r="AU19" i="5"/>
  <c r="AS20" i="5"/>
  <c r="AT20" i="5"/>
  <c r="AU20" i="5"/>
  <c r="AS21" i="5"/>
  <c r="AT21" i="5"/>
  <c r="AU21" i="5"/>
  <c r="AS22" i="5"/>
  <c r="AT22" i="5"/>
  <c r="AU22" i="5"/>
  <c r="AS23" i="5"/>
  <c r="AT23" i="5"/>
  <c r="AU23" i="5"/>
  <c r="AS24" i="5"/>
  <c r="AT24" i="5"/>
  <c r="AU24" i="5"/>
  <c r="AS25" i="5"/>
  <c r="AT25" i="5"/>
  <c r="AU25" i="5"/>
  <c r="AS26" i="5"/>
  <c r="AT26" i="5"/>
  <c r="AU26" i="5"/>
  <c r="AS27" i="5"/>
  <c r="AT27" i="5"/>
  <c r="AU27" i="5"/>
  <c r="AS28" i="5"/>
  <c r="AT28" i="5"/>
  <c r="AU28" i="5"/>
  <c r="AS29" i="5"/>
  <c r="AT29" i="5"/>
  <c r="AU29" i="5"/>
  <c r="AS30" i="5"/>
  <c r="AT30" i="5"/>
  <c r="AU30" i="5"/>
  <c r="AS31" i="5"/>
  <c r="AT31" i="5"/>
  <c r="AU31" i="5"/>
  <c r="AS32" i="5"/>
  <c r="AT32" i="5"/>
  <c r="AU32" i="5"/>
  <c r="AS33" i="5"/>
  <c r="AT33" i="5"/>
  <c r="AU33" i="5"/>
  <c r="AS34" i="5"/>
  <c r="AT34" i="5"/>
  <c r="AU34" i="5"/>
  <c r="AS35" i="5"/>
  <c r="AT35" i="5"/>
  <c r="AU35" i="5"/>
  <c r="AS36" i="5"/>
  <c r="AT36" i="5"/>
  <c r="AU36" i="5"/>
  <c r="AS37" i="5"/>
  <c r="AT37" i="5"/>
  <c r="AU37" i="5"/>
  <c r="AS38" i="5"/>
  <c r="AT38" i="5"/>
  <c r="AU38" i="5"/>
  <c r="AS39" i="5"/>
  <c r="AT39" i="5"/>
  <c r="AU39" i="5"/>
  <c r="AS40" i="5"/>
  <c r="AT40" i="5"/>
  <c r="AU40" i="5"/>
  <c r="AS41" i="5"/>
  <c r="AT41" i="5"/>
  <c r="AU41" i="5"/>
  <c r="AS42" i="5"/>
  <c r="AT42" i="5"/>
  <c r="AU42" i="5"/>
  <c r="AS43" i="5"/>
  <c r="AT43" i="5"/>
  <c r="AU43" i="5"/>
  <c r="AS44" i="5"/>
  <c r="AT44" i="5"/>
  <c r="AU44" i="5"/>
  <c r="AS45" i="5"/>
  <c r="AT45" i="5"/>
  <c r="AU45" i="5"/>
  <c r="AS46" i="5"/>
  <c r="AT46" i="5"/>
  <c r="AU46" i="5"/>
  <c r="AS47" i="5"/>
  <c r="AT47" i="5"/>
  <c r="AU47" i="5"/>
  <c r="AS48" i="5"/>
  <c r="AT48" i="5"/>
  <c r="AU48" i="5"/>
  <c r="AS49" i="5"/>
  <c r="AT49" i="5"/>
  <c r="AU49" i="5"/>
  <c r="AS50" i="5"/>
  <c r="AT50" i="5"/>
  <c r="AU50" i="5"/>
  <c r="AU3" i="5"/>
  <c r="AT3" i="5"/>
  <c r="AS3" i="5"/>
  <c r="AA2" i="5"/>
  <c r="AB2" i="5" s="1"/>
  <c r="AC2" i="5" s="1"/>
  <c r="AD2" i="5" s="1"/>
  <c r="AE2" i="5" s="1"/>
  <c r="AF2" i="5" s="1"/>
  <c r="AG2" i="5" s="1"/>
  <c r="AH2" i="5" s="1"/>
  <c r="AI2" i="5" s="1"/>
  <c r="AJ2" i="5" s="1"/>
  <c r="AK2" i="5" s="1"/>
  <c r="AL2" i="5" s="1"/>
  <c r="AM2" i="5" s="1"/>
  <c r="AN2" i="5" s="1"/>
  <c r="AO2" i="5" s="1"/>
  <c r="AP2" i="5" s="1"/>
  <c r="AQ2" i="5" s="1"/>
  <c r="AR2" i="5" s="1"/>
  <c r="D46" i="2" l="1"/>
  <c r="E46" i="2" s="1"/>
  <c r="B27" i="2"/>
  <c r="E45" i="2"/>
  <c r="E47" i="2"/>
  <c r="B32" i="2"/>
  <c r="B40" i="2"/>
  <c r="B37" i="2"/>
  <c r="B26" i="2"/>
  <c r="B33" i="2"/>
  <c r="B38" i="2"/>
  <c r="B25" i="2"/>
  <c r="B30" i="2"/>
  <c r="B34" i="2"/>
  <c r="B39" i="2"/>
  <c r="B28" i="2"/>
  <c r="B31" i="2"/>
  <c r="B36" i="2"/>
  <c r="F2" i="5"/>
  <c r="G2" i="5" s="1"/>
  <c r="H2" i="5" s="1"/>
  <c r="I2" i="5" s="1"/>
  <c r="J2" i="5" s="1"/>
  <c r="K2" i="5" s="1"/>
  <c r="L2" i="5" s="1"/>
  <c r="M2" i="5" s="1"/>
  <c r="N2" i="5" s="1"/>
  <c r="O2" i="5" s="1"/>
  <c r="P2" i="5" s="1"/>
  <c r="Q2" i="5" s="1"/>
  <c r="R2" i="5" s="1"/>
  <c r="S2" i="5" s="1"/>
  <c r="T2" i="5" s="1"/>
  <c r="U2" i="5" s="1"/>
  <c r="V2" i="5" s="1"/>
  <c r="W2" i="5" s="1"/>
  <c r="M29" i="3" l="1"/>
  <c r="M37" i="3" s="1"/>
  <c r="L29" i="3"/>
  <c r="L37" i="3" s="1"/>
  <c r="B54" i="2" l="1"/>
  <c r="B53" i="2"/>
  <c r="X4" i="5"/>
  <c r="X5" i="5"/>
  <c r="X6" i="5"/>
  <c r="X7" i="5"/>
  <c r="X8" i="5"/>
  <c r="X9" i="5"/>
  <c r="X10" i="5"/>
  <c r="X11" i="5"/>
  <c r="X12" i="5"/>
  <c r="X13" i="5"/>
  <c r="X14" i="5"/>
  <c r="X15" i="5"/>
  <c r="X16" i="5"/>
  <c r="X17" i="5"/>
  <c r="X18" i="5"/>
  <c r="X19" i="5"/>
  <c r="X20" i="5"/>
  <c r="X21" i="5"/>
  <c r="X22" i="5"/>
  <c r="X23" i="5"/>
  <c r="X24" i="5"/>
  <c r="X25" i="5"/>
  <c r="X26" i="5"/>
  <c r="X27" i="5"/>
  <c r="X28" i="5"/>
  <c r="X29" i="5"/>
  <c r="X30" i="5"/>
  <c r="X31" i="5"/>
  <c r="X32" i="5"/>
  <c r="X33" i="5"/>
  <c r="X34" i="5"/>
  <c r="X35" i="5"/>
  <c r="X36" i="5"/>
  <c r="X37" i="5"/>
  <c r="X38" i="5"/>
  <c r="X39" i="5"/>
  <c r="X40" i="5"/>
  <c r="X41" i="5"/>
  <c r="X42" i="5"/>
  <c r="X43" i="5"/>
  <c r="X44" i="5"/>
  <c r="X45" i="5"/>
  <c r="X46" i="5"/>
  <c r="X47" i="5"/>
  <c r="X48" i="5"/>
  <c r="X49" i="5"/>
  <c r="X50" i="5"/>
  <c r="X3" i="5"/>
  <c r="N9" i="3" l="1"/>
  <c r="M19" i="3" l="1"/>
  <c r="O19" i="3"/>
  <c r="O9" i="3"/>
  <c r="M9" i="3"/>
  <c r="C25" i="2" l="1"/>
  <c r="C26" i="2" s="1"/>
  <c r="C27" i="2" s="1"/>
  <c r="C28" i="2" s="1"/>
  <c r="C30" i="2" s="1"/>
  <c r="C31" i="2" s="1"/>
  <c r="C32" i="2" s="1"/>
  <c r="C33" i="2" s="1"/>
  <c r="C34" i="2" s="1"/>
  <c r="C36" i="2" s="1"/>
  <c r="C37" i="2" s="1"/>
  <c r="C38" i="2" s="1"/>
  <c r="C39" i="2" s="1"/>
  <c r="C40" i="2" s="1"/>
  <c r="C52" i="2" l="1"/>
  <c r="K9" i="3"/>
  <c r="L9" i="3" s="1"/>
  <c r="K19" i="3" l="1"/>
  <c r="C53" i="2"/>
  <c r="L19" i="3" l="1"/>
  <c r="N19" i="3"/>
  <c r="P9" i="3"/>
  <c r="K38" i="3"/>
  <c r="K27" i="3"/>
  <c r="C54" i="2"/>
  <c r="M27" i="3" l="1"/>
  <c r="L27" i="3"/>
  <c r="P19" i="3"/>
  <c r="E20" i="2" s="1"/>
  <c r="K34" i="3"/>
  <c r="L34" i="3" l="1"/>
  <c r="L38" i="3" s="1"/>
  <c r="M34" i="3"/>
  <c r="M38" i="3" s="1"/>
  <c r="E54" i="2" l="1"/>
  <c r="E52" i="2"/>
  <c r="E36" i="2"/>
  <c r="E30" i="2"/>
  <c r="E24" i="2"/>
  <c r="E57" i="2" l="1"/>
</calcChain>
</file>

<file path=xl/sharedStrings.xml><?xml version="1.0" encoding="utf-8"?>
<sst xmlns="http://schemas.openxmlformats.org/spreadsheetml/2006/main" count="231" uniqueCount="110">
  <si>
    <t>Péricentre</t>
  </si>
  <si>
    <t>ADHERENTS</t>
  </si>
  <si>
    <t>0 à 600</t>
  </si>
  <si>
    <t>601 à 1000</t>
  </si>
  <si>
    <t>1001 à 1299</t>
  </si>
  <si>
    <t>plus de 1300</t>
  </si>
  <si>
    <t xml:space="preserve">Journée avec repas </t>
  </si>
  <si>
    <t>Forfait semaine avec repas</t>
  </si>
  <si>
    <t>NON ADHERENTS</t>
  </si>
  <si>
    <t>Nom</t>
  </si>
  <si>
    <t>Prénom</t>
  </si>
  <si>
    <t>Quotient familial</t>
  </si>
  <si>
    <t>Adresse mail</t>
  </si>
  <si>
    <t>Age</t>
  </si>
  <si>
    <t>Camp à l'Herberie Pouancé</t>
  </si>
  <si>
    <t>3-5 ans</t>
  </si>
  <si>
    <t>du 18 au 19 juillet</t>
  </si>
  <si>
    <t>Camp Craon</t>
  </si>
  <si>
    <t>du 15 au 17 juillet</t>
  </si>
  <si>
    <t>Camp Multi activité en Anjou - Ponts de cé</t>
  </si>
  <si>
    <t>9-12 ans</t>
  </si>
  <si>
    <t>6-8 ans</t>
  </si>
  <si>
    <t>du 22 au 25 juillet</t>
  </si>
  <si>
    <t>Camp Sportif à Rougé</t>
  </si>
  <si>
    <t>du 8 au 12 juillet</t>
  </si>
  <si>
    <t>Période</t>
  </si>
  <si>
    <t>Coût</t>
  </si>
  <si>
    <t>QF</t>
  </si>
  <si>
    <t>Adhérent</t>
  </si>
  <si>
    <t>Tranche d'age</t>
  </si>
  <si>
    <t>Présence</t>
  </si>
  <si>
    <t>Prestations</t>
  </si>
  <si>
    <t>Contact</t>
  </si>
  <si>
    <t>Lien avec l'enfant</t>
  </si>
  <si>
    <t>Téléphone</t>
  </si>
  <si>
    <t>Nb jour</t>
  </si>
  <si>
    <t xml:space="preserve">Lieu, le </t>
  </si>
  <si>
    <t>08/07/2019</t>
  </si>
  <si>
    <t>Nb prestations</t>
  </si>
  <si>
    <t>Potter</t>
  </si>
  <si>
    <t>Harrry</t>
  </si>
  <si>
    <t>Albus Dumbledore</t>
  </si>
  <si>
    <t>Tuteur</t>
  </si>
  <si>
    <t>Oui</t>
  </si>
  <si>
    <t>Pan</t>
  </si>
  <si>
    <t>Peter</t>
  </si>
  <si>
    <t>J M Barrie</t>
  </si>
  <si>
    <t>Père</t>
  </si>
  <si>
    <t>09 08 07 06 05</t>
  </si>
  <si>
    <t>Non</t>
  </si>
  <si>
    <t>Centre</t>
  </si>
  <si>
    <t>McCallister</t>
  </si>
  <si>
    <t>Kévin</t>
  </si>
  <si>
    <t xml:space="preserve">Kate McCallister </t>
  </si>
  <si>
    <t>Mère</t>
  </si>
  <si>
    <t>Brown</t>
  </si>
  <si>
    <t>Charlie</t>
  </si>
  <si>
    <t>Cbrown@orange.com</t>
  </si>
  <si>
    <t>ppan@gmail.com</t>
  </si>
  <si>
    <t>kmcc@yahoo.com</t>
  </si>
  <si>
    <t>Charles M. Schulz</t>
  </si>
  <si>
    <t>Semaine 28</t>
  </si>
  <si>
    <t>Semaine 29</t>
  </si>
  <si>
    <t>Semaine 30</t>
  </si>
  <si>
    <t>Camp</t>
  </si>
  <si>
    <t>Insérer logo</t>
  </si>
  <si>
    <t>Adresse</t>
  </si>
  <si>
    <t>Code postal</t>
  </si>
  <si>
    <t>Ville</t>
  </si>
  <si>
    <t>Code postal - Ville</t>
  </si>
  <si>
    <t>4, Privet Drive</t>
  </si>
  <si>
    <t>Little Whinging</t>
  </si>
  <si>
    <t>rue des enfants perdus</t>
  </si>
  <si>
    <t>Neverland</t>
  </si>
  <si>
    <t>Winnetka</t>
  </si>
  <si>
    <t>avenue Lincoln</t>
  </si>
  <si>
    <t>Allée des bds</t>
  </si>
  <si>
    <t>Angoulême</t>
  </si>
  <si>
    <t>Téléphone2</t>
  </si>
  <si>
    <t>Téléphone contact</t>
  </si>
  <si>
    <t>Coût à prendre en compte</t>
  </si>
  <si>
    <t>Garderie</t>
  </si>
  <si>
    <t>M</t>
  </si>
  <si>
    <t>S</t>
  </si>
  <si>
    <t>M+S</t>
  </si>
  <si>
    <t>Code</t>
  </si>
  <si>
    <t>Nb S</t>
  </si>
  <si>
    <t>Nb M + S</t>
  </si>
  <si>
    <t>Gard. M</t>
  </si>
  <si>
    <t>Prestation centre</t>
  </si>
  <si>
    <t>Garderie matin</t>
  </si>
  <si>
    <t>Garderie soir</t>
  </si>
  <si>
    <t>Garderie matin &amp; soir</t>
  </si>
  <si>
    <t xml:space="preserve">Total  </t>
  </si>
  <si>
    <t>Centre à la journée</t>
  </si>
  <si>
    <t>Nombre</t>
  </si>
  <si>
    <t>Coût à la journée</t>
  </si>
  <si>
    <t xml:space="preserve">Facture n° </t>
  </si>
  <si>
    <t>N° Facture</t>
  </si>
  <si>
    <t>Date</t>
  </si>
  <si>
    <t>Centre journée</t>
  </si>
  <si>
    <t>Centre semaine</t>
  </si>
  <si>
    <t>Total</t>
  </si>
  <si>
    <t>hpotter@gmail,com</t>
  </si>
  <si>
    <t>Facture</t>
  </si>
  <si>
    <t>Association XXXXXXXX</t>
  </si>
  <si>
    <t>rue je ne sais pas</t>
  </si>
  <si>
    <t>99999 LA BAS</t>
  </si>
  <si>
    <t>Tél : 01 02 03 04 05</t>
  </si>
  <si>
    <t>TVA non applicable, art. 293B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</si>
</sst>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&quot;€&quot;"/>
    <numFmt numFmtId="165" formatCode="[$-F800]dddd\,\ mmmm\ dd\,\ yyyy"/>
    <numFmt numFmtId="166" formatCode="0#&quot; &quot;##&quot; &quot;##&quot; &quot;##&quot; &quot;##"/>
    <numFmt numFmtId="167" formatCode="0&quot; ans&quot;"/>
    <numFmt numFmtId="168" formatCode="00000"/>
    <numFmt numFmtId="169" formatCode="[$-40C]d\ mmmm\ yyyy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Calibri"/>
      <family val="2"/>
      <scheme val="minor"/>
    </font>
    <font>
      <sz val="12"/>
      <color theme="0" tint="-4.9989318521683403E-2"/>
      <name val="Calibri"/>
      <family val="2"/>
      <scheme val="minor"/>
    </font>
    <font>
      <sz val="8"/>
      <color rgb="FF000000"/>
      <name val="Segoe UI"/>
      <family val="2"/>
    </font>
    <font>
      <i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2060"/>
        <bgColor indexed="64"/>
      </patternFill>
    </fill>
    <fill>
      <patternFill patternType="solid">
        <fgColor theme="0" tint="-0.249977111117893"/>
        <bgColor indexed="64"/>
      </patternFill>
    </fill>
  </fills>
  <borders count="8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hair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thin">
        <color theme="1"/>
      </right>
      <top style="thin">
        <color theme="1"/>
      </top>
      <bottom style="hair">
        <color theme="1"/>
      </bottom>
      <diagonal/>
    </border>
    <border>
      <left style="thin">
        <color theme="1"/>
      </left>
      <right/>
      <top style="thin">
        <color theme="1"/>
      </top>
      <bottom style="hair">
        <color theme="1"/>
      </bottom>
      <diagonal/>
    </border>
    <border>
      <left/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/>
      <top style="hair">
        <color theme="1"/>
      </top>
      <bottom style="hair">
        <color theme="1"/>
      </bottom>
      <diagonal/>
    </border>
    <border>
      <left/>
      <right style="thin">
        <color theme="1"/>
      </right>
      <top style="hair">
        <color theme="1"/>
      </top>
      <bottom/>
      <diagonal/>
    </border>
    <border>
      <left style="thin">
        <color theme="1"/>
      </left>
      <right/>
      <top style="hair">
        <color theme="1"/>
      </top>
      <bottom/>
      <diagonal/>
    </border>
    <border>
      <left/>
      <right style="thin">
        <color theme="1"/>
      </right>
      <top style="hair">
        <color theme="1"/>
      </top>
      <bottom style="thin">
        <color theme="1"/>
      </bottom>
      <diagonal/>
    </border>
    <border>
      <left style="thin">
        <color theme="1"/>
      </left>
      <right/>
      <top style="hair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002060"/>
      </left>
      <right/>
      <top style="thin">
        <color rgb="FF002060"/>
      </top>
      <bottom/>
      <diagonal/>
    </border>
    <border>
      <left style="thin">
        <color theme="8" tint="0.59996337778862885"/>
      </left>
      <right/>
      <top style="thin">
        <color rgb="FF002060"/>
      </top>
      <bottom/>
      <diagonal/>
    </border>
    <border>
      <left style="thin">
        <color rgb="FF002060"/>
      </left>
      <right/>
      <top style="thin">
        <color theme="8" tint="0.59996337778862885"/>
      </top>
      <bottom/>
      <diagonal/>
    </border>
    <border>
      <left style="thin">
        <color theme="8" tint="0.59996337778862885"/>
      </left>
      <right/>
      <top style="thin">
        <color theme="8" tint="0.59996337778862885"/>
      </top>
      <bottom/>
      <diagonal/>
    </border>
    <border>
      <left style="thin">
        <color rgb="FF002060"/>
      </left>
      <right/>
      <top style="hair">
        <color theme="8" tint="0.59996337778862885"/>
      </top>
      <bottom/>
      <diagonal/>
    </border>
    <border>
      <left style="thin">
        <color theme="8" tint="0.59996337778862885"/>
      </left>
      <right/>
      <top style="hair">
        <color theme="8" tint="0.59996337778862885"/>
      </top>
      <bottom/>
      <diagonal/>
    </border>
    <border>
      <left style="thin">
        <color rgb="FF002060"/>
      </left>
      <right/>
      <top style="hair">
        <color theme="8" tint="0.59996337778862885"/>
      </top>
      <bottom style="thin">
        <color rgb="FF002060"/>
      </bottom>
      <diagonal/>
    </border>
    <border>
      <left style="thin">
        <color theme="8" tint="0.59996337778862885"/>
      </left>
      <right/>
      <top style="hair">
        <color theme="8" tint="0.59996337778862885"/>
      </top>
      <bottom style="thin">
        <color rgb="FF002060"/>
      </bottom>
      <diagonal/>
    </border>
    <border>
      <left style="thin">
        <color theme="8" tint="0.59996337778862885"/>
      </left>
      <right/>
      <top style="hair">
        <color theme="8" tint="0.59996337778862885"/>
      </top>
      <bottom style="thin">
        <color theme="8" tint="0.59996337778862885"/>
      </bottom>
      <diagonal/>
    </border>
    <border>
      <left style="thin">
        <color theme="8" tint="0.59996337778862885"/>
      </left>
      <right style="thin">
        <color theme="8" tint="0.59996337778862885"/>
      </right>
      <top style="hair">
        <color theme="8" tint="0.59996337778862885"/>
      </top>
      <bottom style="thin">
        <color theme="8" tint="0.59996337778862885"/>
      </bottom>
      <diagonal/>
    </border>
    <border>
      <left style="thin">
        <color theme="8" tint="0.59996337778862885"/>
      </left>
      <right/>
      <top style="thin">
        <color theme="8" tint="0.59996337778862885"/>
      </top>
      <bottom style="thin">
        <color auto="1"/>
      </bottom>
      <diagonal/>
    </border>
    <border>
      <left style="thin">
        <color theme="8" tint="0.59996337778862885"/>
      </left>
      <right style="thin">
        <color theme="8" tint="0.59996337778862885"/>
      </right>
      <top style="thin">
        <color theme="8" tint="0.59996337778862885"/>
      </top>
      <bottom style="thin">
        <color auto="1"/>
      </bottom>
      <diagonal/>
    </border>
    <border>
      <left style="double">
        <color rgb="FF002060"/>
      </left>
      <right/>
      <top style="thin">
        <color rgb="FF002060"/>
      </top>
      <bottom/>
      <diagonal/>
    </border>
    <border>
      <left style="thin">
        <color theme="8" tint="0.59996337778862885"/>
      </left>
      <right style="double">
        <color rgb="FF002060"/>
      </right>
      <top style="thin">
        <color rgb="FF002060"/>
      </top>
      <bottom/>
      <diagonal/>
    </border>
    <border>
      <left style="double">
        <color rgb="FF002060"/>
      </left>
      <right/>
      <top style="thin">
        <color theme="8" tint="0.59996337778862885"/>
      </top>
      <bottom/>
      <diagonal/>
    </border>
    <border>
      <left style="thin">
        <color theme="8" tint="0.59996337778862885"/>
      </left>
      <right style="double">
        <color rgb="FF002060"/>
      </right>
      <top style="thin">
        <color theme="8" tint="0.59996337778862885"/>
      </top>
      <bottom/>
      <diagonal/>
    </border>
    <border>
      <left style="double">
        <color rgb="FF002060"/>
      </left>
      <right/>
      <top style="hair">
        <color theme="8" tint="0.59996337778862885"/>
      </top>
      <bottom/>
      <diagonal/>
    </border>
    <border>
      <left style="thin">
        <color theme="8" tint="0.59996337778862885"/>
      </left>
      <right style="double">
        <color rgb="FF002060"/>
      </right>
      <top style="hair">
        <color theme="8" tint="0.59996337778862885"/>
      </top>
      <bottom/>
      <diagonal/>
    </border>
    <border>
      <left style="double">
        <color rgb="FF002060"/>
      </left>
      <right/>
      <top style="hair">
        <color theme="8" tint="0.59996337778862885"/>
      </top>
      <bottom style="thin">
        <color rgb="FF002060"/>
      </bottom>
      <diagonal/>
    </border>
    <border>
      <left style="thin">
        <color theme="8" tint="0.59996337778862885"/>
      </left>
      <right style="double">
        <color rgb="FF002060"/>
      </right>
      <top style="hair">
        <color theme="8" tint="0.59996337778862885"/>
      </top>
      <bottom style="thin">
        <color rgb="FF002060"/>
      </bottom>
      <diagonal/>
    </border>
    <border>
      <left style="double">
        <color rgb="FF002060"/>
      </left>
      <right style="double">
        <color rgb="FF002060"/>
      </right>
      <top/>
      <bottom/>
      <diagonal/>
    </border>
    <border>
      <left style="double">
        <color rgb="FF002060"/>
      </left>
      <right/>
      <top style="hair">
        <color theme="8" tint="0.59996337778862885"/>
      </top>
      <bottom style="thin">
        <color theme="8" tint="0.59996337778862885"/>
      </bottom>
      <diagonal/>
    </border>
    <border>
      <left style="double">
        <color rgb="FF002060"/>
      </left>
      <right/>
      <top style="thin">
        <color theme="8" tint="0.59996337778862885"/>
      </top>
      <bottom style="thin">
        <color auto="1"/>
      </bottom>
      <diagonal/>
    </border>
    <border>
      <left style="thin">
        <color theme="8" tint="0.59996337778862885"/>
      </left>
      <right style="double">
        <color rgb="FF002060"/>
      </right>
      <top style="thin">
        <color theme="8" tint="0.59996337778862885"/>
      </top>
      <bottom style="thin">
        <color auto="1"/>
      </bottom>
      <diagonal/>
    </border>
    <border>
      <left/>
      <right style="thin">
        <color rgb="FF002060"/>
      </right>
      <top style="thin">
        <color rgb="FF002060"/>
      </top>
      <bottom/>
      <diagonal/>
    </border>
    <border>
      <left/>
      <right style="thin">
        <color rgb="FF002060"/>
      </right>
      <top style="thin">
        <color theme="8" tint="0.59996337778862885"/>
      </top>
      <bottom/>
      <diagonal/>
    </border>
    <border>
      <left/>
      <right style="thin">
        <color rgb="FF002060"/>
      </right>
      <top style="hair">
        <color theme="8" tint="0.59996337778862885"/>
      </top>
      <bottom/>
      <diagonal/>
    </border>
    <border>
      <left/>
      <right style="thin">
        <color rgb="FF002060"/>
      </right>
      <top style="hair">
        <color theme="8" tint="0.59996337778862885"/>
      </top>
      <bottom style="thin">
        <color rgb="FF00206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34">
    <xf numFmtId="0" fontId="0" fillId="0" borderId="0" xfId="0"/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10" xfId="0" applyBorder="1" applyAlignment="1">
      <alignment vertical="center" wrapText="1"/>
    </xf>
    <xf numFmtId="164" fontId="0" fillId="0" borderId="11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14" xfId="0" applyBorder="1" applyAlignment="1">
      <alignment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3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2" borderId="17" xfId="0" applyFont="1" applyFill="1" applyBorder="1" applyAlignment="1">
      <alignment horizontal="center" vertical="center" wrapText="1"/>
    </xf>
    <xf numFmtId="164" fontId="0" fillId="0" borderId="20" xfId="0" applyNumberFormat="1" applyFont="1" applyBorder="1" applyAlignment="1">
      <alignment horizontal="center" vertical="center"/>
    </xf>
    <xf numFmtId="164" fontId="0" fillId="0" borderId="21" xfId="0" applyNumberFormat="1" applyFont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 wrapText="1"/>
    </xf>
    <xf numFmtId="164" fontId="0" fillId="0" borderId="23" xfId="0" applyNumberFormat="1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0" fillId="0" borderId="20" xfId="0" applyNumberFormat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0" fontId="5" fillId="0" borderId="0" xfId="0" applyFont="1" applyAlignment="1">
      <alignment vertical="center"/>
    </xf>
    <xf numFmtId="0" fontId="6" fillId="3" borderId="0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164" fontId="5" fillId="0" borderId="25" xfId="0" applyNumberFormat="1" applyFont="1" applyBorder="1" applyAlignment="1">
      <alignment horizontal="center" vertical="center"/>
    </xf>
    <xf numFmtId="0" fontId="5" fillId="0" borderId="26" xfId="0" applyFont="1" applyBorder="1" applyAlignment="1">
      <alignment horizontal="left" vertical="center"/>
    </xf>
    <xf numFmtId="164" fontId="5" fillId="0" borderId="26" xfId="0" applyNumberFormat="1" applyFont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  <xf numFmtId="166" fontId="5" fillId="2" borderId="0" xfId="0" applyNumberFormat="1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164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164" fontId="8" fillId="3" borderId="1" xfId="0" applyNumberFormat="1" applyFont="1" applyFill="1" applyBorder="1" applyAlignment="1">
      <alignment horizontal="center" vertical="center"/>
    </xf>
    <xf numFmtId="3" fontId="5" fillId="0" borderId="25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/>
    </xf>
    <xf numFmtId="165" fontId="5" fillId="0" borderId="7" xfId="0" applyNumberFormat="1" applyFont="1" applyBorder="1" applyAlignment="1">
      <alignment horizontal="center" vertical="center"/>
    </xf>
    <xf numFmtId="3" fontId="5" fillId="0" borderId="7" xfId="0" applyNumberFormat="1" applyFont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3" fontId="0" fillId="0" borderId="0" xfId="0" applyNumberFormat="1" applyAlignment="1">
      <alignment horizontal="center"/>
    </xf>
    <xf numFmtId="3" fontId="4" fillId="0" borderId="0" xfId="0" applyNumberFormat="1" applyFont="1" applyBorder="1" applyAlignment="1">
      <alignment horizontal="center"/>
    </xf>
    <xf numFmtId="3" fontId="0" fillId="0" borderId="0" xfId="0" applyNumberFormat="1" applyBorder="1" applyAlignment="1">
      <alignment horizontal="center"/>
    </xf>
    <xf numFmtId="166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6" fillId="0" borderId="0" xfId="0" applyFont="1" applyFill="1" applyBorder="1" applyAlignment="1">
      <alignment horizontal="center" vertical="center" wrapText="1"/>
    </xf>
    <xf numFmtId="166" fontId="6" fillId="0" borderId="0" xfId="0" applyNumberFormat="1" applyFont="1" applyFill="1" applyBorder="1" applyAlignment="1">
      <alignment horizontal="center" vertical="center" wrapText="1"/>
    </xf>
    <xf numFmtId="3" fontId="6" fillId="0" borderId="0" xfId="0" applyNumberFormat="1" applyFont="1" applyFill="1" applyBorder="1" applyAlignment="1">
      <alignment horizontal="center" vertical="center" wrapText="1"/>
    </xf>
    <xf numFmtId="1" fontId="6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Font="1"/>
    <xf numFmtId="166" fontId="5" fillId="0" borderId="0" xfId="0" applyNumberFormat="1" applyFont="1" applyFill="1" applyBorder="1" applyAlignment="1">
      <alignment horizontal="center" vertical="center" wrapText="1"/>
    </xf>
    <xf numFmtId="1" fontId="5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166" fontId="0" fillId="0" borderId="0" xfId="0" applyNumberFormat="1" applyFont="1" applyAlignment="1">
      <alignment horizontal="center"/>
    </xf>
    <xf numFmtId="3" fontId="0" fillId="0" borderId="0" xfId="0" applyNumberFormat="1" applyFont="1" applyAlignment="1">
      <alignment horizontal="center"/>
    </xf>
    <xf numFmtId="1" fontId="0" fillId="0" borderId="0" xfId="0" applyNumberFormat="1" applyFont="1" applyAlignment="1">
      <alignment horizontal="center"/>
    </xf>
    <xf numFmtId="167" fontId="5" fillId="0" borderId="0" xfId="0" applyNumberFormat="1" applyFont="1" applyFill="1" applyBorder="1" applyAlignment="1">
      <alignment horizontal="center" vertical="center" wrapText="1"/>
    </xf>
    <xf numFmtId="167" fontId="5" fillId="2" borderId="0" xfId="0" applyNumberFormat="1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 wrapText="1"/>
    </xf>
    <xf numFmtId="0" fontId="0" fillId="0" borderId="0" xfId="0" applyFont="1" applyFill="1"/>
    <xf numFmtId="166" fontId="5" fillId="0" borderId="0" xfId="0" applyNumberFormat="1" applyFont="1" applyFill="1" applyAlignment="1">
      <alignment horizontal="center" vertical="center" wrapText="1"/>
    </xf>
    <xf numFmtId="167" fontId="5" fillId="0" borderId="0" xfId="0" applyNumberFormat="1" applyFont="1" applyFill="1" applyAlignment="1">
      <alignment horizontal="center" vertical="center" wrapText="1"/>
    </xf>
    <xf numFmtId="1" fontId="5" fillId="0" borderId="0" xfId="0" applyNumberFormat="1" applyFont="1" applyFill="1" applyAlignment="1">
      <alignment horizontal="center" vertical="center" wrapText="1"/>
    </xf>
    <xf numFmtId="0" fontId="7" fillId="0" borderId="0" xfId="1" applyFill="1" applyAlignment="1">
      <alignment horizontal="center" vertical="center" wrapText="1"/>
    </xf>
    <xf numFmtId="0" fontId="0" fillId="0" borderId="0" xfId="0" applyFill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Font="1" applyAlignment="1">
      <alignment horizontal="left"/>
    </xf>
    <xf numFmtId="3" fontId="1" fillId="2" borderId="2" xfId="0" applyNumberFormat="1" applyFont="1" applyFill="1" applyBorder="1" applyAlignment="1">
      <alignment horizontal="center" vertical="center" wrapText="1"/>
    </xf>
    <xf numFmtId="3" fontId="1" fillId="2" borderId="2" xfId="0" applyNumberFormat="1" applyFont="1" applyFill="1" applyBorder="1" applyAlignment="1">
      <alignment horizontal="center" vertical="center"/>
    </xf>
    <xf numFmtId="3" fontId="0" fillId="0" borderId="11" xfId="0" applyNumberFormat="1" applyBorder="1" applyAlignment="1">
      <alignment horizontal="center" vertical="center"/>
    </xf>
    <xf numFmtId="3" fontId="0" fillId="0" borderId="12" xfId="0" applyNumberFormat="1" applyBorder="1" applyAlignment="1">
      <alignment horizontal="center" vertical="center"/>
    </xf>
    <xf numFmtId="3" fontId="0" fillId="0" borderId="16" xfId="0" applyNumberForma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164" fontId="0" fillId="0" borderId="27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35" xfId="0" applyFont="1" applyBorder="1" applyAlignment="1">
      <alignment horizontal="center" vertical="center"/>
    </xf>
    <xf numFmtId="164" fontId="0" fillId="0" borderId="36" xfId="0" applyNumberFormat="1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164" fontId="0" fillId="0" borderId="38" xfId="0" applyNumberFormat="1" applyFont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164" fontId="0" fillId="0" borderId="40" xfId="0" applyNumberFormat="1" applyFont="1" applyBorder="1" applyAlignment="1">
      <alignment horizontal="center" vertical="center"/>
    </xf>
    <xf numFmtId="0" fontId="0" fillId="0" borderId="41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4" fontId="0" fillId="0" borderId="36" xfId="0" applyNumberFormat="1" applyBorder="1" applyAlignment="1">
      <alignment horizontal="center"/>
    </xf>
    <xf numFmtId="164" fontId="0" fillId="0" borderId="38" xfId="0" applyNumberFormat="1" applyBorder="1" applyAlignment="1">
      <alignment horizontal="center"/>
    </xf>
    <xf numFmtId="164" fontId="0" fillId="0" borderId="42" xfId="0" applyNumberFormat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6" xfId="0" applyBorder="1" applyAlignment="1">
      <alignment horizontal="center"/>
    </xf>
    <xf numFmtId="168" fontId="5" fillId="0" borderId="0" xfId="0" applyNumberFormat="1" applyFont="1" applyFill="1" applyBorder="1" applyAlignment="1">
      <alignment horizontal="center" vertical="center" wrapText="1"/>
    </xf>
    <xf numFmtId="168" fontId="5" fillId="0" borderId="0" xfId="0" applyNumberFormat="1" applyFont="1" applyFill="1" applyAlignment="1">
      <alignment horizontal="center" vertical="center" wrapText="1"/>
    </xf>
    <xf numFmtId="0" fontId="5" fillId="0" borderId="26" xfId="0" applyFont="1" applyBorder="1" applyAlignment="1">
      <alignment horizontal="center" vertical="center"/>
    </xf>
    <xf numFmtId="0" fontId="0" fillId="0" borderId="28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164" fontId="0" fillId="0" borderId="0" xfId="0" applyNumberFormat="1" applyBorder="1" applyAlignment="1">
      <alignment horizontal="center"/>
    </xf>
    <xf numFmtId="3" fontId="5" fillId="0" borderId="26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44" xfId="0" applyBorder="1" applyAlignment="1">
      <alignment horizontal="left" vertical="center"/>
    </xf>
    <xf numFmtId="0" fontId="2" fillId="0" borderId="5" xfId="0" applyFont="1" applyBorder="1"/>
    <xf numFmtId="164" fontId="2" fillId="0" borderId="19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5" fillId="0" borderId="25" xfId="0" applyFont="1" applyBorder="1" applyAlignment="1">
      <alignment horizontal="center" vertical="center"/>
    </xf>
    <xf numFmtId="0" fontId="12" fillId="0" borderId="0" xfId="0" applyFont="1"/>
    <xf numFmtId="0" fontId="9" fillId="0" borderId="46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10" fillId="4" borderId="48" xfId="0" applyFont="1" applyFill="1" applyBorder="1" applyAlignment="1">
      <alignment horizontal="left" vertical="center"/>
    </xf>
    <xf numFmtId="0" fontId="10" fillId="4" borderId="49" xfId="0" applyFont="1" applyFill="1" applyBorder="1" applyAlignment="1">
      <alignment horizontal="left" vertical="center"/>
    </xf>
    <xf numFmtId="0" fontId="10" fillId="4" borderId="49" xfId="0" applyFont="1" applyFill="1" applyBorder="1" applyAlignment="1">
      <alignment horizontal="center" vertical="center"/>
    </xf>
    <xf numFmtId="0" fontId="10" fillId="0" borderId="50" xfId="0" applyFont="1" applyBorder="1" applyAlignment="1">
      <alignment horizontal="left" vertical="center"/>
    </xf>
    <xf numFmtId="0" fontId="10" fillId="0" borderId="51" xfId="0" applyFont="1" applyBorder="1" applyAlignment="1">
      <alignment horizontal="left" vertical="center"/>
    </xf>
    <xf numFmtId="0" fontId="10" fillId="0" borderId="51" xfId="0" applyFont="1" applyBorder="1" applyAlignment="1">
      <alignment horizontal="center" vertical="center"/>
    </xf>
    <xf numFmtId="0" fontId="10" fillId="4" borderId="50" xfId="0" applyFont="1" applyFill="1" applyBorder="1" applyAlignment="1">
      <alignment horizontal="left" vertical="center"/>
    </xf>
    <xf numFmtId="0" fontId="10" fillId="4" borderId="51" xfId="0" applyFont="1" applyFill="1" applyBorder="1" applyAlignment="1">
      <alignment horizontal="left" vertical="center"/>
    </xf>
    <xf numFmtId="0" fontId="10" fillId="4" borderId="51" xfId="0" applyFont="1" applyFill="1" applyBorder="1" applyAlignment="1">
      <alignment horizontal="center" vertical="center"/>
    </xf>
    <xf numFmtId="0" fontId="10" fillId="0" borderId="52" xfId="0" applyFont="1" applyBorder="1" applyAlignment="1">
      <alignment horizontal="left" vertical="center"/>
    </xf>
    <xf numFmtId="0" fontId="10" fillId="0" borderId="53" xfId="0" applyFont="1" applyBorder="1" applyAlignment="1">
      <alignment horizontal="left" vertical="center"/>
    </xf>
    <xf numFmtId="0" fontId="10" fillId="0" borderId="53" xfId="0" applyFont="1" applyBorder="1" applyAlignment="1">
      <alignment horizontal="center" vertical="center"/>
    </xf>
    <xf numFmtId="0" fontId="11" fillId="0" borderId="0" xfId="0" applyFont="1" applyBorder="1" applyAlignment="1"/>
    <xf numFmtId="0" fontId="14" fillId="0" borderId="0" xfId="0" applyFont="1" applyFill="1" applyAlignment="1">
      <alignment horizontal="center" vertical="center"/>
    </xf>
    <xf numFmtId="0" fontId="14" fillId="5" borderId="49" xfId="0" applyFont="1" applyFill="1" applyBorder="1" applyAlignment="1">
      <alignment horizontal="center" vertical="center"/>
    </xf>
    <xf numFmtId="0" fontId="10" fillId="0" borderId="54" xfId="0" applyFont="1" applyBorder="1" applyAlignment="1">
      <alignment horizontal="center" vertical="center"/>
    </xf>
    <xf numFmtId="0" fontId="10" fillId="0" borderId="55" xfId="0" applyFont="1" applyBorder="1" applyAlignment="1">
      <alignment horizontal="center" vertical="center"/>
    </xf>
    <xf numFmtId="0" fontId="10" fillId="4" borderId="56" xfId="0" applyFont="1" applyFill="1" applyBorder="1" applyAlignment="1">
      <alignment horizontal="center" vertical="center"/>
    </xf>
    <xf numFmtId="0" fontId="10" fillId="4" borderId="57" xfId="0" applyFont="1" applyFill="1" applyBorder="1" applyAlignment="1">
      <alignment horizontal="center" vertical="center"/>
    </xf>
    <xf numFmtId="0" fontId="2" fillId="0" borderId="45" xfId="0" applyFont="1" applyBorder="1"/>
    <xf numFmtId="0" fontId="2" fillId="0" borderId="0" xfId="0" applyFont="1" applyBorder="1"/>
    <xf numFmtId="0" fontId="14" fillId="5" borderId="56" xfId="0" applyFont="1" applyFill="1" applyBorder="1" applyAlignment="1">
      <alignment horizontal="center" vertical="center"/>
    </xf>
    <xf numFmtId="0" fontId="10" fillId="4" borderId="60" xfId="0" applyFont="1" applyFill="1" applyBorder="1" applyAlignment="1">
      <alignment horizontal="center" vertical="center"/>
    </xf>
    <xf numFmtId="0" fontId="14" fillId="5" borderId="61" xfId="0" applyFont="1" applyFill="1" applyBorder="1" applyAlignment="1">
      <alignment horizontal="center" vertical="center"/>
    </xf>
    <xf numFmtId="0" fontId="10" fillId="0" borderId="62" xfId="0" applyFont="1" applyBorder="1" applyAlignment="1">
      <alignment horizontal="center" vertical="center"/>
    </xf>
    <xf numFmtId="0" fontId="14" fillId="5" borderId="63" xfId="0" applyFont="1" applyFill="1" applyBorder="1" applyAlignment="1">
      <alignment horizontal="center" vertical="center"/>
    </xf>
    <xf numFmtId="0" fontId="10" fillId="4" borderId="62" xfId="0" applyFont="1" applyFill="1" applyBorder="1" applyAlignment="1">
      <alignment horizontal="center" vertical="center"/>
    </xf>
    <xf numFmtId="0" fontId="10" fillId="0" borderId="64" xfId="0" applyFont="1" applyBorder="1" applyAlignment="1">
      <alignment horizontal="center" vertical="center"/>
    </xf>
    <xf numFmtId="0" fontId="14" fillId="5" borderId="65" xfId="0" applyFont="1" applyFill="1" applyBorder="1" applyAlignment="1">
      <alignment horizontal="center" vertical="center"/>
    </xf>
    <xf numFmtId="0" fontId="10" fillId="0" borderId="67" xfId="0" applyFont="1" applyBorder="1" applyAlignment="1">
      <alignment horizontal="center" vertical="center"/>
    </xf>
    <xf numFmtId="0" fontId="10" fillId="4" borderId="68" xfId="0" applyFont="1" applyFill="1" applyBorder="1" applyAlignment="1">
      <alignment horizontal="center" vertical="center"/>
    </xf>
    <xf numFmtId="0" fontId="14" fillId="5" borderId="69" xfId="0" applyFont="1" applyFill="1" applyBorder="1" applyAlignment="1">
      <alignment horizontal="center" vertical="center"/>
    </xf>
    <xf numFmtId="0" fontId="9" fillId="0" borderId="70" xfId="0" applyFont="1" applyBorder="1" applyAlignment="1">
      <alignment horizontal="center" vertical="center"/>
    </xf>
    <xf numFmtId="0" fontId="10" fillId="4" borderId="71" xfId="0" applyFont="1" applyFill="1" applyBorder="1" applyAlignment="1">
      <alignment horizontal="left" vertical="center"/>
    </xf>
    <xf numFmtId="0" fontId="10" fillId="0" borderId="72" xfId="0" applyFont="1" applyBorder="1" applyAlignment="1">
      <alignment horizontal="left" vertical="center"/>
    </xf>
    <xf numFmtId="0" fontId="10" fillId="4" borderId="72" xfId="0" applyFont="1" applyFill="1" applyBorder="1" applyAlignment="1">
      <alignment horizontal="left" vertical="center"/>
    </xf>
    <xf numFmtId="0" fontId="10" fillId="0" borderId="73" xfId="0" applyFont="1" applyBorder="1" applyAlignment="1">
      <alignment horizontal="left" vertical="center"/>
    </xf>
    <xf numFmtId="0" fontId="10" fillId="4" borderId="61" xfId="0" applyFont="1" applyFill="1" applyBorder="1" applyAlignment="1">
      <alignment horizontal="center" vertical="center"/>
    </xf>
    <xf numFmtId="0" fontId="10" fillId="0" borderId="63" xfId="0" applyFont="1" applyBorder="1" applyAlignment="1">
      <alignment horizontal="center" vertical="center"/>
    </xf>
    <xf numFmtId="0" fontId="10" fillId="4" borderId="63" xfId="0" applyFont="1" applyFill="1" applyBorder="1" applyAlignment="1">
      <alignment horizontal="center" vertical="center"/>
    </xf>
    <xf numFmtId="0" fontId="10" fillId="0" borderId="65" xfId="0" applyFont="1" applyBorder="1" applyAlignment="1">
      <alignment horizontal="center" vertical="center"/>
    </xf>
    <xf numFmtId="14" fontId="13" fillId="5" borderId="59" xfId="0" applyNumberFormat="1" applyFont="1" applyFill="1" applyBorder="1" applyAlignment="1">
      <alignment horizontal="center" vertical="center" textRotation="90"/>
    </xf>
    <xf numFmtId="14" fontId="9" fillId="0" borderId="58" xfId="0" applyNumberFormat="1" applyFont="1" applyBorder="1" applyAlignment="1">
      <alignment horizontal="center" vertical="center" textRotation="90"/>
    </xf>
    <xf numFmtId="14" fontId="9" fillId="0" borderId="47" xfId="0" applyNumberFormat="1" applyFont="1" applyBorder="1" applyAlignment="1">
      <alignment horizontal="center" vertical="center" textRotation="90"/>
    </xf>
    <xf numFmtId="14" fontId="13" fillId="5" borderId="47" xfId="0" applyNumberFormat="1" applyFont="1" applyFill="1" applyBorder="1" applyAlignment="1">
      <alignment horizontal="center" vertical="center" textRotation="90"/>
    </xf>
    <xf numFmtId="14" fontId="9" fillId="0" borderId="59" xfId="0" applyNumberFormat="1" applyFont="1" applyBorder="1" applyAlignment="1">
      <alignment horizontal="center" vertical="center" textRotation="90"/>
    </xf>
    <xf numFmtId="14" fontId="13" fillId="6" borderId="66" xfId="0" applyNumberFormat="1" applyFont="1" applyFill="1" applyBorder="1" applyAlignment="1">
      <alignment horizontal="center" vertical="center" textRotation="75"/>
    </xf>
    <xf numFmtId="0" fontId="14" fillId="6" borderId="66" xfId="0" applyFont="1" applyFill="1" applyBorder="1" applyAlignment="1">
      <alignment horizontal="center" vertical="center"/>
    </xf>
    <xf numFmtId="3" fontId="15" fillId="0" borderId="7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5" fillId="0" borderId="1" xfId="0" applyFont="1" applyBorder="1" applyAlignment="1">
      <alignment horizontal="left" vertical="center"/>
    </xf>
    <xf numFmtId="164" fontId="5" fillId="0" borderId="1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/>
    </xf>
    <xf numFmtId="165" fontId="5" fillId="0" borderId="13" xfId="0" applyNumberFormat="1" applyFont="1" applyBorder="1" applyAlignment="1">
      <alignment horizontal="center" vertical="center"/>
    </xf>
    <xf numFmtId="3" fontId="5" fillId="0" borderId="13" xfId="0" applyNumberFormat="1" applyFont="1" applyBorder="1" applyAlignment="1">
      <alignment horizontal="center" vertical="center"/>
    </xf>
    <xf numFmtId="164" fontId="5" fillId="0" borderId="13" xfId="0" applyNumberFormat="1" applyFont="1" applyBorder="1" applyAlignment="1">
      <alignment horizontal="center" vertical="center"/>
    </xf>
    <xf numFmtId="14" fontId="5" fillId="0" borderId="0" xfId="0" applyNumberFormat="1" applyFont="1" applyAlignment="1">
      <alignment horizontal="left" vertical="center"/>
    </xf>
    <xf numFmtId="165" fontId="5" fillId="0" borderId="26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/>
    </xf>
    <xf numFmtId="164" fontId="2" fillId="0" borderId="74" xfId="0" applyNumberFormat="1" applyFont="1" applyBorder="1" applyAlignment="1">
      <alignment horizontal="center"/>
    </xf>
    <xf numFmtId="0" fontId="6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169" fontId="5" fillId="0" borderId="0" xfId="0" applyNumberFormat="1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0" fillId="0" borderId="32" xfId="0" applyBorder="1" applyAlignment="1">
      <alignment vertical="center"/>
    </xf>
    <xf numFmtId="0" fontId="0" fillId="0" borderId="78" xfId="0" applyBorder="1" applyAlignment="1">
      <alignment horizontal="center" vertical="center"/>
    </xf>
    <xf numFmtId="14" fontId="5" fillId="0" borderId="78" xfId="0" applyNumberFormat="1" applyFont="1" applyBorder="1" applyAlignment="1">
      <alignment horizontal="center" vertical="center"/>
    </xf>
    <xf numFmtId="4" fontId="0" fillId="0" borderId="78" xfId="0" applyNumberFormat="1" applyBorder="1" applyAlignment="1">
      <alignment vertical="center"/>
    </xf>
    <xf numFmtId="4" fontId="0" fillId="0" borderId="31" xfId="0" applyNumberFormat="1" applyBorder="1" applyAlignment="1">
      <alignment vertical="center"/>
    </xf>
    <xf numFmtId="0" fontId="7" fillId="0" borderId="0" xfId="1" applyFill="1" applyBorder="1" applyAlignment="1">
      <alignment horizontal="center" vertical="center" wrapText="1"/>
    </xf>
    <xf numFmtId="14" fontId="5" fillId="0" borderId="0" xfId="0" applyNumberFormat="1" applyFont="1" applyFill="1" applyAlignment="1">
      <alignment horizontal="center" vertical="center" wrapText="1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8" fillId="3" borderId="4" xfId="0" applyFont="1" applyFill="1" applyBorder="1" applyAlignment="1">
      <alignment horizontal="right" vertical="center"/>
    </xf>
    <xf numFmtId="0" fontId="8" fillId="3" borderId="5" xfId="0" applyFont="1" applyFill="1" applyBorder="1" applyAlignment="1">
      <alignment horizontal="right" vertical="center"/>
    </xf>
    <xf numFmtId="0" fontId="8" fillId="3" borderId="6" xfId="0" applyFont="1" applyFill="1" applyBorder="1" applyAlignment="1">
      <alignment horizontal="right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5" fillId="0" borderId="44" xfId="0" applyFont="1" applyBorder="1" applyAlignment="1">
      <alignment vertical="center"/>
    </xf>
    <xf numFmtId="0" fontId="5" fillId="0" borderId="4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5" fillId="0" borderId="79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5" fillId="0" borderId="13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6" fillId="0" borderId="79" xfId="0" applyFont="1" applyBorder="1" applyAlignment="1">
      <alignment horizontal="center" vertical="center"/>
    </xf>
    <xf numFmtId="0" fontId="6" fillId="0" borderId="75" xfId="0" applyFont="1" applyBorder="1" applyAlignment="1">
      <alignment horizontal="center" vertical="top"/>
    </xf>
    <xf numFmtId="0" fontId="6" fillId="0" borderId="76" xfId="0" applyFont="1" applyBorder="1" applyAlignment="1">
      <alignment horizontal="center" vertical="top"/>
    </xf>
    <xf numFmtId="0" fontId="6" fillId="0" borderId="77" xfId="0" applyFont="1" applyBorder="1" applyAlignment="1">
      <alignment horizontal="center" vertical="top"/>
    </xf>
    <xf numFmtId="0" fontId="5" fillId="0" borderId="0" xfId="0" applyFont="1" applyAlignment="1">
      <alignment vertical="top"/>
    </xf>
  </cellXfs>
  <cellStyles count="2">
    <cellStyle name="Lien hypertexte" xfId="1" builtinId="8"/>
    <cellStyle name="Normal" xfId="0" builtinId="0"/>
  </cellStyles>
  <dxfs count="99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top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/>
        </patternFill>
      </fill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hair">
          <color theme="1"/>
        </top>
        <bottom style="hair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theme="1"/>
        </right>
        <top style="hair">
          <color theme="1"/>
        </top>
        <bottom style="hair">
          <color theme="1"/>
        </bottom>
        <vertical/>
        <horizontal/>
      </border>
    </dxf>
    <dxf>
      <border diagonalUp="0" diagonalDown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diagonalUp="0" diagonalDown="0">
        <left/>
        <right/>
        <top style="thin">
          <color theme="1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hair">
          <color theme="1"/>
        </top>
        <bottom style="hair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theme="1"/>
        </right>
        <top style="hair">
          <color theme="1"/>
        </top>
        <bottom style="hair">
          <color theme="1"/>
        </bottom>
      </border>
    </dxf>
    <dxf>
      <border diagonalUp="0" diagonalDown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 style="hair">
          <color indexed="64"/>
        </bottom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 style="hair">
          <color indexed="64"/>
        </bottom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alignment vertical="center" textRotation="0" indent="0" justifyLastLine="0" shrinkToFit="0" readingOrder="0"/>
    </dxf>
    <dxf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 style="hair">
          <color indexed="64"/>
        </bottom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alignment vertical="center" textRotation="0" indent="0" justifyLastLine="0" shrinkToFit="0" readingOrder="0"/>
    </dxf>
    <dxf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/>
        <vertical style="hair">
          <color indexed="64"/>
        </vertical>
      </border>
    </dxf>
    <dxf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vertical style="hair">
          <color indexed="64"/>
        </vertical>
      </border>
    </dxf>
    <dxf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vertical style="hair">
          <color indexed="64"/>
        </vertical>
      </border>
    </dxf>
    <dxf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vertical style="hair">
          <color indexed="64"/>
        </vertical>
      </border>
    </dxf>
    <dxf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vertical style="hair">
          <color indexed="64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vertical style="hair">
          <color indexed="64"/>
        </vertical>
      </border>
    </dxf>
    <dxf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vertical style="hair">
          <color indexed="64"/>
        </vertical>
      </border>
    </dxf>
    <dxf>
      <alignment horizontal="general" vertical="center" textRotation="0" wrapText="0" indent="0" justifyLastLine="0" shrinkToFit="0" readingOrder="0"/>
      <border diagonalUp="0" diagonalDown="0">
        <left/>
        <right style="hair">
          <color indexed="64"/>
        </right>
        <vertical style="hair">
          <color indexed="64"/>
        </vertic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7" formatCode="0&quot; ans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</font>
    </dxf>
    <dxf>
      <font>
        <b val="0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8" formatCode="000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Label" lockText="1"/>
</file>

<file path=xl/ctrlProps/ctrlProp2.xml><?xml version="1.0" encoding="utf-8"?>
<formControlPr xmlns="http://schemas.microsoft.com/office/spreadsheetml/2009/9/main" objectType="Label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80873</xdr:colOff>
      <xdr:row>7</xdr:row>
      <xdr:rowOff>188700</xdr:rowOff>
    </xdr:from>
    <xdr:to>
      <xdr:col>0</xdr:col>
      <xdr:colOff>476873</xdr:colOff>
      <xdr:row>9</xdr:row>
      <xdr:rowOff>189323</xdr:rowOff>
    </xdr:to>
    <xdr:pic macro="[0]!Copie_facture">
      <xdr:nvPicPr>
        <xdr:cNvPr id="3" name="Graphique 2" descr="Télécharger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80873" y="1572521"/>
          <a:ext cx="396000" cy="396000"/>
        </a:xfrm>
        <a:prstGeom prst="rect">
          <a:avLst/>
        </a:prstGeom>
      </xdr:spPr>
    </xdr:pic>
    <xdr:clientData fPrintsWithSheet="0"/>
  </xdr:twoCellAnchor>
  <xdr:twoCellAnchor editAs="absolute">
    <xdr:from>
      <xdr:col>0</xdr:col>
      <xdr:colOff>80873</xdr:colOff>
      <xdr:row>3</xdr:row>
      <xdr:rowOff>8983</xdr:rowOff>
    </xdr:from>
    <xdr:to>
      <xdr:col>0</xdr:col>
      <xdr:colOff>476873</xdr:colOff>
      <xdr:row>5</xdr:row>
      <xdr:rowOff>9606</xdr:rowOff>
    </xdr:to>
    <xdr:pic macro="[0]!Mail">
      <xdr:nvPicPr>
        <xdr:cNvPr id="4" name="Graphique 3" descr="E-mail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80873" y="602049"/>
          <a:ext cx="396000" cy="396000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76200</xdr:colOff>
          <xdr:row>9</xdr:row>
          <xdr:rowOff>190500</xdr:rowOff>
        </xdr:from>
        <xdr:to>
          <xdr:col>0</xdr:col>
          <xdr:colOff>552450</xdr:colOff>
          <xdr:row>11</xdr:row>
          <xdr:rowOff>47625</xdr:rowOff>
        </xdr:to>
        <xdr:sp macro="" textlink="">
          <xdr:nvSpPr>
            <xdr:cNvPr id="1027" name="Label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57150</xdr:colOff>
          <xdr:row>5</xdr:row>
          <xdr:rowOff>49246</xdr:rowOff>
        </xdr:from>
        <xdr:to>
          <xdr:col>0</xdr:col>
          <xdr:colOff>533400</xdr:colOff>
          <xdr:row>6</xdr:row>
          <xdr:rowOff>115920</xdr:rowOff>
        </xdr:to>
        <xdr:sp macro="" textlink="">
          <xdr:nvSpPr>
            <xdr:cNvPr id="1028" name="Label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2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Envoyer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055CCBF-20B7-46F6-AF3E-72CF3BA55904}" name="T_BdD" displayName="T_BdD" ref="B2:O6" insertRowShift="1" totalsRowShown="0" headerRowDxfId="98" dataDxfId="97">
  <autoFilter ref="B2:O6" xr:uid="{BB70F634-A43F-4E81-AC38-5D272D4983D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21D963DD-E46E-48FB-8EE5-5C93A868C8B6}" name="Nom" dataDxfId="96"/>
    <tableColumn id="2" xr3:uid="{E0F891A7-67EA-416B-A3F3-B49EF58912A6}" name="Prénom" dataDxfId="95"/>
    <tableColumn id="10" xr3:uid="{BAA6895E-079F-446E-8E2F-F36E1DF286ED}" name="Adresse" dataDxfId="94"/>
    <tableColumn id="11" xr3:uid="{7044E735-1B42-455B-89A4-D1742C770DA7}" name="Code postal" dataDxfId="93"/>
    <tableColumn id="12" xr3:uid="{36CC8710-61AC-4E74-A48E-02AAD95BB1BE}" name="Ville" dataDxfId="92"/>
    <tableColumn id="13" xr3:uid="{70DC8330-073F-461A-910F-9E8C89580469}" name="Téléphone" dataDxfId="91"/>
    <tableColumn id="3" xr3:uid="{DBA016DB-5811-4EAB-8EC8-3C6B8C441D0F}" name="Adresse mail" dataDxfId="90" dataCellStyle="Lien hypertexte"/>
    <tableColumn id="4" xr3:uid="{CCC79E35-ADE3-45D1-A074-A707C2F97CC6}" name="Contact" dataDxfId="89" dataCellStyle="Normal"/>
    <tableColumn id="5" xr3:uid="{AC1A9311-8A00-4303-89FF-340D9A7937F1}" name="Lien avec l'enfant" dataDxfId="88"/>
    <tableColumn id="6" xr3:uid="{80699049-1DB1-456C-A0D4-23B9215CA09D}" name="Téléphone2" dataDxfId="87"/>
    <tableColumn id="7" xr3:uid="{C1F04176-CDE4-4E94-8096-49EBA39A916C}" name="Age" dataDxfId="86"/>
    <tableColumn id="8" xr3:uid="{CB271D30-60BC-451D-9CD3-F252A4440494}" name="Quotient familial" dataDxfId="85"/>
    <tableColumn id="9" xr3:uid="{6FE70DA8-B6E9-4560-9178-4987ABA0418F}" name="Adhérent" dataDxfId="84"/>
    <tableColumn id="14" xr3:uid="{FB86C7C4-14A1-4311-A3E5-7A9689B6FBC1}" name="Facture" dataDxfId="83">
      <calculatedColumnFormula>IFERROR(INDEX(T_Récap_factures[N° Facture],MATCH(B3,T_Récap_factures[Nom],0)),"")</calculatedColumnFormula>
    </tableColumn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D34BDB6-6DFC-4E6E-83D4-1CB0064A7A43}" name="T_Récap_factures" displayName="T_Récap_factures" ref="B2:I3" insertRow="1" totalsRowShown="0" headerRowDxfId="0" dataDxfId="81" headerRowBorderDxfId="82" tableBorderDxfId="80">
  <autoFilter ref="B2:I3" xr:uid="{FA3D3775-BA35-4AAE-AFBC-EE799446E150}"/>
  <tableColumns count="8">
    <tableColumn id="1" xr3:uid="{3DAD6BCF-A9BC-453A-8D4D-DADCCA421B4E}" name="Nom" dataDxfId="79"/>
    <tableColumn id="2" xr3:uid="{072C8967-1925-44B6-94DC-7AF3D9192FCA}" name="N° Facture" dataDxfId="78"/>
    <tableColumn id="3" xr3:uid="{75278667-8D5C-4178-9131-17B08223CA54}" name="Date" dataDxfId="77"/>
    <tableColumn id="4" xr3:uid="{E857615F-2819-487E-BC87-73970886BF3F}" name="Camp" dataDxfId="76"/>
    <tableColumn id="5" xr3:uid="{354ABE53-39F2-49AC-B2C5-3C14AC836147}" name="Centre journée" dataDxfId="75"/>
    <tableColumn id="6" xr3:uid="{FA1E77F0-F49A-41F7-8856-DAED6B3DBE07}" name="Garderie" dataDxfId="74"/>
    <tableColumn id="7" xr3:uid="{8B99C119-35B8-445C-9E77-97C26C669193}" name="Centre semaine" dataDxfId="73"/>
    <tableColumn id="8" xr3:uid="{11DC91D5-FF95-4E04-B293-17C7C4726F8D}" name="Total" dataDxfId="72">
      <calculatedColumnFormula>SUM(T_Récap_factures[[#This Row],[Camp]:[Centre semaine]])</calculatedColumnFormula>
    </tableColumn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1A6D0D7-4CC2-4C97-A8B9-DF358A5B9930}" name="Tableau1" displayName="Tableau1" ref="B2:I6" totalsRowShown="0" headerRowDxfId="71" dataDxfId="69" headerRowBorderDxfId="70" tableBorderDxfId="68">
  <autoFilter ref="B2:I6" xr:uid="{168002CA-8156-4190-8AA5-BA4606D6789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D7D92022-D331-42B6-B86A-1E271066EF66}" name="Péricentre" dataDxfId="67"/>
    <tableColumn id="2" xr3:uid="{3F4981C5-FC97-48E9-BF07-454106EA145E}" name="Tranche d'age" dataDxfId="66"/>
    <tableColumn id="3" xr3:uid="{FC05E4E7-8C34-4F60-8E21-677D0D62C10A}" name="Période" dataDxfId="65"/>
    <tableColumn id="4" xr3:uid="{6F07931E-8756-42A9-B151-92CC3E9284ED}" name="0 à 600" dataDxfId="64"/>
    <tableColumn id="5" xr3:uid="{C9C59B28-231A-4B48-A695-DC46DDB47E52}" name="601 à 1000" dataDxfId="63"/>
    <tableColumn id="6" xr3:uid="{1600A71D-378C-4720-9F37-D2B2C9901212}" name="1001 à 1299" dataDxfId="62"/>
    <tableColumn id="7" xr3:uid="{0EB4EC0D-EB51-4B83-B675-FA589161F7D4}" name="plus de 1300" dataDxfId="61"/>
    <tableColumn id="8" xr3:uid="{BF775144-0BD3-48B5-8C70-07F53DF020EA}" name="Nb jour" dataDxfId="60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412DD39-D846-4849-94C1-823B2EEE2FEC}" name="Tableau14" displayName="Tableau14" ref="B12:I16" totalsRowShown="0" headerRowDxfId="59" dataDxfId="57" headerRowBorderDxfId="58" tableBorderDxfId="56">
  <autoFilter ref="B12:I16" xr:uid="{4D81D880-E863-4562-BF04-38E3A8CDDA5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8368A2D2-17CE-4002-9FE8-9F7C85F8754C}" name="Péricentre" dataDxfId="55"/>
    <tableColumn id="2" xr3:uid="{983CA757-15A6-4ECF-85B8-CE00032FD2F0}" name="Age" dataDxfId="54"/>
    <tableColumn id="3" xr3:uid="{526B2C09-CC5D-4AE9-8562-224E1CF4AFEA}" name="Période" dataDxfId="53"/>
    <tableColumn id="4" xr3:uid="{D8DF8F90-7DE0-41D8-B5B0-8BE929973C5D}" name="0 à 600" dataDxfId="52"/>
    <tableColumn id="5" xr3:uid="{15CFBDE2-2294-4E2C-A711-A5F9C11C2ECB}" name="601 à 1000" dataDxfId="51"/>
    <tableColumn id="6" xr3:uid="{38B4F40F-1917-4CBD-8BAD-C2226CD1A086}" name="1001 à 1299" dataDxfId="50"/>
    <tableColumn id="7" xr3:uid="{14BA0EC9-909C-41F4-A941-A44172FA7A5D}" name="plus de 1300" dataDxfId="49"/>
    <tableColumn id="8" xr3:uid="{A2374441-B90C-4E35-BE91-713508C2B8EE}" name="Nb jour" dataDxfId="48"/>
  </tableColumns>
  <tableStyleInfo name="TableStyleLight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DB38322-EE87-4CE1-AA56-E2DEBBC5BA5D}" name="Tableau6" displayName="Tableau6" ref="K2:O6" totalsRowShown="0" headerRowDxfId="47" dataDxfId="45" headerRowBorderDxfId="46" tableBorderDxfId="44">
  <autoFilter ref="K2:O6" xr:uid="{86A39C67-0C80-4C04-9BE3-A08708B20038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B1677085-601F-4811-800E-6308D5DD71CE}" name="QF" dataDxfId="43"/>
    <tableColumn id="2" xr3:uid="{403BD6A7-2039-4E48-9103-01C5D981FFFE}" name="Camp à l'Herberie Pouancé" dataDxfId="42"/>
    <tableColumn id="3" xr3:uid="{4CFAF20E-3D5D-4E6D-AF7C-A02CB161B4D6}" name="Camp Craon" dataDxfId="41"/>
    <tableColumn id="4" xr3:uid="{CB3C39B5-1EAF-4D1F-9437-3BF23C6B5E3B}" name="Camp Multi activité en Anjou - Ponts de cé" dataDxfId="40"/>
    <tableColumn id="5" xr3:uid="{48D28ED7-7645-4263-8203-B9D738D65E4E}" name="Camp Sportif à Rougé" dataDxfId="39"/>
  </tableColumns>
  <tableStyleInfo name="TableStyleLight1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C50396A-26C6-4608-8D88-84D2751D113E}" name="Tableau7" displayName="Tableau7" ref="K8:P9" totalsRowShown="0" headerRowDxfId="38" dataDxfId="36" headerRowBorderDxfId="37" tableBorderDxfId="35" totalsRowBorderDxfId="34">
  <autoFilter ref="K8:P9" xr:uid="{ED85D1BB-28A3-4AC8-A4CE-EEE639542EE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9BBC6F22-F6B6-4749-8112-743E2D6B7E3A}" name="QF" dataDxfId="33">
      <calculatedColumnFormula>Facture!C13</calculatedColumnFormula>
    </tableColumn>
    <tableColumn id="2" xr3:uid="{B3641534-467E-450A-8E39-C94659C6D9EB}" name="Camp à l'Herberie Pouancé" dataDxfId="32">
      <calculatedColumnFormula>IF(AND(Facture!$C$14="oui",Facture!$B$20=Paramètres!L$2),VLOOKUP($K$9,K$3:O$6,2,1),0)</calculatedColumnFormula>
    </tableColumn>
    <tableColumn id="3" xr3:uid="{2569E8CC-916D-468C-BEC4-1741BA389588}" name="Camp Craon" dataDxfId="31">
      <calculatedColumnFormula>IF(AND(Facture!$C$14="oui",Facture!$B$20=Paramètres!M$2),VLOOKUP($K$9,L$3:P$6,3,1),0)</calculatedColumnFormula>
    </tableColumn>
    <tableColumn id="4" xr3:uid="{D6227154-55AC-41F5-8434-3AF5B0FF08FF}" name="Camp Multi activité en Anjou - Ponts de cé" dataDxfId="30">
      <calculatedColumnFormula>IF(AND(Facture!$C$14="oui",Facture!$B$20=Paramètres!N$2),VLOOKUP($K$9,M$3:Q$6,4,1),0)</calculatedColumnFormula>
    </tableColumn>
    <tableColumn id="5" xr3:uid="{2CFF9FEB-2F6A-4161-B6C0-F7036EF54483}" name="Camp Sportif à Rougé" dataDxfId="29">
      <calculatedColumnFormula>IF(AND(Facture!$C$14="oui",Facture!$B$20=Paramètres!O$2),VLOOKUP($K$9,N$3:R$6,5,1),0)</calculatedColumnFormula>
    </tableColumn>
    <tableColumn id="6" xr3:uid="{A3B4DC13-385F-4581-B639-C3353A615091}" name="Coût" dataDxfId="28">
      <calculatedColumnFormula>SUM(L9:O9)</calculatedColumnFormula>
    </tableColumn>
  </tableColumns>
  <tableStyleInfo name="TableStyleLight1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B0D12995-9FEC-455F-B80F-F0C3C52F11EE}" name="Tableau9" displayName="Tableau9" ref="K12:O16" totalsRowShown="0" headerRowDxfId="27" dataDxfId="25" headerRowBorderDxfId="26" tableBorderDxfId="24">
  <autoFilter ref="K12:O16" xr:uid="{41357D61-951C-4B7B-B7D4-69E29849FBCA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96143702-7A6F-4AC1-8132-2ACB41E41956}" name="QF" dataDxfId="23"/>
    <tableColumn id="2" xr3:uid="{633E9D32-C754-48AA-962E-3C82C3CFCB64}" name="Camp à l'Herberie Pouancé" dataDxfId="22"/>
    <tableColumn id="3" xr3:uid="{37FEB513-D79E-47F4-9EE9-C631AC326BC2}" name="Camp Craon" dataDxfId="21"/>
    <tableColumn id="4" xr3:uid="{AE8EBF86-13CD-40D2-8687-9F1BCBC89D16}" name="Camp Multi activité en Anjou - Ponts de cé" dataDxfId="20"/>
    <tableColumn id="5" xr3:uid="{18ECC678-CB3D-4B8C-9C18-6ACC3B6CB56F}" name="Camp Sportif à Rougé" dataDxfId="19"/>
  </tableColumns>
  <tableStyleInfo name="TableStyleLight1" showFirstColumn="0" showLastColumn="0" showRowStripes="0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832AF2A-76C5-42E1-BDF9-5A5A8794FECA}" name="T_Prestations" displayName="T_Prestations" ref="K41:K43" totalsRowShown="0" headerRowDxfId="18" headerRowBorderDxfId="17">
  <autoFilter ref="K41:K43" xr:uid="{D142D31C-6467-49EA-9B01-0E30F14604AB}">
    <filterColumn colId="0" hiddenButton="1"/>
  </autoFilter>
  <tableColumns count="1">
    <tableColumn id="1" xr3:uid="{FAA8F085-23E6-45FA-B102-282C06AD683E}" name="Prestations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DC99F24-18E7-42C3-AA77-1C123E8BBEDC}" name="T_Garderie" displayName="T_Garderie" ref="K45:M48" totalsRowShown="0" headerRowDxfId="16" dataDxfId="14" headerRowBorderDxfId="15" tableBorderDxfId="13">
  <autoFilter ref="K45:M48" xr:uid="{348118DF-C1D0-44B8-9766-BBF3FE054B2B}">
    <filterColumn colId="0" hiddenButton="1"/>
    <filterColumn colId="1" hiddenButton="1"/>
    <filterColumn colId="2" hiddenButton="1"/>
  </autoFilter>
  <tableColumns count="3">
    <tableColumn id="1" xr3:uid="{6DC96B3A-FB3B-47E7-9D3C-9A382042E792}" name="Garderie" dataDxfId="12"/>
    <tableColumn id="2" xr3:uid="{36FE85AE-8928-4BAB-9493-954CAC19E363}" name="Code" dataDxfId="11"/>
    <tableColumn id="3" xr3:uid="{0F77A803-4929-4C4F-8F14-110FECBE05E7}" name="Coût" dataDxfId="1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hyperlink" Target="mailto:ppan@gmail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harrypotter.fandom.com/fr/wiki/Albus_Dumbledore" TargetMode="External"/><Relationship Id="rId1" Type="http://schemas.openxmlformats.org/officeDocument/2006/relationships/hyperlink" Target="mailto:hpotter@gmail,com" TargetMode="External"/><Relationship Id="rId6" Type="http://schemas.openxmlformats.org/officeDocument/2006/relationships/hyperlink" Target="https://harrypotter.fandom.com/fr/wiki/Little_Whinging" TargetMode="External"/><Relationship Id="rId5" Type="http://schemas.openxmlformats.org/officeDocument/2006/relationships/hyperlink" Target="mailto:Cbrown@orange.com" TargetMode="External"/><Relationship Id="rId4" Type="http://schemas.openxmlformats.org/officeDocument/2006/relationships/hyperlink" Target="mailto:kmcc@yahoo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7C8E6-6FEE-4165-859F-BDD2BE14B3AA}">
  <sheetPr codeName="Feuil1"/>
  <dimension ref="B2:O38"/>
  <sheetViews>
    <sheetView showGridLines="0" tabSelected="1" workbookViewId="0">
      <selection activeCell="B2" sqref="B2"/>
    </sheetView>
  </sheetViews>
  <sheetFormatPr baseColWidth="10" defaultRowHeight="15" x14ac:dyDescent="0.25"/>
  <cols>
    <col min="1" max="1" width="4.7109375" customWidth="1"/>
    <col min="2" max="3" width="20.7109375" style="89" customWidth="1"/>
    <col min="4" max="4" width="40.5703125" style="89" customWidth="1"/>
    <col min="5" max="5" width="13.85546875" style="18" customWidth="1"/>
    <col min="6" max="6" width="20.7109375" style="89" customWidth="1"/>
    <col min="7" max="7" width="14.7109375" style="89" bestFit="1" customWidth="1"/>
    <col min="8" max="8" width="20.7109375" style="18" customWidth="1"/>
    <col min="9" max="10" width="20.7109375" customWidth="1"/>
    <col min="11" max="11" width="15.7109375" style="61" customWidth="1"/>
    <col min="12" max="12" width="8.7109375" style="58" customWidth="1"/>
    <col min="13" max="13" width="17.7109375" style="62" bestFit="1" customWidth="1"/>
    <col min="14" max="14" width="10.28515625" style="18" bestFit="1" customWidth="1"/>
    <col min="15" max="15" width="18.7109375" customWidth="1"/>
  </cols>
  <sheetData>
    <row r="2" spans="2:15" s="18" customFormat="1" ht="15.75" x14ac:dyDescent="0.25">
      <c r="B2" s="63" t="s">
        <v>9</v>
      </c>
      <c r="C2" s="63" t="s">
        <v>10</v>
      </c>
      <c r="D2" s="63" t="s">
        <v>66</v>
      </c>
      <c r="E2" s="63" t="s">
        <v>67</v>
      </c>
      <c r="F2" s="63" t="s">
        <v>68</v>
      </c>
      <c r="G2" s="64" t="s">
        <v>34</v>
      </c>
      <c r="H2" s="63" t="s">
        <v>12</v>
      </c>
      <c r="I2" s="63" t="s">
        <v>32</v>
      </c>
      <c r="J2" s="63" t="s">
        <v>33</v>
      </c>
      <c r="K2" s="64" t="s">
        <v>78</v>
      </c>
      <c r="L2" s="65" t="s">
        <v>13</v>
      </c>
      <c r="M2" s="66" t="s">
        <v>11</v>
      </c>
      <c r="N2" s="63" t="s">
        <v>28</v>
      </c>
      <c r="O2" s="63" t="s">
        <v>104</v>
      </c>
    </row>
    <row r="3" spans="2:15" s="71" customFormat="1" ht="15.75" x14ac:dyDescent="0.25">
      <c r="B3" s="87" t="s">
        <v>39</v>
      </c>
      <c r="C3" s="87" t="s">
        <v>40</v>
      </c>
      <c r="D3" s="71" t="s">
        <v>70</v>
      </c>
      <c r="E3" s="115">
        <v>99999</v>
      </c>
      <c r="F3" t="s">
        <v>71</v>
      </c>
      <c r="G3" s="72">
        <v>809050602</v>
      </c>
      <c r="H3" s="202" t="s">
        <v>103</v>
      </c>
      <c r="I3" s="71" t="s">
        <v>41</v>
      </c>
      <c r="J3" s="70" t="s">
        <v>42</v>
      </c>
      <c r="K3" s="72">
        <v>102030405</v>
      </c>
      <c r="L3" s="78">
        <v>9</v>
      </c>
      <c r="M3" s="73">
        <v>500</v>
      </c>
      <c r="N3" s="70" t="s">
        <v>43</v>
      </c>
      <c r="O3" s="203" t="str">
        <f>IFERROR(INDEX(T_Récap_factures[N° Facture],MATCH(B3,T_Récap_factures[Nom],0)),"")</f>
        <v/>
      </c>
    </row>
    <row r="4" spans="2:15" s="71" customFormat="1" ht="15.75" x14ac:dyDescent="0.25">
      <c r="B4" s="88" t="s">
        <v>44</v>
      </c>
      <c r="C4" s="88" t="s">
        <v>45</v>
      </c>
      <c r="D4" s="88" t="s">
        <v>72</v>
      </c>
      <c r="E4" s="116">
        <v>88888</v>
      </c>
      <c r="F4" s="88" t="s">
        <v>73</v>
      </c>
      <c r="G4" s="82">
        <v>305070109</v>
      </c>
      <c r="H4" s="85" t="s">
        <v>58</v>
      </c>
      <c r="I4" s="81" t="s">
        <v>46</v>
      </c>
      <c r="J4" s="80" t="s">
        <v>47</v>
      </c>
      <c r="K4" s="82" t="s">
        <v>48</v>
      </c>
      <c r="L4" s="83">
        <v>5</v>
      </c>
      <c r="M4" s="84">
        <v>1200</v>
      </c>
      <c r="N4" s="80" t="s">
        <v>43</v>
      </c>
      <c r="O4" s="203" t="str">
        <f>IFERROR(INDEX(T_Récap_factures[N° Facture],MATCH(B4,T_Récap_factures[Nom],0)),"")</f>
        <v/>
      </c>
    </row>
    <row r="5" spans="2:15" s="71" customFormat="1" ht="15.75" x14ac:dyDescent="0.25">
      <c r="B5" s="89" t="s">
        <v>51</v>
      </c>
      <c r="C5" s="88" t="s">
        <v>52</v>
      </c>
      <c r="D5" t="s">
        <v>75</v>
      </c>
      <c r="E5" s="116">
        <v>77777</v>
      </c>
      <c r="F5" s="88" t="s">
        <v>74</v>
      </c>
      <c r="G5" s="82">
        <v>604090103</v>
      </c>
      <c r="H5" s="85" t="s">
        <v>59</v>
      </c>
      <c r="I5" s="81" t="s">
        <v>53</v>
      </c>
      <c r="J5" s="80" t="s">
        <v>54</v>
      </c>
      <c r="K5" s="82">
        <v>504060907</v>
      </c>
      <c r="L5" s="83">
        <v>11</v>
      </c>
      <c r="M5" s="84">
        <v>1300</v>
      </c>
      <c r="N5" s="80" t="s">
        <v>49</v>
      </c>
      <c r="O5" s="203" t="str">
        <f>IFERROR(INDEX(T_Récap_factures[N° Facture],MATCH(B5,T_Récap_factures[Nom],0)),"")</f>
        <v/>
      </c>
    </row>
    <row r="6" spans="2:15" s="71" customFormat="1" ht="15.75" x14ac:dyDescent="0.25">
      <c r="B6" s="88" t="s">
        <v>55</v>
      </c>
      <c r="C6" s="88" t="s">
        <v>56</v>
      </c>
      <c r="D6" s="88" t="s">
        <v>76</v>
      </c>
      <c r="E6" s="116">
        <v>16000</v>
      </c>
      <c r="F6" s="88" t="s">
        <v>77</v>
      </c>
      <c r="G6" s="82">
        <v>802060405</v>
      </c>
      <c r="H6" s="85" t="s">
        <v>57</v>
      </c>
      <c r="I6" s="81" t="s">
        <v>60</v>
      </c>
      <c r="J6" s="80" t="s">
        <v>47</v>
      </c>
      <c r="K6" s="82">
        <v>609030107</v>
      </c>
      <c r="L6" s="83">
        <v>6</v>
      </c>
      <c r="M6" s="84">
        <v>600</v>
      </c>
      <c r="N6" s="80" t="s">
        <v>49</v>
      </c>
      <c r="O6" s="203" t="str">
        <f>IFERROR(INDEX(T_Récap_factures[N° Facture],MATCH(B6,T_Récap_factures[Nom],0)),"")</f>
        <v/>
      </c>
    </row>
    <row r="7" spans="2:15" s="71" customFormat="1" x14ac:dyDescent="0.25">
      <c r="B7" s="90"/>
      <c r="C7" s="90"/>
      <c r="D7" s="90"/>
      <c r="E7" s="74"/>
      <c r="F7" s="90"/>
      <c r="G7" s="90"/>
      <c r="H7" s="74"/>
      <c r="K7" s="75"/>
      <c r="L7" s="76"/>
      <c r="M7" s="77"/>
      <c r="N7" s="74"/>
    </row>
    <row r="8" spans="2:15" s="71" customFormat="1" x14ac:dyDescent="0.25">
      <c r="B8" s="90"/>
      <c r="C8" s="90"/>
      <c r="D8" s="90"/>
      <c r="E8" s="74"/>
      <c r="F8" s="90"/>
      <c r="G8" s="90"/>
      <c r="H8" s="74"/>
      <c r="K8" s="75"/>
      <c r="L8" s="76"/>
      <c r="M8" s="77"/>
      <c r="N8" s="74"/>
    </row>
    <row r="9" spans="2:15" s="71" customFormat="1" x14ac:dyDescent="0.25">
      <c r="B9" s="90"/>
      <c r="C9" s="90"/>
      <c r="D9" s="90"/>
      <c r="E9" s="74"/>
      <c r="F9" s="90"/>
      <c r="G9" s="90"/>
      <c r="H9" s="74"/>
      <c r="K9" s="75"/>
      <c r="L9" s="76"/>
      <c r="M9" s="77"/>
      <c r="N9" s="74"/>
    </row>
    <row r="10" spans="2:15" s="71" customFormat="1" x14ac:dyDescent="0.25">
      <c r="B10" s="90"/>
      <c r="C10" s="90"/>
      <c r="D10" s="90"/>
      <c r="E10" s="74"/>
      <c r="F10" s="90"/>
      <c r="G10" s="90"/>
      <c r="H10" s="74"/>
      <c r="K10" s="75"/>
      <c r="L10" s="76"/>
      <c r="M10" s="77"/>
      <c r="N10" s="74"/>
    </row>
    <row r="11" spans="2:15" s="71" customFormat="1" x14ac:dyDescent="0.25">
      <c r="B11" s="90"/>
      <c r="C11" s="90"/>
      <c r="D11" s="90"/>
      <c r="E11" s="74"/>
      <c r="F11" s="90"/>
      <c r="G11" s="90"/>
      <c r="H11" s="74"/>
      <c r="K11" s="75"/>
      <c r="L11" s="76"/>
      <c r="M11" s="77"/>
      <c r="N11" s="74"/>
    </row>
    <row r="12" spans="2:15" s="71" customFormat="1" x14ac:dyDescent="0.25">
      <c r="B12" s="90"/>
      <c r="C12" s="90"/>
      <c r="D12" s="90"/>
      <c r="E12" s="74"/>
      <c r="F12" s="90"/>
      <c r="G12" s="90"/>
      <c r="H12" s="74"/>
      <c r="K12" s="75"/>
      <c r="L12" s="76"/>
      <c r="M12" s="77"/>
      <c r="N12" s="74"/>
    </row>
    <row r="13" spans="2:15" s="71" customFormat="1" x14ac:dyDescent="0.25">
      <c r="B13" s="90"/>
      <c r="C13" s="90"/>
      <c r="D13" s="90"/>
      <c r="E13" s="74"/>
      <c r="F13" s="90"/>
      <c r="G13" s="90"/>
      <c r="H13" s="74"/>
      <c r="K13" s="75"/>
      <c r="L13" s="76"/>
      <c r="M13" s="77"/>
      <c r="N13" s="74"/>
    </row>
    <row r="14" spans="2:15" s="71" customFormat="1" x14ac:dyDescent="0.25">
      <c r="B14" s="90"/>
      <c r="C14" s="90"/>
      <c r="D14" s="90"/>
      <c r="E14" s="74"/>
      <c r="F14" s="90"/>
      <c r="G14" s="90"/>
      <c r="H14" s="74"/>
      <c r="K14" s="75"/>
      <c r="L14" s="76"/>
      <c r="M14" s="77"/>
      <c r="N14" s="74"/>
    </row>
    <row r="15" spans="2:15" s="71" customFormat="1" x14ac:dyDescent="0.25">
      <c r="B15" s="90"/>
      <c r="C15" s="90"/>
      <c r="D15" s="90"/>
      <c r="E15" s="74"/>
      <c r="F15" s="90"/>
      <c r="G15" s="90"/>
      <c r="H15" s="74"/>
      <c r="K15" s="75"/>
      <c r="L15" s="76"/>
      <c r="M15" s="77"/>
      <c r="N15" s="74"/>
    </row>
    <row r="16" spans="2:15" s="71" customFormat="1" x14ac:dyDescent="0.25">
      <c r="B16" s="90"/>
      <c r="C16" s="90"/>
      <c r="D16" s="90"/>
      <c r="E16" s="74"/>
      <c r="F16" s="90"/>
      <c r="G16" s="90"/>
      <c r="H16" s="74"/>
      <c r="K16" s="75"/>
      <c r="L16" s="76"/>
      <c r="M16" s="77"/>
      <c r="N16" s="74"/>
    </row>
    <row r="17" spans="2:14" s="71" customFormat="1" x14ac:dyDescent="0.25">
      <c r="B17" s="90"/>
      <c r="C17" s="90"/>
      <c r="D17" s="90"/>
      <c r="E17" s="74"/>
      <c r="F17" s="90"/>
      <c r="G17" s="90"/>
      <c r="H17" s="74"/>
      <c r="K17" s="75"/>
      <c r="L17" s="76"/>
      <c r="M17" s="77"/>
      <c r="N17" s="74"/>
    </row>
    <row r="18" spans="2:14" s="71" customFormat="1" x14ac:dyDescent="0.25">
      <c r="B18" s="90"/>
      <c r="C18" s="90"/>
      <c r="D18" s="90"/>
      <c r="E18" s="74"/>
      <c r="F18" s="90"/>
      <c r="G18" s="90"/>
      <c r="H18" s="74"/>
      <c r="K18" s="75"/>
      <c r="L18" s="76"/>
      <c r="M18" s="77"/>
      <c r="N18" s="74"/>
    </row>
    <row r="19" spans="2:14" s="71" customFormat="1" x14ac:dyDescent="0.25">
      <c r="B19" s="90"/>
      <c r="C19" s="90"/>
      <c r="D19" s="90"/>
      <c r="E19" s="74"/>
      <c r="F19" s="90"/>
      <c r="G19" s="90"/>
      <c r="H19" s="74"/>
      <c r="K19" s="75"/>
      <c r="L19" s="76"/>
      <c r="M19" s="77"/>
      <c r="N19" s="74"/>
    </row>
    <row r="20" spans="2:14" s="71" customFormat="1" x14ac:dyDescent="0.25">
      <c r="B20" s="90"/>
      <c r="C20" s="90"/>
      <c r="D20" s="90"/>
      <c r="E20" s="74"/>
      <c r="F20" s="90"/>
      <c r="G20" s="90"/>
      <c r="H20" s="74"/>
      <c r="K20" s="75"/>
      <c r="L20" s="76"/>
      <c r="M20" s="77"/>
      <c r="N20" s="74"/>
    </row>
    <row r="21" spans="2:14" s="71" customFormat="1" x14ac:dyDescent="0.25">
      <c r="B21" s="90"/>
      <c r="C21" s="90"/>
      <c r="D21" s="90"/>
      <c r="E21" s="74"/>
      <c r="F21" s="90"/>
      <c r="G21" s="90"/>
      <c r="H21" s="74"/>
      <c r="K21" s="75"/>
      <c r="L21" s="76"/>
      <c r="M21" s="77"/>
      <c r="N21" s="74"/>
    </row>
    <row r="22" spans="2:14" s="71" customFormat="1" x14ac:dyDescent="0.25">
      <c r="B22" s="90"/>
      <c r="C22" s="90"/>
      <c r="D22" s="90"/>
      <c r="E22" s="74"/>
      <c r="F22" s="90"/>
      <c r="G22" s="90"/>
      <c r="H22" s="74"/>
      <c r="K22" s="75"/>
      <c r="L22" s="76"/>
      <c r="M22" s="77"/>
      <c r="N22" s="74"/>
    </row>
    <row r="23" spans="2:14" s="71" customFormat="1" x14ac:dyDescent="0.25">
      <c r="B23" s="90"/>
      <c r="C23" s="90"/>
      <c r="D23" s="90"/>
      <c r="E23" s="74"/>
      <c r="F23" s="90"/>
      <c r="G23" s="90"/>
      <c r="H23" s="74"/>
      <c r="K23" s="75"/>
      <c r="L23" s="76"/>
      <c r="M23" s="77"/>
      <c r="N23" s="74"/>
    </row>
    <row r="24" spans="2:14" s="71" customFormat="1" x14ac:dyDescent="0.25">
      <c r="B24" s="90"/>
      <c r="C24" s="90"/>
      <c r="D24" s="90"/>
      <c r="E24" s="74"/>
      <c r="F24" s="90"/>
      <c r="G24" s="90"/>
      <c r="H24" s="74"/>
      <c r="K24" s="75"/>
      <c r="L24" s="76"/>
      <c r="M24" s="77"/>
      <c r="N24" s="74"/>
    </row>
    <row r="25" spans="2:14" s="71" customFormat="1" x14ac:dyDescent="0.25">
      <c r="B25" s="90"/>
      <c r="C25" s="90"/>
      <c r="D25" s="90"/>
      <c r="E25" s="74"/>
      <c r="F25" s="90"/>
      <c r="G25" s="90"/>
      <c r="H25" s="74"/>
      <c r="K25" s="75"/>
      <c r="L25" s="76"/>
      <c r="M25" s="77"/>
      <c r="N25" s="74"/>
    </row>
    <row r="26" spans="2:14" s="71" customFormat="1" x14ac:dyDescent="0.25">
      <c r="B26" s="90"/>
      <c r="C26" s="90"/>
      <c r="D26" s="90"/>
      <c r="E26" s="74"/>
      <c r="F26" s="90"/>
      <c r="G26" s="90"/>
      <c r="H26" s="74"/>
      <c r="K26" s="75"/>
      <c r="L26" s="76"/>
      <c r="M26" s="77"/>
      <c r="N26" s="74"/>
    </row>
    <row r="27" spans="2:14" s="71" customFormat="1" x14ac:dyDescent="0.25">
      <c r="B27" s="90"/>
      <c r="C27" s="90"/>
      <c r="D27" s="90"/>
      <c r="E27" s="74"/>
      <c r="F27" s="90"/>
      <c r="G27" s="90"/>
      <c r="H27" s="74"/>
      <c r="K27" s="75"/>
      <c r="L27" s="76"/>
      <c r="M27" s="77"/>
      <c r="N27" s="74"/>
    </row>
    <row r="28" spans="2:14" s="71" customFormat="1" x14ac:dyDescent="0.25">
      <c r="B28" s="130"/>
      <c r="C28" s="90"/>
      <c r="D28" s="90"/>
      <c r="E28" s="74"/>
      <c r="F28" s="90"/>
      <c r="G28" s="90"/>
      <c r="H28" s="74"/>
      <c r="K28" s="75"/>
      <c r="L28" s="76"/>
      <c r="M28" s="77"/>
      <c r="N28" s="74"/>
    </row>
    <row r="29" spans="2:14" s="71" customFormat="1" x14ac:dyDescent="0.25">
      <c r="B29" s="90"/>
      <c r="C29" s="90"/>
      <c r="D29" s="90"/>
      <c r="E29" s="74"/>
      <c r="F29" s="90"/>
      <c r="G29" s="90"/>
      <c r="H29" s="74"/>
      <c r="K29" s="75"/>
      <c r="L29" s="76"/>
      <c r="M29" s="77"/>
      <c r="N29" s="74"/>
    </row>
    <row r="30" spans="2:14" s="71" customFormat="1" x14ac:dyDescent="0.25">
      <c r="B30" s="90"/>
      <c r="C30" s="90"/>
      <c r="D30" s="90"/>
      <c r="E30" s="74"/>
      <c r="F30" s="90"/>
      <c r="G30" s="90"/>
      <c r="H30" s="74"/>
      <c r="K30" s="75"/>
      <c r="L30" s="76"/>
      <c r="M30" s="77"/>
      <c r="N30" s="74"/>
    </row>
    <row r="31" spans="2:14" s="71" customFormat="1" x14ac:dyDescent="0.25">
      <c r="B31" s="90"/>
      <c r="C31" s="90"/>
      <c r="D31" s="90"/>
      <c r="E31" s="74"/>
      <c r="F31" s="90"/>
      <c r="G31" s="90"/>
      <c r="H31" s="74"/>
      <c r="K31" s="75"/>
      <c r="L31" s="76"/>
      <c r="M31" s="77"/>
      <c r="N31" s="74"/>
    </row>
    <row r="32" spans="2:14" s="71" customFormat="1" x14ac:dyDescent="0.25">
      <c r="B32" s="90"/>
      <c r="C32" s="90"/>
      <c r="D32" s="90"/>
      <c r="E32" s="74"/>
      <c r="F32" s="90"/>
      <c r="G32" s="90"/>
      <c r="H32" s="74"/>
      <c r="K32" s="75"/>
      <c r="L32" s="76"/>
      <c r="M32" s="77"/>
      <c r="N32" s="74"/>
    </row>
    <row r="33" spans="2:14" s="71" customFormat="1" x14ac:dyDescent="0.25">
      <c r="B33" s="90"/>
      <c r="C33" s="90"/>
      <c r="D33" s="90"/>
      <c r="E33" s="74"/>
      <c r="F33" s="90"/>
      <c r="G33" s="90"/>
      <c r="H33" s="74"/>
      <c r="K33" s="75"/>
      <c r="L33" s="76"/>
      <c r="M33" s="77"/>
      <c r="N33" s="74"/>
    </row>
    <row r="34" spans="2:14" s="71" customFormat="1" x14ac:dyDescent="0.25">
      <c r="B34" s="90"/>
      <c r="C34" s="90"/>
      <c r="D34" s="90"/>
      <c r="E34" s="74"/>
      <c r="F34" s="90"/>
      <c r="G34" s="90"/>
      <c r="H34" s="74"/>
      <c r="K34" s="75"/>
      <c r="L34" s="76"/>
      <c r="M34" s="77"/>
      <c r="N34" s="74"/>
    </row>
    <row r="35" spans="2:14" s="71" customFormat="1" x14ac:dyDescent="0.25">
      <c r="B35" s="90"/>
      <c r="C35" s="90"/>
      <c r="D35" s="90"/>
      <c r="E35" s="74"/>
      <c r="F35" s="90"/>
      <c r="G35" s="90"/>
      <c r="H35" s="74"/>
      <c r="K35" s="75"/>
      <c r="L35" s="76"/>
      <c r="M35" s="77"/>
      <c r="N35" s="74"/>
    </row>
    <row r="36" spans="2:14" s="71" customFormat="1" x14ac:dyDescent="0.25">
      <c r="B36" s="90"/>
      <c r="C36" s="90"/>
      <c r="D36" s="90"/>
      <c r="E36" s="74"/>
      <c r="F36" s="90"/>
      <c r="G36" s="90"/>
      <c r="H36" s="74"/>
      <c r="K36" s="75"/>
      <c r="L36" s="76"/>
      <c r="M36" s="77"/>
      <c r="N36" s="74"/>
    </row>
    <row r="37" spans="2:14" s="71" customFormat="1" x14ac:dyDescent="0.25">
      <c r="B37" s="90"/>
      <c r="C37" s="90"/>
      <c r="D37" s="90"/>
      <c r="E37" s="74"/>
      <c r="F37" s="90"/>
      <c r="G37" s="90"/>
      <c r="H37" s="74"/>
      <c r="K37" s="75"/>
      <c r="L37" s="76"/>
      <c r="M37" s="77"/>
      <c r="N37" s="74"/>
    </row>
    <row r="38" spans="2:14" s="71" customFormat="1" x14ac:dyDescent="0.25">
      <c r="B38" s="89"/>
      <c r="C38" s="89"/>
      <c r="D38" s="89"/>
      <c r="E38" s="18"/>
      <c r="F38" s="89"/>
      <c r="G38" s="89"/>
      <c r="H38" s="18"/>
      <c r="I38"/>
      <c r="J38"/>
      <c r="K38" s="61"/>
      <c r="L38" s="58"/>
      <c r="M38" s="62"/>
      <c r="N38" s="18"/>
    </row>
  </sheetData>
  <dataValidations count="2">
    <dataValidation type="list" allowBlank="1" showInputMessage="1" showErrorMessage="1" sqref="N3:N6" xr:uid="{474A0B40-19B5-49FF-AEB9-078E7DCA6071}">
      <formula1>"Oui,Non"</formula1>
    </dataValidation>
    <dataValidation type="whole" allowBlank="1" showInputMessage="1" showErrorMessage="1" sqref="L3:L6" xr:uid="{CEF185DC-8EC2-45BB-9238-8B1BF4C34C0E}">
      <formula1>3</formula1>
      <formula2>13</formula2>
    </dataValidation>
  </dataValidations>
  <hyperlinks>
    <hyperlink ref="H3" r:id="rId1" xr:uid="{361952FF-6100-41C2-BDA7-677DE3522221}"/>
    <hyperlink ref="I3" r:id="rId2" tooltip="Albus Dumbledore" display="https://harrypotter.fandom.com/fr/wiki/Albus_Dumbledore" xr:uid="{8537030E-7928-4735-BEB8-C0E5C5B0FF76}"/>
    <hyperlink ref="H4" r:id="rId3" xr:uid="{D92265F8-C649-43BC-A8A1-F555C30B1DE3}"/>
    <hyperlink ref="H5" r:id="rId4" xr:uid="{1683E903-C3ED-41F3-8462-A6353FEA695D}"/>
    <hyperlink ref="H6" r:id="rId5" xr:uid="{26D9793B-503D-427D-A70C-30261EA59F08}"/>
    <hyperlink ref="F3" r:id="rId6" tooltip="Little Whinging" display="https://harrypotter.fandom.com/fr/wiki/Little_Whinging" xr:uid="{CB932991-2C65-46E2-9E58-48F32F72004F}"/>
  </hyperlinks>
  <pageMargins left="0.7" right="0.7" top="0.75" bottom="0.75" header="0.3" footer="0.3"/>
  <pageSetup paperSize="9" orientation="portrait" r:id="rId7"/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CC832-E1CF-473A-93B8-CFA4FEE78DD0}">
  <sheetPr codeName="Feuil2"/>
  <dimension ref="B1:BA50"/>
  <sheetViews>
    <sheetView showGridLines="0" showZeros="0" workbookViewId="0">
      <pane xSplit="2" ySplit="2" topLeftCell="E3" activePane="bottomRight" state="frozen"/>
      <selection pane="topRight" activeCell="C1" sqref="C1"/>
      <selection pane="bottomLeft" activeCell="A3" sqref="A3"/>
      <selection pane="bottomRight" activeCell="B7" sqref="B7"/>
    </sheetView>
  </sheetViews>
  <sheetFormatPr baseColWidth="10" defaultRowHeight="15" x14ac:dyDescent="0.25"/>
  <cols>
    <col min="1" max="1" width="2.7109375" style="69" customWidth="1"/>
    <col min="2" max="3" width="20.7109375" style="86" customWidth="1"/>
    <col min="4" max="4" width="25.7109375" style="86" customWidth="1"/>
    <col min="5" max="23" width="3.7109375" style="69" customWidth="1"/>
    <col min="24" max="24" width="5.5703125" style="146" customWidth="1"/>
    <col min="25" max="25" width="1.7109375" style="146" customWidth="1"/>
    <col min="26" max="44" width="4.7109375" style="69" customWidth="1"/>
    <col min="45" max="47" width="4.7109375" style="146" customWidth="1"/>
    <col min="48" max="48" width="1.7109375" style="146" customWidth="1"/>
    <col min="49" max="51" width="4.7109375" style="69" customWidth="1"/>
    <col min="52" max="52" width="1.7109375" style="146" customWidth="1"/>
    <col min="53" max="53" width="40.7109375" style="86" customWidth="1"/>
    <col min="54" max="16384" width="11.42578125" style="69"/>
  </cols>
  <sheetData>
    <row r="1" spans="2:53" x14ac:dyDescent="0.25">
      <c r="B1" s="69"/>
      <c r="C1" s="69"/>
      <c r="D1" s="69"/>
      <c r="X1" s="69"/>
      <c r="Y1" s="69"/>
      <c r="AS1" s="69"/>
      <c r="AT1" s="69"/>
      <c r="AU1" s="69"/>
      <c r="AV1" s="69"/>
      <c r="AZ1" s="69"/>
      <c r="BA1" s="69"/>
    </row>
    <row r="2" spans="2:53" ht="73.5" x14ac:dyDescent="0.25">
      <c r="B2" s="131" t="s">
        <v>9</v>
      </c>
      <c r="C2" s="132" t="s">
        <v>10</v>
      </c>
      <c r="D2" s="132" t="s">
        <v>89</v>
      </c>
      <c r="E2" s="175" t="s">
        <v>37</v>
      </c>
      <c r="F2" s="176">
        <f>E2+1</f>
        <v>43655</v>
      </c>
      <c r="G2" s="176">
        <f t="shared" ref="G2" si="0">F2+1</f>
        <v>43656</v>
      </c>
      <c r="H2" s="176">
        <f t="shared" ref="H2:W2" si="1">G2+1</f>
        <v>43657</v>
      </c>
      <c r="I2" s="176">
        <f t="shared" si="1"/>
        <v>43658</v>
      </c>
      <c r="J2" s="176">
        <f t="shared" si="1"/>
        <v>43659</v>
      </c>
      <c r="K2" s="176">
        <f t="shared" si="1"/>
        <v>43660</v>
      </c>
      <c r="L2" s="176">
        <f t="shared" si="1"/>
        <v>43661</v>
      </c>
      <c r="M2" s="176">
        <f t="shared" si="1"/>
        <v>43662</v>
      </c>
      <c r="N2" s="176">
        <f t="shared" si="1"/>
        <v>43663</v>
      </c>
      <c r="O2" s="176">
        <f t="shared" si="1"/>
        <v>43664</v>
      </c>
      <c r="P2" s="176">
        <f t="shared" si="1"/>
        <v>43665</v>
      </c>
      <c r="Q2" s="176">
        <f t="shared" si="1"/>
        <v>43666</v>
      </c>
      <c r="R2" s="176">
        <f t="shared" si="1"/>
        <v>43667</v>
      </c>
      <c r="S2" s="176">
        <f t="shared" si="1"/>
        <v>43668</v>
      </c>
      <c r="T2" s="176">
        <f t="shared" si="1"/>
        <v>43669</v>
      </c>
      <c r="U2" s="176">
        <f t="shared" si="1"/>
        <v>43670</v>
      </c>
      <c r="V2" s="176">
        <f t="shared" si="1"/>
        <v>43671</v>
      </c>
      <c r="W2" s="176">
        <f t="shared" si="1"/>
        <v>43672</v>
      </c>
      <c r="X2" s="174" t="s">
        <v>38</v>
      </c>
      <c r="Y2" s="179"/>
      <c r="Z2" s="175" t="s">
        <v>37</v>
      </c>
      <c r="AA2" s="176">
        <f>Z2+1</f>
        <v>43655</v>
      </c>
      <c r="AB2" s="176">
        <f t="shared" ref="AB2" si="2">AA2+1</f>
        <v>43656</v>
      </c>
      <c r="AC2" s="176">
        <f t="shared" ref="AC2:AR2" si="3">AB2+1</f>
        <v>43657</v>
      </c>
      <c r="AD2" s="176">
        <f t="shared" si="3"/>
        <v>43658</v>
      </c>
      <c r="AE2" s="176">
        <f t="shared" si="3"/>
        <v>43659</v>
      </c>
      <c r="AF2" s="176">
        <f t="shared" si="3"/>
        <v>43660</v>
      </c>
      <c r="AG2" s="176">
        <f t="shared" si="3"/>
        <v>43661</v>
      </c>
      <c r="AH2" s="176">
        <f t="shared" si="3"/>
        <v>43662</v>
      </c>
      <c r="AI2" s="176">
        <f t="shared" si="3"/>
        <v>43663</v>
      </c>
      <c r="AJ2" s="176">
        <f t="shared" si="3"/>
        <v>43664</v>
      </c>
      <c r="AK2" s="176">
        <f t="shared" si="3"/>
        <v>43665</v>
      </c>
      <c r="AL2" s="176">
        <f t="shared" si="3"/>
        <v>43666</v>
      </c>
      <c r="AM2" s="176">
        <f t="shared" si="3"/>
        <v>43667</v>
      </c>
      <c r="AN2" s="176">
        <f t="shared" si="3"/>
        <v>43668</v>
      </c>
      <c r="AO2" s="176">
        <f t="shared" si="3"/>
        <v>43669</v>
      </c>
      <c r="AP2" s="176">
        <f t="shared" si="3"/>
        <v>43670</v>
      </c>
      <c r="AQ2" s="176">
        <f t="shared" si="3"/>
        <v>43671</v>
      </c>
      <c r="AR2" s="176">
        <f t="shared" si="3"/>
        <v>43672</v>
      </c>
      <c r="AS2" s="177" t="s">
        <v>88</v>
      </c>
      <c r="AT2" s="177" t="s">
        <v>86</v>
      </c>
      <c r="AU2" s="174" t="s">
        <v>87</v>
      </c>
      <c r="AV2" s="179"/>
      <c r="AW2" s="175" t="s">
        <v>61</v>
      </c>
      <c r="AX2" s="176" t="s">
        <v>62</v>
      </c>
      <c r="AY2" s="178" t="s">
        <v>63</v>
      </c>
      <c r="AZ2" s="179"/>
      <c r="BA2" s="165" t="s">
        <v>64</v>
      </c>
    </row>
    <row r="3" spans="2:53" x14ac:dyDescent="0.25">
      <c r="B3" s="133" t="s">
        <v>39</v>
      </c>
      <c r="C3" s="134" t="str">
        <f>IFERROR(INDEX(T_BdD[Prénom],MATCH($B3,T_BdD[Nom],0)),"")</f>
        <v>Harrry</v>
      </c>
      <c r="D3" s="134" t="s">
        <v>6</v>
      </c>
      <c r="E3" s="155">
        <v>1</v>
      </c>
      <c r="F3" s="135"/>
      <c r="G3" s="135"/>
      <c r="H3" s="135"/>
      <c r="I3" s="135"/>
      <c r="J3" s="135"/>
      <c r="K3" s="135"/>
      <c r="L3" s="135">
        <v>1</v>
      </c>
      <c r="M3" s="135"/>
      <c r="N3" s="135"/>
      <c r="O3" s="135"/>
      <c r="P3" s="135"/>
      <c r="Q3" s="135"/>
      <c r="R3" s="135"/>
      <c r="S3" s="135">
        <v>1</v>
      </c>
      <c r="T3" s="135"/>
      <c r="U3" s="135"/>
      <c r="V3" s="135"/>
      <c r="W3" s="135"/>
      <c r="X3" s="156">
        <f>SUM(Planning!$E3:$W3)</f>
        <v>3</v>
      </c>
      <c r="Y3" s="180"/>
      <c r="Z3" s="157" t="s">
        <v>83</v>
      </c>
      <c r="AA3" s="138"/>
      <c r="AB3" s="138" t="s">
        <v>82</v>
      </c>
      <c r="AC3" s="138"/>
      <c r="AD3" s="138" t="s">
        <v>83</v>
      </c>
      <c r="AE3" s="138"/>
      <c r="AF3" s="138"/>
      <c r="AG3" s="138"/>
      <c r="AH3" s="138" t="s">
        <v>84</v>
      </c>
      <c r="AI3" s="138"/>
      <c r="AJ3" s="138"/>
      <c r="AK3" s="138" t="s">
        <v>84</v>
      </c>
      <c r="AL3" s="138"/>
      <c r="AM3" s="138"/>
      <c r="AN3" s="138"/>
      <c r="AO3" s="138" t="s">
        <v>84</v>
      </c>
      <c r="AP3" s="138"/>
      <c r="AQ3" s="138"/>
      <c r="AR3" s="138"/>
      <c r="AS3" s="147">
        <f>COUNTIF($Z3:$AR3,"M")</f>
        <v>1</v>
      </c>
      <c r="AT3" s="147">
        <f>COUNTIF($Z3:$AR3,"S")</f>
        <v>2</v>
      </c>
      <c r="AU3" s="156">
        <f>COUNTIF($Z3:$AR3,"M+S")</f>
        <v>3</v>
      </c>
      <c r="AV3" s="180"/>
      <c r="AW3" s="155"/>
      <c r="AX3" s="135"/>
      <c r="AY3" s="170"/>
      <c r="AZ3" s="180"/>
      <c r="BA3" s="166"/>
    </row>
    <row r="4" spans="2:53" x14ac:dyDescent="0.25">
      <c r="B4" s="136" t="s">
        <v>44</v>
      </c>
      <c r="C4" s="137" t="str">
        <f>IFERROR(INDEX(T_BdD[Prénom],MATCH($B4,T_BdD[Nom],0)),"")</f>
        <v>Peter</v>
      </c>
      <c r="D4" s="137"/>
      <c r="E4" s="157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58">
        <f>SUM(Planning!$E4:$W4)</f>
        <v>0</v>
      </c>
      <c r="Y4" s="180"/>
      <c r="Z4" s="159"/>
      <c r="AA4" s="141"/>
      <c r="AB4" s="141"/>
      <c r="AC4" s="141"/>
      <c r="AD4" s="141"/>
      <c r="AE4" s="141"/>
      <c r="AF4" s="141"/>
      <c r="AG4" s="141"/>
      <c r="AH4" s="141"/>
      <c r="AI4" s="141"/>
      <c r="AJ4" s="141"/>
      <c r="AK4" s="141"/>
      <c r="AL4" s="141"/>
      <c r="AM4" s="141"/>
      <c r="AN4" s="141"/>
      <c r="AO4" s="141"/>
      <c r="AP4" s="141"/>
      <c r="AQ4" s="141"/>
      <c r="AR4" s="141"/>
      <c r="AS4" s="147">
        <f t="shared" ref="AS4:AS50" si="4">COUNTIF($Z4:$AR4,"M")</f>
        <v>0</v>
      </c>
      <c r="AT4" s="147">
        <f t="shared" ref="AT4:AT50" si="5">COUNTIF($Z4:$AR4,"S")</f>
        <v>0</v>
      </c>
      <c r="AU4" s="156">
        <f t="shared" ref="AU4:AU50" si="6">COUNTIF($Z4:$AR4,"M+S")</f>
        <v>0</v>
      </c>
      <c r="AV4" s="180"/>
      <c r="AW4" s="157"/>
      <c r="AX4" s="138"/>
      <c r="AY4" s="171"/>
      <c r="AZ4" s="180"/>
      <c r="BA4" s="167" t="s">
        <v>14</v>
      </c>
    </row>
    <row r="5" spans="2:53" x14ac:dyDescent="0.25">
      <c r="B5" s="139" t="s">
        <v>51</v>
      </c>
      <c r="C5" s="140" t="str">
        <f>IFERROR(INDEX(T_BdD[Prénom],MATCH($B5,T_BdD[Nom],0)),"")</f>
        <v>Kévin</v>
      </c>
      <c r="D5" s="140"/>
      <c r="E5" s="159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1"/>
      <c r="T5" s="141"/>
      <c r="U5" s="141"/>
      <c r="V5" s="141"/>
      <c r="W5" s="141"/>
      <c r="X5" s="158">
        <f>SUM(Planning!$E5:$W5)</f>
        <v>0</v>
      </c>
      <c r="Y5" s="180"/>
      <c r="Z5" s="157"/>
      <c r="AA5" s="138"/>
      <c r="AB5" s="138"/>
      <c r="AC5" s="138"/>
      <c r="AD5" s="138"/>
      <c r="AE5" s="138"/>
      <c r="AF5" s="138"/>
      <c r="AG5" s="138"/>
      <c r="AH5" s="138"/>
      <c r="AI5" s="138"/>
      <c r="AJ5" s="138"/>
      <c r="AK5" s="138"/>
      <c r="AL5" s="138"/>
      <c r="AM5" s="138"/>
      <c r="AN5" s="138"/>
      <c r="AO5" s="138"/>
      <c r="AP5" s="138"/>
      <c r="AQ5" s="138"/>
      <c r="AR5" s="138"/>
      <c r="AS5" s="147">
        <f t="shared" si="4"/>
        <v>0</v>
      </c>
      <c r="AT5" s="147">
        <f t="shared" si="5"/>
        <v>0</v>
      </c>
      <c r="AU5" s="156">
        <f t="shared" si="6"/>
        <v>0</v>
      </c>
      <c r="AV5" s="180"/>
      <c r="AW5" s="159"/>
      <c r="AX5" s="141"/>
      <c r="AY5" s="172"/>
      <c r="AZ5" s="180"/>
      <c r="BA5" s="168" t="s">
        <v>19</v>
      </c>
    </row>
    <row r="6" spans="2:53" x14ac:dyDescent="0.25">
      <c r="B6" s="136" t="s">
        <v>55</v>
      </c>
      <c r="C6" s="137" t="str">
        <f>IFERROR(INDEX(T_BdD[Prénom],MATCH($B6,T_BdD[Nom],0)),"")</f>
        <v>Charlie</v>
      </c>
      <c r="D6" s="137" t="s">
        <v>7</v>
      </c>
      <c r="E6" s="157"/>
      <c r="F6" s="138"/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38"/>
      <c r="R6" s="138"/>
      <c r="S6" s="138"/>
      <c r="T6" s="138"/>
      <c r="U6" s="138"/>
      <c r="V6" s="138"/>
      <c r="W6" s="138"/>
      <c r="X6" s="158">
        <f>SUM(Planning!$E6:$W6)</f>
        <v>0</v>
      </c>
      <c r="Y6" s="180"/>
      <c r="Z6" s="159" t="s">
        <v>82</v>
      </c>
      <c r="AA6" s="141" t="s">
        <v>82</v>
      </c>
      <c r="AB6" s="141" t="s">
        <v>82</v>
      </c>
      <c r="AC6" s="141" t="s">
        <v>82</v>
      </c>
      <c r="AD6" s="141" t="s">
        <v>82</v>
      </c>
      <c r="AE6" s="141"/>
      <c r="AF6" s="141"/>
      <c r="AG6" s="141"/>
      <c r="AH6" s="141"/>
      <c r="AI6" s="141"/>
      <c r="AJ6" s="141"/>
      <c r="AK6" s="141"/>
      <c r="AL6" s="141"/>
      <c r="AM6" s="141"/>
      <c r="AN6" s="141" t="s">
        <v>84</v>
      </c>
      <c r="AO6" s="141" t="s">
        <v>84</v>
      </c>
      <c r="AP6" s="141" t="s">
        <v>84</v>
      </c>
      <c r="AQ6" s="141" t="s">
        <v>84</v>
      </c>
      <c r="AR6" s="141" t="s">
        <v>84</v>
      </c>
      <c r="AS6" s="147">
        <f t="shared" si="4"/>
        <v>5</v>
      </c>
      <c r="AT6" s="147">
        <f t="shared" si="5"/>
        <v>0</v>
      </c>
      <c r="AU6" s="156">
        <f t="shared" si="6"/>
        <v>5</v>
      </c>
      <c r="AV6" s="180"/>
      <c r="AW6" s="157">
        <v>1</v>
      </c>
      <c r="AX6" s="138"/>
      <c r="AY6" s="171">
        <v>1</v>
      </c>
      <c r="AZ6" s="180"/>
      <c r="BA6" s="167"/>
    </row>
    <row r="7" spans="2:53" x14ac:dyDescent="0.25">
      <c r="B7" s="139"/>
      <c r="C7" s="140" t="str">
        <f>IFERROR(INDEX(T_BdD[Prénom],MATCH($B7,T_BdD[Nom],0)),"")</f>
        <v/>
      </c>
      <c r="D7" s="140"/>
      <c r="E7" s="159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1"/>
      <c r="R7" s="141"/>
      <c r="S7" s="141"/>
      <c r="T7" s="141"/>
      <c r="U7" s="141"/>
      <c r="V7" s="141"/>
      <c r="W7" s="141"/>
      <c r="X7" s="158">
        <f>SUM(Planning!$E7:$W7)</f>
        <v>0</v>
      </c>
      <c r="Y7" s="180"/>
      <c r="Z7" s="157"/>
      <c r="AA7" s="138"/>
      <c r="AB7" s="138"/>
      <c r="AC7" s="138"/>
      <c r="AD7" s="138"/>
      <c r="AE7" s="138"/>
      <c r="AF7" s="138"/>
      <c r="AG7" s="138"/>
      <c r="AH7" s="138"/>
      <c r="AI7" s="138"/>
      <c r="AJ7" s="138"/>
      <c r="AK7" s="138"/>
      <c r="AL7" s="138"/>
      <c r="AM7" s="138"/>
      <c r="AN7" s="138"/>
      <c r="AO7" s="138"/>
      <c r="AP7" s="138"/>
      <c r="AQ7" s="138"/>
      <c r="AR7" s="138"/>
      <c r="AS7" s="147">
        <f t="shared" si="4"/>
        <v>0</v>
      </c>
      <c r="AT7" s="147">
        <f t="shared" si="5"/>
        <v>0</v>
      </c>
      <c r="AU7" s="156">
        <f t="shared" si="6"/>
        <v>0</v>
      </c>
      <c r="AV7" s="180"/>
      <c r="AW7" s="159"/>
      <c r="AX7" s="141"/>
      <c r="AY7" s="172"/>
      <c r="AZ7" s="180"/>
      <c r="BA7" s="168"/>
    </row>
    <row r="8" spans="2:53" x14ac:dyDescent="0.25">
      <c r="B8" s="136"/>
      <c r="C8" s="137" t="str">
        <f>IFERROR(INDEX(T_BdD[Prénom],MATCH($B8,T_BdD[Nom],0)),"")</f>
        <v/>
      </c>
      <c r="D8" s="137"/>
      <c r="E8" s="157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58">
        <f>SUM(Planning!$E8:$W8)</f>
        <v>0</v>
      </c>
      <c r="Y8" s="180"/>
      <c r="Z8" s="159"/>
      <c r="AA8" s="141"/>
      <c r="AB8" s="141"/>
      <c r="AC8" s="141"/>
      <c r="AD8" s="141"/>
      <c r="AE8" s="141"/>
      <c r="AF8" s="141"/>
      <c r="AG8" s="141"/>
      <c r="AH8" s="141"/>
      <c r="AI8" s="141"/>
      <c r="AJ8" s="141"/>
      <c r="AK8" s="141"/>
      <c r="AL8" s="141"/>
      <c r="AM8" s="141"/>
      <c r="AN8" s="141"/>
      <c r="AO8" s="141"/>
      <c r="AP8" s="141"/>
      <c r="AQ8" s="141"/>
      <c r="AR8" s="141"/>
      <c r="AS8" s="147">
        <f t="shared" si="4"/>
        <v>0</v>
      </c>
      <c r="AT8" s="147">
        <f t="shared" si="5"/>
        <v>0</v>
      </c>
      <c r="AU8" s="156">
        <f t="shared" si="6"/>
        <v>0</v>
      </c>
      <c r="AV8" s="180"/>
      <c r="AW8" s="157"/>
      <c r="AX8" s="138"/>
      <c r="AY8" s="171"/>
      <c r="AZ8" s="180"/>
      <c r="BA8" s="167"/>
    </row>
    <row r="9" spans="2:53" x14ac:dyDescent="0.25">
      <c r="B9" s="139"/>
      <c r="C9" s="140" t="str">
        <f>IFERROR(INDEX(T_BdD[Prénom],MATCH($B9,T_BdD[Nom],0)),"")</f>
        <v/>
      </c>
      <c r="D9" s="140"/>
      <c r="E9" s="159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58">
        <f>SUM(Planning!$E9:$W9)</f>
        <v>0</v>
      </c>
      <c r="Y9" s="180"/>
      <c r="Z9" s="157"/>
      <c r="AA9" s="138"/>
      <c r="AB9" s="138"/>
      <c r="AC9" s="138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38"/>
      <c r="AQ9" s="138"/>
      <c r="AR9" s="138"/>
      <c r="AS9" s="147">
        <f t="shared" si="4"/>
        <v>0</v>
      </c>
      <c r="AT9" s="147">
        <f t="shared" si="5"/>
        <v>0</v>
      </c>
      <c r="AU9" s="156">
        <f t="shared" si="6"/>
        <v>0</v>
      </c>
      <c r="AV9" s="180"/>
      <c r="AW9" s="159"/>
      <c r="AX9" s="141"/>
      <c r="AY9" s="172"/>
      <c r="AZ9" s="180"/>
      <c r="BA9" s="168"/>
    </row>
    <row r="10" spans="2:53" x14ac:dyDescent="0.25">
      <c r="B10" s="136"/>
      <c r="C10" s="137" t="str">
        <f>IFERROR(INDEX(T_BdD[Prénom],MATCH($B10,T_BdD[Nom],0)),"")</f>
        <v/>
      </c>
      <c r="D10" s="137"/>
      <c r="E10" s="157"/>
      <c r="F10" s="138"/>
      <c r="G10" s="138"/>
      <c r="H10" s="138"/>
      <c r="I10" s="138"/>
      <c r="J10" s="138"/>
      <c r="K10" s="138"/>
      <c r="L10" s="138"/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138"/>
      <c r="X10" s="158">
        <f>SUM(Planning!$E10:$W10)</f>
        <v>0</v>
      </c>
      <c r="Y10" s="180"/>
      <c r="Z10" s="159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1"/>
      <c r="AQ10" s="141"/>
      <c r="AR10" s="141"/>
      <c r="AS10" s="147">
        <f t="shared" si="4"/>
        <v>0</v>
      </c>
      <c r="AT10" s="147">
        <f t="shared" si="5"/>
        <v>0</v>
      </c>
      <c r="AU10" s="156">
        <f t="shared" si="6"/>
        <v>0</v>
      </c>
      <c r="AV10" s="180"/>
      <c r="AW10" s="157"/>
      <c r="AX10" s="138"/>
      <c r="AY10" s="171"/>
      <c r="AZ10" s="180"/>
      <c r="BA10" s="167"/>
    </row>
    <row r="11" spans="2:53" x14ac:dyDescent="0.25">
      <c r="B11" s="139"/>
      <c r="C11" s="140" t="str">
        <f>IFERROR(INDEX(T_BdD[Prénom],MATCH($B11,T_BdD[Nom],0)),"")</f>
        <v/>
      </c>
      <c r="D11" s="140"/>
      <c r="E11" s="159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58">
        <f>SUM(Planning!$E11:$W11)</f>
        <v>0</v>
      </c>
      <c r="Y11" s="180"/>
      <c r="Z11" s="157"/>
      <c r="AA11" s="138"/>
      <c r="AB11" s="138"/>
      <c r="AC11" s="138"/>
      <c r="AD11" s="138"/>
      <c r="AE11" s="138"/>
      <c r="AF11" s="138"/>
      <c r="AG11" s="138"/>
      <c r="AH11" s="138"/>
      <c r="AI11" s="138"/>
      <c r="AJ11" s="138"/>
      <c r="AK11" s="138"/>
      <c r="AL11" s="138"/>
      <c r="AM11" s="138"/>
      <c r="AN11" s="138"/>
      <c r="AO11" s="138"/>
      <c r="AP11" s="138"/>
      <c r="AQ11" s="138"/>
      <c r="AR11" s="138"/>
      <c r="AS11" s="147">
        <f t="shared" si="4"/>
        <v>0</v>
      </c>
      <c r="AT11" s="147">
        <f t="shared" si="5"/>
        <v>0</v>
      </c>
      <c r="AU11" s="156">
        <f t="shared" si="6"/>
        <v>0</v>
      </c>
      <c r="AV11" s="180"/>
      <c r="AW11" s="159"/>
      <c r="AX11" s="141"/>
      <c r="AY11" s="172"/>
      <c r="AZ11" s="180"/>
      <c r="BA11" s="168"/>
    </row>
    <row r="12" spans="2:53" x14ac:dyDescent="0.25">
      <c r="B12" s="136"/>
      <c r="C12" s="137" t="str">
        <f>IFERROR(INDEX(T_BdD[Prénom],MATCH($B12,T_BdD[Nom],0)),"")</f>
        <v/>
      </c>
      <c r="D12" s="137"/>
      <c r="E12" s="157"/>
      <c r="F12" s="138"/>
      <c r="G12" s="138"/>
      <c r="H12" s="138"/>
      <c r="I12" s="138"/>
      <c r="J12" s="138"/>
      <c r="K12" s="138"/>
      <c r="L12" s="138"/>
      <c r="M12" s="138"/>
      <c r="N12" s="138"/>
      <c r="O12" s="138"/>
      <c r="P12" s="138"/>
      <c r="Q12" s="138"/>
      <c r="R12" s="138"/>
      <c r="S12" s="138"/>
      <c r="T12" s="138"/>
      <c r="U12" s="138"/>
      <c r="V12" s="138"/>
      <c r="W12" s="138"/>
      <c r="X12" s="158">
        <f>SUM(Planning!$E12:$W12)</f>
        <v>0</v>
      </c>
      <c r="Y12" s="180"/>
      <c r="Z12" s="159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1"/>
      <c r="AQ12" s="141"/>
      <c r="AR12" s="141"/>
      <c r="AS12" s="147">
        <f t="shared" si="4"/>
        <v>0</v>
      </c>
      <c r="AT12" s="147">
        <f t="shared" si="5"/>
        <v>0</v>
      </c>
      <c r="AU12" s="156">
        <f t="shared" si="6"/>
        <v>0</v>
      </c>
      <c r="AV12" s="180"/>
      <c r="AW12" s="157"/>
      <c r="AX12" s="138"/>
      <c r="AY12" s="171"/>
      <c r="AZ12" s="180"/>
      <c r="BA12" s="167"/>
    </row>
    <row r="13" spans="2:53" x14ac:dyDescent="0.25">
      <c r="B13" s="139"/>
      <c r="C13" s="140" t="str">
        <f>IFERROR(INDEX(T_BdD[Prénom],MATCH($B13,T_BdD[Nom],0)),"")</f>
        <v/>
      </c>
      <c r="D13" s="140"/>
      <c r="E13" s="159"/>
      <c r="F13" s="141"/>
      <c r="G13" s="141"/>
      <c r="H13" s="141"/>
      <c r="I13" s="141"/>
      <c r="J13" s="141"/>
      <c r="K13" s="141"/>
      <c r="L13" s="141"/>
      <c r="M13" s="141"/>
      <c r="N13" s="141"/>
      <c r="O13" s="141"/>
      <c r="P13" s="141"/>
      <c r="Q13" s="141"/>
      <c r="R13" s="141"/>
      <c r="S13" s="141"/>
      <c r="T13" s="141"/>
      <c r="U13" s="141"/>
      <c r="V13" s="141"/>
      <c r="W13" s="141"/>
      <c r="X13" s="158">
        <f>SUM(Planning!$E13:$W13)</f>
        <v>0</v>
      </c>
      <c r="Y13" s="180"/>
      <c r="Z13" s="157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47">
        <f t="shared" si="4"/>
        <v>0</v>
      </c>
      <c r="AT13" s="147">
        <f t="shared" si="5"/>
        <v>0</v>
      </c>
      <c r="AU13" s="156">
        <f t="shared" si="6"/>
        <v>0</v>
      </c>
      <c r="AV13" s="180"/>
      <c r="AW13" s="159"/>
      <c r="AX13" s="141"/>
      <c r="AY13" s="172"/>
      <c r="AZ13" s="180"/>
      <c r="BA13" s="168"/>
    </row>
    <row r="14" spans="2:53" x14ac:dyDescent="0.25">
      <c r="B14" s="136"/>
      <c r="C14" s="137" t="str">
        <f>IFERROR(INDEX(T_BdD[Prénom],MATCH($B14,T_BdD[Nom],0)),"")</f>
        <v/>
      </c>
      <c r="D14" s="137"/>
      <c r="E14" s="157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  <c r="R14" s="138"/>
      <c r="S14" s="138"/>
      <c r="T14" s="138"/>
      <c r="U14" s="138"/>
      <c r="V14" s="138"/>
      <c r="W14" s="138"/>
      <c r="X14" s="158">
        <f>SUM(Planning!$E14:$W14)</f>
        <v>0</v>
      </c>
      <c r="Y14" s="180"/>
      <c r="Z14" s="159"/>
      <c r="AA14" s="141"/>
      <c r="AB14" s="141"/>
      <c r="AC14" s="141"/>
      <c r="AD14" s="141"/>
      <c r="AE14" s="141"/>
      <c r="AF14" s="141"/>
      <c r="AG14" s="141"/>
      <c r="AH14" s="141"/>
      <c r="AI14" s="141"/>
      <c r="AJ14" s="141"/>
      <c r="AK14" s="141"/>
      <c r="AL14" s="141"/>
      <c r="AM14" s="141"/>
      <c r="AN14" s="141"/>
      <c r="AO14" s="141"/>
      <c r="AP14" s="141"/>
      <c r="AQ14" s="141"/>
      <c r="AR14" s="141"/>
      <c r="AS14" s="147">
        <f t="shared" si="4"/>
        <v>0</v>
      </c>
      <c r="AT14" s="147">
        <f t="shared" si="5"/>
        <v>0</v>
      </c>
      <c r="AU14" s="156">
        <f t="shared" si="6"/>
        <v>0</v>
      </c>
      <c r="AV14" s="180"/>
      <c r="AW14" s="157"/>
      <c r="AX14" s="138"/>
      <c r="AY14" s="171"/>
      <c r="AZ14" s="180"/>
      <c r="BA14" s="167"/>
    </row>
    <row r="15" spans="2:53" x14ac:dyDescent="0.25">
      <c r="B15" s="139"/>
      <c r="C15" s="140" t="str">
        <f>IFERROR(INDEX(T_BdD[Prénom],MATCH($B15,T_BdD[Nom],0)),"")</f>
        <v/>
      </c>
      <c r="D15" s="140"/>
      <c r="E15" s="159"/>
      <c r="F15" s="141"/>
      <c r="G15" s="141"/>
      <c r="H15" s="141"/>
      <c r="I15" s="141"/>
      <c r="J15" s="141"/>
      <c r="K15" s="141"/>
      <c r="L15" s="141"/>
      <c r="M15" s="141"/>
      <c r="N15" s="141"/>
      <c r="O15" s="141"/>
      <c r="P15" s="141"/>
      <c r="Q15" s="141"/>
      <c r="R15" s="141"/>
      <c r="S15" s="141"/>
      <c r="T15" s="141"/>
      <c r="U15" s="141"/>
      <c r="V15" s="141"/>
      <c r="W15" s="141"/>
      <c r="X15" s="158">
        <f>SUM(Planning!$E15:$W15)</f>
        <v>0</v>
      </c>
      <c r="Y15" s="180"/>
      <c r="Z15" s="157"/>
      <c r="AA15" s="138"/>
      <c r="AB15" s="138"/>
      <c r="AC15" s="138"/>
      <c r="AD15" s="138"/>
      <c r="AE15" s="138"/>
      <c r="AF15" s="138"/>
      <c r="AG15" s="138"/>
      <c r="AH15" s="138"/>
      <c r="AI15" s="138"/>
      <c r="AJ15" s="138"/>
      <c r="AK15" s="138"/>
      <c r="AL15" s="138"/>
      <c r="AM15" s="138"/>
      <c r="AN15" s="138"/>
      <c r="AO15" s="138"/>
      <c r="AP15" s="138"/>
      <c r="AQ15" s="138"/>
      <c r="AR15" s="138"/>
      <c r="AS15" s="147">
        <f t="shared" si="4"/>
        <v>0</v>
      </c>
      <c r="AT15" s="147">
        <f t="shared" si="5"/>
        <v>0</v>
      </c>
      <c r="AU15" s="156">
        <f t="shared" si="6"/>
        <v>0</v>
      </c>
      <c r="AV15" s="180"/>
      <c r="AW15" s="159"/>
      <c r="AX15" s="141"/>
      <c r="AY15" s="172"/>
      <c r="AZ15" s="180"/>
      <c r="BA15" s="168"/>
    </row>
    <row r="16" spans="2:53" x14ac:dyDescent="0.25">
      <c r="B16" s="136"/>
      <c r="C16" s="137" t="str">
        <f>IFERROR(INDEX(T_BdD[Prénom],MATCH($B16,T_BdD[Nom],0)),"")</f>
        <v/>
      </c>
      <c r="D16" s="137"/>
      <c r="E16" s="157"/>
      <c r="F16" s="138"/>
      <c r="G16" s="138"/>
      <c r="H16" s="138"/>
      <c r="I16" s="138"/>
      <c r="J16" s="138"/>
      <c r="K16" s="138"/>
      <c r="L16" s="138"/>
      <c r="M16" s="138"/>
      <c r="N16" s="138"/>
      <c r="O16" s="138"/>
      <c r="P16" s="138"/>
      <c r="Q16" s="138"/>
      <c r="R16" s="138"/>
      <c r="S16" s="138"/>
      <c r="T16" s="138"/>
      <c r="U16" s="138"/>
      <c r="V16" s="138"/>
      <c r="W16" s="138"/>
      <c r="X16" s="158">
        <f>SUM(Planning!$E16:$W16)</f>
        <v>0</v>
      </c>
      <c r="Y16" s="180"/>
      <c r="Z16" s="159"/>
      <c r="AA16" s="141"/>
      <c r="AB16" s="141"/>
      <c r="AC16" s="141"/>
      <c r="AD16" s="141"/>
      <c r="AE16" s="141"/>
      <c r="AF16" s="141"/>
      <c r="AG16" s="141"/>
      <c r="AH16" s="141"/>
      <c r="AI16" s="141"/>
      <c r="AJ16" s="141"/>
      <c r="AK16" s="141"/>
      <c r="AL16" s="141"/>
      <c r="AM16" s="141"/>
      <c r="AN16" s="141"/>
      <c r="AO16" s="141"/>
      <c r="AP16" s="141"/>
      <c r="AQ16" s="141"/>
      <c r="AR16" s="141"/>
      <c r="AS16" s="147">
        <f t="shared" si="4"/>
        <v>0</v>
      </c>
      <c r="AT16" s="147">
        <f t="shared" si="5"/>
        <v>0</v>
      </c>
      <c r="AU16" s="156">
        <f t="shared" si="6"/>
        <v>0</v>
      </c>
      <c r="AV16" s="180"/>
      <c r="AW16" s="157"/>
      <c r="AX16" s="138"/>
      <c r="AY16" s="171"/>
      <c r="AZ16" s="180"/>
      <c r="BA16" s="167"/>
    </row>
    <row r="17" spans="2:53" x14ac:dyDescent="0.25">
      <c r="B17" s="139"/>
      <c r="C17" s="140" t="str">
        <f>IFERROR(INDEX(T_BdD[Prénom],MATCH($B17,T_BdD[Nom],0)),"")</f>
        <v/>
      </c>
      <c r="D17" s="140"/>
      <c r="E17" s="159"/>
      <c r="F17" s="141"/>
      <c r="G17" s="141"/>
      <c r="H17" s="141"/>
      <c r="I17" s="141"/>
      <c r="J17" s="141"/>
      <c r="K17" s="141"/>
      <c r="L17" s="141"/>
      <c r="M17" s="141"/>
      <c r="N17" s="141"/>
      <c r="O17" s="141"/>
      <c r="P17" s="141"/>
      <c r="Q17" s="141"/>
      <c r="R17" s="141"/>
      <c r="S17" s="141"/>
      <c r="T17" s="141"/>
      <c r="U17" s="141"/>
      <c r="V17" s="141"/>
      <c r="W17" s="141"/>
      <c r="X17" s="158">
        <f>SUM(Planning!$E17:$W17)</f>
        <v>0</v>
      </c>
      <c r="Y17" s="180"/>
      <c r="Z17" s="157"/>
      <c r="AA17" s="138"/>
      <c r="AB17" s="138"/>
      <c r="AC17" s="138"/>
      <c r="AD17" s="138"/>
      <c r="AE17" s="138"/>
      <c r="AF17" s="138"/>
      <c r="AG17" s="138"/>
      <c r="AH17" s="138"/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47">
        <f t="shared" si="4"/>
        <v>0</v>
      </c>
      <c r="AT17" s="147">
        <f t="shared" si="5"/>
        <v>0</v>
      </c>
      <c r="AU17" s="156">
        <f t="shared" si="6"/>
        <v>0</v>
      </c>
      <c r="AV17" s="180"/>
      <c r="AW17" s="159"/>
      <c r="AX17" s="141"/>
      <c r="AY17" s="172"/>
      <c r="AZ17" s="180"/>
      <c r="BA17" s="168"/>
    </row>
    <row r="18" spans="2:53" x14ac:dyDescent="0.25">
      <c r="B18" s="136"/>
      <c r="C18" s="137" t="str">
        <f>IFERROR(INDEX(T_BdD[Prénom],MATCH($B18,T_BdD[Nom],0)),"")</f>
        <v/>
      </c>
      <c r="D18" s="137"/>
      <c r="E18" s="157"/>
      <c r="F18" s="138"/>
      <c r="G18" s="138"/>
      <c r="H18" s="138"/>
      <c r="I18" s="138"/>
      <c r="J18" s="138"/>
      <c r="K18" s="138"/>
      <c r="L18" s="138"/>
      <c r="M18" s="138"/>
      <c r="N18" s="138"/>
      <c r="O18" s="138"/>
      <c r="P18" s="138"/>
      <c r="Q18" s="138"/>
      <c r="R18" s="138"/>
      <c r="S18" s="138"/>
      <c r="T18" s="138"/>
      <c r="U18" s="138"/>
      <c r="V18" s="138"/>
      <c r="W18" s="138"/>
      <c r="X18" s="158">
        <f>SUM(Planning!$E18:$W18)</f>
        <v>0</v>
      </c>
      <c r="Y18" s="180"/>
      <c r="Z18" s="159"/>
      <c r="AA18" s="141"/>
      <c r="AB18" s="141"/>
      <c r="AC18" s="141"/>
      <c r="AD18" s="141"/>
      <c r="AE18" s="141"/>
      <c r="AF18" s="141"/>
      <c r="AG18" s="141"/>
      <c r="AH18" s="141"/>
      <c r="AI18" s="141"/>
      <c r="AJ18" s="141"/>
      <c r="AK18" s="141"/>
      <c r="AL18" s="141"/>
      <c r="AM18" s="141"/>
      <c r="AN18" s="141"/>
      <c r="AO18" s="141"/>
      <c r="AP18" s="141"/>
      <c r="AQ18" s="141"/>
      <c r="AR18" s="141"/>
      <c r="AS18" s="147">
        <f t="shared" si="4"/>
        <v>0</v>
      </c>
      <c r="AT18" s="147">
        <f t="shared" si="5"/>
        <v>0</v>
      </c>
      <c r="AU18" s="156">
        <f t="shared" si="6"/>
        <v>0</v>
      </c>
      <c r="AV18" s="180"/>
      <c r="AW18" s="157"/>
      <c r="AX18" s="138"/>
      <c r="AY18" s="171"/>
      <c r="AZ18" s="180"/>
      <c r="BA18" s="167"/>
    </row>
    <row r="19" spans="2:53" x14ac:dyDescent="0.25">
      <c r="B19" s="139"/>
      <c r="C19" s="140" t="str">
        <f>IFERROR(INDEX(T_BdD[Prénom],MATCH($B19,T_BdD[Nom],0)),"")</f>
        <v/>
      </c>
      <c r="D19" s="140"/>
      <c r="E19" s="159"/>
      <c r="F19" s="141"/>
      <c r="G19" s="141"/>
      <c r="H19" s="141"/>
      <c r="I19" s="141"/>
      <c r="J19" s="141"/>
      <c r="K19" s="141"/>
      <c r="L19" s="141"/>
      <c r="M19" s="141"/>
      <c r="N19" s="141"/>
      <c r="O19" s="141"/>
      <c r="P19" s="141"/>
      <c r="Q19" s="141"/>
      <c r="R19" s="141"/>
      <c r="S19" s="141"/>
      <c r="T19" s="141"/>
      <c r="U19" s="141"/>
      <c r="V19" s="141"/>
      <c r="W19" s="141"/>
      <c r="X19" s="158">
        <f>SUM(Planning!$E19:$W19)</f>
        <v>0</v>
      </c>
      <c r="Y19" s="180"/>
      <c r="Z19" s="157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38"/>
      <c r="AP19" s="138"/>
      <c r="AQ19" s="138"/>
      <c r="AR19" s="138"/>
      <c r="AS19" s="147">
        <f t="shared" si="4"/>
        <v>0</v>
      </c>
      <c r="AT19" s="147">
        <f t="shared" si="5"/>
        <v>0</v>
      </c>
      <c r="AU19" s="156">
        <f t="shared" si="6"/>
        <v>0</v>
      </c>
      <c r="AV19" s="180"/>
      <c r="AW19" s="159"/>
      <c r="AX19" s="141"/>
      <c r="AY19" s="172"/>
      <c r="AZ19" s="180"/>
      <c r="BA19" s="168"/>
    </row>
    <row r="20" spans="2:53" x14ac:dyDescent="0.25">
      <c r="B20" s="136"/>
      <c r="C20" s="137" t="str">
        <f>IFERROR(INDEX(T_BdD[Prénom],MATCH($B20,T_BdD[Nom],0)),"")</f>
        <v/>
      </c>
      <c r="D20" s="137"/>
      <c r="E20" s="157"/>
      <c r="F20" s="138"/>
      <c r="G20" s="138"/>
      <c r="H20" s="138"/>
      <c r="I20" s="138"/>
      <c r="J20" s="138"/>
      <c r="K20" s="138"/>
      <c r="L20" s="138"/>
      <c r="M20" s="138"/>
      <c r="N20" s="138"/>
      <c r="O20" s="138"/>
      <c r="P20" s="138"/>
      <c r="Q20" s="138"/>
      <c r="R20" s="138"/>
      <c r="S20" s="138"/>
      <c r="T20" s="138"/>
      <c r="U20" s="138"/>
      <c r="V20" s="138"/>
      <c r="W20" s="138"/>
      <c r="X20" s="158">
        <f>SUM(Planning!$E20:$W20)</f>
        <v>0</v>
      </c>
      <c r="Y20" s="180"/>
      <c r="Z20" s="159"/>
      <c r="AA20" s="141"/>
      <c r="AB20" s="141"/>
      <c r="AC20" s="141"/>
      <c r="AD20" s="141"/>
      <c r="AE20" s="141"/>
      <c r="AF20" s="141"/>
      <c r="AG20" s="141"/>
      <c r="AH20" s="141"/>
      <c r="AI20" s="141"/>
      <c r="AJ20" s="141"/>
      <c r="AK20" s="141"/>
      <c r="AL20" s="141"/>
      <c r="AM20" s="141"/>
      <c r="AN20" s="141"/>
      <c r="AO20" s="141"/>
      <c r="AP20" s="141"/>
      <c r="AQ20" s="141"/>
      <c r="AR20" s="141"/>
      <c r="AS20" s="147">
        <f t="shared" si="4"/>
        <v>0</v>
      </c>
      <c r="AT20" s="147">
        <f t="shared" si="5"/>
        <v>0</v>
      </c>
      <c r="AU20" s="156">
        <f t="shared" si="6"/>
        <v>0</v>
      </c>
      <c r="AV20" s="180"/>
      <c r="AW20" s="157"/>
      <c r="AX20" s="138"/>
      <c r="AY20" s="171"/>
      <c r="AZ20" s="180"/>
      <c r="BA20" s="167"/>
    </row>
    <row r="21" spans="2:53" x14ac:dyDescent="0.25">
      <c r="B21" s="139"/>
      <c r="C21" s="140" t="str">
        <f>IFERROR(INDEX(T_BdD[Prénom],MATCH($B21,T_BdD[Nom],0)),"")</f>
        <v/>
      </c>
      <c r="D21" s="140"/>
      <c r="E21" s="159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58">
        <f>SUM(Planning!$E21:$W21)</f>
        <v>0</v>
      </c>
      <c r="Y21" s="180"/>
      <c r="Z21" s="157"/>
      <c r="AA21" s="138"/>
      <c r="AB21" s="138"/>
      <c r="AC21" s="138"/>
      <c r="AD21" s="138"/>
      <c r="AE21" s="138"/>
      <c r="AF21" s="138"/>
      <c r="AG21" s="138"/>
      <c r="AH21" s="138"/>
      <c r="AI21" s="138"/>
      <c r="AJ21" s="138"/>
      <c r="AK21" s="138"/>
      <c r="AL21" s="138"/>
      <c r="AM21" s="138"/>
      <c r="AN21" s="138"/>
      <c r="AO21" s="138"/>
      <c r="AP21" s="138"/>
      <c r="AQ21" s="138"/>
      <c r="AR21" s="138"/>
      <c r="AS21" s="147">
        <f t="shared" si="4"/>
        <v>0</v>
      </c>
      <c r="AT21" s="147">
        <f t="shared" si="5"/>
        <v>0</v>
      </c>
      <c r="AU21" s="156">
        <f t="shared" si="6"/>
        <v>0</v>
      </c>
      <c r="AV21" s="180"/>
      <c r="AW21" s="159"/>
      <c r="AX21" s="141"/>
      <c r="AY21" s="172"/>
      <c r="AZ21" s="180"/>
      <c r="BA21" s="168"/>
    </row>
    <row r="22" spans="2:53" x14ac:dyDescent="0.25">
      <c r="B22" s="136"/>
      <c r="C22" s="137" t="str">
        <f>IFERROR(INDEX(T_BdD[Prénom],MATCH($B22,T_BdD[Nom],0)),"")</f>
        <v/>
      </c>
      <c r="D22" s="137"/>
      <c r="E22" s="157"/>
      <c r="F22" s="138"/>
      <c r="G22" s="138"/>
      <c r="H22" s="138"/>
      <c r="I22" s="138"/>
      <c r="J22" s="138"/>
      <c r="K22" s="138"/>
      <c r="L22" s="138"/>
      <c r="M22" s="138"/>
      <c r="N22" s="138"/>
      <c r="O22" s="138"/>
      <c r="P22" s="138"/>
      <c r="Q22" s="138"/>
      <c r="R22" s="138"/>
      <c r="S22" s="138"/>
      <c r="T22" s="138"/>
      <c r="U22" s="138"/>
      <c r="V22" s="138"/>
      <c r="W22" s="138"/>
      <c r="X22" s="158">
        <f>SUM(Planning!$E22:$W22)</f>
        <v>0</v>
      </c>
      <c r="Y22" s="180"/>
      <c r="Z22" s="159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7">
        <f t="shared" si="4"/>
        <v>0</v>
      </c>
      <c r="AT22" s="147">
        <f t="shared" si="5"/>
        <v>0</v>
      </c>
      <c r="AU22" s="156">
        <f t="shared" si="6"/>
        <v>0</v>
      </c>
      <c r="AV22" s="180"/>
      <c r="AW22" s="157"/>
      <c r="AX22" s="138"/>
      <c r="AY22" s="171"/>
      <c r="AZ22" s="180"/>
      <c r="BA22" s="167"/>
    </row>
    <row r="23" spans="2:53" x14ac:dyDescent="0.25">
      <c r="B23" s="139"/>
      <c r="C23" s="140" t="str">
        <f>IFERROR(INDEX(T_BdD[Prénom],MATCH($B23,T_BdD[Nom],0)),"")</f>
        <v/>
      </c>
      <c r="D23" s="140"/>
      <c r="E23" s="159"/>
      <c r="F23" s="141"/>
      <c r="G23" s="141"/>
      <c r="H23" s="141"/>
      <c r="I23" s="141"/>
      <c r="J23" s="141"/>
      <c r="K23" s="141"/>
      <c r="L23" s="141"/>
      <c r="M23" s="141"/>
      <c r="N23" s="141"/>
      <c r="O23" s="141"/>
      <c r="P23" s="141"/>
      <c r="Q23" s="141"/>
      <c r="R23" s="141"/>
      <c r="S23" s="141"/>
      <c r="T23" s="141"/>
      <c r="U23" s="141"/>
      <c r="V23" s="141"/>
      <c r="W23" s="141"/>
      <c r="X23" s="158">
        <f>SUM(Planning!$E23:$W23)</f>
        <v>0</v>
      </c>
      <c r="Y23" s="180"/>
      <c r="Z23" s="157"/>
      <c r="AA23" s="138"/>
      <c r="AB23" s="138"/>
      <c r="AC23" s="138"/>
      <c r="AD23" s="138"/>
      <c r="AE23" s="138"/>
      <c r="AF23" s="138"/>
      <c r="AG23" s="138"/>
      <c r="AH23" s="138"/>
      <c r="AI23" s="138"/>
      <c r="AJ23" s="138"/>
      <c r="AK23" s="138"/>
      <c r="AL23" s="138"/>
      <c r="AM23" s="138"/>
      <c r="AN23" s="138"/>
      <c r="AO23" s="138"/>
      <c r="AP23" s="138"/>
      <c r="AQ23" s="138"/>
      <c r="AR23" s="138"/>
      <c r="AS23" s="147">
        <f t="shared" si="4"/>
        <v>0</v>
      </c>
      <c r="AT23" s="147">
        <f t="shared" si="5"/>
        <v>0</v>
      </c>
      <c r="AU23" s="156">
        <f t="shared" si="6"/>
        <v>0</v>
      </c>
      <c r="AV23" s="180"/>
      <c r="AW23" s="159"/>
      <c r="AX23" s="141"/>
      <c r="AY23" s="172"/>
      <c r="AZ23" s="180"/>
      <c r="BA23" s="168"/>
    </row>
    <row r="24" spans="2:53" x14ac:dyDescent="0.25">
      <c r="B24" s="136"/>
      <c r="C24" s="137" t="str">
        <f>IFERROR(INDEX(T_BdD[Prénom],MATCH($B24,T_BdD[Nom],0)),"")</f>
        <v/>
      </c>
      <c r="D24" s="137"/>
      <c r="E24" s="157"/>
      <c r="F24" s="138"/>
      <c r="G24" s="138"/>
      <c r="H24" s="138"/>
      <c r="I24" s="138"/>
      <c r="J24" s="138"/>
      <c r="K24" s="138"/>
      <c r="L24" s="138"/>
      <c r="M24" s="138"/>
      <c r="N24" s="138"/>
      <c r="O24" s="138"/>
      <c r="P24" s="138"/>
      <c r="Q24" s="138"/>
      <c r="R24" s="138"/>
      <c r="S24" s="138"/>
      <c r="T24" s="138"/>
      <c r="U24" s="138"/>
      <c r="V24" s="138"/>
      <c r="W24" s="138"/>
      <c r="X24" s="158">
        <f>SUM(Planning!$E24:$W24)</f>
        <v>0</v>
      </c>
      <c r="Y24" s="180"/>
      <c r="Z24" s="159"/>
      <c r="AA24" s="141"/>
      <c r="AB24" s="141"/>
      <c r="AC24" s="141"/>
      <c r="AD24" s="141"/>
      <c r="AE24" s="141"/>
      <c r="AF24" s="141"/>
      <c r="AG24" s="141"/>
      <c r="AH24" s="141"/>
      <c r="AI24" s="141"/>
      <c r="AJ24" s="141"/>
      <c r="AK24" s="141"/>
      <c r="AL24" s="141"/>
      <c r="AM24" s="141"/>
      <c r="AN24" s="141"/>
      <c r="AO24" s="141"/>
      <c r="AP24" s="141"/>
      <c r="AQ24" s="141"/>
      <c r="AR24" s="141"/>
      <c r="AS24" s="147">
        <f t="shared" si="4"/>
        <v>0</v>
      </c>
      <c r="AT24" s="147">
        <f t="shared" si="5"/>
        <v>0</v>
      </c>
      <c r="AU24" s="156">
        <f t="shared" si="6"/>
        <v>0</v>
      </c>
      <c r="AV24" s="180"/>
      <c r="AW24" s="157"/>
      <c r="AX24" s="138"/>
      <c r="AY24" s="171"/>
      <c r="AZ24" s="180"/>
      <c r="BA24" s="167"/>
    </row>
    <row r="25" spans="2:53" x14ac:dyDescent="0.25">
      <c r="B25" s="139"/>
      <c r="C25" s="140" t="str">
        <f>IFERROR(INDEX(T_BdD[Prénom],MATCH($B25,T_BdD[Nom],0)),"")</f>
        <v/>
      </c>
      <c r="D25" s="140"/>
      <c r="E25" s="159"/>
      <c r="F25" s="141"/>
      <c r="G25" s="141"/>
      <c r="H25" s="141"/>
      <c r="I25" s="141"/>
      <c r="J25" s="141"/>
      <c r="K25" s="141"/>
      <c r="L25" s="141"/>
      <c r="M25" s="141"/>
      <c r="N25" s="141"/>
      <c r="O25" s="141"/>
      <c r="P25" s="141"/>
      <c r="Q25" s="141"/>
      <c r="R25" s="141"/>
      <c r="S25" s="141"/>
      <c r="T25" s="141"/>
      <c r="U25" s="141"/>
      <c r="V25" s="141"/>
      <c r="W25" s="141"/>
      <c r="X25" s="158">
        <f>SUM(Planning!$E25:$W25)</f>
        <v>0</v>
      </c>
      <c r="Y25" s="180"/>
      <c r="Z25" s="157"/>
      <c r="AA25" s="138"/>
      <c r="AB25" s="138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47">
        <f t="shared" si="4"/>
        <v>0</v>
      </c>
      <c r="AT25" s="147">
        <f t="shared" si="5"/>
        <v>0</v>
      </c>
      <c r="AU25" s="156">
        <f t="shared" si="6"/>
        <v>0</v>
      </c>
      <c r="AV25" s="180"/>
      <c r="AW25" s="159"/>
      <c r="AX25" s="141"/>
      <c r="AY25" s="172"/>
      <c r="AZ25" s="180"/>
      <c r="BA25" s="168"/>
    </row>
    <row r="26" spans="2:53" x14ac:dyDescent="0.25">
      <c r="B26" s="136"/>
      <c r="C26" s="137" t="str">
        <f>IFERROR(INDEX(T_BdD[Prénom],MATCH($B26,T_BdD[Nom],0)),"")</f>
        <v/>
      </c>
      <c r="D26" s="137"/>
      <c r="E26" s="157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8"/>
      <c r="T26" s="138"/>
      <c r="U26" s="138"/>
      <c r="V26" s="138"/>
      <c r="W26" s="138"/>
      <c r="X26" s="158">
        <f>SUM(Planning!$E26:$W26)</f>
        <v>0</v>
      </c>
      <c r="Y26" s="180"/>
      <c r="Z26" s="159"/>
      <c r="AA26" s="141"/>
      <c r="AB26" s="141"/>
      <c r="AC26" s="141"/>
      <c r="AD26" s="141"/>
      <c r="AE26" s="141"/>
      <c r="AF26" s="141"/>
      <c r="AG26" s="141"/>
      <c r="AH26" s="141"/>
      <c r="AI26" s="141"/>
      <c r="AJ26" s="141"/>
      <c r="AK26" s="141"/>
      <c r="AL26" s="141"/>
      <c r="AM26" s="141"/>
      <c r="AN26" s="141"/>
      <c r="AO26" s="141"/>
      <c r="AP26" s="141"/>
      <c r="AQ26" s="141"/>
      <c r="AR26" s="141"/>
      <c r="AS26" s="147">
        <f t="shared" si="4"/>
        <v>0</v>
      </c>
      <c r="AT26" s="147">
        <f t="shared" si="5"/>
        <v>0</v>
      </c>
      <c r="AU26" s="156">
        <f t="shared" si="6"/>
        <v>0</v>
      </c>
      <c r="AV26" s="180"/>
      <c r="AW26" s="157"/>
      <c r="AX26" s="138"/>
      <c r="AY26" s="171"/>
      <c r="AZ26" s="180"/>
      <c r="BA26" s="167"/>
    </row>
    <row r="27" spans="2:53" x14ac:dyDescent="0.25">
      <c r="B27" s="139"/>
      <c r="C27" s="140" t="str">
        <f>IFERROR(INDEX(T_BdD[Prénom],MATCH($B27,T_BdD[Nom],0)),"")</f>
        <v/>
      </c>
      <c r="D27" s="140"/>
      <c r="E27" s="159"/>
      <c r="F27" s="141"/>
      <c r="G27" s="141"/>
      <c r="H27" s="141"/>
      <c r="I27" s="141"/>
      <c r="J27" s="141"/>
      <c r="K27" s="141"/>
      <c r="L27" s="141"/>
      <c r="M27" s="141"/>
      <c r="N27" s="141"/>
      <c r="O27" s="141"/>
      <c r="P27" s="141"/>
      <c r="Q27" s="141"/>
      <c r="R27" s="141"/>
      <c r="S27" s="141"/>
      <c r="T27" s="141"/>
      <c r="U27" s="141"/>
      <c r="V27" s="141"/>
      <c r="W27" s="141"/>
      <c r="X27" s="158">
        <f>SUM(Planning!$E27:$W27)</f>
        <v>0</v>
      </c>
      <c r="Y27" s="180"/>
      <c r="Z27" s="157"/>
      <c r="AA27" s="138"/>
      <c r="AB27" s="138"/>
      <c r="AC27" s="138"/>
      <c r="AD27" s="138"/>
      <c r="AE27" s="138"/>
      <c r="AF27" s="138"/>
      <c r="AG27" s="138"/>
      <c r="AH27" s="138"/>
      <c r="AI27" s="138"/>
      <c r="AJ27" s="138"/>
      <c r="AK27" s="138"/>
      <c r="AL27" s="138"/>
      <c r="AM27" s="138"/>
      <c r="AN27" s="138"/>
      <c r="AO27" s="138"/>
      <c r="AP27" s="138"/>
      <c r="AQ27" s="138"/>
      <c r="AR27" s="138"/>
      <c r="AS27" s="147">
        <f t="shared" si="4"/>
        <v>0</v>
      </c>
      <c r="AT27" s="147">
        <f t="shared" si="5"/>
        <v>0</v>
      </c>
      <c r="AU27" s="156">
        <f t="shared" si="6"/>
        <v>0</v>
      </c>
      <c r="AV27" s="180"/>
      <c r="AW27" s="159"/>
      <c r="AX27" s="141"/>
      <c r="AY27" s="172"/>
      <c r="AZ27" s="180"/>
      <c r="BA27" s="168"/>
    </row>
    <row r="28" spans="2:53" x14ac:dyDescent="0.25">
      <c r="B28" s="136"/>
      <c r="C28" s="137" t="str">
        <f>IFERROR(INDEX(T_BdD[Prénom],MATCH($B28,T_BdD[Nom],0)),"")</f>
        <v/>
      </c>
      <c r="D28" s="137"/>
      <c r="E28" s="157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  <c r="W28" s="138"/>
      <c r="X28" s="158">
        <f>SUM(Planning!$E28:$W28)</f>
        <v>0</v>
      </c>
      <c r="Y28" s="180"/>
      <c r="Z28" s="159"/>
      <c r="AA28" s="141"/>
      <c r="AB28" s="141"/>
      <c r="AC28" s="141"/>
      <c r="AD28" s="141"/>
      <c r="AE28" s="141"/>
      <c r="AF28" s="141"/>
      <c r="AG28" s="141"/>
      <c r="AH28" s="141"/>
      <c r="AI28" s="141"/>
      <c r="AJ28" s="141"/>
      <c r="AK28" s="141"/>
      <c r="AL28" s="141"/>
      <c r="AM28" s="141"/>
      <c r="AN28" s="141"/>
      <c r="AO28" s="141"/>
      <c r="AP28" s="141"/>
      <c r="AQ28" s="141"/>
      <c r="AR28" s="141"/>
      <c r="AS28" s="147">
        <f t="shared" si="4"/>
        <v>0</v>
      </c>
      <c r="AT28" s="147">
        <f t="shared" si="5"/>
        <v>0</v>
      </c>
      <c r="AU28" s="156">
        <f t="shared" si="6"/>
        <v>0</v>
      </c>
      <c r="AV28" s="180"/>
      <c r="AW28" s="157"/>
      <c r="AX28" s="138"/>
      <c r="AY28" s="171"/>
      <c r="AZ28" s="180"/>
      <c r="BA28" s="167"/>
    </row>
    <row r="29" spans="2:53" x14ac:dyDescent="0.25">
      <c r="B29" s="139"/>
      <c r="C29" s="140" t="str">
        <f>IFERROR(INDEX(T_BdD[Prénom],MATCH($B29,T_BdD[Nom],0)),"")</f>
        <v/>
      </c>
      <c r="D29" s="140"/>
      <c r="E29" s="159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1"/>
      <c r="T29" s="141"/>
      <c r="U29" s="141"/>
      <c r="V29" s="141"/>
      <c r="W29" s="141"/>
      <c r="X29" s="158">
        <f>SUM(Planning!$E29:$W29)</f>
        <v>0</v>
      </c>
      <c r="Y29" s="180"/>
      <c r="Z29" s="157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R29" s="138"/>
      <c r="AS29" s="147">
        <f t="shared" si="4"/>
        <v>0</v>
      </c>
      <c r="AT29" s="147">
        <f t="shared" si="5"/>
        <v>0</v>
      </c>
      <c r="AU29" s="156">
        <f t="shared" si="6"/>
        <v>0</v>
      </c>
      <c r="AV29" s="180"/>
      <c r="AW29" s="159"/>
      <c r="AX29" s="141"/>
      <c r="AY29" s="172"/>
      <c r="AZ29" s="180"/>
      <c r="BA29" s="168"/>
    </row>
    <row r="30" spans="2:53" x14ac:dyDescent="0.25">
      <c r="B30" s="136"/>
      <c r="C30" s="137" t="str">
        <f>IFERROR(INDEX(T_BdD[Prénom],MATCH($B30,T_BdD[Nom],0)),"")</f>
        <v/>
      </c>
      <c r="D30" s="137"/>
      <c r="E30" s="157"/>
      <c r="F30" s="138"/>
      <c r="G30" s="138"/>
      <c r="H30" s="138"/>
      <c r="I30" s="138"/>
      <c r="J30" s="138"/>
      <c r="K30" s="138"/>
      <c r="L30" s="138"/>
      <c r="M30" s="138"/>
      <c r="N30" s="138"/>
      <c r="O30" s="138"/>
      <c r="P30" s="138"/>
      <c r="Q30" s="138"/>
      <c r="R30" s="138"/>
      <c r="S30" s="138"/>
      <c r="T30" s="138"/>
      <c r="U30" s="138"/>
      <c r="V30" s="138"/>
      <c r="W30" s="138"/>
      <c r="X30" s="158">
        <f>SUM(Planning!$E30:$W30)</f>
        <v>0</v>
      </c>
      <c r="Y30" s="180"/>
      <c r="Z30" s="159"/>
      <c r="AA30" s="141"/>
      <c r="AB30" s="141"/>
      <c r="AC30" s="141"/>
      <c r="AD30" s="141"/>
      <c r="AE30" s="141"/>
      <c r="AF30" s="141"/>
      <c r="AG30" s="141"/>
      <c r="AH30" s="141"/>
      <c r="AI30" s="141"/>
      <c r="AJ30" s="141"/>
      <c r="AK30" s="141"/>
      <c r="AL30" s="141"/>
      <c r="AM30" s="141"/>
      <c r="AN30" s="141"/>
      <c r="AO30" s="141"/>
      <c r="AP30" s="141"/>
      <c r="AQ30" s="141"/>
      <c r="AR30" s="141"/>
      <c r="AS30" s="147">
        <f t="shared" si="4"/>
        <v>0</v>
      </c>
      <c r="AT30" s="147">
        <f t="shared" si="5"/>
        <v>0</v>
      </c>
      <c r="AU30" s="156">
        <f t="shared" si="6"/>
        <v>0</v>
      </c>
      <c r="AV30" s="180"/>
      <c r="AW30" s="157"/>
      <c r="AX30" s="138"/>
      <c r="AY30" s="171"/>
      <c r="AZ30" s="180"/>
      <c r="BA30" s="167"/>
    </row>
    <row r="31" spans="2:53" x14ac:dyDescent="0.25">
      <c r="B31" s="139"/>
      <c r="C31" s="140" t="str">
        <f>IFERROR(INDEX(T_BdD[Prénom],MATCH($B31,T_BdD[Nom],0)),"")</f>
        <v/>
      </c>
      <c r="D31" s="140"/>
      <c r="E31" s="159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58">
        <f>SUM(Planning!$E31:$W31)</f>
        <v>0</v>
      </c>
      <c r="Y31" s="180"/>
      <c r="Z31" s="157"/>
      <c r="AA31" s="138"/>
      <c r="AB31" s="138"/>
      <c r="AC31" s="138"/>
      <c r="AD31" s="138"/>
      <c r="AE31" s="138"/>
      <c r="AF31" s="138"/>
      <c r="AG31" s="138"/>
      <c r="AH31" s="138"/>
      <c r="AI31" s="138"/>
      <c r="AJ31" s="138"/>
      <c r="AK31" s="138"/>
      <c r="AL31" s="138"/>
      <c r="AM31" s="138"/>
      <c r="AN31" s="138"/>
      <c r="AO31" s="138"/>
      <c r="AP31" s="138"/>
      <c r="AQ31" s="138"/>
      <c r="AR31" s="138"/>
      <c r="AS31" s="147">
        <f t="shared" si="4"/>
        <v>0</v>
      </c>
      <c r="AT31" s="147">
        <f t="shared" si="5"/>
        <v>0</v>
      </c>
      <c r="AU31" s="156">
        <f t="shared" si="6"/>
        <v>0</v>
      </c>
      <c r="AV31" s="180"/>
      <c r="AW31" s="159"/>
      <c r="AX31" s="141"/>
      <c r="AY31" s="172"/>
      <c r="AZ31" s="180"/>
      <c r="BA31" s="168"/>
    </row>
    <row r="32" spans="2:53" x14ac:dyDescent="0.25">
      <c r="B32" s="136"/>
      <c r="C32" s="137" t="str">
        <f>IFERROR(INDEX(T_BdD[Prénom],MATCH($B32,T_BdD[Nom],0)),"")</f>
        <v/>
      </c>
      <c r="D32" s="137"/>
      <c r="E32" s="157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8"/>
      <c r="T32" s="138"/>
      <c r="U32" s="138"/>
      <c r="V32" s="138"/>
      <c r="W32" s="138"/>
      <c r="X32" s="158">
        <f>SUM(Planning!$E32:$W32)</f>
        <v>0</v>
      </c>
      <c r="Y32" s="180"/>
      <c r="Z32" s="159"/>
      <c r="AA32" s="141"/>
      <c r="AB32" s="141"/>
      <c r="AC32" s="141"/>
      <c r="AD32" s="141"/>
      <c r="AE32" s="141"/>
      <c r="AF32" s="141"/>
      <c r="AG32" s="141"/>
      <c r="AH32" s="141"/>
      <c r="AI32" s="141"/>
      <c r="AJ32" s="141"/>
      <c r="AK32" s="141"/>
      <c r="AL32" s="141"/>
      <c r="AM32" s="141"/>
      <c r="AN32" s="141"/>
      <c r="AO32" s="141"/>
      <c r="AP32" s="141"/>
      <c r="AQ32" s="141"/>
      <c r="AR32" s="141"/>
      <c r="AS32" s="147">
        <f t="shared" si="4"/>
        <v>0</v>
      </c>
      <c r="AT32" s="147">
        <f t="shared" si="5"/>
        <v>0</v>
      </c>
      <c r="AU32" s="156">
        <f t="shared" si="6"/>
        <v>0</v>
      </c>
      <c r="AV32" s="180"/>
      <c r="AW32" s="157"/>
      <c r="AX32" s="138"/>
      <c r="AY32" s="171"/>
      <c r="AZ32" s="180"/>
      <c r="BA32" s="167"/>
    </row>
    <row r="33" spans="2:53" x14ac:dyDescent="0.25">
      <c r="B33" s="139"/>
      <c r="C33" s="140" t="str">
        <f>IFERROR(INDEX(T_BdD[Prénom],MATCH($B33,T_BdD[Nom],0)),"")</f>
        <v/>
      </c>
      <c r="D33" s="140"/>
      <c r="E33" s="159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  <c r="U33" s="141"/>
      <c r="V33" s="141"/>
      <c r="W33" s="141"/>
      <c r="X33" s="158">
        <f>SUM(Planning!$E33:$W33)</f>
        <v>0</v>
      </c>
      <c r="Y33" s="180"/>
      <c r="Z33" s="157"/>
      <c r="AA33" s="138"/>
      <c r="AB33" s="138"/>
      <c r="AC33" s="138"/>
      <c r="AD33" s="138"/>
      <c r="AE33" s="138"/>
      <c r="AF33" s="138"/>
      <c r="AG33" s="138"/>
      <c r="AH33" s="138"/>
      <c r="AI33" s="138"/>
      <c r="AJ33" s="138"/>
      <c r="AK33" s="138"/>
      <c r="AL33" s="138"/>
      <c r="AM33" s="138"/>
      <c r="AN33" s="138"/>
      <c r="AO33" s="138"/>
      <c r="AP33" s="138"/>
      <c r="AQ33" s="138"/>
      <c r="AR33" s="138"/>
      <c r="AS33" s="147">
        <f t="shared" si="4"/>
        <v>0</v>
      </c>
      <c r="AT33" s="147">
        <f t="shared" si="5"/>
        <v>0</v>
      </c>
      <c r="AU33" s="156">
        <f t="shared" si="6"/>
        <v>0</v>
      </c>
      <c r="AV33" s="180"/>
      <c r="AW33" s="159"/>
      <c r="AX33" s="141"/>
      <c r="AY33" s="172"/>
      <c r="AZ33" s="180"/>
      <c r="BA33" s="168"/>
    </row>
    <row r="34" spans="2:53" x14ac:dyDescent="0.25">
      <c r="B34" s="136"/>
      <c r="C34" s="137" t="str">
        <f>IFERROR(INDEX(T_BdD[Prénom],MATCH($B34,T_BdD[Nom],0)),"")</f>
        <v/>
      </c>
      <c r="D34" s="137"/>
      <c r="E34" s="157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  <c r="Q34" s="138"/>
      <c r="R34" s="138"/>
      <c r="S34" s="138"/>
      <c r="T34" s="138"/>
      <c r="U34" s="138"/>
      <c r="V34" s="138"/>
      <c r="W34" s="138"/>
      <c r="X34" s="158">
        <f>SUM(Planning!$E34:$W34)</f>
        <v>0</v>
      </c>
      <c r="Y34" s="180"/>
      <c r="Z34" s="159"/>
      <c r="AA34" s="141"/>
      <c r="AB34" s="141"/>
      <c r="AC34" s="141"/>
      <c r="AD34" s="141"/>
      <c r="AE34" s="141"/>
      <c r="AF34" s="141"/>
      <c r="AG34" s="141"/>
      <c r="AH34" s="141"/>
      <c r="AI34" s="141"/>
      <c r="AJ34" s="141"/>
      <c r="AK34" s="141"/>
      <c r="AL34" s="141"/>
      <c r="AM34" s="141"/>
      <c r="AN34" s="141"/>
      <c r="AO34" s="141"/>
      <c r="AP34" s="141"/>
      <c r="AQ34" s="141"/>
      <c r="AR34" s="141"/>
      <c r="AS34" s="147">
        <f t="shared" si="4"/>
        <v>0</v>
      </c>
      <c r="AT34" s="147">
        <f t="shared" si="5"/>
        <v>0</v>
      </c>
      <c r="AU34" s="156">
        <f t="shared" si="6"/>
        <v>0</v>
      </c>
      <c r="AV34" s="180"/>
      <c r="AW34" s="157"/>
      <c r="AX34" s="138"/>
      <c r="AY34" s="171"/>
      <c r="AZ34" s="180"/>
      <c r="BA34" s="167"/>
    </row>
    <row r="35" spans="2:53" x14ac:dyDescent="0.25">
      <c r="B35" s="139"/>
      <c r="C35" s="140" t="str">
        <f>IFERROR(INDEX(T_BdD[Prénom],MATCH($B35,T_BdD[Nom],0)),"")</f>
        <v/>
      </c>
      <c r="D35" s="140"/>
      <c r="E35" s="159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58">
        <f>SUM(Planning!$E35:$W35)</f>
        <v>0</v>
      </c>
      <c r="Y35" s="180"/>
      <c r="Z35" s="157"/>
      <c r="AA35" s="138"/>
      <c r="AB35" s="138"/>
      <c r="AC35" s="138"/>
      <c r="AD35" s="138"/>
      <c r="AE35" s="138"/>
      <c r="AF35" s="138"/>
      <c r="AG35" s="138"/>
      <c r="AH35" s="138"/>
      <c r="AI35" s="138"/>
      <c r="AJ35" s="138"/>
      <c r="AK35" s="138"/>
      <c r="AL35" s="138"/>
      <c r="AM35" s="138"/>
      <c r="AN35" s="138"/>
      <c r="AO35" s="138"/>
      <c r="AP35" s="138"/>
      <c r="AQ35" s="138"/>
      <c r="AR35" s="138"/>
      <c r="AS35" s="147">
        <f t="shared" si="4"/>
        <v>0</v>
      </c>
      <c r="AT35" s="147">
        <f t="shared" si="5"/>
        <v>0</v>
      </c>
      <c r="AU35" s="156">
        <f t="shared" si="6"/>
        <v>0</v>
      </c>
      <c r="AV35" s="180"/>
      <c r="AW35" s="159"/>
      <c r="AX35" s="141"/>
      <c r="AY35" s="172"/>
      <c r="AZ35" s="180"/>
      <c r="BA35" s="168"/>
    </row>
    <row r="36" spans="2:53" x14ac:dyDescent="0.25">
      <c r="B36" s="136"/>
      <c r="C36" s="137" t="str">
        <f>IFERROR(INDEX(T_BdD[Prénom],MATCH($B36,T_BdD[Nom],0)),"")</f>
        <v/>
      </c>
      <c r="D36" s="137"/>
      <c r="E36" s="157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138"/>
      <c r="W36" s="138"/>
      <c r="X36" s="158">
        <f>SUM(Planning!$E36:$W36)</f>
        <v>0</v>
      </c>
      <c r="Y36" s="180"/>
      <c r="Z36" s="159"/>
      <c r="AA36" s="141"/>
      <c r="AB36" s="141"/>
      <c r="AC36" s="141"/>
      <c r="AD36" s="141"/>
      <c r="AE36" s="141"/>
      <c r="AF36" s="141"/>
      <c r="AG36" s="141"/>
      <c r="AH36" s="141"/>
      <c r="AI36" s="141"/>
      <c r="AJ36" s="141"/>
      <c r="AK36" s="141"/>
      <c r="AL36" s="141"/>
      <c r="AM36" s="141"/>
      <c r="AN36" s="141"/>
      <c r="AO36" s="141"/>
      <c r="AP36" s="141"/>
      <c r="AQ36" s="141"/>
      <c r="AR36" s="141"/>
      <c r="AS36" s="147">
        <f t="shared" si="4"/>
        <v>0</v>
      </c>
      <c r="AT36" s="147">
        <f t="shared" si="5"/>
        <v>0</v>
      </c>
      <c r="AU36" s="156">
        <f t="shared" si="6"/>
        <v>0</v>
      </c>
      <c r="AV36" s="180"/>
      <c r="AW36" s="157"/>
      <c r="AX36" s="138"/>
      <c r="AY36" s="171"/>
      <c r="AZ36" s="180"/>
      <c r="BA36" s="167"/>
    </row>
    <row r="37" spans="2:53" x14ac:dyDescent="0.25">
      <c r="B37" s="139"/>
      <c r="C37" s="140" t="str">
        <f>IFERROR(INDEX(T_BdD[Prénom],MATCH($B37,T_BdD[Nom],0)),"")</f>
        <v/>
      </c>
      <c r="D37" s="140"/>
      <c r="E37" s="159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1"/>
      <c r="W37" s="141"/>
      <c r="X37" s="158">
        <f>SUM(Planning!$E37:$W37)</f>
        <v>0</v>
      </c>
      <c r="Y37" s="180"/>
      <c r="Z37" s="157"/>
      <c r="AA37" s="138"/>
      <c r="AB37" s="138"/>
      <c r="AC37" s="138"/>
      <c r="AD37" s="138"/>
      <c r="AE37" s="138"/>
      <c r="AF37" s="138"/>
      <c r="AG37" s="138"/>
      <c r="AH37" s="138"/>
      <c r="AI37" s="138"/>
      <c r="AJ37" s="138"/>
      <c r="AK37" s="138"/>
      <c r="AL37" s="138"/>
      <c r="AM37" s="138"/>
      <c r="AN37" s="138"/>
      <c r="AO37" s="138"/>
      <c r="AP37" s="138"/>
      <c r="AQ37" s="138"/>
      <c r="AR37" s="138"/>
      <c r="AS37" s="147">
        <f t="shared" si="4"/>
        <v>0</v>
      </c>
      <c r="AT37" s="147">
        <f t="shared" si="5"/>
        <v>0</v>
      </c>
      <c r="AU37" s="156">
        <f t="shared" si="6"/>
        <v>0</v>
      </c>
      <c r="AV37" s="180"/>
      <c r="AW37" s="159"/>
      <c r="AX37" s="141"/>
      <c r="AY37" s="172"/>
      <c r="AZ37" s="180"/>
      <c r="BA37" s="168"/>
    </row>
    <row r="38" spans="2:53" x14ac:dyDescent="0.25">
      <c r="B38" s="136"/>
      <c r="C38" s="137" t="str">
        <f>IFERROR(INDEX(T_BdD[Prénom],MATCH($B38,T_BdD[Nom],0)),"")</f>
        <v/>
      </c>
      <c r="D38" s="137"/>
      <c r="E38" s="157"/>
      <c r="F38" s="138"/>
      <c r="G38" s="138"/>
      <c r="H38" s="138"/>
      <c r="I38" s="138"/>
      <c r="J38" s="138"/>
      <c r="K38" s="138"/>
      <c r="L38" s="138"/>
      <c r="M38" s="138"/>
      <c r="N38" s="138"/>
      <c r="O38" s="138"/>
      <c r="P38" s="138"/>
      <c r="Q38" s="138"/>
      <c r="R38" s="138"/>
      <c r="S38" s="138"/>
      <c r="T38" s="138"/>
      <c r="U38" s="138"/>
      <c r="V38" s="138"/>
      <c r="W38" s="138"/>
      <c r="X38" s="158">
        <f>SUM(Planning!$E38:$W38)</f>
        <v>0</v>
      </c>
      <c r="Y38" s="180"/>
      <c r="Z38" s="159"/>
      <c r="AA38" s="141"/>
      <c r="AB38" s="141"/>
      <c r="AC38" s="141"/>
      <c r="AD38" s="141"/>
      <c r="AE38" s="141"/>
      <c r="AF38" s="141"/>
      <c r="AG38" s="141"/>
      <c r="AH38" s="141"/>
      <c r="AI38" s="141"/>
      <c r="AJ38" s="141"/>
      <c r="AK38" s="141"/>
      <c r="AL38" s="141"/>
      <c r="AM38" s="141"/>
      <c r="AN38" s="141"/>
      <c r="AO38" s="141"/>
      <c r="AP38" s="141"/>
      <c r="AQ38" s="141"/>
      <c r="AR38" s="141"/>
      <c r="AS38" s="147">
        <f t="shared" si="4"/>
        <v>0</v>
      </c>
      <c r="AT38" s="147">
        <f t="shared" si="5"/>
        <v>0</v>
      </c>
      <c r="AU38" s="156">
        <f t="shared" si="6"/>
        <v>0</v>
      </c>
      <c r="AV38" s="180"/>
      <c r="AW38" s="157"/>
      <c r="AX38" s="138"/>
      <c r="AY38" s="171"/>
      <c r="AZ38" s="180"/>
      <c r="BA38" s="167"/>
    </row>
    <row r="39" spans="2:53" x14ac:dyDescent="0.25">
      <c r="B39" s="139"/>
      <c r="C39" s="140" t="str">
        <f>IFERROR(INDEX(T_BdD[Prénom],MATCH($B39,T_BdD[Nom],0)),"")</f>
        <v/>
      </c>
      <c r="D39" s="140"/>
      <c r="E39" s="159"/>
      <c r="F39" s="141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58">
        <f>SUM(Planning!$E39:$W39)</f>
        <v>0</v>
      </c>
      <c r="Y39" s="180"/>
      <c r="Z39" s="157"/>
      <c r="AA39" s="138"/>
      <c r="AB39" s="138"/>
      <c r="AC39" s="138"/>
      <c r="AD39" s="138"/>
      <c r="AE39" s="138"/>
      <c r="AF39" s="138"/>
      <c r="AG39" s="138"/>
      <c r="AH39" s="138"/>
      <c r="AI39" s="138"/>
      <c r="AJ39" s="138"/>
      <c r="AK39" s="138"/>
      <c r="AL39" s="138"/>
      <c r="AM39" s="138"/>
      <c r="AN39" s="138"/>
      <c r="AO39" s="138"/>
      <c r="AP39" s="138"/>
      <c r="AQ39" s="138"/>
      <c r="AR39" s="138"/>
      <c r="AS39" s="147">
        <f t="shared" si="4"/>
        <v>0</v>
      </c>
      <c r="AT39" s="147">
        <f t="shared" si="5"/>
        <v>0</v>
      </c>
      <c r="AU39" s="156">
        <f t="shared" si="6"/>
        <v>0</v>
      </c>
      <c r="AV39" s="180"/>
      <c r="AW39" s="159"/>
      <c r="AX39" s="141"/>
      <c r="AY39" s="172"/>
      <c r="AZ39" s="180"/>
      <c r="BA39" s="168"/>
    </row>
    <row r="40" spans="2:53" x14ac:dyDescent="0.25">
      <c r="B40" s="136"/>
      <c r="C40" s="137" t="str">
        <f>IFERROR(INDEX(T_BdD[Prénom],MATCH($B40,T_BdD[Nom],0)),"")</f>
        <v/>
      </c>
      <c r="D40" s="137"/>
      <c r="E40" s="157"/>
      <c r="F40" s="138"/>
      <c r="G40" s="138"/>
      <c r="H40" s="138"/>
      <c r="I40" s="138"/>
      <c r="J40" s="138"/>
      <c r="K40" s="138"/>
      <c r="L40" s="138"/>
      <c r="M40" s="138"/>
      <c r="N40" s="138"/>
      <c r="O40" s="138"/>
      <c r="P40" s="138"/>
      <c r="Q40" s="138"/>
      <c r="R40" s="138"/>
      <c r="S40" s="138"/>
      <c r="T40" s="138"/>
      <c r="U40" s="138"/>
      <c r="V40" s="138"/>
      <c r="W40" s="138"/>
      <c r="X40" s="158">
        <f>SUM(Planning!$E40:$W40)</f>
        <v>0</v>
      </c>
      <c r="Y40" s="180"/>
      <c r="Z40" s="159"/>
      <c r="AA40" s="141"/>
      <c r="AB40" s="141"/>
      <c r="AC40" s="141"/>
      <c r="AD40" s="141"/>
      <c r="AE40" s="141"/>
      <c r="AF40" s="141"/>
      <c r="AG40" s="141"/>
      <c r="AH40" s="141"/>
      <c r="AI40" s="141"/>
      <c r="AJ40" s="141"/>
      <c r="AK40" s="141"/>
      <c r="AL40" s="141"/>
      <c r="AM40" s="141"/>
      <c r="AN40" s="141"/>
      <c r="AO40" s="141"/>
      <c r="AP40" s="141"/>
      <c r="AQ40" s="141"/>
      <c r="AR40" s="141"/>
      <c r="AS40" s="147">
        <f t="shared" si="4"/>
        <v>0</v>
      </c>
      <c r="AT40" s="147">
        <f t="shared" si="5"/>
        <v>0</v>
      </c>
      <c r="AU40" s="156">
        <f t="shared" si="6"/>
        <v>0</v>
      </c>
      <c r="AV40" s="180"/>
      <c r="AW40" s="157"/>
      <c r="AX40" s="138"/>
      <c r="AY40" s="171"/>
      <c r="AZ40" s="180"/>
      <c r="BA40" s="167"/>
    </row>
    <row r="41" spans="2:53" x14ac:dyDescent="0.25">
      <c r="B41" s="139"/>
      <c r="C41" s="140" t="str">
        <f>IFERROR(INDEX(T_BdD[Prénom],MATCH($B41,T_BdD[Nom],0)),"")</f>
        <v/>
      </c>
      <c r="D41" s="140"/>
      <c r="E41" s="159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58">
        <f>SUM(Planning!$E41:$W41)</f>
        <v>0</v>
      </c>
      <c r="Y41" s="180"/>
      <c r="Z41" s="157"/>
      <c r="AA41" s="138"/>
      <c r="AB41" s="138"/>
      <c r="AC41" s="138"/>
      <c r="AD41" s="138"/>
      <c r="AE41" s="138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8"/>
      <c r="AR41" s="138"/>
      <c r="AS41" s="147">
        <f t="shared" si="4"/>
        <v>0</v>
      </c>
      <c r="AT41" s="147">
        <f t="shared" si="5"/>
        <v>0</v>
      </c>
      <c r="AU41" s="156">
        <f t="shared" si="6"/>
        <v>0</v>
      </c>
      <c r="AV41" s="180"/>
      <c r="AW41" s="159"/>
      <c r="AX41" s="141"/>
      <c r="AY41" s="172"/>
      <c r="AZ41" s="180"/>
      <c r="BA41" s="168"/>
    </row>
    <row r="42" spans="2:53" x14ac:dyDescent="0.25">
      <c r="B42" s="136"/>
      <c r="C42" s="137" t="str">
        <f>IFERROR(INDEX(T_BdD[Prénom],MATCH($B42,T_BdD[Nom],0)),"")</f>
        <v/>
      </c>
      <c r="D42" s="137"/>
      <c r="E42" s="157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58">
        <f>SUM(Planning!$E42:$W42)</f>
        <v>0</v>
      </c>
      <c r="Y42" s="180"/>
      <c r="Z42" s="159"/>
      <c r="AA42" s="141"/>
      <c r="AB42" s="141"/>
      <c r="AC42" s="141"/>
      <c r="AD42" s="141"/>
      <c r="AE42" s="141"/>
      <c r="AF42" s="141"/>
      <c r="AG42" s="141"/>
      <c r="AH42" s="141"/>
      <c r="AI42" s="141"/>
      <c r="AJ42" s="141"/>
      <c r="AK42" s="141"/>
      <c r="AL42" s="141"/>
      <c r="AM42" s="141"/>
      <c r="AN42" s="141"/>
      <c r="AO42" s="141"/>
      <c r="AP42" s="141"/>
      <c r="AQ42" s="141"/>
      <c r="AR42" s="141"/>
      <c r="AS42" s="147">
        <f t="shared" si="4"/>
        <v>0</v>
      </c>
      <c r="AT42" s="147">
        <f t="shared" si="5"/>
        <v>0</v>
      </c>
      <c r="AU42" s="156">
        <f t="shared" si="6"/>
        <v>0</v>
      </c>
      <c r="AV42" s="180"/>
      <c r="AW42" s="157"/>
      <c r="AX42" s="138"/>
      <c r="AY42" s="171"/>
      <c r="AZ42" s="180"/>
      <c r="BA42" s="167"/>
    </row>
    <row r="43" spans="2:53" x14ac:dyDescent="0.25">
      <c r="B43" s="139"/>
      <c r="C43" s="140" t="str">
        <f>IFERROR(INDEX(T_BdD[Prénom],MATCH($B43,T_BdD[Nom],0)),"")</f>
        <v/>
      </c>
      <c r="D43" s="140"/>
      <c r="E43" s="159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58">
        <f>SUM(Planning!$E43:$W43)</f>
        <v>0</v>
      </c>
      <c r="Y43" s="180"/>
      <c r="Z43" s="157"/>
      <c r="AA43" s="138"/>
      <c r="AB43" s="138"/>
      <c r="AC43" s="138"/>
      <c r="AD43" s="138"/>
      <c r="AE43" s="138"/>
      <c r="AF43" s="138"/>
      <c r="AG43" s="138"/>
      <c r="AH43" s="138"/>
      <c r="AI43" s="138"/>
      <c r="AJ43" s="138"/>
      <c r="AK43" s="138"/>
      <c r="AL43" s="138"/>
      <c r="AM43" s="138"/>
      <c r="AN43" s="138"/>
      <c r="AO43" s="138"/>
      <c r="AP43" s="138"/>
      <c r="AQ43" s="138"/>
      <c r="AR43" s="138"/>
      <c r="AS43" s="147">
        <f t="shared" si="4"/>
        <v>0</v>
      </c>
      <c r="AT43" s="147">
        <f t="shared" si="5"/>
        <v>0</v>
      </c>
      <c r="AU43" s="156">
        <f t="shared" si="6"/>
        <v>0</v>
      </c>
      <c r="AV43" s="180"/>
      <c r="AW43" s="159"/>
      <c r="AX43" s="141"/>
      <c r="AY43" s="172"/>
      <c r="AZ43" s="180"/>
      <c r="BA43" s="168"/>
    </row>
    <row r="44" spans="2:53" x14ac:dyDescent="0.25">
      <c r="B44" s="136"/>
      <c r="C44" s="137" t="str">
        <f>IFERROR(INDEX(T_BdD[Prénom],MATCH($B44,T_BdD[Nom],0)),"")</f>
        <v/>
      </c>
      <c r="D44" s="137"/>
      <c r="E44" s="157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58">
        <f>SUM(Planning!$E44:$W44)</f>
        <v>0</v>
      </c>
      <c r="Y44" s="180"/>
      <c r="Z44" s="159"/>
      <c r="AA44" s="141"/>
      <c r="AB44" s="141"/>
      <c r="AC44" s="141"/>
      <c r="AD44" s="141"/>
      <c r="AE44" s="141"/>
      <c r="AF44" s="141"/>
      <c r="AG44" s="141"/>
      <c r="AH44" s="141"/>
      <c r="AI44" s="141"/>
      <c r="AJ44" s="141"/>
      <c r="AK44" s="141"/>
      <c r="AL44" s="141"/>
      <c r="AM44" s="141"/>
      <c r="AN44" s="141"/>
      <c r="AO44" s="141"/>
      <c r="AP44" s="141"/>
      <c r="AQ44" s="141"/>
      <c r="AR44" s="141"/>
      <c r="AS44" s="147">
        <f t="shared" si="4"/>
        <v>0</v>
      </c>
      <c r="AT44" s="147">
        <f t="shared" si="5"/>
        <v>0</v>
      </c>
      <c r="AU44" s="156">
        <f t="shared" si="6"/>
        <v>0</v>
      </c>
      <c r="AV44" s="180"/>
      <c r="AW44" s="157"/>
      <c r="AX44" s="138"/>
      <c r="AY44" s="171"/>
      <c r="AZ44" s="180"/>
      <c r="BA44" s="167"/>
    </row>
    <row r="45" spans="2:53" x14ac:dyDescent="0.25">
      <c r="B45" s="139"/>
      <c r="C45" s="140" t="str">
        <f>IFERROR(INDEX(T_BdD[Prénom],MATCH($B45,T_BdD[Nom],0)),"")</f>
        <v/>
      </c>
      <c r="D45" s="140"/>
      <c r="E45" s="159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58">
        <f>SUM(Planning!$E45:$W45)</f>
        <v>0</v>
      </c>
      <c r="Y45" s="180"/>
      <c r="Z45" s="157"/>
      <c r="AA45" s="138"/>
      <c r="AB45" s="138"/>
      <c r="AC45" s="138"/>
      <c r="AD45" s="138"/>
      <c r="AE45" s="138"/>
      <c r="AF45" s="138"/>
      <c r="AG45" s="138"/>
      <c r="AH45" s="138"/>
      <c r="AI45" s="138"/>
      <c r="AJ45" s="138"/>
      <c r="AK45" s="138"/>
      <c r="AL45" s="138"/>
      <c r="AM45" s="138"/>
      <c r="AN45" s="138"/>
      <c r="AO45" s="138"/>
      <c r="AP45" s="138"/>
      <c r="AQ45" s="138"/>
      <c r="AR45" s="138"/>
      <c r="AS45" s="147">
        <f t="shared" si="4"/>
        <v>0</v>
      </c>
      <c r="AT45" s="147">
        <f t="shared" si="5"/>
        <v>0</v>
      </c>
      <c r="AU45" s="156">
        <f t="shared" si="6"/>
        <v>0</v>
      </c>
      <c r="AV45" s="180"/>
      <c r="AW45" s="159"/>
      <c r="AX45" s="141"/>
      <c r="AY45" s="172"/>
      <c r="AZ45" s="180"/>
      <c r="BA45" s="168"/>
    </row>
    <row r="46" spans="2:53" x14ac:dyDescent="0.25">
      <c r="B46" s="136"/>
      <c r="C46" s="137" t="str">
        <f>IFERROR(INDEX(T_BdD[Prénom],MATCH($B46,T_BdD[Nom],0)),"")</f>
        <v/>
      </c>
      <c r="D46" s="137"/>
      <c r="E46" s="157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58">
        <f>SUM(Planning!$E46:$W46)</f>
        <v>0</v>
      </c>
      <c r="Y46" s="180"/>
      <c r="Z46" s="159"/>
      <c r="AA46" s="141"/>
      <c r="AB46" s="141"/>
      <c r="AC46" s="141"/>
      <c r="AD46" s="141"/>
      <c r="AE46" s="141"/>
      <c r="AF46" s="141"/>
      <c r="AG46" s="141"/>
      <c r="AH46" s="141"/>
      <c r="AI46" s="141"/>
      <c r="AJ46" s="141"/>
      <c r="AK46" s="141"/>
      <c r="AL46" s="141"/>
      <c r="AM46" s="141"/>
      <c r="AN46" s="141"/>
      <c r="AO46" s="141"/>
      <c r="AP46" s="141"/>
      <c r="AQ46" s="141"/>
      <c r="AR46" s="141"/>
      <c r="AS46" s="147">
        <f t="shared" si="4"/>
        <v>0</v>
      </c>
      <c r="AT46" s="147">
        <f t="shared" si="5"/>
        <v>0</v>
      </c>
      <c r="AU46" s="156">
        <f t="shared" si="6"/>
        <v>0</v>
      </c>
      <c r="AV46" s="180"/>
      <c r="AW46" s="157"/>
      <c r="AX46" s="138"/>
      <c r="AY46" s="171"/>
      <c r="AZ46" s="180"/>
      <c r="BA46" s="167"/>
    </row>
    <row r="47" spans="2:53" x14ac:dyDescent="0.25">
      <c r="B47" s="139"/>
      <c r="C47" s="140" t="str">
        <f>IFERROR(INDEX(T_BdD[Prénom],MATCH($B47,T_BdD[Nom],0)),"")</f>
        <v/>
      </c>
      <c r="D47" s="140"/>
      <c r="E47" s="159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58">
        <f>SUM(Planning!$E47:$W47)</f>
        <v>0</v>
      </c>
      <c r="Y47" s="180"/>
      <c r="Z47" s="157"/>
      <c r="AA47" s="138"/>
      <c r="AB47" s="138"/>
      <c r="AC47" s="138"/>
      <c r="AD47" s="138"/>
      <c r="AE47" s="138"/>
      <c r="AF47" s="138"/>
      <c r="AG47" s="138"/>
      <c r="AH47" s="138"/>
      <c r="AI47" s="138"/>
      <c r="AJ47" s="138"/>
      <c r="AK47" s="138"/>
      <c r="AL47" s="138"/>
      <c r="AM47" s="138"/>
      <c r="AN47" s="138"/>
      <c r="AO47" s="138"/>
      <c r="AP47" s="138"/>
      <c r="AQ47" s="138"/>
      <c r="AR47" s="138"/>
      <c r="AS47" s="147">
        <f t="shared" si="4"/>
        <v>0</v>
      </c>
      <c r="AT47" s="147">
        <f t="shared" si="5"/>
        <v>0</v>
      </c>
      <c r="AU47" s="156">
        <f t="shared" si="6"/>
        <v>0</v>
      </c>
      <c r="AV47" s="180"/>
      <c r="AW47" s="159"/>
      <c r="AX47" s="141"/>
      <c r="AY47" s="172"/>
      <c r="AZ47" s="180"/>
      <c r="BA47" s="168"/>
    </row>
    <row r="48" spans="2:53" x14ac:dyDescent="0.25">
      <c r="B48" s="136"/>
      <c r="C48" s="137" t="str">
        <f>IFERROR(INDEX(T_BdD[Prénom],MATCH($B48,T_BdD[Nom],0)),"")</f>
        <v/>
      </c>
      <c r="D48" s="137"/>
      <c r="E48" s="157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58">
        <f>SUM(Planning!$E48:$W48)</f>
        <v>0</v>
      </c>
      <c r="Y48" s="180"/>
      <c r="Z48" s="159"/>
      <c r="AA48" s="141"/>
      <c r="AB48" s="141"/>
      <c r="AC48" s="141"/>
      <c r="AD48" s="141"/>
      <c r="AE48" s="141"/>
      <c r="AF48" s="141"/>
      <c r="AG48" s="141"/>
      <c r="AH48" s="141"/>
      <c r="AI48" s="141"/>
      <c r="AJ48" s="141"/>
      <c r="AK48" s="141"/>
      <c r="AL48" s="141"/>
      <c r="AM48" s="141"/>
      <c r="AN48" s="141"/>
      <c r="AO48" s="141"/>
      <c r="AP48" s="141"/>
      <c r="AQ48" s="141"/>
      <c r="AR48" s="141"/>
      <c r="AS48" s="147">
        <f t="shared" si="4"/>
        <v>0</v>
      </c>
      <c r="AT48" s="147">
        <f t="shared" si="5"/>
        <v>0</v>
      </c>
      <c r="AU48" s="156">
        <f t="shared" si="6"/>
        <v>0</v>
      </c>
      <c r="AV48" s="180"/>
      <c r="AW48" s="157"/>
      <c r="AX48" s="138"/>
      <c r="AY48" s="171"/>
      <c r="AZ48" s="180"/>
      <c r="BA48" s="167"/>
    </row>
    <row r="49" spans="2:53" x14ac:dyDescent="0.25">
      <c r="B49" s="139"/>
      <c r="C49" s="140" t="str">
        <f>IFERROR(INDEX(T_BdD[Prénom],MATCH($B49,T_BdD[Nom],0)),"")</f>
        <v/>
      </c>
      <c r="D49" s="140"/>
      <c r="E49" s="159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58">
        <f>SUM(Planning!$E49:$W49)</f>
        <v>0</v>
      </c>
      <c r="Y49" s="180"/>
      <c r="Z49" s="162"/>
      <c r="AA49" s="148"/>
      <c r="AB49" s="148"/>
      <c r="AC49" s="148"/>
      <c r="AD49" s="148"/>
      <c r="AE49" s="148"/>
      <c r="AF49" s="148"/>
      <c r="AG49" s="148"/>
      <c r="AH49" s="148"/>
      <c r="AI49" s="148"/>
      <c r="AJ49" s="148"/>
      <c r="AK49" s="148"/>
      <c r="AL49" s="148"/>
      <c r="AM49" s="148"/>
      <c r="AN49" s="148"/>
      <c r="AO49" s="148"/>
      <c r="AP49" s="148"/>
      <c r="AQ49" s="148"/>
      <c r="AR49" s="149"/>
      <c r="AS49" s="147">
        <f t="shared" si="4"/>
        <v>0</v>
      </c>
      <c r="AT49" s="147">
        <f t="shared" si="5"/>
        <v>0</v>
      </c>
      <c r="AU49" s="156">
        <f t="shared" si="6"/>
        <v>0</v>
      </c>
      <c r="AV49" s="180"/>
      <c r="AW49" s="159"/>
      <c r="AX49" s="141"/>
      <c r="AY49" s="172"/>
      <c r="AZ49" s="180"/>
      <c r="BA49" s="168"/>
    </row>
    <row r="50" spans="2:53" x14ac:dyDescent="0.25">
      <c r="B50" s="142"/>
      <c r="C50" s="143" t="str">
        <f>IFERROR(INDEX(T_BdD[Prénom],MATCH($B50,T_BdD[Nom],0)),"")</f>
        <v/>
      </c>
      <c r="D50" s="143"/>
      <c r="E50" s="160"/>
      <c r="F50" s="144"/>
      <c r="G50" s="144"/>
      <c r="H50" s="144"/>
      <c r="I50" s="144"/>
      <c r="J50" s="144"/>
      <c r="K50" s="144"/>
      <c r="L50" s="144"/>
      <c r="M50" s="144"/>
      <c r="N50" s="144"/>
      <c r="O50" s="144"/>
      <c r="P50" s="144"/>
      <c r="Q50" s="144"/>
      <c r="R50" s="144"/>
      <c r="S50" s="144"/>
      <c r="T50" s="144"/>
      <c r="U50" s="144"/>
      <c r="V50" s="144"/>
      <c r="W50" s="144"/>
      <c r="X50" s="161">
        <f>SUM(Planning!$E50:$W50)</f>
        <v>0</v>
      </c>
      <c r="Y50" s="180"/>
      <c r="Z50" s="163"/>
      <c r="AA50" s="150"/>
      <c r="AB50" s="150"/>
      <c r="AC50" s="150"/>
      <c r="AD50" s="150"/>
      <c r="AE50" s="150"/>
      <c r="AF50" s="150"/>
      <c r="AG50" s="150"/>
      <c r="AH50" s="150"/>
      <c r="AI50" s="150"/>
      <c r="AJ50" s="150"/>
      <c r="AK50" s="150"/>
      <c r="AL50" s="150"/>
      <c r="AM50" s="150"/>
      <c r="AN50" s="150"/>
      <c r="AO50" s="150"/>
      <c r="AP50" s="150"/>
      <c r="AQ50" s="150"/>
      <c r="AR50" s="151"/>
      <c r="AS50" s="154">
        <f t="shared" si="4"/>
        <v>0</v>
      </c>
      <c r="AT50" s="154">
        <f t="shared" si="5"/>
        <v>0</v>
      </c>
      <c r="AU50" s="164">
        <f t="shared" si="6"/>
        <v>0</v>
      </c>
      <c r="AV50" s="180"/>
      <c r="AW50" s="160"/>
      <c r="AX50" s="144"/>
      <c r="AY50" s="173"/>
      <c r="AZ50" s="180"/>
      <c r="BA50" s="169"/>
    </row>
  </sheetData>
  <conditionalFormatting sqref="E2:W50 Z2:AR50">
    <cfRule type="expression" dxfId="9" priority="7" stopIfTrue="1">
      <formula>WEEKDAY(E$2,2)&gt;5</formula>
    </cfRule>
  </conditionalFormatting>
  <dataValidations count="4">
    <dataValidation type="list" allowBlank="1" showInputMessage="1" showErrorMessage="1" sqref="D3:D50" xr:uid="{64123C79-3963-4B37-9E9C-0AB14B12F7E0}">
      <formula1>L_Prestations</formula1>
    </dataValidation>
    <dataValidation type="list" allowBlank="1" showInputMessage="1" showErrorMessage="1" sqref="B3:B50" xr:uid="{65804DA7-4BE5-4E00-AA3E-D681F575B31E}">
      <formula1>L_Nom</formula1>
    </dataValidation>
    <dataValidation type="list" allowBlank="1" showInputMessage="1" showErrorMessage="1" sqref="BA3:BA50" xr:uid="{A5086C40-5BE2-449D-AB07-DCB525155B01}">
      <formula1>Péricentre</formula1>
    </dataValidation>
    <dataValidation type="list" allowBlank="1" showErrorMessage="1" prompt="Choisir dans la liste :_x000a_M = Matin, S  = Soir, _x000a_M + S = Matin et Soir_x000a_" sqref="Z3:AR50" xr:uid="{417C009C-E6C9-42B8-A902-03D81BBE7FF3}">
      <formula1>L_Garderie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D7E00-9C54-4C6D-BAE6-7BE08B4DC8F0}">
  <sheetPr codeName="Feuil3">
    <outlinePr summaryBelow="0" summaryRight="0"/>
    <pageSetUpPr fitToPage="1"/>
  </sheetPr>
  <dimension ref="A1:E66"/>
  <sheetViews>
    <sheetView showGridLines="0" showZeros="0" zoomScale="106" zoomScaleNormal="106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2" sqref="C2"/>
    </sheetView>
  </sheetViews>
  <sheetFormatPr baseColWidth="10" defaultRowHeight="15.75" outlineLevelRow="1" x14ac:dyDescent="0.25"/>
  <cols>
    <col min="1" max="1" width="8.7109375" style="37" customWidth="1"/>
    <col min="2" max="2" width="49.28515625" style="37" bestFit="1" customWidth="1"/>
    <col min="3" max="3" width="30.7109375" style="37" customWidth="1"/>
    <col min="4" max="4" width="12.7109375" style="40" customWidth="1"/>
    <col min="5" max="5" width="18.7109375" style="40" customWidth="1"/>
    <col min="6" max="16384" width="11.42578125" style="37"/>
  </cols>
  <sheetData>
    <row r="1" spans="1:5" x14ac:dyDescent="0.25">
      <c r="A1" s="196">
        <v>1</v>
      </c>
    </row>
    <row r="2" spans="1:5" x14ac:dyDescent="0.25">
      <c r="B2" s="38" t="s">
        <v>9</v>
      </c>
      <c r="C2" s="46"/>
      <c r="D2" s="204" t="s">
        <v>65</v>
      </c>
      <c r="E2" s="205"/>
    </row>
    <row r="3" spans="1:5" x14ac:dyDescent="0.25">
      <c r="B3" s="38" t="s">
        <v>10</v>
      </c>
      <c r="C3" s="46" t="str">
        <f>IFERROR(INDEX(T_BdD[Prénom],MATCH($C$2,T_BdD[Nom],0)),"")</f>
        <v/>
      </c>
      <c r="D3" s="206"/>
      <c r="E3" s="207"/>
    </row>
    <row r="4" spans="1:5" x14ac:dyDescent="0.25">
      <c r="B4" s="38" t="s">
        <v>66</v>
      </c>
      <c r="C4" s="46" t="str">
        <f>IFERROR(INDEX(T_BdD[Adresse],MATCH($C$2,T_BdD[Nom],0)),"")</f>
        <v/>
      </c>
      <c r="D4" s="206"/>
      <c r="E4" s="207"/>
    </row>
    <row r="5" spans="1:5" x14ac:dyDescent="0.25">
      <c r="B5" s="38" t="s">
        <v>69</v>
      </c>
      <c r="C5" s="46" t="str">
        <f>IFERROR(TEXT(INDEX(T_BdD[Code postal],MATCH($C$2,T_BdD[Nom],0)),"00000")&amp;" "&amp;INDEX(T_BdD[Ville],MATCH($C$2,T_BdD[Nom],0)),"")</f>
        <v/>
      </c>
      <c r="D5" s="206"/>
      <c r="E5" s="207"/>
    </row>
    <row r="6" spans="1:5" x14ac:dyDescent="0.25">
      <c r="B6" s="38" t="s">
        <v>34</v>
      </c>
      <c r="C6" s="47" t="str">
        <f>IFERROR(INDEX(T_BdD[Téléphone],MATCH($C$2,T_BdD[Nom],0)),"")</f>
        <v/>
      </c>
      <c r="D6" s="206"/>
      <c r="E6" s="207"/>
    </row>
    <row r="7" spans="1:5" x14ac:dyDescent="0.25">
      <c r="B7" s="38" t="s">
        <v>12</v>
      </c>
      <c r="C7" s="46" t="str">
        <f>IFERROR(INDEX(T_BdD[Adresse mail],MATCH($C$2,T_BdD[Nom],0)),"")</f>
        <v/>
      </c>
      <c r="D7" s="206"/>
      <c r="E7" s="207"/>
    </row>
    <row r="8" spans="1:5" x14ac:dyDescent="0.25">
      <c r="B8" s="38" t="s">
        <v>32</v>
      </c>
      <c r="C8" s="46" t="str">
        <f>IFERROR(INDEX(T_BdD[Contact],MATCH($C$2,T_BdD[Nom],0)),"")</f>
        <v/>
      </c>
      <c r="D8" s="206"/>
      <c r="E8" s="207"/>
    </row>
    <row r="9" spans="1:5" x14ac:dyDescent="0.25">
      <c r="B9" s="38" t="s">
        <v>33</v>
      </c>
      <c r="C9" s="46" t="str">
        <f>IFERROR(INDEX(T_BdD[Lien avec l''enfant],MATCH($C$2,T_BdD[Nom],0)),"")</f>
        <v/>
      </c>
      <c r="D9" s="206"/>
      <c r="E9" s="207"/>
    </row>
    <row r="10" spans="1:5" x14ac:dyDescent="0.25">
      <c r="B10" s="38" t="s">
        <v>79</v>
      </c>
      <c r="C10" s="47" t="str">
        <f>IFERROR(INDEX(T_BdD[Téléphone2],MATCH($C$2,T_BdD[Nom],0)),"")</f>
        <v/>
      </c>
      <c r="D10" s="206"/>
      <c r="E10" s="207"/>
    </row>
    <row r="11" spans="1:5" x14ac:dyDescent="0.25">
      <c r="B11" s="41"/>
      <c r="C11" s="39"/>
      <c r="D11" s="206"/>
      <c r="E11" s="207"/>
    </row>
    <row r="12" spans="1:5" x14ac:dyDescent="0.25">
      <c r="B12" s="38" t="s">
        <v>13</v>
      </c>
      <c r="C12" s="79" t="str">
        <f>IFERROR(INDEX(T_BdD[Age],MATCH($C$2,T_BdD[Nom],0)),"")</f>
        <v/>
      </c>
      <c r="D12" s="206"/>
      <c r="E12" s="207"/>
    </row>
    <row r="13" spans="1:5" x14ac:dyDescent="0.25">
      <c r="B13" s="38" t="s">
        <v>11</v>
      </c>
      <c r="C13" s="46" t="str">
        <f>IFERROR(INDEX(T_BdD[Quotient familial],MATCH($C$2,T_BdD[Nom],0)),"")</f>
        <v/>
      </c>
      <c r="D13" s="206"/>
      <c r="E13" s="207"/>
    </row>
    <row r="14" spans="1:5" x14ac:dyDescent="0.25">
      <c r="B14" s="38" t="s">
        <v>28</v>
      </c>
      <c r="C14" s="46" t="str">
        <f>IFERROR(INDEX(T_BdD[Adhérent],MATCH($C$2,T_BdD[Nom],0)),"")</f>
        <v/>
      </c>
      <c r="D14" s="208"/>
      <c r="E14" s="209"/>
    </row>
    <row r="16" spans="1:5" x14ac:dyDescent="0.25">
      <c r="B16" s="193" t="s">
        <v>97</v>
      </c>
      <c r="C16" s="37" t="str">
        <f ca="1">TEXT(TODAY(),"jjmmaaa")&amp;"ASSO"&amp;TEXT(A1,0)</f>
        <v>16082019ASSO1</v>
      </c>
    </row>
    <row r="17" spans="2:5" x14ac:dyDescent="0.25">
      <c r="B17" s="193" t="s">
        <v>36</v>
      </c>
      <c r="C17" s="195">
        <f ca="1">TODAY()</f>
        <v>43693</v>
      </c>
      <c r="D17" s="189"/>
    </row>
    <row r="19" spans="2:5" s="42" customFormat="1" outlineLevel="1" x14ac:dyDescent="0.25">
      <c r="B19" s="48" t="s">
        <v>64</v>
      </c>
      <c r="C19" s="213" t="s">
        <v>25</v>
      </c>
      <c r="D19" s="214"/>
      <c r="E19" s="49" t="s">
        <v>26</v>
      </c>
    </row>
    <row r="20" spans="2:5" outlineLevel="1" x14ac:dyDescent="0.25">
      <c r="B20" s="183">
        <f>IFERROR(INDEX(Planning!$BA$3:$BA$50,MATCH($C$2,Planning!B3:B50,0)),0)</f>
        <v>0</v>
      </c>
      <c r="C20" s="215" t="str">
        <f>IFERROR(INDEX(L_periode,MATCH($B$20,Péricentre,0)),"")</f>
        <v/>
      </c>
      <c r="D20" s="215"/>
      <c r="E20" s="184">
        <f>IF($C14="oui",Paramètres!P9,Paramètres!P19)</f>
        <v>0</v>
      </c>
    </row>
    <row r="21" spans="2:5" ht="15" customHeight="1" x14ac:dyDescent="0.25"/>
    <row r="22" spans="2:5" outlineLevel="1" x14ac:dyDescent="0.25">
      <c r="B22" s="50" t="s">
        <v>94</v>
      </c>
      <c r="C22" s="50" t="s">
        <v>25</v>
      </c>
      <c r="D22" s="50" t="s">
        <v>30</v>
      </c>
      <c r="E22" s="49" t="s">
        <v>26</v>
      </c>
    </row>
    <row r="23" spans="2:5" outlineLevel="1" x14ac:dyDescent="0.25">
      <c r="B23" s="129"/>
      <c r="C23" s="129"/>
      <c r="D23" s="52"/>
      <c r="E23" s="43"/>
    </row>
    <row r="24" spans="2:5" ht="15.75" customHeight="1" outlineLevel="1" x14ac:dyDescent="0.25">
      <c r="B24" s="53" t="str">
        <f>IF(ISNUMBER(SEARCH("journée",INDEX(Planning!$D$3:$D$50,MATCH($C$2,Planning!$B$3:$B$50,0)))),INDEX(Planning!$D$3:$D$50,MATCH($C$2,Planning!$B$3:$B$50,0)),"")</f>
        <v/>
      </c>
      <c r="C24" s="54">
        <v>43654</v>
      </c>
      <c r="D24" s="55">
        <f>IFERROR(INDEX(Planning!$E$3:$E$50,MATCH($C$2,Planning!$B$3:$B$50,0)),0)</f>
        <v>0</v>
      </c>
      <c r="E24" s="56">
        <f>IF(D24&lt;&gt;0,Paramètres!$L$38,0)</f>
        <v>0</v>
      </c>
    </row>
    <row r="25" spans="2:5" outlineLevel="1" x14ac:dyDescent="0.25">
      <c r="B25" s="53" t="str">
        <f>$B$24</f>
        <v/>
      </c>
      <c r="C25" s="54">
        <f>C24+1</f>
        <v>43655</v>
      </c>
      <c r="D25" s="55">
        <f>IFERROR(INDEX(Planning!$F$3:$F$50,MATCH($C$2,Planning!$B$3:$B$50,0)),0)</f>
        <v>0</v>
      </c>
      <c r="E25" s="56">
        <f>IF(D25&lt;&gt;0,Paramètres!$L$38,0)</f>
        <v>0</v>
      </c>
    </row>
    <row r="26" spans="2:5" outlineLevel="1" x14ac:dyDescent="0.25">
      <c r="B26" s="53" t="str">
        <f t="shared" ref="B26:B28" si="0">$B$24</f>
        <v/>
      </c>
      <c r="C26" s="54">
        <f t="shared" ref="C26:C28" si="1">C25+1</f>
        <v>43656</v>
      </c>
      <c r="D26" s="55">
        <f>IFERROR(INDEX(Planning!$G$3:$G$50,MATCH($C$2,Planning!$B$3:$B$50,0)),0)</f>
        <v>0</v>
      </c>
      <c r="E26" s="56">
        <f>IF(D26&lt;&gt;0,Paramètres!$L$38,0)</f>
        <v>0</v>
      </c>
    </row>
    <row r="27" spans="2:5" outlineLevel="1" x14ac:dyDescent="0.25">
      <c r="B27" s="53" t="str">
        <f t="shared" si="0"/>
        <v/>
      </c>
      <c r="C27" s="54">
        <f t="shared" si="1"/>
        <v>43657</v>
      </c>
      <c r="D27" s="55">
        <f>IFERROR(INDEX(Planning!$H$3:$H$50,MATCH($C$2,Planning!$B$3:$B$50,0)),0)</f>
        <v>0</v>
      </c>
      <c r="E27" s="56">
        <f>IF(D27&lt;&gt;0,Paramètres!$L$38,0)</f>
        <v>0</v>
      </c>
    </row>
    <row r="28" spans="2:5" outlineLevel="1" x14ac:dyDescent="0.25">
      <c r="B28" s="53" t="str">
        <f t="shared" si="0"/>
        <v/>
      </c>
      <c r="C28" s="54">
        <f t="shared" si="1"/>
        <v>43658</v>
      </c>
      <c r="D28" s="55">
        <f>IFERROR(INDEX(Planning!$I$3:$I$50,MATCH($C$2,Planning!$B$3:$B$50,0)),0)</f>
        <v>0</v>
      </c>
      <c r="E28" s="56">
        <f>IF(D28&lt;&gt;0,Paramètres!$L$38,0)</f>
        <v>0</v>
      </c>
    </row>
    <row r="29" spans="2:5" outlineLevel="1" x14ac:dyDescent="0.25">
      <c r="B29" s="57"/>
      <c r="C29" s="57"/>
      <c r="D29" s="55"/>
      <c r="E29" s="56"/>
    </row>
    <row r="30" spans="2:5" outlineLevel="1" x14ac:dyDescent="0.25">
      <c r="B30" s="53" t="str">
        <f t="shared" ref="B30:B34" si="2">$B$24</f>
        <v/>
      </c>
      <c r="C30" s="54">
        <f>C28+3</f>
        <v>43661</v>
      </c>
      <c r="D30" s="55">
        <f>IFERROR(INDEX(Planning!$L$3:$L$50,MATCH($C$2,Planning!$B$3:$B$50,0)),0)</f>
        <v>0</v>
      </c>
      <c r="E30" s="56">
        <f>IF(D30&lt;&gt;0,Paramètres!$L$38,0)</f>
        <v>0</v>
      </c>
    </row>
    <row r="31" spans="2:5" outlineLevel="1" x14ac:dyDescent="0.25">
      <c r="B31" s="53" t="str">
        <f t="shared" si="2"/>
        <v/>
      </c>
      <c r="C31" s="54">
        <f>C30+1</f>
        <v>43662</v>
      </c>
      <c r="D31" s="55">
        <f>IFERROR(INDEX(Planning!$M$3:$M$50,MATCH($C$2,Planning!$B$3:$B$50,0)),0)</f>
        <v>0</v>
      </c>
      <c r="E31" s="56">
        <f>IF(D31&lt;&gt;0,Paramètres!$L$38,0)</f>
        <v>0</v>
      </c>
    </row>
    <row r="32" spans="2:5" outlineLevel="1" x14ac:dyDescent="0.25">
      <c r="B32" s="53" t="str">
        <f t="shared" si="2"/>
        <v/>
      </c>
      <c r="C32" s="54">
        <f t="shared" ref="C32:C34" si="3">C31+1</f>
        <v>43663</v>
      </c>
      <c r="D32" s="55">
        <f>IFERROR(INDEX(Planning!$N$3:$N$50,MATCH($C$2,Planning!$B$3:$B$50,0)),0)</f>
        <v>0</v>
      </c>
      <c r="E32" s="56">
        <f>IF(D32&lt;&gt;0,Paramètres!$L$38,0)</f>
        <v>0</v>
      </c>
    </row>
    <row r="33" spans="2:5" outlineLevel="1" x14ac:dyDescent="0.25">
      <c r="B33" s="53" t="str">
        <f t="shared" si="2"/>
        <v/>
      </c>
      <c r="C33" s="54">
        <f t="shared" si="3"/>
        <v>43664</v>
      </c>
      <c r="D33" s="55">
        <f>IFERROR(INDEX(Planning!$O$3:$O$50,MATCH($C$2,Planning!$B$3:$B$50,0)),0)</f>
        <v>0</v>
      </c>
      <c r="E33" s="56">
        <f>IF(D33&lt;&gt;0,Paramètres!$L$38,0)</f>
        <v>0</v>
      </c>
    </row>
    <row r="34" spans="2:5" outlineLevel="1" x14ac:dyDescent="0.25">
      <c r="B34" s="53" t="str">
        <f t="shared" si="2"/>
        <v/>
      </c>
      <c r="C34" s="54">
        <f t="shared" si="3"/>
        <v>43665</v>
      </c>
      <c r="D34" s="55">
        <f>IFERROR(INDEX(Planning!$P$3:$P$50,MATCH($C$2,Planning!$B$3:$B$50,0)),0)</f>
        <v>0</v>
      </c>
      <c r="E34" s="56">
        <f>IF(D34&lt;&gt;0,Paramètres!$L$38,0)</f>
        <v>0</v>
      </c>
    </row>
    <row r="35" spans="2:5" outlineLevel="1" x14ac:dyDescent="0.25">
      <c r="B35" s="57"/>
      <c r="C35" s="57"/>
      <c r="D35" s="55"/>
      <c r="E35" s="56"/>
    </row>
    <row r="36" spans="2:5" outlineLevel="1" x14ac:dyDescent="0.25">
      <c r="B36" s="53" t="str">
        <f t="shared" ref="B36:B40" si="4">$B$24</f>
        <v/>
      </c>
      <c r="C36" s="54">
        <f>C34+3</f>
        <v>43668</v>
      </c>
      <c r="D36" s="55">
        <f>IFERROR(INDEX(Planning!$S$3:$S$50,MATCH($C$2,Planning!$B$3:$B$50,0)),0)</f>
        <v>0</v>
      </c>
      <c r="E36" s="56">
        <f>IF(D36&lt;&gt;0,Paramètres!$L$38,0)</f>
        <v>0</v>
      </c>
    </row>
    <row r="37" spans="2:5" outlineLevel="1" x14ac:dyDescent="0.25">
      <c r="B37" s="53" t="str">
        <f t="shared" si="4"/>
        <v/>
      </c>
      <c r="C37" s="54">
        <f>C36+1</f>
        <v>43669</v>
      </c>
      <c r="D37" s="55">
        <f>IFERROR(INDEX(Planning!$T$3:$T$50,MATCH($C$2,Planning!$B$3:$B$50,0)),0)</f>
        <v>0</v>
      </c>
      <c r="E37" s="56">
        <f>IF(D37&lt;&gt;0,Paramètres!$L$38,0)</f>
        <v>0</v>
      </c>
    </row>
    <row r="38" spans="2:5" outlineLevel="1" x14ac:dyDescent="0.25">
      <c r="B38" s="53" t="str">
        <f t="shared" si="4"/>
        <v/>
      </c>
      <c r="C38" s="54">
        <f t="shared" ref="C38:C40" si="5">C37+1</f>
        <v>43670</v>
      </c>
      <c r="D38" s="55">
        <f>IFERROR(INDEX(Planning!$U$3:$U$50,MATCH($C$2,Planning!$B$3:$B$50,0)),0)</f>
        <v>0</v>
      </c>
      <c r="E38" s="56">
        <f>IF(D38&lt;&gt;0,Paramètres!$L$38,0)</f>
        <v>0</v>
      </c>
    </row>
    <row r="39" spans="2:5" outlineLevel="1" x14ac:dyDescent="0.25">
      <c r="B39" s="53" t="str">
        <f t="shared" si="4"/>
        <v/>
      </c>
      <c r="C39" s="54">
        <f t="shared" si="5"/>
        <v>43671</v>
      </c>
      <c r="D39" s="55">
        <f>IFERROR(INDEX(Planning!$V$3:$V$50,MATCH($C$2,Planning!$B$3:$B$50,0)),0)</f>
        <v>0</v>
      </c>
      <c r="E39" s="56">
        <f>IF(D39&lt;&gt;0,Paramètres!$L$38,0)</f>
        <v>0</v>
      </c>
    </row>
    <row r="40" spans="2:5" outlineLevel="1" x14ac:dyDescent="0.25">
      <c r="B40" s="53" t="str">
        <f t="shared" si="4"/>
        <v/>
      </c>
      <c r="C40" s="54">
        <f t="shared" si="5"/>
        <v>43672</v>
      </c>
      <c r="D40" s="55">
        <f>IFERROR(INDEX(Planning!$W$3:$W$50,MATCH($C$2,Planning!$B$3:$B$50,0)),0)</f>
        <v>0</v>
      </c>
      <c r="E40" s="56">
        <f>IF(D40&lt;&gt;0,Paramètres!$L$38,0)</f>
        <v>0</v>
      </c>
    </row>
    <row r="41" spans="2:5" outlineLevel="1" x14ac:dyDescent="0.25">
      <c r="B41" s="44"/>
      <c r="C41" s="190"/>
      <c r="D41" s="122"/>
      <c r="E41" s="45"/>
    </row>
    <row r="42" spans="2:5" ht="15" customHeight="1" x14ac:dyDescent="0.25"/>
    <row r="43" spans="2:5" outlineLevel="1" x14ac:dyDescent="0.25">
      <c r="B43" s="50" t="s">
        <v>81</v>
      </c>
      <c r="C43" s="50" t="s">
        <v>96</v>
      </c>
      <c r="D43" s="50" t="s">
        <v>95</v>
      </c>
      <c r="E43" s="49" t="s">
        <v>26</v>
      </c>
    </row>
    <row r="44" spans="2:5" outlineLevel="1" x14ac:dyDescent="0.25">
      <c r="B44" s="129"/>
      <c r="C44" s="129"/>
      <c r="D44" s="52"/>
      <c r="E44" s="43"/>
    </row>
    <row r="45" spans="2:5" outlineLevel="1" x14ac:dyDescent="0.25">
      <c r="B45" s="53" t="s">
        <v>90</v>
      </c>
      <c r="C45" s="56">
        <v>1.25</v>
      </c>
      <c r="D45" s="181">
        <f>IFERROR(INDEX(Planning!$AS$3:$AS$50,MATCH($C$2,Planning!$B$3:$B$50,0)),0)</f>
        <v>0</v>
      </c>
      <c r="E45" s="56">
        <f>IF(D45&lt;&gt;0,C45*D45,0)</f>
        <v>0</v>
      </c>
    </row>
    <row r="46" spans="2:5" outlineLevel="1" x14ac:dyDescent="0.25">
      <c r="B46" s="53" t="s">
        <v>91</v>
      </c>
      <c r="C46" s="56">
        <v>1.25</v>
      </c>
      <c r="D46" s="181">
        <f>IFERROR(INDEX(Planning!$AT$3:$AT$50,MATCH($C$2,Planning!$B$3:$B$50,0)),0)</f>
        <v>0</v>
      </c>
      <c r="E46" s="56">
        <f t="shared" ref="E46:E47" si="6">IF(D46&lt;&gt;0,C46*D46,0)</f>
        <v>0</v>
      </c>
    </row>
    <row r="47" spans="2:5" outlineLevel="1" x14ac:dyDescent="0.25">
      <c r="B47" s="53" t="s">
        <v>92</v>
      </c>
      <c r="C47" s="56">
        <v>2.5</v>
      </c>
      <c r="D47" s="181">
        <f>IFERROR(INDEX(Planning!$AU$3:$AU$50,MATCH($C$2,Planning!$B$3:$B$50,0)),0)</f>
        <v>0</v>
      </c>
      <c r="E47" s="56">
        <f t="shared" si="6"/>
        <v>0</v>
      </c>
    </row>
    <row r="48" spans="2:5" outlineLevel="1" x14ac:dyDescent="0.25">
      <c r="B48" s="185"/>
      <c r="C48" s="186"/>
      <c r="D48" s="187"/>
      <c r="E48" s="188"/>
    </row>
    <row r="49" spans="2:5" ht="15" customHeight="1" x14ac:dyDescent="0.25"/>
    <row r="50" spans="2:5" outlineLevel="1" x14ac:dyDescent="0.25">
      <c r="B50" s="50" t="s">
        <v>50</v>
      </c>
      <c r="C50" s="50" t="s">
        <v>25</v>
      </c>
      <c r="D50" s="50" t="s">
        <v>30</v>
      </c>
      <c r="E50" s="49" t="s">
        <v>26</v>
      </c>
    </row>
    <row r="51" spans="2:5" outlineLevel="1" x14ac:dyDescent="0.25">
      <c r="B51" s="57"/>
      <c r="C51" s="57"/>
      <c r="D51" s="55"/>
      <c r="E51" s="56"/>
    </row>
    <row r="52" spans="2:5" outlineLevel="1" x14ac:dyDescent="0.25">
      <c r="B52" s="53" t="str">
        <f>IF(ISNUMBER(SEARCH("semaine",INDEX(Planning!$D$3:$D$50,MATCH($C$2,Planning!$B$3:$B$50,0)))),INDEX(Planning!$D$3:$D$50,MATCH($C$2,Planning!$B$3:$B$50,0)),"")</f>
        <v/>
      </c>
      <c r="C52" s="57" t="str">
        <f>"Semaine "&amp;WEEKNUM(C24,2)</f>
        <v>Semaine 28</v>
      </c>
      <c r="D52" s="181">
        <f>IFERROR(INDEX(Planning!$AW$3:$AW$50,MATCH($C$2,Planning!$B$3:$B$50,0)),0)</f>
        <v>0</v>
      </c>
      <c r="E52" s="56">
        <f>IF(D52&lt;&gt;0,Paramètres!$M$38,0)</f>
        <v>0</v>
      </c>
    </row>
    <row r="53" spans="2:5" outlineLevel="1" x14ac:dyDescent="0.25">
      <c r="B53" s="53" t="str">
        <f>B52</f>
        <v/>
      </c>
      <c r="C53" s="57" t="str">
        <f>"Semaine "&amp;WEEKNUM(C30,2)</f>
        <v>Semaine 29</v>
      </c>
      <c r="D53" s="181">
        <f>IFERROR(INDEX(Planning!$AX$3:$AX$50,MATCH($C$2,Planning!$B$3:$B$50,0)),0)</f>
        <v>0</v>
      </c>
      <c r="E53" s="56">
        <f>IF(D53&lt;&gt;0,Paramètres!$M$38,0)</f>
        <v>0</v>
      </c>
    </row>
    <row r="54" spans="2:5" outlineLevel="1" x14ac:dyDescent="0.25">
      <c r="B54" s="53" t="str">
        <f>B52</f>
        <v/>
      </c>
      <c r="C54" s="57" t="str">
        <f>"Semaine "&amp;WEEKNUM(C36,2)</f>
        <v>Semaine 30</v>
      </c>
      <c r="D54" s="181">
        <f>IFERROR(INDEX(Planning!$AY$3:$AY$50,MATCH($C$2,Planning!$B$3:$B$50,0)),0)</f>
        <v>0</v>
      </c>
      <c r="E54" s="56">
        <f>IF(D54&lt;&gt;0,Paramètres!$M$38,0)</f>
        <v>0</v>
      </c>
    </row>
    <row r="55" spans="2:5" outlineLevel="1" x14ac:dyDescent="0.25">
      <c r="B55" s="44"/>
      <c r="C55" s="117"/>
      <c r="D55" s="122"/>
      <c r="E55" s="45"/>
    </row>
    <row r="56" spans="2:5" ht="15" customHeight="1" x14ac:dyDescent="0.25"/>
    <row r="57" spans="2:5" x14ac:dyDescent="0.25">
      <c r="B57" s="210" t="s">
        <v>93</v>
      </c>
      <c r="C57" s="211"/>
      <c r="D57" s="212"/>
      <c r="E57" s="51">
        <f>SUM(E19:E56)</f>
        <v>0</v>
      </c>
    </row>
    <row r="58" spans="2:5" x14ac:dyDescent="0.25">
      <c r="B58" s="222"/>
      <c r="C58" s="222"/>
      <c r="D58" s="223"/>
      <c r="E58" s="223"/>
    </row>
    <row r="59" spans="2:5" x14ac:dyDescent="0.25">
      <c r="B59" s="228" t="s">
        <v>109</v>
      </c>
      <c r="C59" s="228"/>
      <c r="D59" s="228"/>
      <c r="E59" s="228"/>
    </row>
    <row r="60" spans="2:5" x14ac:dyDescent="0.25">
      <c r="B60" s="224"/>
      <c r="C60" s="224"/>
      <c r="D60" s="224"/>
      <c r="E60" s="224"/>
    </row>
    <row r="61" spans="2:5" x14ac:dyDescent="0.25">
      <c r="B61" s="226"/>
      <c r="C61" s="224"/>
      <c r="D61" s="224"/>
      <c r="E61" s="224"/>
    </row>
    <row r="62" spans="2:5" x14ac:dyDescent="0.25">
      <c r="B62" s="229" t="s">
        <v>105</v>
      </c>
      <c r="D62" s="37"/>
      <c r="E62" s="37"/>
    </row>
    <row r="63" spans="2:5" x14ac:dyDescent="0.25">
      <c r="B63" s="225" t="s">
        <v>106</v>
      </c>
      <c r="D63" s="37"/>
      <c r="E63" s="37"/>
    </row>
    <row r="64" spans="2:5" x14ac:dyDescent="0.25">
      <c r="B64" s="225" t="s">
        <v>107</v>
      </c>
      <c r="D64" s="37"/>
      <c r="E64" s="37"/>
    </row>
    <row r="65" spans="2:5" x14ac:dyDescent="0.25">
      <c r="B65" s="225" t="s">
        <v>108</v>
      </c>
      <c r="D65" s="37"/>
      <c r="E65" s="37"/>
    </row>
    <row r="66" spans="2:5" x14ac:dyDescent="0.25">
      <c r="B66" s="227"/>
    </row>
  </sheetData>
  <mergeCells count="5">
    <mergeCell ref="B59:E59"/>
    <mergeCell ref="D2:E14"/>
    <mergeCell ref="B57:D57"/>
    <mergeCell ref="C19:D19"/>
    <mergeCell ref="C20:D20"/>
  </mergeCells>
  <dataValidations count="1">
    <dataValidation type="list" allowBlank="1" showInputMessage="1" showErrorMessage="1" sqref="C2" xr:uid="{7BA52878-38E5-49BD-9AC1-1BA4D869E059}">
      <formula1>L_Nom</formula1>
    </dataValidation>
  </dataValidations>
  <printOptions horizontalCentered="1" verticalCentered="1"/>
  <pageMargins left="0" right="0.39370078740157483" top="0" bottom="0" header="0" footer="0"/>
  <pageSetup paperSize="9" scale="8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Label 3">
              <controlPr defaultSize="0" print="0" autoFill="0" autoLine="0" autoPict="0" macro="[0]!Étiquette3_Cliquer">
                <anchor>
                  <from>
                    <xdr:col>0</xdr:col>
                    <xdr:colOff>76200</xdr:colOff>
                    <xdr:row>9</xdr:row>
                    <xdr:rowOff>190500</xdr:rowOff>
                  </from>
                  <to>
                    <xdr:col>0</xdr:col>
                    <xdr:colOff>552450</xdr:colOff>
                    <xdr:row>11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Label 4">
              <controlPr defaultSize="0" print="0" autoFill="0" autoLine="0" autoPict="0">
                <anchor>
                  <from>
                    <xdr:col>0</xdr:col>
                    <xdr:colOff>57150</xdr:colOff>
                    <xdr:row>5</xdr:row>
                    <xdr:rowOff>47625</xdr:rowOff>
                  </from>
                  <to>
                    <xdr:col>0</xdr:col>
                    <xdr:colOff>533400</xdr:colOff>
                    <xdr:row>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E7CC4-A536-4ED7-A334-4049DEFDB669}">
  <sheetPr codeName="Feuil4"/>
  <dimension ref="B2:I4"/>
  <sheetViews>
    <sheetView showGridLines="0" showZeros="0" workbookViewId="0">
      <selection activeCell="B2" sqref="B2"/>
    </sheetView>
  </sheetViews>
  <sheetFormatPr baseColWidth="10" defaultRowHeight="15" x14ac:dyDescent="0.25"/>
  <cols>
    <col min="1" max="1" width="5.7109375" style="194" customWidth="1"/>
    <col min="2" max="2" width="20.7109375" style="194" customWidth="1"/>
    <col min="3" max="5" width="15.7109375" style="194" customWidth="1"/>
    <col min="6" max="6" width="16.5703125" style="194" customWidth="1"/>
    <col min="7" max="7" width="15.7109375" style="194" customWidth="1"/>
    <col min="8" max="8" width="17.140625" style="194" customWidth="1"/>
    <col min="9" max="16384" width="11.42578125" style="194"/>
  </cols>
  <sheetData>
    <row r="2" spans="2:9" s="233" customFormat="1" ht="30" customHeight="1" x14ac:dyDescent="0.25">
      <c r="B2" s="230" t="s">
        <v>9</v>
      </c>
      <c r="C2" s="231" t="s">
        <v>98</v>
      </c>
      <c r="D2" s="231" t="s">
        <v>99</v>
      </c>
      <c r="E2" s="231" t="s">
        <v>64</v>
      </c>
      <c r="F2" s="231" t="s">
        <v>100</v>
      </c>
      <c r="G2" s="231" t="s">
        <v>81</v>
      </c>
      <c r="H2" s="231" t="s">
        <v>101</v>
      </c>
      <c r="I2" s="232" t="s">
        <v>102</v>
      </c>
    </row>
    <row r="3" spans="2:9" ht="15.75" x14ac:dyDescent="0.25">
      <c r="B3" s="197"/>
      <c r="C3" s="198"/>
      <c r="D3" s="199"/>
      <c r="E3" s="200"/>
      <c r="F3" s="200"/>
      <c r="G3" s="200"/>
      <c r="H3" s="200"/>
      <c r="I3" s="201"/>
    </row>
    <row r="4" spans="2:9" s="14" customFormat="1" x14ac:dyDescent="0.25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ED32B-4409-4F2A-877A-669213B2D739}">
  <sheetPr codeName="Feuil5"/>
  <dimension ref="B1:S48"/>
  <sheetViews>
    <sheetView showGridLines="0" workbookViewId="0">
      <selection activeCell="B1" sqref="B1:P1"/>
    </sheetView>
  </sheetViews>
  <sheetFormatPr baseColWidth="10" defaultColWidth="83.85546875" defaultRowHeight="15" outlineLevelCol="1" x14ac:dyDescent="0.25"/>
  <cols>
    <col min="1" max="1" width="2.7109375" customWidth="1"/>
    <col min="2" max="2" width="46.28515625" hidden="1" customWidth="1" outlineLevel="1"/>
    <col min="3" max="4" width="20.7109375" style="18" hidden="1" customWidth="1" outlineLevel="1"/>
    <col min="5" max="8" width="15.7109375" style="18" hidden="1" customWidth="1" outlineLevel="1"/>
    <col min="9" max="9" width="7.5703125" style="58" hidden="1" customWidth="1" outlineLevel="1"/>
    <col min="10" max="10" width="2.7109375" hidden="1" customWidth="1" outlineLevel="1"/>
    <col min="11" max="11" width="24.85546875" style="18" bestFit="1" customWidth="1" collapsed="1"/>
    <col min="12" max="15" width="25.7109375" customWidth="1"/>
    <col min="16" max="16" width="25.7109375" style="18" customWidth="1"/>
    <col min="17" max="19" width="25.7109375" customWidth="1"/>
    <col min="20" max="70" width="12.7109375" customWidth="1"/>
  </cols>
  <sheetData>
    <row r="1" spans="2:16" ht="18.75" x14ac:dyDescent="0.3">
      <c r="B1" s="217" t="s">
        <v>1</v>
      </c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</row>
    <row r="2" spans="2:16" s="22" customFormat="1" ht="30" x14ac:dyDescent="0.25">
      <c r="B2" s="19" t="s">
        <v>0</v>
      </c>
      <c r="C2" s="20" t="s">
        <v>29</v>
      </c>
      <c r="D2" s="20" t="s">
        <v>25</v>
      </c>
      <c r="E2" s="20" t="s">
        <v>2</v>
      </c>
      <c r="F2" s="20" t="s">
        <v>3</v>
      </c>
      <c r="G2" s="20" t="s">
        <v>4</v>
      </c>
      <c r="H2" s="21" t="s">
        <v>5</v>
      </c>
      <c r="I2" s="91" t="s">
        <v>35</v>
      </c>
      <c r="K2" s="26" t="s">
        <v>27</v>
      </c>
      <c r="L2" s="26" t="s">
        <v>14</v>
      </c>
      <c r="M2" s="26" t="s">
        <v>17</v>
      </c>
      <c r="N2" s="26" t="s">
        <v>19</v>
      </c>
      <c r="O2" s="26" t="s">
        <v>23</v>
      </c>
      <c r="P2" s="28"/>
    </row>
    <row r="3" spans="2:16" x14ac:dyDescent="0.25">
      <c r="B3" s="3" t="s">
        <v>14</v>
      </c>
      <c r="C3" s="15" t="s">
        <v>15</v>
      </c>
      <c r="D3" s="15" t="s">
        <v>16</v>
      </c>
      <c r="E3" s="2">
        <v>40</v>
      </c>
      <c r="F3" s="2">
        <v>45</v>
      </c>
      <c r="G3" s="2">
        <v>50</v>
      </c>
      <c r="H3" s="6">
        <v>55</v>
      </c>
      <c r="I3" s="93">
        <v>2</v>
      </c>
      <c r="K3" s="99">
        <v>0</v>
      </c>
      <c r="L3" s="24">
        <v>40</v>
      </c>
      <c r="M3" s="24">
        <v>70</v>
      </c>
      <c r="N3" s="24">
        <v>80</v>
      </c>
      <c r="O3" s="100">
        <v>95</v>
      </c>
    </row>
    <row r="4" spans="2:16" x14ac:dyDescent="0.25">
      <c r="B4" s="4" t="s">
        <v>17</v>
      </c>
      <c r="C4" s="16" t="s">
        <v>21</v>
      </c>
      <c r="D4" s="16" t="s">
        <v>18</v>
      </c>
      <c r="E4" s="1">
        <v>70</v>
      </c>
      <c r="F4" s="1">
        <v>80</v>
      </c>
      <c r="G4" s="1">
        <v>90</v>
      </c>
      <c r="H4" s="7">
        <v>100</v>
      </c>
      <c r="I4" s="94">
        <v>3</v>
      </c>
      <c r="K4" s="101">
        <v>601</v>
      </c>
      <c r="L4" s="25">
        <v>45</v>
      </c>
      <c r="M4" s="25">
        <v>80</v>
      </c>
      <c r="N4" s="25">
        <v>90</v>
      </c>
      <c r="O4" s="102">
        <v>105</v>
      </c>
    </row>
    <row r="5" spans="2:16" x14ac:dyDescent="0.25">
      <c r="B5" s="5" t="s">
        <v>19</v>
      </c>
      <c r="C5" s="16" t="s">
        <v>20</v>
      </c>
      <c r="D5" s="16" t="s">
        <v>22</v>
      </c>
      <c r="E5" s="1">
        <v>80</v>
      </c>
      <c r="F5" s="1">
        <v>90</v>
      </c>
      <c r="G5" s="1">
        <v>100</v>
      </c>
      <c r="H5" s="7">
        <v>110</v>
      </c>
      <c r="I5" s="94">
        <v>4</v>
      </c>
      <c r="K5" s="101">
        <v>1001</v>
      </c>
      <c r="L5" s="25">
        <v>50</v>
      </c>
      <c r="M5" s="25">
        <v>90</v>
      </c>
      <c r="N5" s="25">
        <v>100</v>
      </c>
      <c r="O5" s="102">
        <v>115</v>
      </c>
    </row>
    <row r="6" spans="2:16" x14ac:dyDescent="0.25">
      <c r="B6" s="11" t="s">
        <v>23</v>
      </c>
      <c r="C6" s="17" t="s">
        <v>20</v>
      </c>
      <c r="D6" s="17" t="s">
        <v>24</v>
      </c>
      <c r="E6" s="12">
        <v>95</v>
      </c>
      <c r="F6" s="12">
        <v>105</v>
      </c>
      <c r="G6" s="12">
        <v>115</v>
      </c>
      <c r="H6" s="13">
        <v>125</v>
      </c>
      <c r="I6" s="95">
        <v>5</v>
      </c>
      <c r="K6" s="103">
        <v>1300</v>
      </c>
      <c r="L6" s="27">
        <v>55</v>
      </c>
      <c r="M6" s="27">
        <v>100</v>
      </c>
      <c r="N6" s="27">
        <v>110</v>
      </c>
      <c r="O6" s="104">
        <v>125</v>
      </c>
    </row>
    <row r="8" spans="2:16" ht="30" x14ac:dyDescent="0.25">
      <c r="K8" s="26" t="s">
        <v>27</v>
      </c>
      <c r="L8" s="26" t="s">
        <v>14</v>
      </c>
      <c r="M8" s="26" t="s">
        <v>17</v>
      </c>
      <c r="N8" s="26" t="s">
        <v>19</v>
      </c>
      <c r="O8" s="26" t="s">
        <v>23</v>
      </c>
      <c r="P8" s="26" t="s">
        <v>26</v>
      </c>
    </row>
    <row r="9" spans="2:16" x14ac:dyDescent="0.25">
      <c r="K9" s="106" t="str">
        <f>Facture!C13</f>
        <v/>
      </c>
      <c r="L9" s="124">
        <f>IF(AND(Facture!$C$14="oui",Facture!$B$20=Paramètres!L$2),VLOOKUP($K$9,K$3:O$6,2,1),0)</f>
        <v>0</v>
      </c>
      <c r="M9" s="124">
        <f>IF(AND(Facture!$C$14="oui",Facture!$B$20=Paramètres!M$2),VLOOKUP($K$9,L$3:P$6,3,1),0)</f>
        <v>0</v>
      </c>
      <c r="N9" s="124">
        <f>IF(AND(Facture!$C$14="oui",Facture!$B$20=Paramètres!N$2),VLOOKUP($K$9,M$3:Q$6,4,1),0)</f>
        <v>0</v>
      </c>
      <c r="O9" s="124">
        <f>IF(AND(Facture!$C$14="oui",Facture!$B$20=Paramètres!O$2),VLOOKUP($K$9,N$3:R$6,5,1),0)</f>
        <v>0</v>
      </c>
      <c r="P9" s="107">
        <f>SUM(L9:O9)</f>
        <v>0</v>
      </c>
    </row>
    <row r="10" spans="2:16" x14ac:dyDescent="0.25">
      <c r="K10" s="29"/>
      <c r="L10" s="14"/>
      <c r="M10" s="14"/>
      <c r="N10" s="14"/>
      <c r="O10" s="14"/>
      <c r="P10" s="30"/>
    </row>
    <row r="11" spans="2:16" ht="18.75" x14ac:dyDescent="0.3">
      <c r="B11" s="217" t="s">
        <v>8</v>
      </c>
      <c r="C11" s="217"/>
      <c r="D11" s="217"/>
      <c r="E11" s="217"/>
      <c r="F11" s="217"/>
      <c r="G11" s="217"/>
      <c r="H11" s="217"/>
      <c r="I11" s="217"/>
      <c r="J11" s="217"/>
      <c r="K11" s="217"/>
      <c r="L11" s="217"/>
      <c r="M11" s="217"/>
      <c r="N11" s="217"/>
      <c r="O11" s="217"/>
      <c r="P11" s="217"/>
    </row>
    <row r="12" spans="2:16" ht="30" x14ac:dyDescent="0.25">
      <c r="B12" s="8" t="s">
        <v>0</v>
      </c>
      <c r="C12" s="9" t="s">
        <v>13</v>
      </c>
      <c r="D12" s="9" t="s">
        <v>25</v>
      </c>
      <c r="E12" s="9" t="s">
        <v>2</v>
      </c>
      <c r="F12" s="9" t="s">
        <v>3</v>
      </c>
      <c r="G12" s="9" t="s">
        <v>4</v>
      </c>
      <c r="H12" s="10" t="s">
        <v>5</v>
      </c>
      <c r="I12" s="92" t="s">
        <v>35</v>
      </c>
      <c r="K12" s="26" t="s">
        <v>27</v>
      </c>
      <c r="L12" s="26" t="s">
        <v>14</v>
      </c>
      <c r="M12" s="26" t="s">
        <v>17</v>
      </c>
      <c r="N12" s="26" t="s">
        <v>19</v>
      </c>
      <c r="O12" s="26" t="s">
        <v>23</v>
      </c>
    </row>
    <row r="13" spans="2:16" x14ac:dyDescent="0.25">
      <c r="B13" s="3" t="s">
        <v>14</v>
      </c>
      <c r="C13" s="15" t="s">
        <v>15</v>
      </c>
      <c r="D13" s="15" t="s">
        <v>16</v>
      </c>
      <c r="E13" s="2">
        <v>70</v>
      </c>
      <c r="F13" s="2">
        <v>75</v>
      </c>
      <c r="G13" s="2">
        <v>80</v>
      </c>
      <c r="H13" s="6">
        <v>95</v>
      </c>
      <c r="I13" s="93">
        <v>2</v>
      </c>
      <c r="K13" s="99">
        <v>0</v>
      </c>
      <c r="L13" s="24">
        <v>70</v>
      </c>
      <c r="M13" s="24">
        <v>100</v>
      </c>
      <c r="N13" s="24">
        <v>110</v>
      </c>
      <c r="O13" s="100">
        <v>125</v>
      </c>
    </row>
    <row r="14" spans="2:16" x14ac:dyDescent="0.25">
      <c r="B14" s="4" t="s">
        <v>17</v>
      </c>
      <c r="C14" s="16" t="s">
        <v>21</v>
      </c>
      <c r="D14" s="16" t="s">
        <v>18</v>
      </c>
      <c r="E14" s="1">
        <v>100</v>
      </c>
      <c r="F14" s="1">
        <v>110</v>
      </c>
      <c r="G14" s="1">
        <v>120</v>
      </c>
      <c r="H14" s="7">
        <v>130</v>
      </c>
      <c r="I14" s="94">
        <v>3</v>
      </c>
      <c r="K14" s="101">
        <v>601</v>
      </c>
      <c r="L14" s="25">
        <v>75</v>
      </c>
      <c r="M14" s="25">
        <v>110</v>
      </c>
      <c r="N14" s="25">
        <v>120</v>
      </c>
      <c r="O14" s="102">
        <v>135</v>
      </c>
    </row>
    <row r="15" spans="2:16" x14ac:dyDescent="0.25">
      <c r="B15" s="5" t="s">
        <v>19</v>
      </c>
      <c r="C15" s="16" t="s">
        <v>20</v>
      </c>
      <c r="D15" s="16" t="s">
        <v>22</v>
      </c>
      <c r="E15" s="1">
        <v>110</v>
      </c>
      <c r="F15" s="1">
        <v>120</v>
      </c>
      <c r="G15" s="1">
        <v>130</v>
      </c>
      <c r="H15" s="7">
        <v>140</v>
      </c>
      <c r="I15" s="94">
        <v>4</v>
      </c>
      <c r="K15" s="101">
        <v>1001</v>
      </c>
      <c r="L15" s="25">
        <v>80</v>
      </c>
      <c r="M15" s="25">
        <v>120</v>
      </c>
      <c r="N15" s="25">
        <v>130</v>
      </c>
      <c r="O15" s="102">
        <v>145</v>
      </c>
    </row>
    <row r="16" spans="2:16" x14ac:dyDescent="0.25">
      <c r="B16" s="11" t="s">
        <v>23</v>
      </c>
      <c r="C16" s="17" t="s">
        <v>20</v>
      </c>
      <c r="D16" s="17" t="s">
        <v>24</v>
      </c>
      <c r="E16" s="12">
        <v>125</v>
      </c>
      <c r="F16" s="12">
        <v>135</v>
      </c>
      <c r="G16" s="12">
        <v>145</v>
      </c>
      <c r="H16" s="13">
        <v>155</v>
      </c>
      <c r="I16" s="95">
        <v>5</v>
      </c>
      <c r="K16" s="103">
        <v>1300</v>
      </c>
      <c r="L16" s="27">
        <v>95</v>
      </c>
      <c r="M16" s="27">
        <v>130</v>
      </c>
      <c r="N16" s="27">
        <v>140</v>
      </c>
      <c r="O16" s="104">
        <v>155</v>
      </c>
    </row>
    <row r="18" spans="3:19" ht="30" x14ac:dyDescent="0.25">
      <c r="K18" s="23" t="s">
        <v>27</v>
      </c>
      <c r="L18" s="23" t="s">
        <v>14</v>
      </c>
      <c r="M18" s="23" t="s">
        <v>17</v>
      </c>
      <c r="N18" s="23" t="s">
        <v>19</v>
      </c>
      <c r="O18" s="23" t="s">
        <v>23</v>
      </c>
      <c r="P18" s="23" t="s">
        <v>26</v>
      </c>
    </row>
    <row r="19" spans="3:19" x14ac:dyDescent="0.25">
      <c r="K19" s="108" t="str">
        <f>Tableau7[QF]</f>
        <v/>
      </c>
      <c r="L19" s="123">
        <f>IF(AND(Facture!$C$14="non",Facture!$B$20=Paramètres!L$12),VLOOKUP($K$19,$K$13:$O$16,2,1),0)</f>
        <v>0</v>
      </c>
      <c r="M19" s="123">
        <f>IF(AND(Facture!$C$14="non",Facture!$B$20=Paramètres!M$12),VLOOKUP($K$19,$K$13:$O$16,3,1),0)</f>
        <v>0</v>
      </c>
      <c r="N19" s="123">
        <f>IF(AND(Facture!$C$14="non",Facture!$B$20=Paramètres!N$12),VLOOKUP($K$19,$K$13:$O$16,4,1),0)</f>
        <v>0</v>
      </c>
      <c r="O19" s="123">
        <f>IF(AND(Facture!$C$14="non",Facture!$B$20=Paramètres!O$12),VLOOKUP($K$19,$K$13:$O$16,5,1),0)</f>
        <v>0</v>
      </c>
      <c r="P19" s="109">
        <f>SUM(L19:O19)</f>
        <v>0</v>
      </c>
    </row>
    <row r="20" spans="3:19" x14ac:dyDescent="0.25">
      <c r="N20" s="67"/>
      <c r="O20" s="67"/>
      <c r="P20" s="68"/>
      <c r="Q20" s="67"/>
      <c r="R20" s="67"/>
      <c r="S20" s="67"/>
    </row>
    <row r="21" spans="3:19" ht="18.75" x14ac:dyDescent="0.3">
      <c r="K21" s="216" t="s">
        <v>1</v>
      </c>
      <c r="L21" s="216"/>
      <c r="M21" s="216"/>
      <c r="N21" s="145"/>
      <c r="O21" s="145"/>
      <c r="P21" s="145"/>
      <c r="Q21" s="145"/>
      <c r="R21" s="145"/>
      <c r="S21" s="145"/>
    </row>
    <row r="22" spans="3:19" x14ac:dyDescent="0.25">
      <c r="C22" s="218" t="s">
        <v>31</v>
      </c>
      <c r="D22" s="219"/>
      <c r="E22" s="31" t="s">
        <v>2</v>
      </c>
      <c r="F22" s="31" t="s">
        <v>3</v>
      </c>
      <c r="G22" s="31" t="s">
        <v>4</v>
      </c>
      <c r="H22" s="96" t="s">
        <v>5</v>
      </c>
      <c r="I22" s="59"/>
      <c r="K22" s="23" t="s">
        <v>27</v>
      </c>
      <c r="L22" s="23" t="s">
        <v>6</v>
      </c>
      <c r="M22" s="23" t="s">
        <v>7</v>
      </c>
      <c r="N22" s="67"/>
      <c r="O22" s="67"/>
      <c r="P22" s="67"/>
      <c r="Q22" s="67"/>
      <c r="R22" s="67"/>
      <c r="S22" s="67"/>
    </row>
    <row r="23" spans="3:19" x14ac:dyDescent="0.25">
      <c r="C23" s="220" t="s">
        <v>1</v>
      </c>
      <c r="D23" s="220"/>
      <c r="E23" s="220"/>
      <c r="F23" s="220"/>
      <c r="G23" s="220"/>
      <c r="H23" s="220"/>
      <c r="I23" s="60"/>
      <c r="K23" s="99">
        <v>0</v>
      </c>
      <c r="L23" s="32">
        <v>9</v>
      </c>
      <c r="M23" s="110">
        <v>42</v>
      </c>
      <c r="N23" s="67"/>
      <c r="O23" s="67"/>
      <c r="P23" s="67"/>
      <c r="Q23" s="67"/>
      <c r="R23" s="67"/>
      <c r="S23" s="67"/>
    </row>
    <row r="24" spans="3:19" x14ac:dyDescent="0.25">
      <c r="C24" s="125" t="s">
        <v>6</v>
      </c>
      <c r="D24" s="118"/>
      <c r="E24" s="35">
        <v>9</v>
      </c>
      <c r="F24" s="35">
        <v>12</v>
      </c>
      <c r="G24" s="35">
        <v>13.5</v>
      </c>
      <c r="H24" s="97">
        <v>15</v>
      </c>
      <c r="I24" s="60"/>
      <c r="K24" s="101">
        <v>601</v>
      </c>
      <c r="L24" s="33">
        <v>12</v>
      </c>
      <c r="M24" s="111">
        <v>57</v>
      </c>
      <c r="N24" s="67"/>
      <c r="O24" s="67"/>
      <c r="P24" s="67"/>
      <c r="Q24" s="67"/>
      <c r="R24" s="67"/>
      <c r="S24" s="67"/>
    </row>
    <row r="25" spans="3:19" x14ac:dyDescent="0.25">
      <c r="C25" s="119" t="s">
        <v>7</v>
      </c>
      <c r="D25" s="120"/>
      <c r="E25" s="36">
        <v>42</v>
      </c>
      <c r="F25" s="36">
        <v>57</v>
      </c>
      <c r="G25" s="36">
        <v>64</v>
      </c>
      <c r="H25" s="98">
        <v>71</v>
      </c>
      <c r="I25" s="59"/>
      <c r="K25" s="101">
        <v>1001</v>
      </c>
      <c r="L25" s="33">
        <v>13.5</v>
      </c>
      <c r="M25" s="111">
        <v>64</v>
      </c>
      <c r="N25" s="67"/>
      <c r="O25" s="67"/>
      <c r="P25" s="67"/>
      <c r="Q25" s="67"/>
      <c r="R25" s="67"/>
      <c r="S25" s="67"/>
    </row>
    <row r="26" spans="3:19" x14ac:dyDescent="0.25">
      <c r="I26" s="60"/>
      <c r="K26" s="105">
        <v>1300</v>
      </c>
      <c r="L26" s="34">
        <v>15</v>
      </c>
      <c r="M26" s="112">
        <v>71</v>
      </c>
      <c r="N26" s="67"/>
      <c r="O26" s="67"/>
      <c r="P26" s="67"/>
      <c r="Q26" s="67"/>
      <c r="R26" s="67"/>
      <c r="S26" s="67"/>
    </row>
    <row r="27" spans="3:19" x14ac:dyDescent="0.25">
      <c r="I27" s="60"/>
      <c r="K27" s="113" t="str">
        <f>K19</f>
        <v/>
      </c>
      <c r="L27" s="127" t="str">
        <f>IF(AND(Facture!$C$14="oui",L$22=Facture!$B$24),VLOOKUP($K27,$K$23:$M$26,COLUMN()-10,1),"")</f>
        <v/>
      </c>
      <c r="M27" s="192" t="str">
        <f>IF(AND(Facture!$C$14="oui",M$22=Facture!$B$52),VLOOKUP($K27,$K$23:$M$26,COLUMN()-10,1),"")</f>
        <v/>
      </c>
      <c r="N27" s="67"/>
      <c r="O27" s="67"/>
      <c r="P27" s="67"/>
      <c r="Q27" s="67"/>
      <c r="R27" s="67"/>
      <c r="S27" s="67"/>
    </row>
    <row r="28" spans="3:19" ht="18.75" x14ac:dyDescent="0.3">
      <c r="K28" s="221" t="s">
        <v>8</v>
      </c>
      <c r="L28" s="221"/>
      <c r="M28" s="221"/>
      <c r="N28" s="145"/>
      <c r="O28" s="145"/>
      <c r="P28" s="145"/>
      <c r="Q28" s="145"/>
      <c r="R28" s="145"/>
      <c r="S28" s="145"/>
    </row>
    <row r="29" spans="3:19" x14ac:dyDescent="0.25">
      <c r="C29" s="218" t="s">
        <v>31</v>
      </c>
      <c r="D29" s="219"/>
      <c r="E29" s="31" t="s">
        <v>2</v>
      </c>
      <c r="F29" s="31" t="s">
        <v>3</v>
      </c>
      <c r="G29" s="31" t="s">
        <v>4</v>
      </c>
      <c r="H29" s="96" t="s">
        <v>5</v>
      </c>
      <c r="K29" s="23" t="s">
        <v>27</v>
      </c>
      <c r="L29" s="23" t="str">
        <f>L22</f>
        <v xml:space="preserve">Journée avec repas </v>
      </c>
      <c r="M29" s="23" t="str">
        <f t="shared" ref="M29" si="0">M22</f>
        <v>Forfait semaine avec repas</v>
      </c>
      <c r="N29" s="67"/>
      <c r="O29" s="67"/>
      <c r="P29" s="67"/>
      <c r="Q29" s="67"/>
      <c r="R29" s="67"/>
      <c r="S29" s="67"/>
    </row>
    <row r="30" spans="3:19" x14ac:dyDescent="0.25">
      <c r="C30" s="220" t="s">
        <v>8</v>
      </c>
      <c r="D30" s="220"/>
      <c r="E30" s="220"/>
      <c r="F30" s="220"/>
      <c r="G30" s="220"/>
      <c r="H30" s="220"/>
      <c r="K30" s="99">
        <v>0</v>
      </c>
      <c r="L30" s="32">
        <v>9.5</v>
      </c>
      <c r="M30" s="110">
        <v>45</v>
      </c>
      <c r="N30" s="67"/>
      <c r="O30" s="67"/>
      <c r="P30" s="67"/>
      <c r="Q30" s="67"/>
      <c r="R30" s="67"/>
      <c r="S30" s="67"/>
    </row>
    <row r="31" spans="3:19" x14ac:dyDescent="0.25">
      <c r="C31" s="125" t="s">
        <v>6</v>
      </c>
      <c r="D31" s="118"/>
      <c r="E31" s="35">
        <v>9.5</v>
      </c>
      <c r="F31" s="35">
        <v>18</v>
      </c>
      <c r="G31" s="35">
        <v>19.5</v>
      </c>
      <c r="H31" s="97">
        <v>21</v>
      </c>
      <c r="K31" s="101">
        <v>601</v>
      </c>
      <c r="L31" s="33">
        <v>18</v>
      </c>
      <c r="M31" s="111">
        <v>87</v>
      </c>
      <c r="N31" s="67"/>
      <c r="O31" s="67"/>
      <c r="P31" s="67"/>
      <c r="Q31" s="67"/>
      <c r="R31" s="67"/>
      <c r="S31" s="67"/>
    </row>
    <row r="32" spans="3:19" x14ac:dyDescent="0.25">
      <c r="C32" s="119" t="s">
        <v>7</v>
      </c>
      <c r="D32" s="120"/>
      <c r="E32" s="36">
        <v>45</v>
      </c>
      <c r="F32" s="36">
        <v>87</v>
      </c>
      <c r="G32" s="36">
        <v>94</v>
      </c>
      <c r="H32" s="98">
        <v>101</v>
      </c>
      <c r="K32" s="101">
        <v>1001</v>
      </c>
      <c r="L32" s="33">
        <v>19.5</v>
      </c>
      <c r="M32" s="111">
        <v>94</v>
      </c>
      <c r="N32" s="67"/>
      <c r="O32" s="67"/>
      <c r="P32" s="67"/>
      <c r="Q32" s="67"/>
      <c r="R32" s="67"/>
      <c r="S32" s="67"/>
    </row>
    <row r="33" spans="2:19" x14ac:dyDescent="0.25">
      <c r="K33" s="105">
        <v>1300</v>
      </c>
      <c r="L33" s="34">
        <v>21</v>
      </c>
      <c r="M33" s="112">
        <v>101</v>
      </c>
      <c r="N33" s="67"/>
      <c r="O33" s="67"/>
      <c r="P33" s="67"/>
      <c r="Q33" s="67"/>
      <c r="R33" s="67"/>
      <c r="S33" s="67"/>
    </row>
    <row r="34" spans="2:19" x14ac:dyDescent="0.25">
      <c r="K34" s="113" t="str">
        <f>K27</f>
        <v/>
      </c>
      <c r="L34" s="127" t="str">
        <f>IF(AND(Facture!$C$14="non",L$29=Facture!$B$24),VLOOKUP($K34,$K$30:$M$33,COLUMN()-10,1),"")</f>
        <v/>
      </c>
      <c r="M34" s="192" t="str">
        <f>IF(AND(Facture!$C$14="non",M$29=Facture!$B$52),VLOOKUP($K34,$K$30:$M$33,COLUMN()-10,1),"")</f>
        <v/>
      </c>
      <c r="N34" s="67"/>
      <c r="O34" s="67"/>
      <c r="P34" s="67"/>
      <c r="Q34" s="67"/>
      <c r="R34" s="67"/>
      <c r="S34" s="67"/>
    </row>
    <row r="35" spans="2:19" x14ac:dyDescent="0.25">
      <c r="B35" s="67"/>
      <c r="C35" s="68"/>
      <c r="K35" s="68"/>
      <c r="L35" s="121"/>
      <c r="M35" s="121"/>
      <c r="N35" s="121"/>
      <c r="O35" s="121"/>
      <c r="P35" s="121"/>
      <c r="Q35" s="121"/>
      <c r="R35" s="121"/>
      <c r="S35" s="121"/>
    </row>
    <row r="36" spans="2:19" ht="18.75" x14ac:dyDescent="0.3">
      <c r="C36" s="68"/>
      <c r="K36" s="216" t="s">
        <v>80</v>
      </c>
      <c r="L36" s="216"/>
      <c r="M36" s="216"/>
      <c r="N36" s="145"/>
      <c r="O36" s="145"/>
      <c r="P36" s="145"/>
      <c r="Q36" s="145"/>
      <c r="R36" s="145"/>
      <c r="S36" s="145"/>
    </row>
    <row r="37" spans="2:19" x14ac:dyDescent="0.25">
      <c r="C37" s="14"/>
      <c r="K37" s="23" t="s">
        <v>27</v>
      </c>
      <c r="L37" s="23" t="str">
        <f>L29</f>
        <v xml:space="preserve">Journée avec repas </v>
      </c>
      <c r="M37" s="23" t="str">
        <f t="shared" ref="M37" si="1">M29</f>
        <v>Forfait semaine avec repas</v>
      </c>
      <c r="N37" s="67"/>
      <c r="O37" s="67"/>
      <c r="P37" s="67"/>
      <c r="Q37" s="67"/>
      <c r="R37" s="67"/>
      <c r="S37" s="67"/>
    </row>
    <row r="38" spans="2:19" x14ac:dyDescent="0.25">
      <c r="K38" s="114" t="str">
        <f>K19</f>
        <v/>
      </c>
      <c r="L38" s="128" t="str">
        <f>IF(Facture!$C$14="Oui",Paramètres!L27,Paramètres!L34)</f>
        <v/>
      </c>
      <c r="M38" s="191" t="str">
        <f>IF(Facture!$C$14="Oui",Paramètres!M27,Paramètres!M34)</f>
        <v/>
      </c>
      <c r="N38" s="67"/>
      <c r="O38" s="67"/>
      <c r="P38" s="67"/>
      <c r="Q38" s="67"/>
      <c r="R38" s="67"/>
      <c r="S38" s="67"/>
    </row>
    <row r="39" spans="2:19" x14ac:dyDescent="0.25">
      <c r="N39" s="67"/>
      <c r="O39" s="67"/>
      <c r="P39" s="68"/>
      <c r="Q39" s="67"/>
      <c r="R39" s="67"/>
      <c r="S39" s="67"/>
    </row>
    <row r="40" spans="2:19" x14ac:dyDescent="0.25">
      <c r="N40" s="67"/>
      <c r="O40" s="67"/>
      <c r="P40" s="68"/>
      <c r="Q40" s="67"/>
      <c r="R40" s="67"/>
      <c r="S40" s="67"/>
    </row>
    <row r="41" spans="2:19" x14ac:dyDescent="0.25">
      <c r="K41" s="126" t="s">
        <v>31</v>
      </c>
      <c r="L41" s="153"/>
      <c r="M41" s="153"/>
      <c r="N41" s="67"/>
      <c r="O41" s="67"/>
      <c r="P41" s="68"/>
      <c r="Q41" s="67"/>
      <c r="R41" s="67"/>
      <c r="S41" s="67"/>
    </row>
    <row r="42" spans="2:19" x14ac:dyDescent="0.25">
      <c r="K42" s="14" t="s">
        <v>6</v>
      </c>
      <c r="L42" s="14"/>
      <c r="M42" s="14"/>
      <c r="N42" s="67"/>
      <c r="O42" s="67"/>
      <c r="P42" s="68"/>
      <c r="Q42" s="67"/>
      <c r="R42" s="67"/>
      <c r="S42" s="67"/>
    </row>
    <row r="43" spans="2:19" x14ac:dyDescent="0.25">
      <c r="K43" s="14" t="s">
        <v>7</v>
      </c>
      <c r="L43" s="14"/>
      <c r="M43" s="14"/>
      <c r="N43" s="67"/>
      <c r="O43" s="67"/>
      <c r="P43" s="68"/>
      <c r="Q43" s="67"/>
      <c r="R43" s="67"/>
      <c r="S43" s="67"/>
    </row>
    <row r="45" spans="2:19" x14ac:dyDescent="0.25">
      <c r="K45" s="152" t="s">
        <v>81</v>
      </c>
      <c r="L45" s="152" t="s">
        <v>85</v>
      </c>
      <c r="M45" s="152" t="s">
        <v>26</v>
      </c>
    </row>
    <row r="46" spans="2:19" x14ac:dyDescent="0.25">
      <c r="K46" s="89" t="s">
        <v>90</v>
      </c>
      <c r="L46" s="18" t="s">
        <v>82</v>
      </c>
      <c r="M46" s="182">
        <v>1.25</v>
      </c>
    </row>
    <row r="47" spans="2:19" x14ac:dyDescent="0.25">
      <c r="K47" s="89" t="s">
        <v>91</v>
      </c>
      <c r="L47" s="18" t="s">
        <v>83</v>
      </c>
      <c r="M47" s="182">
        <v>1.25</v>
      </c>
    </row>
    <row r="48" spans="2:19" x14ac:dyDescent="0.25">
      <c r="K48" s="89" t="s">
        <v>92</v>
      </c>
      <c r="L48" s="18" t="s">
        <v>84</v>
      </c>
      <c r="M48" s="182">
        <v>2.5</v>
      </c>
    </row>
  </sheetData>
  <mergeCells count="9">
    <mergeCell ref="K36:M36"/>
    <mergeCell ref="B1:P1"/>
    <mergeCell ref="B11:P11"/>
    <mergeCell ref="C22:D22"/>
    <mergeCell ref="C23:H23"/>
    <mergeCell ref="C30:H30"/>
    <mergeCell ref="C29:D29"/>
    <mergeCell ref="K21:M21"/>
    <mergeCell ref="K28:M28"/>
  </mergeCells>
  <pageMargins left="0.7" right="0.7" top="0.75" bottom="0.75" header="0.3" footer="0.3"/>
  <pageSetup paperSize="9" orientation="portrait" r:id="rId1"/>
  <tableParts count="7">
    <tablePart r:id="rId2"/>
    <tablePart r:id="rId3"/>
    <tablePart r:id="rId4"/>
    <tablePart r:id="rId5"/>
    <tablePart r:id="rId6"/>
    <tablePart r:id="rId7"/>
    <tablePart r:id="rId8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D1D983E1-678B-4891-90DF-3BACA1B87B4A}">
            <xm:f>AND(Facture!$C$14="oui",$K$9&gt;=0,$K$9&lt;601)</xm:f>
            <x14:dxf>
              <fill>
                <patternFill>
                  <bgColor theme="8" tint="0.79998168889431442"/>
                </patternFill>
              </fill>
            </x14:dxf>
          </x14:cfRule>
          <xm:sqref>K3:O3 K23:M23</xm:sqref>
        </x14:conditionalFormatting>
        <x14:conditionalFormatting xmlns:xm="http://schemas.microsoft.com/office/excel/2006/main">
          <x14:cfRule type="expression" priority="5" id="{006212C8-01C7-43AA-A743-4503D1997805}">
            <xm:f>AND(Facture!$C$14="oui",$K$9&gt;=601,$K$9&lt;1001)</xm:f>
            <x14:dxf>
              <fill>
                <patternFill>
                  <bgColor theme="8" tint="0.79998168889431442"/>
                </patternFill>
              </fill>
            </x14:dxf>
          </x14:cfRule>
          <xm:sqref>K4:O4 K24:M24</xm:sqref>
        </x14:conditionalFormatting>
        <x14:conditionalFormatting xmlns:xm="http://schemas.microsoft.com/office/excel/2006/main">
          <x14:cfRule type="expression" priority="6" id="{44039B8D-6E4D-4848-84C7-979FF74478F1}">
            <xm:f>AND(Facture!$C$14="oui",$K$9&gt;=1001,$K$9&lt;1300)</xm:f>
            <x14:dxf>
              <fill>
                <patternFill>
                  <bgColor theme="8" tint="0.79998168889431442"/>
                </patternFill>
              </fill>
            </x14:dxf>
          </x14:cfRule>
          <xm:sqref>K5:O5 K25:M25</xm:sqref>
        </x14:conditionalFormatting>
        <x14:conditionalFormatting xmlns:xm="http://schemas.microsoft.com/office/excel/2006/main">
          <x14:cfRule type="expression" priority="7" id="{F65231A2-775A-4690-A09F-59DAA86A1B41}">
            <xm:f>AND(Facture!$C$14="oui",$K$9&gt;=1300)</xm:f>
            <x14:dxf>
              <fill>
                <patternFill>
                  <bgColor theme="8" tint="0.79998168889431442"/>
                </patternFill>
              </fill>
            </x14:dxf>
          </x14:cfRule>
          <xm:sqref>K6:O6 K26:M26</xm:sqref>
        </x14:conditionalFormatting>
        <x14:conditionalFormatting xmlns:xm="http://schemas.microsoft.com/office/excel/2006/main">
          <x14:cfRule type="expression" priority="4" id="{4A49C853-19CE-4D72-B449-91363EC0F794}">
            <xm:f>AND(Facture!$C$14="non",$K$9&gt;=1300)</xm:f>
            <x14:dxf>
              <fill>
                <patternFill>
                  <bgColor theme="8" tint="0.79998168889431442"/>
                </patternFill>
              </fill>
            </x14:dxf>
          </x14:cfRule>
          <xm:sqref>K16:O16 K33:M33</xm:sqref>
        </x14:conditionalFormatting>
        <x14:conditionalFormatting xmlns:xm="http://schemas.microsoft.com/office/excel/2006/main">
          <x14:cfRule type="expression" priority="3" id="{C07E2B01-4149-4DD8-8CCD-B5BF05D184DB}">
            <xm:f>AND(Facture!$C$14="non",$K$9&gt;=1001,$K$9&lt;1300)</xm:f>
            <x14:dxf>
              <fill>
                <patternFill>
                  <bgColor theme="8" tint="0.79998168889431442"/>
                </patternFill>
              </fill>
            </x14:dxf>
          </x14:cfRule>
          <xm:sqref>K15:O15 K32:M32</xm:sqref>
        </x14:conditionalFormatting>
        <x14:conditionalFormatting xmlns:xm="http://schemas.microsoft.com/office/excel/2006/main">
          <x14:cfRule type="expression" priority="2" id="{B0681D56-95D0-4863-A1F3-A4E6037EC7F2}">
            <xm:f>AND(Facture!$C$14="non",$K$9&gt;=601,$K$9&lt;1001)</xm:f>
            <x14:dxf>
              <fill>
                <patternFill>
                  <bgColor theme="8" tint="0.79998168889431442"/>
                </patternFill>
              </fill>
            </x14:dxf>
          </x14:cfRule>
          <xm:sqref>K14:O14 K31:M31</xm:sqref>
        </x14:conditionalFormatting>
        <x14:conditionalFormatting xmlns:xm="http://schemas.microsoft.com/office/excel/2006/main">
          <x14:cfRule type="expression" priority="1" id="{1987F7EE-353C-41A1-A302-3345A940D2BA}">
            <xm:f>AND(Facture!$C$14="non",$K$9&gt;=0,$K$9&lt;601)</xm:f>
            <x14:dxf>
              <fill>
                <patternFill>
                  <bgColor theme="8" tint="0.79998168889431442"/>
                </patternFill>
              </fill>
            </x14:dxf>
          </x14:cfRule>
          <xm:sqref>K13:O13 K30:M30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Liste adhérents</vt:lpstr>
      <vt:lpstr>Planning</vt:lpstr>
      <vt:lpstr>Facture</vt:lpstr>
      <vt:lpstr>Récap facture</vt:lpstr>
      <vt:lpstr>Paramètres</vt:lpstr>
      <vt:lpstr>L_Garderie</vt:lpstr>
      <vt:lpstr>L_Nom</vt:lpstr>
      <vt:lpstr>L_Péricentre</vt:lpstr>
      <vt:lpstr>L_periode</vt:lpstr>
      <vt:lpstr>L_Prestations</vt:lpstr>
      <vt:lpstr>Péricentre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Marie-Line</dc:creator>
  <cp:lastModifiedBy>JoDan</cp:lastModifiedBy>
  <cp:lastPrinted>2019-08-16T01:00:22Z</cp:lastPrinted>
  <dcterms:created xsi:type="dcterms:W3CDTF">2019-04-19T12:12:37Z</dcterms:created>
  <dcterms:modified xsi:type="dcterms:W3CDTF">2019-08-16T01:07:25Z</dcterms:modified>
</cp:coreProperties>
</file>