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36A638E-6BED-4B8B-960B-62C4D8A14574}" xr6:coauthVersionLast="41" xr6:coauthVersionMax="43" xr10:uidLastSave="{00000000-0000-0000-0000-000000000000}"/>
  <bookViews>
    <workbookView xWindow="-120" yWindow="-120" windowWidth="29040" windowHeight="15840" activeTab="2" xr2:uid="{051311D5-6B63-40C7-A3EE-8EF37A6A0964}"/>
  </bookViews>
  <sheets>
    <sheet name="Base de données" sheetId="4" r:id="rId1"/>
    <sheet name="Planning" sheetId="5" r:id="rId2"/>
    <sheet name="Facture" sheetId="2" r:id="rId3"/>
    <sheet name="Paramètres" sheetId="3" r:id="rId4"/>
  </sheets>
  <definedNames>
    <definedName name="L_Nom">T_BdD[Nom]</definedName>
    <definedName name="L_Péricentre">Tableau1[Péricentre]</definedName>
    <definedName name="L_Prestations">T_Prestations[Prestations]</definedName>
    <definedName name="Péricentre">Paramètres!$B$3:$B$6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2" l="1"/>
  <c r="B43" i="2" s="1"/>
  <c r="B23" i="2"/>
  <c r="B24" i="2" s="1"/>
  <c r="B25" i="2" s="1"/>
  <c r="B26" i="2" s="1"/>
  <c r="B27" i="2" s="1"/>
  <c r="B29" i="2" s="1"/>
  <c r="B31" i="2" s="1"/>
  <c r="B33" i="2" s="1"/>
  <c r="B35" i="2" s="1"/>
  <c r="B37" i="2" s="1"/>
  <c r="B39" i="2" s="1"/>
  <c r="P39" i="3"/>
  <c r="Q39" i="3"/>
  <c r="Q35" i="3"/>
  <c r="P35" i="3"/>
  <c r="Q34" i="3"/>
  <c r="P34" i="3"/>
  <c r="Q33" i="3"/>
  <c r="P33" i="3"/>
  <c r="Q32" i="3"/>
  <c r="P32" i="3"/>
  <c r="Q28" i="3"/>
  <c r="P28" i="3"/>
  <c r="Q27" i="3"/>
  <c r="P27" i="3"/>
  <c r="Q26" i="3"/>
  <c r="P26" i="3"/>
  <c r="Q25" i="3"/>
  <c r="P25" i="3"/>
  <c r="Q31" i="3"/>
  <c r="P31" i="3"/>
  <c r="R39" i="3"/>
  <c r="M31" i="3"/>
  <c r="M39" i="3" s="1"/>
  <c r="N31" i="3"/>
  <c r="N39" i="3" s="1"/>
  <c r="O31" i="3"/>
  <c r="O39" i="3" s="1"/>
  <c r="R31" i="3"/>
  <c r="S31" i="3"/>
  <c r="S39" i="3" s="1"/>
  <c r="L31" i="3"/>
  <c r="L39" i="3" s="1"/>
  <c r="E34" i="2"/>
  <c r="E28" i="2"/>
  <c r="D23" i="2"/>
  <c r="E23" i="2" s="1"/>
  <c r="S35" i="3"/>
  <c r="R35" i="3"/>
  <c r="O35" i="3"/>
  <c r="N35" i="3"/>
  <c r="S34" i="3"/>
  <c r="R34" i="3"/>
  <c r="O34" i="3"/>
  <c r="N34" i="3"/>
  <c r="S33" i="3"/>
  <c r="R33" i="3"/>
  <c r="O33" i="3"/>
  <c r="N33" i="3"/>
  <c r="S32" i="3"/>
  <c r="R32" i="3"/>
  <c r="O32" i="3"/>
  <c r="N32" i="3"/>
  <c r="S25" i="3"/>
  <c r="S26" i="3"/>
  <c r="S27" i="3"/>
  <c r="S28" i="3"/>
  <c r="R26" i="3"/>
  <c r="R27" i="3"/>
  <c r="R28" i="3"/>
  <c r="R25" i="3"/>
  <c r="O26" i="3"/>
  <c r="O27" i="3"/>
  <c r="O28" i="3"/>
  <c r="O25" i="3"/>
  <c r="N26" i="3"/>
  <c r="N27" i="3"/>
  <c r="N28" i="3"/>
  <c r="N25" i="3"/>
  <c r="B42" i="2" l="1"/>
  <c r="B30" i="2"/>
  <c r="B32" i="2" s="1"/>
  <c r="B36" i="2"/>
  <c r="B38" i="2" s="1"/>
  <c r="C14" i="2"/>
  <c r="C13" i="2"/>
  <c r="C12" i="2"/>
  <c r="C10" i="2"/>
  <c r="C9" i="2"/>
  <c r="C8" i="2"/>
  <c r="C7" i="2"/>
  <c r="C6" i="2"/>
  <c r="C5" i="2"/>
  <c r="C4" i="2"/>
  <c r="C3" i="2"/>
  <c r="X4" i="5"/>
  <c r="X5" i="5"/>
  <c r="X6" i="5"/>
  <c r="X7" i="5"/>
  <c r="X8" i="5"/>
  <c r="X9" i="5"/>
  <c r="X10" i="5"/>
  <c r="X11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32" i="5"/>
  <c r="X33" i="5"/>
  <c r="X34" i="5"/>
  <c r="X35" i="5"/>
  <c r="X36" i="5"/>
  <c r="X37" i="5"/>
  <c r="X38" i="5"/>
  <c r="X39" i="5"/>
  <c r="X40" i="5"/>
  <c r="X41" i="5"/>
  <c r="X42" i="5"/>
  <c r="X43" i="5"/>
  <c r="X44" i="5"/>
  <c r="X45" i="5"/>
  <c r="X46" i="5"/>
  <c r="X47" i="5"/>
  <c r="X48" i="5"/>
  <c r="X49" i="5"/>
  <c r="X50" i="5"/>
  <c r="X3" i="5"/>
  <c r="D43" i="2" l="1"/>
  <c r="E43" i="2" s="1"/>
  <c r="D42" i="2"/>
  <c r="E42" i="2" s="1"/>
  <c r="D41" i="2"/>
  <c r="E41" i="2" s="1"/>
  <c r="B19" i="2"/>
  <c r="D39" i="2" l="1"/>
  <c r="D38" i="2"/>
  <c r="E38" i="2" s="1"/>
  <c r="D37" i="2"/>
  <c r="E37" i="2" s="1"/>
  <c r="D36" i="2"/>
  <c r="E36" i="2" s="1"/>
  <c r="D35" i="2"/>
  <c r="D33" i="2"/>
  <c r="D32" i="2"/>
  <c r="E32" i="2" s="1"/>
  <c r="D31" i="2"/>
  <c r="E31" i="2" s="1"/>
  <c r="D30" i="2"/>
  <c r="E30" i="2" s="1"/>
  <c r="D29" i="2"/>
  <c r="D27" i="2"/>
  <c r="E27" i="2" s="1"/>
  <c r="D26" i="2"/>
  <c r="E26" i="2" s="1"/>
  <c r="D25" i="2"/>
  <c r="D24" i="2"/>
  <c r="E24" i="2" s="1"/>
  <c r="C19" i="2" l="1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D16" i="2"/>
  <c r="C24" i="2"/>
  <c r="C25" i="2" s="1"/>
  <c r="C26" i="2" s="1"/>
  <c r="C27" i="2" s="1"/>
  <c r="C29" i="2" s="1"/>
  <c r="C30" i="2" s="1"/>
  <c r="C31" i="2" s="1"/>
  <c r="C32" i="2" s="1"/>
  <c r="C33" i="2" s="1"/>
  <c r="C35" i="2" s="1"/>
  <c r="C36" i="2" s="1"/>
  <c r="C37" i="2" s="1"/>
  <c r="C38" i="2" s="1"/>
  <c r="C39" i="2" s="1"/>
  <c r="C41" i="2" l="1"/>
  <c r="M20" i="3"/>
  <c r="M9" i="3"/>
  <c r="K9" i="3"/>
  <c r="O9" i="3" s="1"/>
  <c r="L9" i="3" l="1"/>
  <c r="N9" i="3"/>
  <c r="K20" i="3"/>
  <c r="C42" i="2"/>
  <c r="L20" i="3" l="1"/>
  <c r="K40" i="3"/>
  <c r="P9" i="3"/>
  <c r="O20" i="3"/>
  <c r="N20" i="3"/>
  <c r="K29" i="3"/>
  <c r="C43" i="2"/>
  <c r="S29" i="3" l="1"/>
  <c r="R29" i="3"/>
  <c r="P29" i="3"/>
  <c r="Q29" i="3"/>
  <c r="O29" i="3"/>
  <c r="N29" i="3"/>
  <c r="M29" i="3"/>
  <c r="L29" i="3"/>
  <c r="P20" i="3"/>
  <c r="K36" i="3"/>
  <c r="R36" i="3" l="1"/>
  <c r="R40" i="3" s="1"/>
  <c r="Q36" i="3"/>
  <c r="Q40" i="3" s="1"/>
  <c r="P36" i="3"/>
  <c r="P40" i="3" s="1"/>
  <c r="S36" i="3"/>
  <c r="S40" i="3" s="1"/>
  <c r="M36" i="3"/>
  <c r="M40" i="3" s="1"/>
  <c r="L36" i="3"/>
  <c r="L40" i="3" s="1"/>
  <c r="O36" i="3"/>
  <c r="O40" i="3" s="1"/>
  <c r="N36" i="3"/>
  <c r="N40" i="3" s="1"/>
  <c r="E25" i="2" s="1"/>
  <c r="E19" i="2"/>
  <c r="E20" i="2" s="1"/>
  <c r="E29" i="2" l="1"/>
  <c r="E35" i="2"/>
  <c r="E39" i="2"/>
  <c r="E33" i="2"/>
  <c r="E45" i="2" l="1"/>
  <c r="E46" i="2" s="1"/>
</calcChain>
</file>

<file path=xl/sharedStrings.xml><?xml version="1.0" encoding="utf-8"?>
<sst xmlns="http://schemas.openxmlformats.org/spreadsheetml/2006/main" count="204" uniqueCount="109">
  <si>
    <t>Péricentre</t>
  </si>
  <si>
    <t>ADHERENTS</t>
  </si>
  <si>
    <t>0 à 600</t>
  </si>
  <si>
    <t>601 à 1000</t>
  </si>
  <si>
    <t>1001 à 1299</t>
  </si>
  <si>
    <t>plus de 1300</t>
  </si>
  <si>
    <t xml:space="preserve">Journée avec repas </t>
  </si>
  <si>
    <t>Forfait semaine avec repas</t>
  </si>
  <si>
    <t>NON ADHERENTS</t>
  </si>
  <si>
    <t>Nom</t>
  </si>
  <si>
    <t>Prénom</t>
  </si>
  <si>
    <t>Quotient familial</t>
  </si>
  <si>
    <t>Adresse mail</t>
  </si>
  <si>
    <t>Age</t>
  </si>
  <si>
    <t>Camp à l'Herberie Pouancé</t>
  </si>
  <si>
    <t>3-5 ans</t>
  </si>
  <si>
    <t>du 18 au 19 juillet</t>
  </si>
  <si>
    <t>Camp Craon</t>
  </si>
  <si>
    <t>du 15 au 17 juillet</t>
  </si>
  <si>
    <t>Camp Multi activité en Anjou - Ponts de cé</t>
  </si>
  <si>
    <t>9-12 ans</t>
  </si>
  <si>
    <t>6-8 ans</t>
  </si>
  <si>
    <t>du 22 au 25 juillet</t>
  </si>
  <si>
    <t>Camp Sportif à Rougé</t>
  </si>
  <si>
    <t>du 8 au 12 juillet</t>
  </si>
  <si>
    <t>Période</t>
  </si>
  <si>
    <t>Coût</t>
  </si>
  <si>
    <t>QF</t>
  </si>
  <si>
    <t>Adhérent</t>
  </si>
  <si>
    <t>Tranche d'age</t>
  </si>
  <si>
    <t>Présence</t>
  </si>
  <si>
    <t>Prestations</t>
  </si>
  <si>
    <t>Contact</t>
  </si>
  <si>
    <t>Lien avec l'enfant</t>
  </si>
  <si>
    <t>Téléphone</t>
  </si>
  <si>
    <t>Total général</t>
  </si>
  <si>
    <t>Nb jour</t>
  </si>
  <si>
    <t xml:space="preserve">Lieu, le </t>
  </si>
  <si>
    <t>08/07/2019</t>
  </si>
  <si>
    <t>09/07/2019</t>
  </si>
  <si>
    <t>10/07/2019</t>
  </si>
  <si>
    <t>11/07/2019</t>
  </si>
  <si>
    <t>12/07/2019</t>
  </si>
  <si>
    <t>13/07/2019</t>
  </si>
  <si>
    <t>14/07/2019</t>
  </si>
  <si>
    <t>15/07/2019</t>
  </si>
  <si>
    <t>16/07/2019</t>
  </si>
  <si>
    <t>17/07/2019</t>
  </si>
  <si>
    <t>18/07/2019</t>
  </si>
  <si>
    <t>19/07/2019</t>
  </si>
  <si>
    <t>20/07/2019</t>
  </si>
  <si>
    <t>21/07/2019</t>
  </si>
  <si>
    <t>22/07/2019</t>
  </si>
  <si>
    <t>23/07/2019</t>
  </si>
  <si>
    <t>24/07/2019</t>
  </si>
  <si>
    <t>25/07/2019</t>
  </si>
  <si>
    <t>26/07/2019</t>
  </si>
  <si>
    <t>Nb prestations</t>
  </si>
  <si>
    <t>Potter</t>
  </si>
  <si>
    <t>Harrry</t>
  </si>
  <si>
    <t>hpotter@free.fr</t>
  </si>
  <si>
    <t>Albus Dumbledore</t>
  </si>
  <si>
    <t>Tuteur</t>
  </si>
  <si>
    <t>Oui</t>
  </si>
  <si>
    <t>Pan</t>
  </si>
  <si>
    <t>Peter</t>
  </si>
  <si>
    <t>J M Barrie</t>
  </si>
  <si>
    <t>Père</t>
  </si>
  <si>
    <t>09 08 07 06 05</t>
  </si>
  <si>
    <t>Non</t>
  </si>
  <si>
    <t>Centre</t>
  </si>
  <si>
    <t>McCallister</t>
  </si>
  <si>
    <t>Kévin</t>
  </si>
  <si>
    <t xml:space="preserve">Kate McCallister </t>
  </si>
  <si>
    <t>Mère</t>
  </si>
  <si>
    <t>Brown</t>
  </si>
  <si>
    <t>Charlie</t>
  </si>
  <si>
    <t>Cbrown@orange.com</t>
  </si>
  <si>
    <t>ppan@gmail.com</t>
  </si>
  <si>
    <t>kmcc@yahoo.com</t>
  </si>
  <si>
    <t>Charles M. Schulz</t>
  </si>
  <si>
    <t>Semaine 28</t>
  </si>
  <si>
    <t>Semaine 29</t>
  </si>
  <si>
    <t>Semaine 30</t>
  </si>
  <si>
    <t>Camp</t>
  </si>
  <si>
    <t>Insérer logo</t>
  </si>
  <si>
    <t>Adresse</t>
  </si>
  <si>
    <t>Code postal</t>
  </si>
  <si>
    <t>Ville</t>
  </si>
  <si>
    <t>Code postal - Ville</t>
  </si>
  <si>
    <t>4, Privet Drive</t>
  </si>
  <si>
    <t>Little Whinging</t>
  </si>
  <si>
    <t>rue des enfants perdus</t>
  </si>
  <si>
    <t>Neverland</t>
  </si>
  <si>
    <t>Winnetka</t>
  </si>
  <si>
    <t>avenue Lincoln</t>
  </si>
  <si>
    <t>Allée des bds</t>
  </si>
  <si>
    <t>Angoulême</t>
  </si>
  <si>
    <t>Téléphone2</t>
  </si>
  <si>
    <t>Téléphone contact</t>
  </si>
  <si>
    <t>Sous total Camp</t>
  </si>
  <si>
    <t>Sous total Centre</t>
  </si>
  <si>
    <t>Journée avec repas + garderie matin</t>
  </si>
  <si>
    <t>Journée avec repas + garderie soir</t>
  </si>
  <si>
    <t>Journée avec repas + garderie matin et soir</t>
  </si>
  <si>
    <t>Forfait semaine avec repas + garderie matin et soir</t>
  </si>
  <si>
    <t>Forfait semaine avec repas + garderie matin</t>
  </si>
  <si>
    <t>Forfait semaine avec repas + garderie soir</t>
  </si>
  <si>
    <t>Coût à prendre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</si>
</sst>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$-F800]dddd\,\ mmmm\ dd\,\ yyyy"/>
    <numFmt numFmtId="166" formatCode="0#&quot; &quot;##&quot; &quot;##&quot; &quot;##&quot; &quot;##"/>
    <numFmt numFmtId="167" formatCode="0&quot; ans&quot;"/>
    <numFmt numFmtId="168" formatCode="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8" tint="0.59996337778862885"/>
      </right>
      <top style="hair">
        <color theme="8" tint="0.59996337778862885"/>
      </top>
      <bottom style="hair">
        <color theme="8" tint="0.59996337778862885"/>
      </bottom>
      <diagonal/>
    </border>
    <border>
      <left style="thin">
        <color theme="8" tint="0.59996337778862885"/>
      </left>
      <right style="thin">
        <color theme="8" tint="0.59996337778862885"/>
      </right>
      <top style="hair">
        <color theme="8" tint="0.59996337778862885"/>
      </top>
      <bottom style="hair">
        <color theme="8" tint="0.59996337778862885"/>
      </bottom>
      <diagonal/>
    </border>
    <border>
      <left style="thin">
        <color theme="8" tint="0.59996337778862885"/>
      </left>
      <right style="thin">
        <color indexed="64"/>
      </right>
      <top style="hair">
        <color theme="8" tint="0.59996337778862885"/>
      </top>
      <bottom style="hair">
        <color theme="8" tint="0.59996337778862885"/>
      </bottom>
      <diagonal/>
    </border>
    <border>
      <left style="thin">
        <color indexed="64"/>
      </left>
      <right style="thin">
        <color theme="8" tint="0.59996337778862885"/>
      </right>
      <top style="hair">
        <color theme="8" tint="0.59996337778862885"/>
      </top>
      <bottom style="thin">
        <color indexed="64"/>
      </bottom>
      <diagonal/>
    </border>
    <border>
      <left style="thin">
        <color theme="8" tint="0.59996337778862885"/>
      </left>
      <right style="thin">
        <color theme="8" tint="0.59996337778862885"/>
      </right>
      <top style="hair">
        <color theme="8" tint="0.59996337778862885"/>
      </top>
      <bottom style="thin">
        <color indexed="64"/>
      </bottom>
      <diagonal/>
    </border>
    <border>
      <left style="thin">
        <color theme="8" tint="0.59996337778862885"/>
      </left>
      <right style="thin">
        <color indexed="64"/>
      </right>
      <top style="hair">
        <color theme="8" tint="0.59996337778862885"/>
      </top>
      <bottom style="thin">
        <color indexed="64"/>
      </bottom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  <border>
      <left style="thin">
        <color indexed="64"/>
      </left>
      <right style="thin">
        <color theme="8" tint="0.59996337778862885"/>
      </right>
      <top/>
      <bottom style="hair">
        <color theme="8" tint="0.59996337778862885"/>
      </bottom>
      <diagonal/>
    </border>
    <border>
      <left style="thin">
        <color theme="8" tint="0.59996337778862885"/>
      </left>
      <right style="thin">
        <color theme="8" tint="0.59996337778862885"/>
      </right>
      <top/>
      <bottom style="hair">
        <color theme="8" tint="0.59996337778862885"/>
      </bottom>
      <diagonal/>
    </border>
    <border>
      <left style="thin">
        <color theme="8" tint="0.59996337778862885"/>
      </left>
      <right style="thin">
        <color indexed="64"/>
      </right>
      <top/>
      <bottom style="hair">
        <color theme="8" tint="0.5999633777886288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thin">
        <color theme="1"/>
      </right>
      <top style="thin">
        <color theme="1"/>
      </top>
      <bottom style="hair">
        <color theme="1"/>
      </bottom>
      <diagonal/>
    </border>
    <border>
      <left style="thin">
        <color theme="1"/>
      </left>
      <right/>
      <top style="thin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/>
      <diagonal/>
    </border>
    <border>
      <left style="thin">
        <color theme="1"/>
      </left>
      <right/>
      <top style="hair">
        <color theme="1"/>
      </top>
      <bottom/>
      <diagonal/>
    </border>
    <border>
      <left/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/>
      <top style="hair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8">
    <xf numFmtId="0" fontId="0" fillId="0" borderId="0" xfId="0"/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vertical="center" wrapText="1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7" xfId="0" applyFont="1" applyFill="1" applyBorder="1" applyAlignment="1">
      <alignment horizontal="center" vertical="center" wrapText="1"/>
    </xf>
    <xf numFmtId="164" fontId="0" fillId="0" borderId="20" xfId="0" applyNumberFormat="1" applyFont="1" applyBorder="1" applyAlignment="1">
      <alignment horizontal="center" vertical="center"/>
    </xf>
    <xf numFmtId="164" fontId="0" fillId="0" borderId="21" xfId="0" applyNumberFormat="1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0" fillId="0" borderId="23" xfId="0" applyNumberFormat="1" applyFont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horizontal="center" wrapText="1"/>
    </xf>
    <xf numFmtId="0" fontId="0" fillId="0" borderId="1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6" fillId="0" borderId="0" xfId="0" applyFont="1" applyAlignment="1">
      <alignment vertical="center"/>
    </xf>
    <xf numFmtId="0" fontId="7" fillId="3" borderId="0" xfId="0" applyFont="1" applyFill="1" applyBorder="1" applyAlignment="1">
      <alignment horizontal="left" vertical="center" wrapText="1"/>
    </xf>
    <xf numFmtId="0" fontId="6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6" fillId="0" borderId="25" xfId="0" applyFont="1" applyBorder="1" applyAlignment="1">
      <alignment horizontal="left" vertical="center"/>
    </xf>
    <xf numFmtId="164" fontId="6" fillId="0" borderId="25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left" vertical="center"/>
    </xf>
    <xf numFmtId="164" fontId="6" fillId="0" borderId="26" xfId="0" applyNumberFormat="1" applyFont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/>
    </xf>
    <xf numFmtId="166" fontId="6" fillId="2" borderId="0" xfId="0" applyNumberFormat="1" applyFont="1" applyFill="1" applyBorder="1" applyAlignment="1">
      <alignment horizontal="left" vertical="center"/>
    </xf>
    <xf numFmtId="0" fontId="9" fillId="3" borderId="1" xfId="0" applyFont="1" applyFill="1" applyBorder="1" applyAlignment="1">
      <alignment horizontal="center" vertical="center" wrapText="1"/>
    </xf>
    <xf numFmtId="164" fontId="9" fillId="3" borderId="1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>
      <alignment horizontal="center" vertical="center"/>
    </xf>
    <xf numFmtId="3" fontId="6" fillId="0" borderId="2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left" vertical="center"/>
    </xf>
    <xf numFmtId="165" fontId="6" fillId="0" borderId="7" xfId="0" applyNumberFormat="1" applyFont="1" applyBorder="1" applyAlignment="1">
      <alignment horizontal="center" vertical="center"/>
    </xf>
    <xf numFmtId="3" fontId="6" fillId="0" borderId="7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3" fontId="4" fillId="0" borderId="0" xfId="0" applyNumberFormat="1" applyFon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6" fillId="0" borderId="0" xfId="0" applyFont="1" applyAlignment="1">
      <alignment horizontal="right" vertic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166" fontId="7" fillId="0" borderId="0" xfId="0" applyNumberFormat="1" applyFont="1" applyFill="1" applyBorder="1" applyAlignment="1">
      <alignment horizontal="center" vertical="center" wrapText="1"/>
    </xf>
    <xf numFmtId="3" fontId="7" fillId="0" borderId="0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/>
    <xf numFmtId="0" fontId="0" fillId="0" borderId="0" xfId="0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0" fillId="0" borderId="0" xfId="0" applyFont="1"/>
    <xf numFmtId="166" fontId="6" fillId="0" borderId="0" xfId="0" applyNumberFormat="1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66" fontId="0" fillId="0" borderId="0" xfId="0" applyNumberFormat="1" applyFont="1" applyAlignment="1">
      <alignment horizontal="center"/>
    </xf>
    <xf numFmtId="3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/>
    </xf>
    <xf numFmtId="167" fontId="6" fillId="0" borderId="0" xfId="0" applyNumberFormat="1" applyFont="1" applyFill="1" applyBorder="1" applyAlignment="1">
      <alignment horizontal="center" vertical="center" wrapText="1"/>
    </xf>
    <xf numFmtId="167" fontId="6" fillId="2" borderId="0" xfId="0" applyNumberFormat="1" applyFont="1" applyFill="1" applyBorder="1" applyAlignment="1">
      <alignment horizontal="left" vertical="center"/>
    </xf>
    <xf numFmtId="0" fontId="6" fillId="0" borderId="0" xfId="0" applyFont="1" applyFill="1" applyAlignment="1">
      <alignment horizontal="center" vertical="center" wrapText="1"/>
    </xf>
    <xf numFmtId="0" fontId="8" fillId="0" borderId="0" xfId="1" applyFont="1" applyFill="1" applyAlignment="1">
      <alignment horizontal="center" vertical="center" wrapText="1"/>
    </xf>
    <xf numFmtId="0" fontId="0" fillId="0" borderId="0" xfId="0" applyFont="1" applyFill="1"/>
    <xf numFmtId="166" fontId="6" fillId="0" borderId="0" xfId="0" applyNumberFormat="1" applyFont="1" applyFill="1" applyAlignment="1">
      <alignment horizontal="center" vertical="center" wrapText="1"/>
    </xf>
    <xf numFmtId="167" fontId="6" fillId="0" borderId="0" xfId="0" applyNumberFormat="1" applyFont="1" applyFill="1" applyAlignment="1">
      <alignment horizontal="center" vertical="center" wrapText="1"/>
    </xf>
    <xf numFmtId="1" fontId="6" fillId="0" borderId="0" xfId="0" applyNumberFormat="1" applyFont="1" applyFill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11" fillId="0" borderId="27" xfId="0" applyFont="1" applyFill="1" applyBorder="1" applyAlignment="1">
      <alignment horizontal="left" vertical="center"/>
    </xf>
    <xf numFmtId="0" fontId="11" fillId="0" borderId="28" xfId="0" applyFont="1" applyFill="1" applyBorder="1" applyAlignment="1">
      <alignment horizontal="left" vertical="center"/>
    </xf>
    <xf numFmtId="0" fontId="11" fillId="0" borderId="28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left" vertical="center"/>
    </xf>
    <xf numFmtId="0" fontId="11" fillId="0" borderId="30" xfId="0" applyFont="1" applyFill="1" applyBorder="1" applyAlignment="1">
      <alignment horizontal="left" vertical="center"/>
    </xf>
    <xf numFmtId="0" fontId="11" fillId="0" borderId="31" xfId="0" applyFont="1" applyFill="1" applyBorder="1" applyAlignment="1">
      <alignment horizontal="left" vertical="center"/>
    </xf>
    <xf numFmtId="0" fontId="11" fillId="0" borderId="31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left" vertical="center"/>
    </xf>
    <xf numFmtId="0" fontId="11" fillId="0" borderId="34" xfId="0" applyFont="1" applyFill="1" applyBorder="1" applyAlignment="1">
      <alignment horizontal="left" vertical="center"/>
    </xf>
    <xf numFmtId="0" fontId="11" fillId="0" borderId="35" xfId="0" applyFont="1" applyFill="1" applyBorder="1" applyAlignment="1">
      <alignment horizontal="left" vertical="center"/>
    </xf>
    <xf numFmtId="0" fontId="11" fillId="0" borderId="35" xfId="0" applyFont="1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left" vertical="center"/>
    </xf>
    <xf numFmtId="0" fontId="10" fillId="0" borderId="33" xfId="0" applyFont="1" applyFill="1" applyBorder="1" applyAlignment="1">
      <alignment horizontal="center" vertical="center"/>
    </xf>
    <xf numFmtId="14" fontId="10" fillId="0" borderId="33" xfId="0" applyNumberFormat="1" applyFont="1" applyFill="1" applyBorder="1" applyAlignment="1">
      <alignment horizontal="center" vertical="center" textRotation="64"/>
    </xf>
    <xf numFmtId="14" fontId="10" fillId="0" borderId="33" xfId="0" applyNumberFormat="1" applyFont="1" applyFill="1" applyBorder="1" applyAlignment="1">
      <alignment horizontal="center" vertical="center"/>
    </xf>
    <xf numFmtId="14" fontId="10" fillId="0" borderId="33" xfId="0" applyNumberFormat="1" applyFont="1" applyFill="1" applyBorder="1" applyAlignment="1">
      <alignment horizontal="center" vertical="center" textRotation="78"/>
    </xf>
    <xf numFmtId="3" fontId="1" fillId="2" borderId="2" xfId="0" applyNumberFormat="1" applyFont="1" applyFill="1" applyBorder="1" applyAlignment="1">
      <alignment horizontal="center" vertical="center" wrapText="1"/>
    </xf>
    <xf numFmtId="3" fontId="1" fillId="2" borderId="2" xfId="0" applyNumberFormat="1" applyFont="1" applyFill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64" fontId="0" fillId="0" borderId="37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45" xfId="0" applyFont="1" applyBorder="1" applyAlignment="1">
      <alignment horizontal="center" vertical="center"/>
    </xf>
    <xf numFmtId="164" fontId="0" fillId="0" borderId="46" xfId="0" applyNumberFormat="1" applyFont="1" applyBorder="1" applyAlignment="1">
      <alignment horizontal="center" vertical="center"/>
    </xf>
    <xf numFmtId="0" fontId="0" fillId="0" borderId="47" xfId="0" applyFont="1" applyBorder="1" applyAlignment="1">
      <alignment horizontal="center" vertical="center"/>
    </xf>
    <xf numFmtId="164" fontId="0" fillId="0" borderId="48" xfId="0" applyNumberFormat="1" applyFont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164" fontId="0" fillId="0" borderId="50" xfId="0" applyNumberFormat="1" applyFont="1" applyBorder="1" applyAlignment="1">
      <alignment horizontal="center" vertical="center"/>
    </xf>
    <xf numFmtId="0" fontId="0" fillId="0" borderId="51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46" xfId="0" applyNumberFormat="1" applyBorder="1" applyAlignment="1">
      <alignment horizontal="center"/>
    </xf>
    <xf numFmtId="164" fontId="0" fillId="0" borderId="48" xfId="0" applyNumberFormat="1" applyBorder="1" applyAlignment="1">
      <alignment horizontal="center"/>
    </xf>
    <xf numFmtId="164" fontId="0" fillId="0" borderId="52" xfId="0" applyNumberFormat="1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6" xfId="0" applyBorder="1" applyAlignment="1">
      <alignment horizontal="center"/>
    </xf>
    <xf numFmtId="168" fontId="6" fillId="0" borderId="0" xfId="0" applyNumberFormat="1" applyFont="1" applyFill="1" applyBorder="1" applyAlignment="1">
      <alignment horizontal="center" vertical="center" wrapText="1"/>
    </xf>
    <xf numFmtId="168" fontId="6" fillId="0" borderId="0" xfId="0" applyNumberFormat="1" applyFont="1" applyFill="1" applyAlignment="1">
      <alignment horizontal="center" vertical="center" wrapText="1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right" vertical="center"/>
    </xf>
    <xf numFmtId="0" fontId="9" fillId="3" borderId="5" xfId="0" applyFont="1" applyFill="1" applyBorder="1" applyAlignment="1">
      <alignment horizontal="right" vertical="center"/>
    </xf>
    <xf numFmtId="0" fontId="9" fillId="3" borderId="6" xfId="0" applyFont="1" applyFill="1" applyBorder="1" applyAlignment="1">
      <alignment horizontal="right" vertical="center"/>
    </xf>
    <xf numFmtId="14" fontId="6" fillId="0" borderId="0" xfId="0" applyNumberFormat="1" applyFont="1" applyAlignment="1">
      <alignment horizontal="left" vertical="center"/>
    </xf>
    <xf numFmtId="0" fontId="9" fillId="3" borderId="4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/>
    </xf>
    <xf numFmtId="0" fontId="7" fillId="2" borderId="4" xfId="0" applyFont="1" applyFill="1" applyBorder="1" applyAlignment="1">
      <alignment horizontal="right" vertical="center"/>
    </xf>
    <xf numFmtId="0" fontId="7" fillId="2" borderId="5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right" vertical="center"/>
    </xf>
    <xf numFmtId="0" fontId="4" fillId="0" borderId="18" xfId="0" applyFont="1" applyBorder="1" applyAlignment="1">
      <alignment horizontal="center"/>
    </xf>
    <xf numFmtId="0" fontId="0" fillId="0" borderId="38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4" fillId="0" borderId="5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6" fillId="0" borderId="0" xfId="0" quotePrefix="1" applyFont="1" applyAlignment="1">
      <alignment vertical="center"/>
    </xf>
    <xf numFmtId="3" fontId="6" fillId="0" borderId="26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1">
    <dxf>
      <fill>
        <patternFill>
          <bgColor theme="8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diagonalUp="0" diagonalDown="0">
        <left/>
        <right/>
        <top style="thin">
          <color theme="1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hair">
          <color theme="1"/>
        </top>
        <bottom style="hair">
          <color theme="1"/>
        </bottom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vertical="center" textRotation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vertical="center" textRotation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indexed="64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8" tint="0.59996337778862885"/>
        </right>
        <top style="hair">
          <color theme="8" tint="0.59996337778862885"/>
        </top>
        <bottom style="hair">
          <color theme="8" tint="0.59996337778862885"/>
        </bottom>
        <vertical style="thin">
          <color theme="8" tint="0.59996337778862885"/>
        </vertical>
        <horizontal style="hair">
          <color theme="8" tint="0.59996337778862885"/>
        </horizontal>
      </border>
    </dxf>
    <dxf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theme="8" tint="0.599963377788628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64" wrapText="0" indent="0" justifyLastLine="0" shrinkToFit="0" readingOrder="0"/>
      <border diagonalUp="0" diagonalDown="0">
        <left style="thin">
          <color theme="8" tint="0.59996337778862885"/>
        </left>
        <right style="thin">
          <color theme="8" tint="0.59996337778862885"/>
        </right>
        <top/>
        <bottom/>
        <vertical style="thin">
          <color theme="8" tint="0.59996337778862885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&quot; ans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</font>
    </dxf>
    <dxf>
      <font>
        <b val="0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55CCBF-20B7-46F6-AF3E-72CF3BA55904}" name="T_BdD" displayName="T_BdD" ref="B2:N7" insertRowShift="1" totalsRowShown="0" headerRowDxfId="100" dataDxfId="99">
  <autoFilter ref="B2:N7" xr:uid="{BB70F634-A43F-4E81-AC38-5D272D4983D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21D963DD-E46E-48FB-8EE5-5C93A868C8B6}" name="Nom" dataDxfId="98"/>
    <tableColumn id="2" xr3:uid="{E0F891A7-67EA-416B-A3F3-B49EF58912A6}" name="Prénom" dataDxfId="97"/>
    <tableColumn id="10" xr3:uid="{BAA6895E-079F-446E-8E2F-F36E1DF286ED}" name="Adresse" dataDxfId="96"/>
    <tableColumn id="11" xr3:uid="{7044E735-1B42-455B-89A4-D1742C770DA7}" name="Code postal" dataDxfId="95"/>
    <tableColumn id="12" xr3:uid="{36CC8710-61AC-4E74-A48E-02AAD95BB1BE}" name="Ville" dataDxfId="94"/>
    <tableColumn id="13" xr3:uid="{70DC8330-073F-461A-910F-9E8C89580469}" name="Téléphone" dataDxfId="93"/>
    <tableColumn id="3" xr3:uid="{DBA016DB-5811-4EAB-8EC8-3C6B8C441D0F}" name="Adresse mail" dataDxfId="92" dataCellStyle="Lien hypertexte"/>
    <tableColumn id="4" xr3:uid="{CCC79E35-ADE3-45D1-A074-A707C2F97CC6}" name="Contact" dataDxfId="91" dataCellStyle="Normal"/>
    <tableColumn id="5" xr3:uid="{AC1A9311-8A00-4303-89FF-340D9A7937F1}" name="Lien avec l'enfant" dataDxfId="90"/>
    <tableColumn id="6" xr3:uid="{80699049-1DB1-456C-A0D4-23B9215CA09D}" name="Téléphone2" dataDxfId="89"/>
    <tableColumn id="7" xr3:uid="{C1F04176-CDE4-4E94-8096-49EBA39A916C}" name="Age" dataDxfId="88"/>
    <tableColumn id="8" xr3:uid="{CB271D30-60BC-451D-9CD3-F252A4440494}" name="Quotient familial" dataDxfId="87"/>
    <tableColumn id="9" xr3:uid="{6FE70DA8-B6E9-4560-9178-4987ABA0418F}" name="Adhérent" dataDxfId="8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D9E1FE-A3AB-42DE-B773-E43BCE6851B2}" name="T_Planning" displayName="T_Planning" ref="B2:AB50" totalsRowShown="0" headerRowDxfId="85" dataDxfId="83" headerRowBorderDxfId="84" tableBorderDxfId="82">
  <autoFilter ref="B2:AB50" xr:uid="{897612B2-D6DE-40A2-A1BB-033D565C6CA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47AA05F9-A735-40B5-A3D4-D309B5A19D9D}" name="Nom" dataDxfId="81"/>
    <tableColumn id="2" xr3:uid="{8E26FF0B-E6C3-49E1-BE19-F744EA2FF89E}" name="Prénom" dataDxfId="80">
      <calculatedColumnFormula>IFERROR(VLOOKUP(B3,T_BdD[#This Row],2,0),"")</calculatedColumnFormula>
    </tableColumn>
    <tableColumn id="3" xr3:uid="{9DD0B9F0-37B4-4F1D-B4DB-841DE4D25704}" name="Centre" dataDxfId="79"/>
    <tableColumn id="4" xr3:uid="{2E28E39B-3C39-442D-A4FC-E9EBC59F30B5}" name="08/07/2019" dataDxfId="78"/>
    <tableColumn id="5" xr3:uid="{4DF6D94A-FCEC-4B00-9C2A-47BAD8160F27}" name="09/07/2019" dataDxfId="77"/>
    <tableColumn id="6" xr3:uid="{53729E4F-6C88-4E9E-8118-1AEECA03687B}" name="10/07/2019" dataDxfId="76"/>
    <tableColumn id="7" xr3:uid="{0CA44CAC-6CD0-482F-B704-CC871068341E}" name="11/07/2019" dataDxfId="75"/>
    <tableColumn id="8" xr3:uid="{68E6E5DB-DC9E-45B5-B09F-0AE50C5E61A6}" name="12/07/2019" dataDxfId="74"/>
    <tableColumn id="9" xr3:uid="{D49A3D13-FE36-4000-8A1B-09411988EC31}" name="13/07/2019" dataDxfId="73"/>
    <tableColumn id="10" xr3:uid="{AE5FA048-FF0C-46AC-91CA-F446C44880CD}" name="14/07/2019" dataDxfId="72"/>
    <tableColumn id="11" xr3:uid="{F8D39F73-C16A-406F-97A1-B5A3C6EA2CD7}" name="15/07/2019" dataDxfId="71"/>
    <tableColumn id="12" xr3:uid="{C4550426-443D-4BF7-83FE-FD266F754602}" name="16/07/2019" dataDxfId="70"/>
    <tableColumn id="13" xr3:uid="{6C30E7AA-02BB-4196-97C8-1757AAE156BD}" name="17/07/2019" dataDxfId="69"/>
    <tableColumn id="14" xr3:uid="{2B9C4835-52CF-4CFE-A54A-E9D3C4DA9637}" name="18/07/2019" dataDxfId="68"/>
    <tableColumn id="15" xr3:uid="{27842D2F-3973-4F1E-B418-96761C0E71FE}" name="19/07/2019" dataDxfId="67"/>
    <tableColumn id="16" xr3:uid="{165A7200-5727-4DED-84AB-424B16FEDF5B}" name="20/07/2019" dataDxfId="66"/>
    <tableColumn id="17" xr3:uid="{1A13552E-7602-4774-B555-2DFBA1C3F028}" name="21/07/2019" dataDxfId="65"/>
    <tableColumn id="18" xr3:uid="{FCB5F024-BFCF-4E75-BAE0-1C21C6991281}" name="22/07/2019" dataDxfId="64"/>
    <tableColumn id="19" xr3:uid="{035BE36E-9608-46DD-8CA2-3F518C7491ED}" name="23/07/2019" dataDxfId="63"/>
    <tableColumn id="20" xr3:uid="{E38AEB2D-1ABC-425D-BDD9-3D644C7613FE}" name="24/07/2019" dataDxfId="62"/>
    <tableColumn id="21" xr3:uid="{A20C2ACC-D5CC-423A-860D-F3CECE39991E}" name="25/07/2019" dataDxfId="61"/>
    <tableColumn id="22" xr3:uid="{C2C360DC-BBB8-415D-BF97-4630D061B3B8}" name="26/07/2019" dataDxfId="60"/>
    <tableColumn id="23" xr3:uid="{A8F83573-F6E5-4099-954E-E9DDAA19E531}" name="Nb prestations" dataDxfId="59">
      <calculatedColumnFormula>SUM(T_Planning[[#This Row],[08/07/2019]:[26/07/2019]])</calculatedColumnFormula>
    </tableColumn>
    <tableColumn id="25" xr3:uid="{9C3F61E3-B4B7-44DF-BA96-06C97449507F}" name="Semaine 28" dataDxfId="58"/>
    <tableColumn id="26" xr3:uid="{80A1BCD3-E270-43FA-A759-651F77BD1EF2}" name="Semaine 29" dataDxfId="57"/>
    <tableColumn id="27" xr3:uid="{3F3AE9E8-D6B5-4F28-A740-F13C71B447AF}" name="Semaine 30" dataDxfId="56"/>
    <tableColumn id="24" xr3:uid="{7C134DF2-4BCD-400B-BC25-7CA110E29B67}" name="Camp" dataDxfId="55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A6D0D7-4CC2-4C97-A8B9-DF358A5B9930}" name="Tableau1" displayName="Tableau1" ref="B2:I6" totalsRowShown="0" headerRowDxfId="54" dataDxfId="52" headerRowBorderDxfId="53" tableBorderDxfId="51">
  <autoFilter ref="B2:I6" xr:uid="{168002CA-8156-4190-8AA5-BA4606D6789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D7D92022-D331-42B6-B86A-1E271066EF66}" name="Péricentre" dataDxfId="50"/>
    <tableColumn id="2" xr3:uid="{3F4981C5-FC97-48E9-BF07-454106EA145E}" name="Tranche d'age" dataDxfId="49"/>
    <tableColumn id="3" xr3:uid="{FC05E4E7-8C34-4F60-8E21-677D0D62C10A}" name="Période" dataDxfId="48"/>
    <tableColumn id="4" xr3:uid="{6F07931E-8756-42A9-B151-92CC3E9284ED}" name="0 à 600" dataDxfId="47"/>
    <tableColumn id="5" xr3:uid="{C9C59B28-231A-4B48-A695-DC46DDB47E52}" name="601 à 1000" dataDxfId="46"/>
    <tableColumn id="6" xr3:uid="{1600A71D-378C-4720-9F37-D2B2C9901212}" name="1001 à 1299" dataDxfId="45"/>
    <tableColumn id="7" xr3:uid="{0EB4EC0D-EB51-4B83-B675-FA589161F7D4}" name="plus de 1300" dataDxfId="44"/>
    <tableColumn id="8" xr3:uid="{BF775144-0BD3-48B5-8C70-07F53DF020EA}" name="Nb jour" dataDxfId="43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12DD39-D846-4849-94C1-823B2EEE2FEC}" name="Tableau14" displayName="Tableau14" ref="B13:I17" totalsRowShown="0" headerRowDxfId="42" dataDxfId="40" headerRowBorderDxfId="41" tableBorderDxfId="39">
  <autoFilter ref="B13:I17" xr:uid="{4D81D880-E863-4562-BF04-38E3A8CDDA5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368A2D2-17CE-4002-9FE8-9F7C85F8754C}" name="Péricentre" dataDxfId="38"/>
    <tableColumn id="2" xr3:uid="{983CA757-15A6-4ECF-85B8-CE00032FD2F0}" name="Age" dataDxfId="37"/>
    <tableColumn id="3" xr3:uid="{526B2C09-CC5D-4AE9-8562-224E1CF4AFEA}" name="Période" dataDxfId="36"/>
    <tableColumn id="4" xr3:uid="{D8DF8F90-7DE0-41D8-B5B0-8BE929973C5D}" name="0 à 600" dataDxfId="35"/>
    <tableColumn id="5" xr3:uid="{15CFBDE2-2294-4E2C-A711-A5F9C11C2ECB}" name="601 à 1000" dataDxfId="34"/>
    <tableColumn id="6" xr3:uid="{38B4F40F-1917-4CBD-8BAD-C2226CD1A086}" name="1001 à 1299" dataDxfId="33"/>
    <tableColumn id="7" xr3:uid="{14BA0EC9-909C-41F4-A941-A44172FA7A5D}" name="plus de 1300" dataDxfId="32"/>
    <tableColumn id="8" xr3:uid="{A2374441-B90C-4E35-BE91-713508C2B8EE}" name="Nb jour" dataDxfId="31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DB38322-EE87-4CE1-AA56-E2DEBBC5BA5D}" name="Tableau6" displayName="Tableau6" ref="K2:O6" totalsRowShown="0" headerRowDxfId="30" dataDxfId="28" headerRowBorderDxfId="29" tableBorderDxfId="27">
  <autoFilter ref="K2:O6" xr:uid="{86A39C67-0C80-4C04-9BE3-A08708B2003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1677085-601F-4811-800E-6308D5DD71CE}" name="QF" dataDxfId="26"/>
    <tableColumn id="2" xr3:uid="{403BD6A7-2039-4E48-9103-01C5D981FFFE}" name="Camp à l'Herberie Pouancé" dataDxfId="25"/>
    <tableColumn id="3" xr3:uid="{4CFAF20E-3D5D-4E6D-AF7C-A02CB161B4D6}" name="Camp Craon" dataDxfId="24"/>
    <tableColumn id="4" xr3:uid="{CB3C39B5-1EAF-4D1F-9437-3BF23C6B5E3B}" name="Camp Multi activité en Anjou - Ponts de cé" dataDxfId="23"/>
    <tableColumn id="5" xr3:uid="{48D28ED7-7645-4263-8203-B9D738D65E4E}" name="Camp Sportif à Rougé" dataDxfId="22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C50396A-26C6-4608-8D88-84D2751D113E}" name="Tableau7" displayName="Tableau7" ref="K8:P9" totalsRowShown="0" headerRowDxfId="21" dataDxfId="19" headerRowBorderDxfId="20" tableBorderDxfId="18" totalsRowBorderDxfId="17">
  <autoFilter ref="K8:P9" xr:uid="{ED85D1BB-28A3-4AC8-A4CE-EEE639542EE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BBC6F22-F6B6-4749-8112-743E2D6B7E3A}" name="QF" dataDxfId="16">
      <calculatedColumnFormula>Facture!C13</calculatedColumnFormula>
    </tableColumn>
    <tableColumn id="2" xr3:uid="{B3641534-467E-450A-8E39-C94659C6D9EB}" name="Camp à l'Herberie Pouancé" dataDxfId="15">
      <calculatedColumnFormula>IF(Facture!$B$19=Paramètres!L$2,VLOOKUP($K$9,$K$3:$O$6,2,1),0)</calculatedColumnFormula>
    </tableColumn>
    <tableColumn id="3" xr3:uid="{2569E8CC-916D-468C-BEC4-1741BA389588}" name="Camp Craon" dataDxfId="14">
      <calculatedColumnFormula>IF(Facture!$B$19=Paramètres!M$2,VLOOKUP($K$9,$K$3:$O$6,3,1),0)</calculatedColumnFormula>
    </tableColumn>
    <tableColumn id="4" xr3:uid="{D6227154-55AC-41F5-8434-3AF5B0FF08FF}" name="Camp Multi activité en Anjou - Ponts de cé" dataDxfId="13">
      <calculatedColumnFormula>IF(Facture!$B$19=Paramètres!N$2,VLOOKUP($K$9,$K$3:$O$6,4,1),0)</calculatedColumnFormula>
    </tableColumn>
    <tableColumn id="5" xr3:uid="{2CFF9FEB-2F6A-4161-B6C0-F7036EF54483}" name="Camp Sportif à Rougé" dataDxfId="12">
      <calculatedColumnFormula>IF(Facture!$B$19=Paramètres!O$2,VLOOKUP($K$9,$K$3:$O$6,5,1),0)</calculatedColumnFormula>
    </tableColumn>
    <tableColumn id="6" xr3:uid="{A3B4DC13-385F-4581-B639-C3353A615091}" name="Coût" dataDxfId="11">
      <calculatedColumnFormula>SUM(L9:O9)</calculatedColumnFormula>
    </tableColumn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0D12995-9FEC-455F-B80F-F0C3C52F11EE}" name="Tableau9" displayName="Tableau9" ref="K13:O17" totalsRowShown="0" headerRowDxfId="10" dataDxfId="8" headerRowBorderDxfId="9" tableBorderDxfId="7">
  <autoFilter ref="K13:O17" xr:uid="{41357D61-951C-4B7B-B7D4-69E29849FBC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6143702-7A6F-4AC1-8132-2ACB41E41956}" name="QF" dataDxfId="6"/>
    <tableColumn id="2" xr3:uid="{633E9D32-C754-48AA-962E-3C82C3CFCB64}" name="Camp à l'Herberie Pouancé" dataDxfId="5"/>
    <tableColumn id="3" xr3:uid="{37FEB513-D79E-47F4-9EE9-C631AC326BC2}" name="Camp Craon" dataDxfId="4"/>
    <tableColumn id="4" xr3:uid="{AE8EBF86-13CD-40D2-8687-9F1BCBC89D16}" name="Camp Multi activité en Anjou - Ponts de cé" dataDxfId="3"/>
    <tableColumn id="5" xr3:uid="{18ECC678-CB3D-4B8C-9C18-6ACC3B6CB56F}" name="Camp Sportif à Rougé" dataDxfId="2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832AF2A-76C5-42E1-BDF9-5A5A8794FECA}" name="T_Prestations" displayName="T_Prestations" ref="B40:B48" totalsRowShown="0" headerRowDxfId="1">
  <autoFilter ref="B40:B48" xr:uid="{D142D31C-6467-49EA-9B01-0E30F14604AB}">
    <filterColumn colId="0" hiddenButton="1"/>
  </autoFilter>
  <tableColumns count="1">
    <tableColumn id="1" xr3:uid="{FAA8F085-23E6-45FA-B102-282C06AD683E}" name="Prestation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pan@gmail.com" TargetMode="External"/><Relationship Id="rId7" Type="http://schemas.openxmlformats.org/officeDocument/2006/relationships/table" Target="../tables/table1.xml"/><Relationship Id="rId2" Type="http://schemas.openxmlformats.org/officeDocument/2006/relationships/hyperlink" Target="https://harrypotter.fandom.com/fr/wiki/Albus_Dumbledore" TargetMode="External"/><Relationship Id="rId1" Type="http://schemas.openxmlformats.org/officeDocument/2006/relationships/hyperlink" Target="mailto:hpotter@free.fr" TargetMode="External"/><Relationship Id="rId6" Type="http://schemas.openxmlformats.org/officeDocument/2006/relationships/hyperlink" Target="https://harrypotter.fandom.com/fr/wiki/Little_Whinging" TargetMode="External"/><Relationship Id="rId5" Type="http://schemas.openxmlformats.org/officeDocument/2006/relationships/hyperlink" Target="mailto:Cbrown@orange.com" TargetMode="External"/><Relationship Id="rId4" Type="http://schemas.openxmlformats.org/officeDocument/2006/relationships/hyperlink" Target="mailto:kmcc@yahoo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7C8E6-6FEE-4165-859F-BDD2BE14B3AA}">
  <dimension ref="B2:N41"/>
  <sheetViews>
    <sheetView showGridLines="0" workbookViewId="0">
      <selection activeCell="B3" sqref="B3"/>
    </sheetView>
  </sheetViews>
  <sheetFormatPr baseColWidth="10" defaultRowHeight="15" x14ac:dyDescent="0.25"/>
  <cols>
    <col min="1" max="1" width="4.7109375" customWidth="1"/>
    <col min="2" max="3" width="20.7109375" style="100" customWidth="1"/>
    <col min="4" max="4" width="40.5703125" style="100" customWidth="1"/>
    <col min="5" max="5" width="12.42578125" style="18" bestFit="1" customWidth="1"/>
    <col min="6" max="6" width="20.7109375" style="100" customWidth="1"/>
    <col min="7" max="7" width="14.7109375" style="100" bestFit="1" customWidth="1"/>
    <col min="8" max="8" width="20.7109375" style="18" customWidth="1"/>
    <col min="9" max="10" width="20.7109375" customWidth="1"/>
    <col min="11" max="11" width="15.7109375" style="69" customWidth="1"/>
    <col min="12" max="12" width="8.7109375" style="65" customWidth="1"/>
    <col min="13" max="13" width="17.7109375" style="70" bestFit="1" customWidth="1"/>
    <col min="14" max="14" width="10.28515625" style="18" bestFit="1" customWidth="1"/>
  </cols>
  <sheetData>
    <row r="2" spans="2:14" s="18" customFormat="1" ht="15.75" x14ac:dyDescent="0.25">
      <c r="B2" s="71" t="s">
        <v>9</v>
      </c>
      <c r="C2" s="71" t="s">
        <v>10</v>
      </c>
      <c r="D2" s="71" t="s">
        <v>86</v>
      </c>
      <c r="E2" s="71" t="s">
        <v>87</v>
      </c>
      <c r="F2" s="71" t="s">
        <v>88</v>
      </c>
      <c r="G2" s="72" t="s">
        <v>34</v>
      </c>
      <c r="H2" s="71" t="s">
        <v>12</v>
      </c>
      <c r="I2" s="71" t="s">
        <v>32</v>
      </c>
      <c r="J2" s="71" t="s">
        <v>33</v>
      </c>
      <c r="K2" s="72" t="s">
        <v>98</v>
      </c>
      <c r="L2" s="73" t="s">
        <v>13</v>
      </c>
      <c r="M2" s="74" t="s">
        <v>11</v>
      </c>
      <c r="N2" s="71" t="s">
        <v>28</v>
      </c>
    </row>
    <row r="3" spans="2:14" s="81" customFormat="1" ht="15.75" x14ac:dyDescent="0.25">
      <c r="B3" s="98" t="s">
        <v>58</v>
      </c>
      <c r="C3" s="98" t="s">
        <v>59</v>
      </c>
      <c r="D3" s="81" t="s">
        <v>90</v>
      </c>
      <c r="E3" s="145">
        <v>99999</v>
      </c>
      <c r="F3" t="s">
        <v>91</v>
      </c>
      <c r="G3" s="82">
        <v>809050602</v>
      </c>
      <c r="H3" s="80" t="s">
        <v>60</v>
      </c>
      <c r="I3" s="81" t="s">
        <v>61</v>
      </c>
      <c r="J3" s="79" t="s">
        <v>62</v>
      </c>
      <c r="K3" s="82">
        <v>102030405</v>
      </c>
      <c r="L3" s="88">
        <v>9</v>
      </c>
      <c r="M3" s="83">
        <v>985</v>
      </c>
      <c r="N3" s="79" t="s">
        <v>63</v>
      </c>
    </row>
    <row r="4" spans="2:14" s="81" customFormat="1" ht="15.75" x14ac:dyDescent="0.25">
      <c r="B4" s="99" t="s">
        <v>64</v>
      </c>
      <c r="C4" s="99" t="s">
        <v>65</v>
      </c>
      <c r="D4" s="99" t="s">
        <v>92</v>
      </c>
      <c r="E4" s="146">
        <v>88888</v>
      </c>
      <c r="F4" s="99" t="s">
        <v>93</v>
      </c>
      <c r="G4" s="93">
        <v>305070109</v>
      </c>
      <c r="H4" s="96" t="s">
        <v>78</v>
      </c>
      <c r="I4" s="92" t="s">
        <v>66</v>
      </c>
      <c r="J4" s="90" t="s">
        <v>67</v>
      </c>
      <c r="K4" s="93" t="s">
        <v>68</v>
      </c>
      <c r="L4" s="94">
        <v>5</v>
      </c>
      <c r="M4" s="95">
        <v>1200</v>
      </c>
      <c r="N4" s="90" t="s">
        <v>69</v>
      </c>
    </row>
    <row r="5" spans="2:14" s="81" customFormat="1" ht="15.75" x14ac:dyDescent="0.25">
      <c r="B5" s="100" t="s">
        <v>71</v>
      </c>
      <c r="C5" s="99" t="s">
        <v>72</v>
      </c>
      <c r="D5" t="s">
        <v>95</v>
      </c>
      <c r="E5" s="146">
        <v>77777</v>
      </c>
      <c r="F5" s="99" t="s">
        <v>94</v>
      </c>
      <c r="G5" s="93">
        <v>604090103</v>
      </c>
      <c r="H5" s="96" t="s">
        <v>79</v>
      </c>
      <c r="I5" s="92" t="s">
        <v>73</v>
      </c>
      <c r="J5" s="90" t="s">
        <v>74</v>
      </c>
      <c r="K5" s="93">
        <v>504060907</v>
      </c>
      <c r="L5" s="94">
        <v>11</v>
      </c>
      <c r="M5" s="95">
        <v>850</v>
      </c>
      <c r="N5" s="90" t="s">
        <v>63</v>
      </c>
    </row>
    <row r="6" spans="2:14" s="81" customFormat="1" ht="15.75" x14ac:dyDescent="0.25">
      <c r="B6" s="99" t="s">
        <v>75</v>
      </c>
      <c r="C6" s="99" t="s">
        <v>76</v>
      </c>
      <c r="D6" s="99" t="s">
        <v>96</v>
      </c>
      <c r="E6" s="146">
        <v>16000</v>
      </c>
      <c r="F6" s="99" t="s">
        <v>97</v>
      </c>
      <c r="G6" s="93">
        <v>802060405</v>
      </c>
      <c r="H6" s="96" t="s">
        <v>77</v>
      </c>
      <c r="I6" s="92" t="s">
        <v>80</v>
      </c>
      <c r="J6" s="90" t="s">
        <v>67</v>
      </c>
      <c r="K6" s="93">
        <v>609030107</v>
      </c>
      <c r="L6" s="94">
        <v>6</v>
      </c>
      <c r="M6" s="95">
        <v>600</v>
      </c>
      <c r="N6" s="90" t="s">
        <v>69</v>
      </c>
    </row>
    <row r="7" spans="2:14" s="81" customFormat="1" ht="15.75" x14ac:dyDescent="0.25">
      <c r="B7" s="99"/>
      <c r="C7" s="99"/>
      <c r="D7" s="99"/>
      <c r="E7" s="146"/>
      <c r="F7" s="99"/>
      <c r="G7" s="93"/>
      <c r="H7" s="91"/>
      <c r="I7" s="92"/>
      <c r="J7" s="90"/>
      <c r="K7" s="93"/>
      <c r="L7" s="94"/>
      <c r="M7" s="95"/>
      <c r="N7" s="90"/>
    </row>
    <row r="8" spans="2:14" s="81" customFormat="1" x14ac:dyDescent="0.25">
      <c r="B8" s="101"/>
      <c r="C8" s="101"/>
      <c r="D8" s="101"/>
      <c r="E8" s="84"/>
      <c r="F8" s="101"/>
      <c r="G8" s="101"/>
      <c r="H8" s="84"/>
      <c r="K8" s="85"/>
      <c r="L8" s="86"/>
      <c r="M8" s="87"/>
      <c r="N8" s="84"/>
    </row>
    <row r="9" spans="2:14" s="81" customFormat="1" x14ac:dyDescent="0.25">
      <c r="B9" s="101"/>
      <c r="C9" s="101"/>
      <c r="D9" s="101"/>
      <c r="E9" s="84"/>
      <c r="F9" s="101"/>
      <c r="G9" s="101"/>
      <c r="H9" s="84"/>
      <c r="K9" s="85"/>
      <c r="L9" s="86"/>
      <c r="M9" s="87"/>
      <c r="N9" s="84"/>
    </row>
    <row r="10" spans="2:14" s="81" customFormat="1" x14ac:dyDescent="0.25">
      <c r="B10" s="101"/>
      <c r="C10" s="101"/>
      <c r="D10" s="101"/>
      <c r="E10" s="84"/>
      <c r="F10" s="101"/>
      <c r="G10" s="101"/>
      <c r="H10" s="84"/>
      <c r="K10" s="85"/>
      <c r="L10" s="86"/>
      <c r="M10" s="87"/>
      <c r="N10" s="84"/>
    </row>
    <row r="11" spans="2:14" s="81" customFormat="1" x14ac:dyDescent="0.25">
      <c r="B11" s="101"/>
      <c r="C11" s="101"/>
      <c r="D11" s="101"/>
      <c r="E11" s="84"/>
      <c r="F11" s="101"/>
      <c r="G11" s="101"/>
      <c r="H11" s="84"/>
      <c r="K11" s="85"/>
      <c r="L11" s="86"/>
      <c r="M11" s="87"/>
      <c r="N11" s="84"/>
    </row>
    <row r="12" spans="2:14" s="81" customFormat="1" x14ac:dyDescent="0.25">
      <c r="B12" s="101"/>
      <c r="C12" s="101"/>
      <c r="D12" s="101"/>
      <c r="E12" s="84"/>
      <c r="F12" s="101"/>
      <c r="G12" s="101"/>
      <c r="H12" s="84"/>
      <c r="K12" s="85"/>
      <c r="L12" s="86"/>
      <c r="M12" s="87"/>
      <c r="N12" s="84"/>
    </row>
    <row r="13" spans="2:14" s="81" customFormat="1" x14ac:dyDescent="0.25">
      <c r="B13" s="101"/>
      <c r="C13" s="101"/>
      <c r="D13" s="101"/>
      <c r="E13" s="84"/>
      <c r="F13" s="101"/>
      <c r="G13" s="101"/>
      <c r="H13" s="84"/>
      <c r="K13" s="85"/>
      <c r="L13" s="86"/>
      <c r="M13" s="87"/>
      <c r="N13" s="84"/>
    </row>
    <row r="14" spans="2:14" s="81" customFormat="1" x14ac:dyDescent="0.25">
      <c r="B14" s="101"/>
      <c r="C14" s="101"/>
      <c r="D14" s="101"/>
      <c r="E14" s="84"/>
      <c r="F14" s="101"/>
      <c r="G14" s="101"/>
      <c r="H14" s="84"/>
      <c r="K14" s="85"/>
      <c r="L14" s="86"/>
      <c r="M14" s="87"/>
      <c r="N14" s="84"/>
    </row>
    <row r="15" spans="2:14" s="81" customFormat="1" x14ac:dyDescent="0.25">
      <c r="B15" s="101"/>
      <c r="C15" s="101"/>
      <c r="D15" s="101"/>
      <c r="E15" s="84"/>
      <c r="F15" s="101"/>
      <c r="G15" s="101"/>
      <c r="H15" s="84"/>
      <c r="K15" s="85"/>
      <c r="L15" s="86"/>
      <c r="M15" s="87"/>
      <c r="N15" s="84"/>
    </row>
    <row r="16" spans="2:14" s="81" customFormat="1" x14ac:dyDescent="0.25">
      <c r="B16" s="101"/>
      <c r="C16" s="101"/>
      <c r="D16" s="101"/>
      <c r="E16" s="84"/>
      <c r="F16" s="101"/>
      <c r="G16" s="101"/>
      <c r="H16" s="84"/>
      <c r="K16" s="85"/>
      <c r="L16" s="86"/>
      <c r="M16" s="87"/>
      <c r="N16" s="84"/>
    </row>
    <row r="17" spans="2:14" s="81" customFormat="1" x14ac:dyDescent="0.25">
      <c r="B17" s="101"/>
      <c r="C17" s="101"/>
      <c r="D17" s="101"/>
      <c r="E17" s="84"/>
      <c r="F17" s="101"/>
      <c r="G17" s="101"/>
      <c r="H17" s="84"/>
      <c r="K17" s="85"/>
      <c r="L17" s="86"/>
      <c r="M17" s="87"/>
      <c r="N17" s="84"/>
    </row>
    <row r="18" spans="2:14" s="81" customFormat="1" x14ac:dyDescent="0.25">
      <c r="B18" s="101"/>
      <c r="C18" s="101"/>
      <c r="D18" s="101"/>
      <c r="E18" s="84"/>
      <c r="F18" s="101"/>
      <c r="G18" s="101"/>
      <c r="H18" s="84"/>
      <c r="K18" s="85"/>
      <c r="L18" s="86"/>
      <c r="M18" s="87"/>
      <c r="N18" s="84"/>
    </row>
    <row r="19" spans="2:14" s="81" customFormat="1" x14ac:dyDescent="0.25">
      <c r="B19" s="101"/>
      <c r="C19" s="101"/>
      <c r="D19" s="101"/>
      <c r="E19" s="84"/>
      <c r="F19" s="101"/>
      <c r="G19" s="101"/>
      <c r="H19" s="84"/>
      <c r="K19" s="85"/>
      <c r="L19" s="86"/>
      <c r="M19" s="87"/>
      <c r="N19" s="84"/>
    </row>
    <row r="20" spans="2:14" s="81" customFormat="1" x14ac:dyDescent="0.25">
      <c r="B20" s="101"/>
      <c r="C20" s="101"/>
      <c r="D20" s="101"/>
      <c r="E20" s="84"/>
      <c r="F20" s="101"/>
      <c r="G20" s="101"/>
      <c r="H20" s="84"/>
      <c r="K20" s="85"/>
      <c r="L20" s="86"/>
      <c r="M20" s="87"/>
      <c r="N20" s="84"/>
    </row>
    <row r="21" spans="2:14" s="81" customFormat="1" x14ac:dyDescent="0.25">
      <c r="B21" s="101"/>
      <c r="C21" s="101"/>
      <c r="D21" s="101"/>
      <c r="E21" s="84"/>
      <c r="F21" s="101"/>
      <c r="G21" s="101"/>
      <c r="H21" s="84"/>
      <c r="K21" s="85"/>
      <c r="L21" s="86"/>
      <c r="M21" s="87"/>
      <c r="N21" s="84"/>
    </row>
    <row r="22" spans="2:14" s="81" customFormat="1" x14ac:dyDescent="0.25">
      <c r="B22" s="101"/>
      <c r="C22" s="101"/>
      <c r="D22" s="101"/>
      <c r="E22" s="84"/>
      <c r="F22" s="101"/>
      <c r="G22" s="101"/>
      <c r="H22" s="84"/>
      <c r="K22" s="85"/>
      <c r="L22" s="86"/>
      <c r="M22" s="87"/>
      <c r="N22" s="84"/>
    </row>
    <row r="23" spans="2:14" s="81" customFormat="1" x14ac:dyDescent="0.25">
      <c r="B23" s="101"/>
      <c r="C23" s="101"/>
      <c r="D23" s="101"/>
      <c r="E23" s="84"/>
      <c r="F23" s="101"/>
      <c r="G23" s="101"/>
      <c r="H23" s="84"/>
      <c r="K23" s="85"/>
      <c r="L23" s="86"/>
      <c r="M23" s="87"/>
      <c r="N23" s="84"/>
    </row>
    <row r="24" spans="2:14" s="81" customFormat="1" x14ac:dyDescent="0.25">
      <c r="B24" s="101"/>
      <c r="C24" s="101"/>
      <c r="D24" s="101"/>
      <c r="E24" s="84"/>
      <c r="F24" s="101"/>
      <c r="G24" s="101"/>
      <c r="H24" s="84"/>
      <c r="K24" s="85"/>
      <c r="L24" s="86"/>
      <c r="M24" s="87"/>
      <c r="N24" s="84"/>
    </row>
    <row r="25" spans="2:14" s="81" customFormat="1" x14ac:dyDescent="0.25">
      <c r="B25" s="101"/>
      <c r="C25" s="101"/>
      <c r="D25" s="101"/>
      <c r="E25" s="84"/>
      <c r="F25" s="101"/>
      <c r="G25" s="101"/>
      <c r="H25" s="84"/>
      <c r="K25" s="85"/>
      <c r="L25" s="86"/>
      <c r="M25" s="87"/>
      <c r="N25" s="84"/>
    </row>
    <row r="26" spans="2:14" s="81" customFormat="1" x14ac:dyDescent="0.25">
      <c r="B26" s="101"/>
      <c r="C26" s="101"/>
      <c r="D26" s="101"/>
      <c r="E26" s="84"/>
      <c r="F26" s="101"/>
      <c r="G26" s="101"/>
      <c r="H26" s="84"/>
      <c r="K26" s="85"/>
      <c r="L26" s="86"/>
      <c r="M26" s="87"/>
      <c r="N26" s="84"/>
    </row>
    <row r="27" spans="2:14" s="81" customFormat="1" x14ac:dyDescent="0.25">
      <c r="B27" s="101"/>
      <c r="C27" s="101"/>
      <c r="D27" s="101"/>
      <c r="E27" s="84"/>
      <c r="F27" s="101"/>
      <c r="G27" s="101"/>
      <c r="H27" s="84"/>
      <c r="K27" s="85"/>
      <c r="L27" s="86"/>
      <c r="M27" s="87"/>
      <c r="N27" s="84"/>
    </row>
    <row r="28" spans="2:14" s="81" customFormat="1" x14ac:dyDescent="0.25">
      <c r="B28" s="101"/>
      <c r="C28" s="101"/>
      <c r="D28" s="101"/>
      <c r="E28" s="84"/>
      <c r="F28" s="101"/>
      <c r="G28" s="101"/>
      <c r="H28" s="84"/>
      <c r="K28" s="85"/>
      <c r="L28" s="86"/>
      <c r="M28" s="87"/>
      <c r="N28" s="84"/>
    </row>
    <row r="29" spans="2:14" s="81" customFormat="1" x14ac:dyDescent="0.25">
      <c r="B29" s="101"/>
      <c r="C29" s="101"/>
      <c r="D29" s="101"/>
      <c r="E29" s="84"/>
      <c r="F29" s="101"/>
      <c r="G29" s="101"/>
      <c r="H29" s="84"/>
      <c r="K29" s="85"/>
      <c r="L29" s="86"/>
      <c r="M29" s="87"/>
      <c r="N29" s="84"/>
    </row>
    <row r="30" spans="2:14" s="81" customFormat="1" x14ac:dyDescent="0.25">
      <c r="B30" s="101"/>
      <c r="C30" s="101"/>
      <c r="D30" s="101"/>
      <c r="E30" s="84"/>
      <c r="F30" s="101"/>
      <c r="G30" s="101"/>
      <c r="H30" s="84"/>
      <c r="K30" s="85"/>
      <c r="L30" s="86"/>
      <c r="M30" s="87"/>
      <c r="N30" s="84"/>
    </row>
    <row r="31" spans="2:14" s="81" customFormat="1" x14ac:dyDescent="0.25">
      <c r="B31" s="101"/>
      <c r="C31" s="101"/>
      <c r="D31" s="101"/>
      <c r="E31" s="84"/>
      <c r="F31" s="101"/>
      <c r="G31" s="101"/>
      <c r="H31" s="84"/>
      <c r="K31" s="85"/>
      <c r="L31" s="86"/>
      <c r="M31" s="87"/>
      <c r="N31" s="84"/>
    </row>
    <row r="32" spans="2:14" s="81" customFormat="1" x14ac:dyDescent="0.25">
      <c r="B32" s="101"/>
      <c r="C32" s="101"/>
      <c r="D32" s="101"/>
      <c r="E32" s="84"/>
      <c r="F32" s="101"/>
      <c r="G32" s="101"/>
      <c r="H32" s="84"/>
      <c r="K32" s="85"/>
      <c r="L32" s="86"/>
      <c r="M32" s="87"/>
      <c r="N32" s="84"/>
    </row>
    <row r="33" spans="2:14" s="81" customFormat="1" x14ac:dyDescent="0.25">
      <c r="B33" s="101"/>
      <c r="C33" s="101"/>
      <c r="D33" s="101"/>
      <c r="E33" s="84"/>
      <c r="F33" s="101"/>
      <c r="G33" s="101"/>
      <c r="H33" s="84"/>
      <c r="K33" s="85"/>
      <c r="L33" s="86"/>
      <c r="M33" s="87"/>
      <c r="N33" s="84"/>
    </row>
    <row r="34" spans="2:14" s="81" customFormat="1" x14ac:dyDescent="0.25">
      <c r="B34" s="101"/>
      <c r="C34" s="101"/>
      <c r="D34" s="101"/>
      <c r="E34" s="84"/>
      <c r="F34" s="101"/>
      <c r="G34" s="101"/>
      <c r="H34" s="84"/>
      <c r="K34" s="85"/>
      <c r="L34" s="86"/>
      <c r="M34" s="87"/>
      <c r="N34" s="84"/>
    </row>
    <row r="35" spans="2:14" s="81" customFormat="1" x14ac:dyDescent="0.25">
      <c r="B35" s="101"/>
      <c r="C35" s="101"/>
      <c r="D35" s="101"/>
      <c r="E35" s="84"/>
      <c r="F35" s="101"/>
      <c r="G35" s="101"/>
      <c r="H35" s="84"/>
      <c r="K35" s="85"/>
      <c r="L35" s="86"/>
      <c r="M35" s="87"/>
      <c r="N35" s="84"/>
    </row>
    <row r="36" spans="2:14" s="81" customFormat="1" x14ac:dyDescent="0.25">
      <c r="B36" s="101"/>
      <c r="C36" s="101"/>
      <c r="D36" s="101"/>
      <c r="E36" s="84"/>
      <c r="F36" s="101"/>
      <c r="G36" s="101"/>
      <c r="H36" s="84"/>
      <c r="K36" s="85"/>
      <c r="L36" s="86"/>
      <c r="M36" s="87"/>
      <c r="N36" s="84"/>
    </row>
    <row r="37" spans="2:14" s="81" customFormat="1" x14ac:dyDescent="0.25">
      <c r="B37" s="101"/>
      <c r="C37" s="101"/>
      <c r="D37" s="101"/>
      <c r="E37" s="84"/>
      <c r="F37" s="101"/>
      <c r="G37" s="101"/>
      <c r="H37" s="84"/>
      <c r="K37" s="85"/>
      <c r="L37" s="86"/>
      <c r="M37" s="87"/>
      <c r="N37" s="84"/>
    </row>
    <row r="38" spans="2:14" s="81" customFormat="1" x14ac:dyDescent="0.25">
      <c r="B38" s="101"/>
      <c r="C38" s="101"/>
      <c r="D38" s="101"/>
      <c r="E38" s="84"/>
      <c r="F38" s="101"/>
      <c r="G38" s="101"/>
      <c r="H38" s="84"/>
      <c r="K38" s="85"/>
      <c r="L38" s="86"/>
      <c r="M38" s="87"/>
      <c r="N38" s="84"/>
    </row>
    <row r="39" spans="2:14" s="81" customFormat="1" x14ac:dyDescent="0.25">
      <c r="B39" s="101"/>
      <c r="C39" s="101"/>
      <c r="D39" s="101"/>
      <c r="E39" s="84"/>
      <c r="F39" s="101"/>
      <c r="G39" s="101"/>
      <c r="H39" s="84"/>
      <c r="K39" s="85"/>
      <c r="L39" s="86"/>
      <c r="M39" s="87"/>
      <c r="N39" s="84"/>
    </row>
    <row r="40" spans="2:14" s="81" customFormat="1" x14ac:dyDescent="0.25">
      <c r="B40" s="101"/>
      <c r="C40" s="101"/>
      <c r="D40" s="101"/>
      <c r="E40" s="84"/>
      <c r="F40" s="101"/>
      <c r="G40" s="101"/>
      <c r="H40" s="84"/>
      <c r="K40" s="85"/>
      <c r="L40" s="86"/>
      <c r="M40" s="87"/>
      <c r="N40" s="84"/>
    </row>
    <row r="41" spans="2:14" s="81" customFormat="1" x14ac:dyDescent="0.25">
      <c r="B41" s="101"/>
      <c r="C41" s="101"/>
      <c r="D41" s="101"/>
      <c r="E41" s="84"/>
      <c r="F41" s="101"/>
      <c r="G41" s="101"/>
      <c r="H41" s="84"/>
      <c r="K41" s="85"/>
      <c r="L41" s="86"/>
      <c r="M41" s="87"/>
      <c r="N41" s="84"/>
    </row>
  </sheetData>
  <dataValidations count="2">
    <dataValidation type="list" allowBlank="1" showInputMessage="1" showErrorMessage="1" sqref="N3:N7" xr:uid="{474A0B40-19B5-49FF-AEB9-078E7DCA6071}">
      <formula1>"Oui,Non"</formula1>
    </dataValidation>
    <dataValidation type="whole" allowBlank="1" showInputMessage="1" showErrorMessage="1" sqref="L3:L7" xr:uid="{CEF185DC-8EC2-45BB-9238-8B1BF4C34C0E}">
      <formula1>3</formula1>
      <formula2>13</formula2>
    </dataValidation>
  </dataValidations>
  <hyperlinks>
    <hyperlink ref="H3" r:id="rId1" xr:uid="{361952FF-6100-41C2-BDA7-677DE3522221}"/>
    <hyperlink ref="I3" r:id="rId2" tooltip="Albus Dumbledore" display="https://harrypotter.fandom.com/fr/wiki/Albus_Dumbledore" xr:uid="{8537030E-7928-4735-BEB8-C0E5C5B0FF76}"/>
    <hyperlink ref="H4" r:id="rId3" xr:uid="{D92265F8-C649-43BC-A8A1-F555C30B1DE3}"/>
    <hyperlink ref="H5" r:id="rId4" xr:uid="{1683E903-C3ED-41F3-8462-A6353FEA695D}"/>
    <hyperlink ref="H6" r:id="rId5" xr:uid="{26D9793B-503D-427D-A70C-30261EA59F08}"/>
    <hyperlink ref="F3" r:id="rId6" tooltip="Little Whinging" display="https://harrypotter.fandom.com/fr/wiki/Little_Whinging" xr:uid="{CB932991-2C65-46E2-9E58-48F32F72004F}"/>
  </hyperlinks>
  <pageMargins left="0.7" right="0.7" top="0.75" bottom="0.75" header="0.3" footer="0.3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CC832-E1CF-473A-93B8-CFA4FEE78DD0}">
  <dimension ref="B2:AB50"/>
  <sheetViews>
    <sheetView showGridLines="0" showZeros="0" workbookViewId="0">
      <selection activeCell="B2" sqref="B2"/>
    </sheetView>
  </sheetViews>
  <sheetFormatPr baseColWidth="10" defaultRowHeight="15" x14ac:dyDescent="0.25"/>
  <cols>
    <col min="1" max="1" width="2.7109375" style="78" customWidth="1"/>
    <col min="2" max="3" width="25.7109375" style="97" customWidth="1"/>
    <col min="4" max="4" width="46.28515625" style="97" bestFit="1" customWidth="1"/>
    <col min="5" max="23" width="3.7109375" style="78" customWidth="1"/>
    <col min="24" max="24" width="21.28515625" style="78" customWidth="1"/>
    <col min="25" max="27" width="4.7109375" style="78" customWidth="1"/>
    <col min="28" max="28" width="40.7109375" style="97" customWidth="1"/>
    <col min="29" max="16384" width="11.42578125" style="78"/>
  </cols>
  <sheetData>
    <row r="2" spans="2:28" ht="65.099999999999994" customHeight="1" x14ac:dyDescent="0.25">
      <c r="B2" s="117" t="s">
        <v>9</v>
      </c>
      <c r="C2" s="117" t="s">
        <v>10</v>
      </c>
      <c r="D2" s="117" t="s">
        <v>70</v>
      </c>
      <c r="E2" s="118" t="s">
        <v>38</v>
      </c>
      <c r="F2" s="118" t="s">
        <v>39</v>
      </c>
      <c r="G2" s="118" t="s">
        <v>40</v>
      </c>
      <c r="H2" s="118" t="s">
        <v>41</v>
      </c>
      <c r="I2" s="118" t="s">
        <v>42</v>
      </c>
      <c r="J2" s="118" t="s">
        <v>43</v>
      </c>
      <c r="K2" s="118" t="s">
        <v>44</v>
      </c>
      <c r="L2" s="118" t="s">
        <v>45</v>
      </c>
      <c r="M2" s="118" t="s">
        <v>46</v>
      </c>
      <c r="N2" s="118" t="s">
        <v>47</v>
      </c>
      <c r="O2" s="118" t="s">
        <v>48</v>
      </c>
      <c r="P2" s="118" t="s">
        <v>49</v>
      </c>
      <c r="Q2" s="118" t="s">
        <v>50</v>
      </c>
      <c r="R2" s="118" t="s">
        <v>51</v>
      </c>
      <c r="S2" s="118" t="s">
        <v>52</v>
      </c>
      <c r="T2" s="118" t="s">
        <v>53</v>
      </c>
      <c r="U2" s="118" t="s">
        <v>54</v>
      </c>
      <c r="V2" s="118" t="s">
        <v>55</v>
      </c>
      <c r="W2" s="118" t="s">
        <v>56</v>
      </c>
      <c r="X2" s="119" t="s">
        <v>57</v>
      </c>
      <c r="Y2" s="120" t="s">
        <v>81</v>
      </c>
      <c r="Z2" s="120" t="s">
        <v>82</v>
      </c>
      <c r="AA2" s="120" t="s">
        <v>83</v>
      </c>
      <c r="AB2" s="117" t="s">
        <v>84</v>
      </c>
    </row>
    <row r="3" spans="2:28" x14ac:dyDescent="0.25">
      <c r="B3" s="112" t="s">
        <v>58</v>
      </c>
      <c r="C3" s="113" t="str">
        <f>IFERROR(VLOOKUP(B3,T_BdD[#This Row],2,0),"")</f>
        <v>Harrry</v>
      </c>
      <c r="D3" s="113" t="s">
        <v>102</v>
      </c>
      <c r="E3" s="114"/>
      <c r="F3" s="114"/>
      <c r="G3" s="114">
        <v>1</v>
      </c>
      <c r="H3" s="114"/>
      <c r="I3" s="114"/>
      <c r="J3" s="114"/>
      <c r="K3" s="114"/>
      <c r="L3" s="114">
        <v>1</v>
      </c>
      <c r="M3" s="114"/>
      <c r="N3" s="114"/>
      <c r="O3" s="114"/>
      <c r="P3" s="114">
        <v>1</v>
      </c>
      <c r="Q3" s="114"/>
      <c r="R3" s="114"/>
      <c r="S3" s="114">
        <v>1</v>
      </c>
      <c r="T3" s="114"/>
      <c r="U3" s="114"/>
      <c r="V3" s="114"/>
      <c r="W3" s="114">
        <v>1</v>
      </c>
      <c r="X3" s="115">
        <f>SUM(T_Planning[[#This Row],[08/07/2019]:[26/07/2019]])</f>
        <v>5</v>
      </c>
      <c r="Y3" s="115"/>
      <c r="Z3" s="115"/>
      <c r="AA3" s="115"/>
      <c r="AB3" s="116"/>
    </row>
    <row r="4" spans="2:28" x14ac:dyDescent="0.25">
      <c r="B4" s="102" t="s">
        <v>64</v>
      </c>
      <c r="C4" s="103" t="str">
        <f>IFERROR(VLOOKUP(B4,T_BdD[#This Row],2,0),"")</f>
        <v>Peter</v>
      </c>
      <c r="D4" s="103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15">
        <f>SUM(T_Planning[[#This Row],[08/07/2019]:[26/07/2019]])</f>
        <v>0</v>
      </c>
      <c r="Y4" s="105"/>
      <c r="Z4" s="105"/>
      <c r="AA4" s="105"/>
      <c r="AB4" s="106" t="s">
        <v>14</v>
      </c>
    </row>
    <row r="5" spans="2:28" x14ac:dyDescent="0.25">
      <c r="B5" s="102" t="s">
        <v>71</v>
      </c>
      <c r="C5" s="103" t="str">
        <f>IFERROR(VLOOKUP(B5,T_BdD[#This Row],2,0),"")</f>
        <v>Kévin</v>
      </c>
      <c r="D5" s="103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  <c r="P5" s="104"/>
      <c r="Q5" s="104"/>
      <c r="R5" s="104"/>
      <c r="S5" s="104"/>
      <c r="T5" s="104"/>
      <c r="U5" s="104"/>
      <c r="V5" s="104"/>
      <c r="W5" s="104"/>
      <c r="X5" s="115">
        <f>SUM(T_Planning[[#This Row],[08/07/2019]:[26/07/2019]])</f>
        <v>0</v>
      </c>
      <c r="Y5" s="105"/>
      <c r="Z5" s="105"/>
      <c r="AA5" s="105"/>
      <c r="AB5" s="106" t="s">
        <v>19</v>
      </c>
    </row>
    <row r="6" spans="2:28" x14ac:dyDescent="0.25">
      <c r="B6" s="102" t="s">
        <v>75</v>
      </c>
      <c r="C6" s="103" t="str">
        <f>IFERROR(VLOOKUP(B6,T_BdD[#This Row],2,0),"")</f>
        <v>Charlie</v>
      </c>
      <c r="D6" s="103" t="s">
        <v>7</v>
      </c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15">
        <f>SUM(T_Planning[[#This Row],[08/07/2019]:[26/07/2019]])</f>
        <v>0</v>
      </c>
      <c r="Y6" s="105">
        <v>1</v>
      </c>
      <c r="Z6" s="105"/>
      <c r="AA6" s="105">
        <v>1</v>
      </c>
      <c r="AB6" s="106"/>
    </row>
    <row r="7" spans="2:28" x14ac:dyDescent="0.25">
      <c r="B7" s="102"/>
      <c r="C7" s="103" t="str">
        <f>IFERROR(VLOOKUP(B7,T_BdD[#This Row],2,0),"")</f>
        <v/>
      </c>
      <c r="D7" s="103"/>
      <c r="E7" s="104"/>
      <c r="F7" s="104"/>
      <c r="G7" s="104"/>
      <c r="H7" s="104"/>
      <c r="I7" s="104"/>
      <c r="J7" s="104"/>
      <c r="K7" s="104"/>
      <c r="L7" s="104"/>
      <c r="M7" s="104"/>
      <c r="N7" s="104"/>
      <c r="O7" s="104"/>
      <c r="P7" s="104"/>
      <c r="Q7" s="104"/>
      <c r="R7" s="104"/>
      <c r="S7" s="104"/>
      <c r="T7" s="104"/>
      <c r="U7" s="104"/>
      <c r="V7" s="104"/>
      <c r="W7" s="104"/>
      <c r="X7" s="115">
        <f>SUM(T_Planning[[#This Row],[08/07/2019]:[26/07/2019]])</f>
        <v>0</v>
      </c>
      <c r="Y7" s="105"/>
      <c r="Z7" s="105"/>
      <c r="AA7" s="105"/>
      <c r="AB7" s="106"/>
    </row>
    <row r="8" spans="2:28" x14ac:dyDescent="0.25">
      <c r="B8" s="102"/>
      <c r="C8" s="103" t="str">
        <f>IFERROR(VLOOKUP(B8,T_BdD[#This Row],2,0),"")</f>
        <v/>
      </c>
      <c r="D8" s="103"/>
      <c r="E8" s="104"/>
      <c r="F8" s="104"/>
      <c r="G8" s="104"/>
      <c r="H8" s="104"/>
      <c r="I8" s="104"/>
      <c r="J8" s="104"/>
      <c r="K8" s="104"/>
      <c r="L8" s="104"/>
      <c r="M8" s="104"/>
      <c r="N8" s="104"/>
      <c r="O8" s="104"/>
      <c r="P8" s="104"/>
      <c r="Q8" s="104"/>
      <c r="R8" s="104"/>
      <c r="S8" s="104"/>
      <c r="T8" s="104"/>
      <c r="U8" s="104"/>
      <c r="V8" s="104"/>
      <c r="W8" s="104"/>
      <c r="X8" s="115">
        <f>SUM(T_Planning[[#This Row],[08/07/2019]:[26/07/2019]])</f>
        <v>0</v>
      </c>
      <c r="Y8" s="105"/>
      <c r="Z8" s="105"/>
      <c r="AA8" s="105"/>
      <c r="AB8" s="106"/>
    </row>
    <row r="9" spans="2:28" x14ac:dyDescent="0.25">
      <c r="B9" s="102"/>
      <c r="C9" s="103" t="str">
        <f>IFERROR(VLOOKUP(B9,T_BdD[#This Row],2,0),"")</f>
        <v/>
      </c>
      <c r="D9" s="103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  <c r="P9" s="104"/>
      <c r="Q9" s="104"/>
      <c r="R9" s="104"/>
      <c r="S9" s="104"/>
      <c r="T9" s="104"/>
      <c r="U9" s="104"/>
      <c r="V9" s="104"/>
      <c r="W9" s="104"/>
      <c r="X9" s="115">
        <f>SUM(T_Planning[[#This Row],[08/07/2019]:[26/07/2019]])</f>
        <v>0</v>
      </c>
      <c r="Y9" s="105"/>
      <c r="Z9" s="105"/>
      <c r="AA9" s="105"/>
      <c r="AB9" s="106"/>
    </row>
    <row r="10" spans="2:28" x14ac:dyDescent="0.25">
      <c r="B10" s="102"/>
      <c r="C10" s="103" t="str">
        <f>IFERROR(VLOOKUP(B10,T_BdD[#This Row],2,0),"")</f>
        <v/>
      </c>
      <c r="D10" s="103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15">
        <f>SUM(T_Planning[[#This Row],[08/07/2019]:[26/07/2019]])</f>
        <v>0</v>
      </c>
      <c r="Y10" s="105"/>
      <c r="Z10" s="105"/>
      <c r="AA10" s="105"/>
      <c r="AB10" s="106"/>
    </row>
    <row r="11" spans="2:28" x14ac:dyDescent="0.25">
      <c r="B11" s="102"/>
      <c r="C11" s="103" t="str">
        <f>IFERROR(VLOOKUP(B11,T_BdD[#This Row],2,0),"")</f>
        <v/>
      </c>
      <c r="D11" s="103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  <c r="V11" s="104"/>
      <c r="W11" s="104"/>
      <c r="X11" s="115">
        <f>SUM(T_Planning[[#This Row],[08/07/2019]:[26/07/2019]])</f>
        <v>0</v>
      </c>
      <c r="Y11" s="105"/>
      <c r="Z11" s="105"/>
      <c r="AA11" s="105"/>
      <c r="AB11" s="106"/>
    </row>
    <row r="12" spans="2:28" x14ac:dyDescent="0.25">
      <c r="B12" s="102"/>
      <c r="C12" s="103" t="str">
        <f>IFERROR(VLOOKUP(B12,T_BdD[#This Row],2,0),"")</f>
        <v/>
      </c>
      <c r="D12" s="103"/>
      <c r="E12" s="104"/>
      <c r="F12" s="104"/>
      <c r="G12" s="104"/>
      <c r="H12" s="104"/>
      <c r="I12" s="104"/>
      <c r="J12" s="104"/>
      <c r="K12" s="104"/>
      <c r="L12" s="104"/>
      <c r="M12" s="104"/>
      <c r="N12" s="104"/>
      <c r="O12" s="104"/>
      <c r="P12" s="104"/>
      <c r="Q12" s="104"/>
      <c r="R12" s="104"/>
      <c r="S12" s="104"/>
      <c r="T12" s="104"/>
      <c r="U12" s="104"/>
      <c r="V12" s="104"/>
      <c r="W12" s="104"/>
      <c r="X12" s="115">
        <f>SUM(T_Planning[[#This Row],[08/07/2019]:[26/07/2019]])</f>
        <v>0</v>
      </c>
      <c r="Y12" s="105"/>
      <c r="Z12" s="105"/>
      <c r="AA12" s="105"/>
      <c r="AB12" s="106"/>
    </row>
    <row r="13" spans="2:28" x14ac:dyDescent="0.25">
      <c r="B13" s="102"/>
      <c r="C13" s="103" t="str">
        <f>IFERROR(VLOOKUP(B13,T_BdD[#This Row],2,0),"")</f>
        <v/>
      </c>
      <c r="D13" s="103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04"/>
      <c r="X13" s="115">
        <f>SUM(T_Planning[[#This Row],[08/07/2019]:[26/07/2019]])</f>
        <v>0</v>
      </c>
      <c r="Y13" s="105"/>
      <c r="Z13" s="105"/>
      <c r="AA13" s="105"/>
      <c r="AB13" s="106"/>
    </row>
    <row r="14" spans="2:28" x14ac:dyDescent="0.25">
      <c r="B14" s="102"/>
      <c r="C14" s="103" t="str">
        <f>IFERROR(VLOOKUP(B14,T_BdD[#This Row],2,0),"")</f>
        <v/>
      </c>
      <c r="D14" s="103"/>
      <c r="E14" s="104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04"/>
      <c r="X14" s="115">
        <f>SUM(T_Planning[[#This Row],[08/07/2019]:[26/07/2019]])</f>
        <v>0</v>
      </c>
      <c r="Y14" s="105"/>
      <c r="Z14" s="105"/>
      <c r="AA14" s="105"/>
      <c r="AB14" s="106"/>
    </row>
    <row r="15" spans="2:28" x14ac:dyDescent="0.25">
      <c r="B15" s="102"/>
      <c r="C15" s="103" t="str">
        <f>IFERROR(VLOOKUP(B15,T_BdD[#This Row],2,0),"")</f>
        <v/>
      </c>
      <c r="D15" s="103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4"/>
      <c r="X15" s="115">
        <f>SUM(T_Planning[[#This Row],[08/07/2019]:[26/07/2019]])</f>
        <v>0</v>
      </c>
      <c r="Y15" s="105"/>
      <c r="Z15" s="105"/>
      <c r="AA15" s="105"/>
      <c r="AB15" s="106"/>
    </row>
    <row r="16" spans="2:28" x14ac:dyDescent="0.25">
      <c r="B16" s="102"/>
      <c r="C16" s="103" t="str">
        <f>IFERROR(VLOOKUP(B16,T_BdD[#This Row],2,0),"")</f>
        <v/>
      </c>
      <c r="D16" s="103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15">
        <f>SUM(T_Planning[[#This Row],[08/07/2019]:[26/07/2019]])</f>
        <v>0</v>
      </c>
      <c r="Y16" s="105"/>
      <c r="Z16" s="105"/>
      <c r="AA16" s="105"/>
      <c r="AB16" s="106"/>
    </row>
    <row r="17" spans="2:28" x14ac:dyDescent="0.25">
      <c r="B17" s="102"/>
      <c r="C17" s="103" t="str">
        <f>IFERROR(VLOOKUP(B17,T_BdD[#This Row],2,0),"")</f>
        <v/>
      </c>
      <c r="D17" s="103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04"/>
      <c r="X17" s="115">
        <f>SUM(T_Planning[[#This Row],[08/07/2019]:[26/07/2019]])</f>
        <v>0</v>
      </c>
      <c r="Y17" s="105"/>
      <c r="Z17" s="105"/>
      <c r="AA17" s="105"/>
      <c r="AB17" s="106"/>
    </row>
    <row r="18" spans="2:28" x14ac:dyDescent="0.25">
      <c r="B18" s="102"/>
      <c r="C18" s="103" t="str">
        <f>IFERROR(VLOOKUP(B18,T_BdD[#This Row],2,0),"")</f>
        <v/>
      </c>
      <c r="D18" s="103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104"/>
      <c r="T18" s="104"/>
      <c r="U18" s="104"/>
      <c r="V18" s="104"/>
      <c r="W18" s="104"/>
      <c r="X18" s="115">
        <f>SUM(T_Planning[[#This Row],[08/07/2019]:[26/07/2019]])</f>
        <v>0</v>
      </c>
      <c r="Y18" s="105"/>
      <c r="Z18" s="105"/>
      <c r="AA18" s="105"/>
      <c r="AB18" s="106"/>
    </row>
    <row r="19" spans="2:28" x14ac:dyDescent="0.25">
      <c r="B19" s="102"/>
      <c r="C19" s="103" t="str">
        <f>IFERROR(VLOOKUP(B19,T_BdD[#This Row],2,0),"")</f>
        <v/>
      </c>
      <c r="D19" s="103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/>
      <c r="V19" s="104"/>
      <c r="W19" s="104"/>
      <c r="X19" s="115">
        <f>SUM(T_Planning[[#This Row],[08/07/2019]:[26/07/2019]])</f>
        <v>0</v>
      </c>
      <c r="Y19" s="105"/>
      <c r="Z19" s="105"/>
      <c r="AA19" s="105"/>
      <c r="AB19" s="106"/>
    </row>
    <row r="20" spans="2:28" x14ac:dyDescent="0.25">
      <c r="B20" s="102"/>
      <c r="C20" s="103" t="str">
        <f>IFERROR(VLOOKUP(B20,T_BdD[#This Row],2,0),"")</f>
        <v/>
      </c>
      <c r="D20" s="103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104"/>
      <c r="W20" s="104"/>
      <c r="X20" s="115">
        <f>SUM(T_Planning[[#This Row],[08/07/2019]:[26/07/2019]])</f>
        <v>0</v>
      </c>
      <c r="Y20" s="105"/>
      <c r="Z20" s="105"/>
      <c r="AA20" s="105"/>
      <c r="AB20" s="106"/>
    </row>
    <row r="21" spans="2:28" x14ac:dyDescent="0.25">
      <c r="B21" s="102"/>
      <c r="C21" s="103" t="str">
        <f>IFERROR(VLOOKUP(B21,T_BdD[#This Row],2,0),"")</f>
        <v/>
      </c>
      <c r="D21" s="103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115">
        <f>SUM(T_Planning[[#This Row],[08/07/2019]:[26/07/2019]])</f>
        <v>0</v>
      </c>
      <c r="Y21" s="105"/>
      <c r="Z21" s="105"/>
      <c r="AA21" s="105"/>
      <c r="AB21" s="106"/>
    </row>
    <row r="22" spans="2:28" x14ac:dyDescent="0.25">
      <c r="B22" s="102"/>
      <c r="C22" s="103" t="str">
        <f>IFERROR(VLOOKUP(B22,T_BdD[#This Row],2,0),"")</f>
        <v/>
      </c>
      <c r="D22" s="103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104"/>
      <c r="W22" s="104"/>
      <c r="X22" s="115">
        <f>SUM(T_Planning[[#This Row],[08/07/2019]:[26/07/2019]])</f>
        <v>0</v>
      </c>
      <c r="Y22" s="105"/>
      <c r="Z22" s="105"/>
      <c r="AA22" s="105"/>
      <c r="AB22" s="106"/>
    </row>
    <row r="23" spans="2:28" x14ac:dyDescent="0.25">
      <c r="B23" s="102"/>
      <c r="C23" s="103" t="str">
        <f>IFERROR(VLOOKUP(B23,T_BdD[#This Row],2,0),"")</f>
        <v/>
      </c>
      <c r="D23" s="103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104"/>
      <c r="T23" s="104"/>
      <c r="U23" s="104"/>
      <c r="V23" s="104"/>
      <c r="W23" s="104"/>
      <c r="X23" s="115">
        <f>SUM(T_Planning[[#This Row],[08/07/2019]:[26/07/2019]])</f>
        <v>0</v>
      </c>
      <c r="Y23" s="105"/>
      <c r="Z23" s="105"/>
      <c r="AA23" s="105"/>
      <c r="AB23" s="106"/>
    </row>
    <row r="24" spans="2:28" x14ac:dyDescent="0.25">
      <c r="B24" s="102"/>
      <c r="C24" s="103" t="str">
        <f>IFERROR(VLOOKUP(B24,T_BdD[#This Row],2,0),"")</f>
        <v/>
      </c>
      <c r="D24" s="103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104"/>
      <c r="T24" s="104"/>
      <c r="U24" s="104"/>
      <c r="V24" s="104"/>
      <c r="W24" s="104"/>
      <c r="X24" s="115">
        <f>SUM(T_Planning[[#This Row],[08/07/2019]:[26/07/2019]])</f>
        <v>0</v>
      </c>
      <c r="Y24" s="105"/>
      <c r="Z24" s="105"/>
      <c r="AA24" s="105"/>
      <c r="AB24" s="106"/>
    </row>
    <row r="25" spans="2:28" x14ac:dyDescent="0.25">
      <c r="B25" s="102"/>
      <c r="C25" s="103" t="str">
        <f>IFERROR(VLOOKUP(B25,T_BdD[#This Row],2,0),"")</f>
        <v/>
      </c>
      <c r="D25" s="103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104"/>
      <c r="T25" s="104"/>
      <c r="U25" s="104"/>
      <c r="V25" s="104"/>
      <c r="W25" s="104"/>
      <c r="X25" s="115">
        <f>SUM(T_Planning[[#This Row],[08/07/2019]:[26/07/2019]])</f>
        <v>0</v>
      </c>
      <c r="Y25" s="105"/>
      <c r="Z25" s="105"/>
      <c r="AA25" s="105"/>
      <c r="AB25" s="106"/>
    </row>
    <row r="26" spans="2:28" x14ac:dyDescent="0.25">
      <c r="B26" s="102"/>
      <c r="C26" s="103" t="str">
        <f>IFERROR(VLOOKUP(B26,T_BdD[#This Row],2,0),"")</f>
        <v/>
      </c>
      <c r="D26" s="103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104"/>
      <c r="T26" s="104"/>
      <c r="U26" s="104"/>
      <c r="V26" s="104"/>
      <c r="W26" s="104"/>
      <c r="X26" s="115">
        <f>SUM(T_Planning[[#This Row],[08/07/2019]:[26/07/2019]])</f>
        <v>0</v>
      </c>
      <c r="Y26" s="105"/>
      <c r="Z26" s="105"/>
      <c r="AA26" s="105"/>
      <c r="AB26" s="106"/>
    </row>
    <row r="27" spans="2:28" x14ac:dyDescent="0.25">
      <c r="B27" s="102"/>
      <c r="C27" s="103" t="str">
        <f>IFERROR(VLOOKUP(B27,T_BdD[#This Row],2,0),"")</f>
        <v/>
      </c>
      <c r="D27" s="103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104"/>
      <c r="T27" s="104"/>
      <c r="U27" s="104"/>
      <c r="V27" s="104"/>
      <c r="W27" s="104"/>
      <c r="X27" s="115">
        <f>SUM(T_Planning[[#This Row],[08/07/2019]:[26/07/2019]])</f>
        <v>0</v>
      </c>
      <c r="Y27" s="105"/>
      <c r="Z27" s="105"/>
      <c r="AA27" s="105"/>
      <c r="AB27" s="106"/>
    </row>
    <row r="28" spans="2:28" x14ac:dyDescent="0.25">
      <c r="B28" s="102"/>
      <c r="C28" s="103" t="str">
        <f>IFERROR(VLOOKUP(B28,T_BdD[#This Row],2,0),"")</f>
        <v/>
      </c>
      <c r="D28" s="103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104"/>
      <c r="T28" s="104"/>
      <c r="U28" s="104"/>
      <c r="V28" s="104"/>
      <c r="W28" s="104"/>
      <c r="X28" s="115">
        <f>SUM(T_Planning[[#This Row],[08/07/2019]:[26/07/2019]])</f>
        <v>0</v>
      </c>
      <c r="Y28" s="105"/>
      <c r="Z28" s="105"/>
      <c r="AA28" s="105"/>
      <c r="AB28" s="106"/>
    </row>
    <row r="29" spans="2:28" x14ac:dyDescent="0.25">
      <c r="B29" s="102"/>
      <c r="C29" s="103" t="str">
        <f>IFERROR(VLOOKUP(B29,T_BdD[#This Row],2,0),"")</f>
        <v/>
      </c>
      <c r="D29" s="103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4"/>
      <c r="U29" s="104"/>
      <c r="V29" s="104"/>
      <c r="W29" s="104"/>
      <c r="X29" s="115">
        <f>SUM(T_Planning[[#This Row],[08/07/2019]:[26/07/2019]])</f>
        <v>0</v>
      </c>
      <c r="Y29" s="105"/>
      <c r="Z29" s="105"/>
      <c r="AA29" s="105"/>
      <c r="AB29" s="106"/>
    </row>
    <row r="30" spans="2:28" x14ac:dyDescent="0.25">
      <c r="B30" s="102"/>
      <c r="C30" s="103" t="str">
        <f>IFERROR(VLOOKUP(B30,T_BdD[#This Row],2,0),"")</f>
        <v/>
      </c>
      <c r="D30" s="103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104"/>
      <c r="T30" s="104"/>
      <c r="U30" s="104"/>
      <c r="V30" s="104"/>
      <c r="W30" s="104"/>
      <c r="X30" s="115">
        <f>SUM(T_Planning[[#This Row],[08/07/2019]:[26/07/2019]])</f>
        <v>0</v>
      </c>
      <c r="Y30" s="105"/>
      <c r="Z30" s="105"/>
      <c r="AA30" s="105"/>
      <c r="AB30" s="106"/>
    </row>
    <row r="31" spans="2:28" x14ac:dyDescent="0.25">
      <c r="B31" s="102"/>
      <c r="C31" s="103" t="str">
        <f>IFERROR(VLOOKUP(B31,T_BdD[#This Row],2,0),"")</f>
        <v/>
      </c>
      <c r="D31" s="103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104"/>
      <c r="T31" s="104"/>
      <c r="U31" s="104"/>
      <c r="V31" s="104"/>
      <c r="W31" s="104"/>
      <c r="X31" s="115">
        <f>SUM(T_Planning[[#This Row],[08/07/2019]:[26/07/2019]])</f>
        <v>0</v>
      </c>
      <c r="Y31" s="105"/>
      <c r="Z31" s="105"/>
      <c r="AA31" s="105"/>
      <c r="AB31" s="106"/>
    </row>
    <row r="32" spans="2:28" x14ac:dyDescent="0.25">
      <c r="B32" s="102"/>
      <c r="C32" s="103" t="str">
        <f>IFERROR(VLOOKUP(B32,T_BdD[#This Row],2,0),"")</f>
        <v/>
      </c>
      <c r="D32" s="103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104"/>
      <c r="T32" s="104"/>
      <c r="U32" s="104"/>
      <c r="V32" s="104"/>
      <c r="W32" s="104"/>
      <c r="X32" s="115">
        <f>SUM(T_Planning[[#This Row],[08/07/2019]:[26/07/2019]])</f>
        <v>0</v>
      </c>
      <c r="Y32" s="105"/>
      <c r="Z32" s="105"/>
      <c r="AA32" s="105"/>
      <c r="AB32" s="106"/>
    </row>
    <row r="33" spans="2:28" x14ac:dyDescent="0.25">
      <c r="B33" s="102"/>
      <c r="C33" s="103" t="str">
        <f>IFERROR(VLOOKUP(B33,T_BdD[#This Row],2,0),"")</f>
        <v/>
      </c>
      <c r="D33" s="103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104"/>
      <c r="T33" s="104"/>
      <c r="U33" s="104"/>
      <c r="V33" s="104"/>
      <c r="W33" s="104"/>
      <c r="X33" s="115">
        <f>SUM(T_Planning[[#This Row],[08/07/2019]:[26/07/2019]])</f>
        <v>0</v>
      </c>
      <c r="Y33" s="105"/>
      <c r="Z33" s="105"/>
      <c r="AA33" s="105"/>
      <c r="AB33" s="106"/>
    </row>
    <row r="34" spans="2:28" x14ac:dyDescent="0.25">
      <c r="B34" s="102"/>
      <c r="C34" s="103" t="str">
        <f>IFERROR(VLOOKUP(B34,T_BdD[#This Row],2,0),"")</f>
        <v/>
      </c>
      <c r="D34" s="103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104"/>
      <c r="T34" s="104"/>
      <c r="U34" s="104"/>
      <c r="V34" s="104"/>
      <c r="W34" s="104"/>
      <c r="X34" s="115">
        <f>SUM(T_Planning[[#This Row],[08/07/2019]:[26/07/2019]])</f>
        <v>0</v>
      </c>
      <c r="Y34" s="105"/>
      <c r="Z34" s="105"/>
      <c r="AA34" s="105"/>
      <c r="AB34" s="106"/>
    </row>
    <row r="35" spans="2:28" x14ac:dyDescent="0.25">
      <c r="B35" s="102"/>
      <c r="C35" s="103" t="str">
        <f>IFERROR(VLOOKUP(B35,T_BdD[#This Row],2,0),"")</f>
        <v/>
      </c>
      <c r="D35" s="103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104"/>
      <c r="T35" s="104"/>
      <c r="U35" s="104"/>
      <c r="V35" s="104"/>
      <c r="W35" s="104"/>
      <c r="X35" s="115">
        <f>SUM(T_Planning[[#This Row],[08/07/2019]:[26/07/2019]])</f>
        <v>0</v>
      </c>
      <c r="Y35" s="105"/>
      <c r="Z35" s="105"/>
      <c r="AA35" s="105"/>
      <c r="AB35" s="106"/>
    </row>
    <row r="36" spans="2:28" x14ac:dyDescent="0.25">
      <c r="B36" s="102"/>
      <c r="C36" s="103" t="str">
        <f>IFERROR(VLOOKUP(B36,T_BdD[#This Row],2,0),"")</f>
        <v/>
      </c>
      <c r="D36" s="103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104"/>
      <c r="T36" s="104"/>
      <c r="U36" s="104"/>
      <c r="V36" s="104"/>
      <c r="W36" s="104"/>
      <c r="X36" s="115">
        <f>SUM(T_Planning[[#This Row],[08/07/2019]:[26/07/2019]])</f>
        <v>0</v>
      </c>
      <c r="Y36" s="105"/>
      <c r="Z36" s="105"/>
      <c r="AA36" s="105"/>
      <c r="AB36" s="106"/>
    </row>
    <row r="37" spans="2:28" x14ac:dyDescent="0.25">
      <c r="B37" s="102"/>
      <c r="C37" s="103" t="str">
        <f>IFERROR(VLOOKUP(B37,T_BdD[#This Row],2,0),"")</f>
        <v/>
      </c>
      <c r="D37" s="103"/>
      <c r="E37" s="104"/>
      <c r="F37" s="104"/>
      <c r="G37" s="104"/>
      <c r="H37" s="104"/>
      <c r="I37" s="104"/>
      <c r="J37" s="104"/>
      <c r="K37" s="104"/>
      <c r="L37" s="104"/>
      <c r="M37" s="104"/>
      <c r="N37" s="104"/>
      <c r="O37" s="104"/>
      <c r="P37" s="104"/>
      <c r="Q37" s="104"/>
      <c r="R37" s="104"/>
      <c r="S37" s="104"/>
      <c r="T37" s="104"/>
      <c r="U37" s="104"/>
      <c r="V37" s="104"/>
      <c r="W37" s="104"/>
      <c r="X37" s="115">
        <f>SUM(T_Planning[[#This Row],[08/07/2019]:[26/07/2019]])</f>
        <v>0</v>
      </c>
      <c r="Y37" s="105"/>
      <c r="Z37" s="105"/>
      <c r="AA37" s="105"/>
      <c r="AB37" s="106"/>
    </row>
    <row r="38" spans="2:28" x14ac:dyDescent="0.25">
      <c r="B38" s="102"/>
      <c r="C38" s="103" t="str">
        <f>IFERROR(VLOOKUP(B38,T_BdD[#This Row],2,0),"")</f>
        <v/>
      </c>
      <c r="D38" s="103"/>
      <c r="E38" s="104"/>
      <c r="F38" s="104"/>
      <c r="G38" s="104"/>
      <c r="H38" s="104"/>
      <c r="I38" s="104"/>
      <c r="J38" s="104"/>
      <c r="K38" s="104"/>
      <c r="L38" s="104"/>
      <c r="M38" s="104"/>
      <c r="N38" s="104"/>
      <c r="O38" s="104"/>
      <c r="P38" s="104"/>
      <c r="Q38" s="104"/>
      <c r="R38" s="104"/>
      <c r="S38" s="104"/>
      <c r="T38" s="104"/>
      <c r="U38" s="104"/>
      <c r="V38" s="104"/>
      <c r="W38" s="104"/>
      <c r="X38" s="115">
        <f>SUM(T_Planning[[#This Row],[08/07/2019]:[26/07/2019]])</f>
        <v>0</v>
      </c>
      <c r="Y38" s="105"/>
      <c r="Z38" s="105"/>
      <c r="AA38" s="105"/>
      <c r="AB38" s="106"/>
    </row>
    <row r="39" spans="2:28" x14ac:dyDescent="0.25">
      <c r="B39" s="102"/>
      <c r="C39" s="103" t="str">
        <f>IFERROR(VLOOKUP(B39,T_BdD[#This Row],2,0),"")</f>
        <v/>
      </c>
      <c r="D39" s="103"/>
      <c r="E39" s="104"/>
      <c r="F39" s="104"/>
      <c r="G39" s="104"/>
      <c r="H39" s="104"/>
      <c r="I39" s="104"/>
      <c r="J39" s="104"/>
      <c r="K39" s="104"/>
      <c r="L39" s="104"/>
      <c r="M39" s="104"/>
      <c r="N39" s="104"/>
      <c r="O39" s="104"/>
      <c r="P39" s="104"/>
      <c r="Q39" s="104"/>
      <c r="R39" s="104"/>
      <c r="S39" s="104"/>
      <c r="T39" s="104"/>
      <c r="U39" s="104"/>
      <c r="V39" s="104"/>
      <c r="W39" s="104"/>
      <c r="X39" s="115">
        <f>SUM(T_Planning[[#This Row],[08/07/2019]:[26/07/2019]])</f>
        <v>0</v>
      </c>
      <c r="Y39" s="105"/>
      <c r="Z39" s="105"/>
      <c r="AA39" s="105"/>
      <c r="AB39" s="106"/>
    </row>
    <row r="40" spans="2:28" x14ac:dyDescent="0.25">
      <c r="B40" s="102"/>
      <c r="C40" s="103" t="str">
        <f>IFERROR(VLOOKUP(B40,T_BdD[#This Row],2,0),"")</f>
        <v/>
      </c>
      <c r="D40" s="103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4"/>
      <c r="W40" s="104"/>
      <c r="X40" s="115">
        <f>SUM(T_Planning[[#This Row],[08/07/2019]:[26/07/2019]])</f>
        <v>0</v>
      </c>
      <c r="Y40" s="105"/>
      <c r="Z40" s="105"/>
      <c r="AA40" s="105"/>
      <c r="AB40" s="106"/>
    </row>
    <row r="41" spans="2:28" x14ac:dyDescent="0.25">
      <c r="B41" s="102"/>
      <c r="C41" s="103" t="str">
        <f>IFERROR(VLOOKUP(B41,T_BdD[#This Row],2,0),"")</f>
        <v/>
      </c>
      <c r="D41" s="103"/>
      <c r="E41" s="104"/>
      <c r="F41" s="104"/>
      <c r="G41" s="104"/>
      <c r="H41" s="104"/>
      <c r="I41" s="104"/>
      <c r="J41" s="104"/>
      <c r="K41" s="104"/>
      <c r="L41" s="104"/>
      <c r="M41" s="104"/>
      <c r="N41" s="104"/>
      <c r="O41" s="104"/>
      <c r="P41" s="104"/>
      <c r="Q41" s="104"/>
      <c r="R41" s="104"/>
      <c r="S41" s="104"/>
      <c r="T41" s="104"/>
      <c r="U41" s="104"/>
      <c r="V41" s="104"/>
      <c r="W41" s="104"/>
      <c r="X41" s="115">
        <f>SUM(T_Planning[[#This Row],[08/07/2019]:[26/07/2019]])</f>
        <v>0</v>
      </c>
      <c r="Y41" s="105"/>
      <c r="Z41" s="105"/>
      <c r="AA41" s="105"/>
      <c r="AB41" s="106"/>
    </row>
    <row r="42" spans="2:28" x14ac:dyDescent="0.25">
      <c r="B42" s="102"/>
      <c r="C42" s="103" t="str">
        <f>IFERROR(VLOOKUP(B42,T_BdD[#This Row],2,0),"")</f>
        <v/>
      </c>
      <c r="D42" s="103"/>
      <c r="E42" s="104"/>
      <c r="F42" s="104"/>
      <c r="G42" s="104"/>
      <c r="H42" s="104"/>
      <c r="I42" s="104"/>
      <c r="J42" s="104"/>
      <c r="K42" s="104"/>
      <c r="L42" s="104"/>
      <c r="M42" s="104"/>
      <c r="N42" s="104"/>
      <c r="O42" s="104"/>
      <c r="P42" s="104"/>
      <c r="Q42" s="104"/>
      <c r="R42" s="104"/>
      <c r="S42" s="104"/>
      <c r="T42" s="104"/>
      <c r="U42" s="104"/>
      <c r="V42" s="104"/>
      <c r="W42" s="104"/>
      <c r="X42" s="115">
        <f>SUM(T_Planning[[#This Row],[08/07/2019]:[26/07/2019]])</f>
        <v>0</v>
      </c>
      <c r="Y42" s="105"/>
      <c r="Z42" s="105"/>
      <c r="AA42" s="105"/>
      <c r="AB42" s="106"/>
    </row>
    <row r="43" spans="2:28" x14ac:dyDescent="0.25">
      <c r="B43" s="102"/>
      <c r="C43" s="103" t="str">
        <f>IFERROR(VLOOKUP(B43,T_BdD[#This Row],2,0),"")</f>
        <v/>
      </c>
      <c r="D43" s="103"/>
      <c r="E43" s="104"/>
      <c r="F43" s="104"/>
      <c r="G43" s="104"/>
      <c r="H43" s="104"/>
      <c r="I43" s="104"/>
      <c r="J43" s="104"/>
      <c r="K43" s="104"/>
      <c r="L43" s="104"/>
      <c r="M43" s="104"/>
      <c r="N43" s="104"/>
      <c r="O43" s="104"/>
      <c r="P43" s="104"/>
      <c r="Q43" s="104"/>
      <c r="R43" s="104"/>
      <c r="S43" s="104"/>
      <c r="T43" s="104"/>
      <c r="U43" s="104"/>
      <c r="V43" s="104"/>
      <c r="W43" s="104"/>
      <c r="X43" s="115">
        <f>SUM(T_Planning[[#This Row],[08/07/2019]:[26/07/2019]])</f>
        <v>0</v>
      </c>
      <c r="Y43" s="105"/>
      <c r="Z43" s="105"/>
      <c r="AA43" s="105"/>
      <c r="AB43" s="106"/>
    </row>
    <row r="44" spans="2:28" x14ac:dyDescent="0.25">
      <c r="B44" s="102"/>
      <c r="C44" s="103" t="str">
        <f>IFERROR(VLOOKUP(B44,T_BdD[#This Row],2,0),"")</f>
        <v/>
      </c>
      <c r="D44" s="103"/>
      <c r="E44" s="104"/>
      <c r="F44" s="104"/>
      <c r="G44" s="104"/>
      <c r="H44" s="104"/>
      <c r="I44" s="104"/>
      <c r="J44" s="104"/>
      <c r="K44" s="104"/>
      <c r="L44" s="104"/>
      <c r="M44" s="104"/>
      <c r="N44" s="104"/>
      <c r="O44" s="104"/>
      <c r="P44" s="104"/>
      <c r="Q44" s="104"/>
      <c r="R44" s="104"/>
      <c r="S44" s="104"/>
      <c r="T44" s="104"/>
      <c r="U44" s="104"/>
      <c r="V44" s="104"/>
      <c r="W44" s="104"/>
      <c r="X44" s="115">
        <f>SUM(T_Planning[[#This Row],[08/07/2019]:[26/07/2019]])</f>
        <v>0</v>
      </c>
      <c r="Y44" s="105"/>
      <c r="Z44" s="105"/>
      <c r="AA44" s="105"/>
      <c r="AB44" s="106"/>
    </row>
    <row r="45" spans="2:28" x14ac:dyDescent="0.25">
      <c r="B45" s="102"/>
      <c r="C45" s="103" t="str">
        <f>IFERROR(VLOOKUP(B45,T_BdD[#This Row],2,0),"")</f>
        <v/>
      </c>
      <c r="D45" s="103"/>
      <c r="E45" s="104"/>
      <c r="F45" s="104"/>
      <c r="G45" s="104"/>
      <c r="H45" s="104"/>
      <c r="I45" s="104"/>
      <c r="J45" s="104"/>
      <c r="K45" s="104"/>
      <c r="L45" s="104"/>
      <c r="M45" s="104"/>
      <c r="N45" s="104"/>
      <c r="O45" s="104"/>
      <c r="P45" s="104"/>
      <c r="Q45" s="104"/>
      <c r="R45" s="104"/>
      <c r="S45" s="104"/>
      <c r="T45" s="104"/>
      <c r="U45" s="104"/>
      <c r="V45" s="104"/>
      <c r="W45" s="104"/>
      <c r="X45" s="115">
        <f>SUM(T_Planning[[#This Row],[08/07/2019]:[26/07/2019]])</f>
        <v>0</v>
      </c>
      <c r="Y45" s="105"/>
      <c r="Z45" s="105"/>
      <c r="AA45" s="105"/>
      <c r="AB45" s="106"/>
    </row>
    <row r="46" spans="2:28" x14ac:dyDescent="0.25">
      <c r="B46" s="102"/>
      <c r="C46" s="103" t="str">
        <f>IFERROR(VLOOKUP(B46,T_BdD[#This Row],2,0),"")</f>
        <v/>
      </c>
      <c r="D46" s="103"/>
      <c r="E46" s="104"/>
      <c r="F46" s="104"/>
      <c r="G46" s="104"/>
      <c r="H46" s="104"/>
      <c r="I46" s="104"/>
      <c r="J46" s="104"/>
      <c r="K46" s="104"/>
      <c r="L46" s="104"/>
      <c r="M46" s="104"/>
      <c r="N46" s="104"/>
      <c r="O46" s="104"/>
      <c r="P46" s="104"/>
      <c r="Q46" s="104"/>
      <c r="R46" s="104"/>
      <c r="S46" s="104"/>
      <c r="T46" s="104"/>
      <c r="U46" s="104"/>
      <c r="V46" s="104"/>
      <c r="W46" s="104"/>
      <c r="X46" s="115">
        <f>SUM(T_Planning[[#This Row],[08/07/2019]:[26/07/2019]])</f>
        <v>0</v>
      </c>
      <c r="Y46" s="105"/>
      <c r="Z46" s="105"/>
      <c r="AA46" s="105"/>
      <c r="AB46" s="106"/>
    </row>
    <row r="47" spans="2:28" x14ac:dyDescent="0.25">
      <c r="B47" s="102"/>
      <c r="C47" s="103" t="str">
        <f>IFERROR(VLOOKUP(B47,T_BdD[#This Row],2,0),"")</f>
        <v/>
      </c>
      <c r="D47" s="103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4"/>
      <c r="U47" s="104"/>
      <c r="V47" s="104"/>
      <c r="W47" s="104"/>
      <c r="X47" s="115">
        <f>SUM(T_Planning[[#This Row],[08/07/2019]:[26/07/2019]])</f>
        <v>0</v>
      </c>
      <c r="Y47" s="105"/>
      <c r="Z47" s="105"/>
      <c r="AA47" s="105"/>
      <c r="AB47" s="106"/>
    </row>
    <row r="48" spans="2:28" x14ac:dyDescent="0.25">
      <c r="B48" s="102"/>
      <c r="C48" s="103" t="str">
        <f>IFERROR(VLOOKUP(B48,T_BdD[#This Row],2,0),"")</f>
        <v/>
      </c>
      <c r="D48" s="103"/>
      <c r="E48" s="104"/>
      <c r="F48" s="104"/>
      <c r="G48" s="104"/>
      <c r="H48" s="104"/>
      <c r="I48" s="104"/>
      <c r="J48" s="104"/>
      <c r="K48" s="104"/>
      <c r="L48" s="104"/>
      <c r="M48" s="104"/>
      <c r="N48" s="104"/>
      <c r="O48" s="104"/>
      <c r="P48" s="104"/>
      <c r="Q48" s="104"/>
      <c r="R48" s="104"/>
      <c r="S48" s="104"/>
      <c r="T48" s="104"/>
      <c r="U48" s="104"/>
      <c r="V48" s="104"/>
      <c r="W48" s="104"/>
      <c r="X48" s="115">
        <f>SUM(T_Planning[[#This Row],[08/07/2019]:[26/07/2019]])</f>
        <v>0</v>
      </c>
      <c r="Y48" s="105"/>
      <c r="Z48" s="105"/>
      <c r="AA48" s="105"/>
      <c r="AB48" s="106"/>
    </row>
    <row r="49" spans="2:28" x14ac:dyDescent="0.25">
      <c r="B49" s="102"/>
      <c r="C49" s="103" t="str">
        <f>IFERROR(VLOOKUP(B49,T_BdD[#This Row],2,0),"")</f>
        <v/>
      </c>
      <c r="D49" s="103"/>
      <c r="E49" s="104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104"/>
      <c r="T49" s="104"/>
      <c r="U49" s="104"/>
      <c r="V49" s="104"/>
      <c r="W49" s="104"/>
      <c r="X49" s="115">
        <f>SUM(T_Planning[[#This Row],[08/07/2019]:[26/07/2019]])</f>
        <v>0</v>
      </c>
      <c r="Y49" s="105"/>
      <c r="Z49" s="105"/>
      <c r="AA49" s="105"/>
      <c r="AB49" s="106"/>
    </row>
    <row r="50" spans="2:28" x14ac:dyDescent="0.25">
      <c r="B50" s="107"/>
      <c r="C50" s="108" t="str">
        <f>IFERROR(VLOOKUP(B50,T_BdD[#This Row],2,0),"")</f>
        <v/>
      </c>
      <c r="D50" s="108"/>
      <c r="E50" s="109"/>
      <c r="F50" s="109"/>
      <c r="G50" s="109"/>
      <c r="H50" s="109"/>
      <c r="I50" s="109"/>
      <c r="J50" s="109"/>
      <c r="K50" s="109"/>
      <c r="L50" s="109"/>
      <c r="M50" s="109"/>
      <c r="N50" s="109"/>
      <c r="O50" s="109"/>
      <c r="P50" s="109"/>
      <c r="Q50" s="109"/>
      <c r="R50" s="109"/>
      <c r="S50" s="109"/>
      <c r="T50" s="109"/>
      <c r="U50" s="109"/>
      <c r="V50" s="109"/>
      <c r="W50" s="109"/>
      <c r="X50" s="115">
        <f>SUM(T_Planning[[#This Row],[08/07/2019]:[26/07/2019]])</f>
        <v>0</v>
      </c>
      <c r="Y50" s="110"/>
      <c r="Z50" s="110"/>
      <c r="AA50" s="110"/>
      <c r="AB50" s="111"/>
    </row>
  </sheetData>
  <conditionalFormatting sqref="E2:W50 X2:AA2">
    <cfRule type="expression" dxfId="0" priority="1">
      <formula>WEEKDAY(E$2,2)&gt;5</formula>
    </cfRule>
  </conditionalFormatting>
  <dataValidations count="3">
    <dataValidation type="list" allowBlank="1" showInputMessage="1" showErrorMessage="1" sqref="D3:D50" xr:uid="{64123C79-3963-4B37-9E9C-0AB14B12F7E0}">
      <formula1>L_Prestations</formula1>
    </dataValidation>
    <dataValidation type="list" allowBlank="1" showInputMessage="1" showErrorMessage="1" sqref="B3:B50" xr:uid="{65804DA7-4BE5-4E00-AA3E-D681F575B31E}">
      <formula1>L_Nom</formula1>
    </dataValidation>
    <dataValidation type="list" allowBlank="1" showInputMessage="1" showErrorMessage="1" sqref="AB3:AB50" xr:uid="{A5086C40-5BE2-449D-AB07-DCB525155B01}">
      <formula1>Péricentre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7E00-9C54-4C6D-BAE6-7BE08B4DC8F0}">
  <dimension ref="B2:K46"/>
  <sheetViews>
    <sheetView showGridLines="0" showZeros="0" tabSelected="1" workbookViewId="0">
      <selection activeCell="C2" sqref="C2"/>
    </sheetView>
  </sheetViews>
  <sheetFormatPr baseColWidth="10" defaultRowHeight="15.75" outlineLevelRow="1" x14ac:dyDescent="0.25"/>
  <cols>
    <col min="1" max="1" width="11.42578125" style="41"/>
    <col min="2" max="2" width="49.28515625" style="41" bestFit="1" customWidth="1"/>
    <col min="3" max="3" width="30.7109375" style="41" customWidth="1"/>
    <col min="4" max="4" width="12.7109375" style="44" customWidth="1"/>
    <col min="5" max="5" width="18.7109375" style="44" customWidth="1"/>
    <col min="6" max="6" width="11.42578125" style="41"/>
    <col min="7" max="7" width="20" style="44" customWidth="1"/>
    <col min="8" max="8" width="39" style="44" bestFit="1" customWidth="1"/>
    <col min="9" max="9" width="22.5703125" style="44" bestFit="1" customWidth="1"/>
    <col min="10" max="10" width="9.140625" style="44" bestFit="1" customWidth="1"/>
    <col min="11" max="11" width="11.42578125" style="45"/>
    <col min="12" max="16384" width="11.42578125" style="41"/>
  </cols>
  <sheetData>
    <row r="2" spans="2:5" x14ac:dyDescent="0.25">
      <c r="B2" s="42" t="s">
        <v>9</v>
      </c>
      <c r="C2" s="52" t="s">
        <v>58</v>
      </c>
      <c r="D2" s="149" t="s">
        <v>85</v>
      </c>
      <c r="E2" s="150"/>
    </row>
    <row r="3" spans="2:5" x14ac:dyDescent="0.25">
      <c r="B3" s="42" t="s">
        <v>10</v>
      </c>
      <c r="C3" s="52" t="str">
        <f>IFERROR(VLOOKUP($C$2,T_BdD[],2,0),"")</f>
        <v>Harrry</v>
      </c>
      <c r="D3" s="151"/>
      <c r="E3" s="152"/>
    </row>
    <row r="4" spans="2:5" x14ac:dyDescent="0.25">
      <c r="B4" s="42" t="s">
        <v>86</v>
      </c>
      <c r="C4" s="52" t="str">
        <f>IFERROR(VLOOKUP($C$2,T_BdD[],3,0),"")</f>
        <v>4, Privet Drive</v>
      </c>
      <c r="D4" s="151"/>
      <c r="E4" s="152"/>
    </row>
    <row r="5" spans="2:5" x14ac:dyDescent="0.25">
      <c r="B5" s="42" t="s">
        <v>89</v>
      </c>
      <c r="C5" s="52" t="str">
        <f>IFERROR(TEXT(VLOOKUP($C$2,T_BdD[],4,0),"00000"),"")&amp;" "&amp;VLOOKUP($C$2,T_BdD[],5,0)</f>
        <v>99999 Little Whinging</v>
      </c>
      <c r="D5" s="151"/>
      <c r="E5" s="152"/>
    </row>
    <row r="6" spans="2:5" x14ac:dyDescent="0.25">
      <c r="B6" s="42" t="s">
        <v>99</v>
      </c>
      <c r="C6" s="52">
        <f>IFERROR(VLOOKUP($C$2,T_BdD[],6,0),"")</f>
        <v>809050602</v>
      </c>
      <c r="D6" s="151"/>
      <c r="E6" s="152"/>
    </row>
    <row r="7" spans="2:5" x14ac:dyDescent="0.25">
      <c r="B7" s="42" t="s">
        <v>12</v>
      </c>
      <c r="C7" s="52" t="str">
        <f>IFERROR(VLOOKUP($C$2,T_BdD[],7,0),"")</f>
        <v>hpotter@free.fr</v>
      </c>
      <c r="D7" s="151"/>
      <c r="E7" s="152"/>
    </row>
    <row r="8" spans="2:5" x14ac:dyDescent="0.25">
      <c r="B8" s="42" t="s">
        <v>32</v>
      </c>
      <c r="C8" s="52" t="str">
        <f>IFERROR(VLOOKUP($C$2,T_BdD[],8,0),"")</f>
        <v>Albus Dumbledore</v>
      </c>
      <c r="D8" s="151"/>
      <c r="E8" s="152"/>
    </row>
    <row r="9" spans="2:5" x14ac:dyDescent="0.25">
      <c r="B9" s="42" t="s">
        <v>33</v>
      </c>
      <c r="C9" s="52" t="str">
        <f>IFERROR(VLOOKUP($C$2,T_BdD[],9,0),"")</f>
        <v>Tuteur</v>
      </c>
      <c r="D9" s="151"/>
      <c r="E9" s="152"/>
    </row>
    <row r="10" spans="2:5" x14ac:dyDescent="0.25">
      <c r="B10" s="42" t="s">
        <v>99</v>
      </c>
      <c r="C10" s="53">
        <f>IFERROR(VLOOKUP($C$2,T_BdD[],10,0),"")</f>
        <v>102030405</v>
      </c>
      <c r="D10" s="151"/>
      <c r="E10" s="152"/>
    </row>
    <row r="11" spans="2:5" x14ac:dyDescent="0.25">
      <c r="B11" s="46"/>
      <c r="C11" s="43"/>
      <c r="D11" s="151"/>
      <c r="E11" s="152"/>
    </row>
    <row r="12" spans="2:5" x14ac:dyDescent="0.25">
      <c r="B12" s="42" t="s">
        <v>13</v>
      </c>
      <c r="C12" s="89">
        <f>IFERROR(VLOOKUP($C$2,T_BdD[],11,0),"")</f>
        <v>9</v>
      </c>
      <c r="D12" s="151"/>
      <c r="E12" s="152"/>
    </row>
    <row r="13" spans="2:5" x14ac:dyDescent="0.25">
      <c r="B13" s="42" t="s">
        <v>11</v>
      </c>
      <c r="C13" s="52">
        <f>IFERROR(VLOOKUP($C$2,T_BdD[],12,0),"")</f>
        <v>985</v>
      </c>
      <c r="D13" s="151"/>
      <c r="E13" s="152"/>
    </row>
    <row r="14" spans="2:5" x14ac:dyDescent="0.25">
      <c r="B14" s="42" t="s">
        <v>28</v>
      </c>
      <c r="C14" s="52" t="str">
        <f>IFERROR(VLOOKUP($C$2,T_BdD[],13,0),"")</f>
        <v>Oui</v>
      </c>
      <c r="D14" s="153"/>
      <c r="E14" s="154"/>
    </row>
    <row r="16" spans="2:5" x14ac:dyDescent="0.25">
      <c r="C16" s="68" t="s">
        <v>37</v>
      </c>
      <c r="D16" s="158">
        <f ca="1">TODAY()</f>
        <v>43690</v>
      </c>
      <c r="E16" s="158"/>
    </row>
    <row r="18" spans="2:11" s="47" customFormat="1" x14ac:dyDescent="0.25">
      <c r="B18" s="54" t="s">
        <v>84</v>
      </c>
      <c r="C18" s="159" t="s">
        <v>25</v>
      </c>
      <c r="D18" s="160"/>
      <c r="E18" s="55" t="s">
        <v>26</v>
      </c>
    </row>
    <row r="19" spans="2:11" x14ac:dyDescent="0.25">
      <c r="B19" s="48">
        <f>IFERROR(VLOOKUP($C$2,T_Planning[],27,0),0)</f>
        <v>0</v>
      </c>
      <c r="C19" s="161" t="str">
        <f>IFERROR(VLOOKUP(B19,Tableau1[],3,0),"")</f>
        <v/>
      </c>
      <c r="D19" s="161"/>
      <c r="E19" s="49">
        <f>IF($C14="oui",Paramètres!P9,Paramètres!P20)</f>
        <v>0</v>
      </c>
      <c r="G19" s="41"/>
      <c r="H19" s="41"/>
      <c r="I19" s="41"/>
      <c r="J19" s="41"/>
      <c r="K19" s="41"/>
    </row>
    <row r="20" spans="2:11" x14ac:dyDescent="0.25">
      <c r="B20" s="162" t="s">
        <v>100</v>
      </c>
      <c r="C20" s="163"/>
      <c r="D20" s="164"/>
      <c r="E20" s="57">
        <f>SUM(E19:E19)</f>
        <v>0</v>
      </c>
      <c r="G20" s="41"/>
      <c r="H20" s="41"/>
      <c r="I20" s="41"/>
      <c r="J20" s="41"/>
      <c r="K20" s="41"/>
    </row>
    <row r="21" spans="2:11" x14ac:dyDescent="0.25">
      <c r="B21" s="56" t="s">
        <v>70</v>
      </c>
      <c r="C21" s="56" t="s">
        <v>25</v>
      </c>
      <c r="D21" s="56" t="s">
        <v>30</v>
      </c>
      <c r="E21" s="55" t="s">
        <v>26</v>
      </c>
      <c r="G21" s="41"/>
      <c r="H21" s="41"/>
      <c r="I21" s="41"/>
      <c r="J21" s="41"/>
      <c r="K21" s="41"/>
    </row>
    <row r="22" spans="2:11" outlineLevel="1" x14ac:dyDescent="0.25">
      <c r="B22" s="147"/>
      <c r="C22" s="147"/>
      <c r="D22" s="59"/>
      <c r="E22" s="49"/>
      <c r="G22" s="41"/>
      <c r="H22" s="41"/>
      <c r="I22" s="41"/>
      <c r="J22" s="41"/>
      <c r="K22" s="41"/>
    </row>
    <row r="23" spans="2:11" ht="15.75" customHeight="1" outlineLevel="1" x14ac:dyDescent="0.25">
      <c r="B23" s="60" t="str">
        <f>IF(ISNUMBER(SEARCH("journée",VLOOKUP(C2,T_Planning[],3,0))),VLOOKUP(C2,T_Planning[],3,0),"")</f>
        <v>Journée avec repas + garderie matin</v>
      </c>
      <c r="C23" s="61">
        <v>43654</v>
      </c>
      <c r="D23" s="62">
        <f>IFERROR(VLOOKUP($C$2,Planning!$B$3:$W$50,4,0),0)</f>
        <v>0</v>
      </c>
      <c r="E23" s="63">
        <f>IF(D23&lt;&gt;0,HLOOKUP($B23,Paramètres!$K$39:$S$40,2,0),0)</f>
        <v>0</v>
      </c>
      <c r="G23" s="176"/>
      <c r="H23" s="41"/>
      <c r="I23" s="41"/>
      <c r="J23" s="41"/>
      <c r="K23" s="41"/>
    </row>
    <row r="24" spans="2:11" outlineLevel="1" x14ac:dyDescent="0.25">
      <c r="B24" s="60" t="str">
        <f>B23</f>
        <v>Journée avec repas + garderie matin</v>
      </c>
      <c r="C24" s="61">
        <f>C23+1</f>
        <v>43655</v>
      </c>
      <c r="D24" s="62">
        <f>IFERROR(VLOOKUP($C$2,Planning!$B$3:$W$50,5,0),0)</f>
        <v>0</v>
      </c>
      <c r="E24" s="63">
        <f>IF(D24&lt;&gt;0,HLOOKUP($B24,Paramètres!$K$39:$S$40,2,0),0)</f>
        <v>0</v>
      </c>
      <c r="G24" s="41"/>
      <c r="H24" s="41"/>
      <c r="I24" s="41"/>
      <c r="J24" s="41"/>
      <c r="K24" s="41"/>
    </row>
    <row r="25" spans="2:11" outlineLevel="1" x14ac:dyDescent="0.25">
      <c r="B25" s="60" t="str">
        <f>B24</f>
        <v>Journée avec repas + garderie matin</v>
      </c>
      <c r="C25" s="61">
        <f t="shared" ref="C25:C27" si="0">C24+1</f>
        <v>43656</v>
      </c>
      <c r="D25" s="62">
        <f>IFERROR(VLOOKUP($C$2,Planning!$B$3:$W$50,6,0),0)</f>
        <v>1</v>
      </c>
      <c r="E25" s="63">
        <f>IF(D25&lt;&gt;0,HLOOKUP($B25,Paramètres!$K$39:$S$40,2,0),0)</f>
        <v>13.25</v>
      </c>
      <c r="G25" s="41"/>
      <c r="H25" s="41"/>
      <c r="I25" s="41"/>
      <c r="J25" s="41"/>
      <c r="K25" s="41"/>
    </row>
    <row r="26" spans="2:11" outlineLevel="1" x14ac:dyDescent="0.25">
      <c r="B26" s="60" t="str">
        <f>B25</f>
        <v>Journée avec repas + garderie matin</v>
      </c>
      <c r="C26" s="61">
        <f t="shared" si="0"/>
        <v>43657</v>
      </c>
      <c r="D26" s="62">
        <f>IFERROR(VLOOKUP($C$2,Planning!$B$3:$W$50,7,0),0)</f>
        <v>0</v>
      </c>
      <c r="E26" s="63">
        <f>IF(D26&lt;&gt;0,HLOOKUP($B26,Paramètres!$K$39:$S$40,2,0),0)</f>
        <v>0</v>
      </c>
      <c r="G26" s="41"/>
      <c r="H26" s="41"/>
      <c r="I26" s="41"/>
      <c r="J26" s="41"/>
      <c r="K26" s="41"/>
    </row>
    <row r="27" spans="2:11" outlineLevel="1" x14ac:dyDescent="0.25">
      <c r="B27" s="60" t="str">
        <f>B26</f>
        <v>Journée avec repas + garderie matin</v>
      </c>
      <c r="C27" s="61">
        <f t="shared" si="0"/>
        <v>43658</v>
      </c>
      <c r="D27" s="62">
        <f>IFERROR(VLOOKUP($C$2,Planning!$B$3:$W$50,8,0),0)</f>
        <v>0</v>
      </c>
      <c r="E27" s="63">
        <f>IF(D27&lt;&gt;0,HLOOKUP($B27,Paramètres!$K$39:$S$40,2,0),0)</f>
        <v>0</v>
      </c>
      <c r="G27" s="41"/>
      <c r="H27" s="41"/>
      <c r="I27" s="41"/>
      <c r="J27" s="41"/>
      <c r="K27" s="41"/>
    </row>
    <row r="28" spans="2:11" outlineLevel="1" x14ac:dyDescent="0.25">
      <c r="B28" s="64"/>
      <c r="C28" s="64"/>
      <c r="D28" s="62"/>
      <c r="E28" s="63">
        <f>IF(D28&lt;&gt;0,HLOOKUP($B28,Paramètres!$K$39:$S$40,2,0),0)</f>
        <v>0</v>
      </c>
      <c r="G28" s="41"/>
      <c r="H28" s="41"/>
      <c r="I28" s="41"/>
      <c r="J28" s="41"/>
      <c r="K28" s="41"/>
    </row>
    <row r="29" spans="2:11" outlineLevel="1" x14ac:dyDescent="0.25">
      <c r="B29" s="60" t="str">
        <f>B27</f>
        <v>Journée avec repas + garderie matin</v>
      </c>
      <c r="C29" s="61">
        <f>C27+3</f>
        <v>43661</v>
      </c>
      <c r="D29" s="62">
        <f>IFERROR(VLOOKUP($C$2,Planning!$B$3:$W$50,11,0),0)</f>
        <v>1</v>
      </c>
      <c r="E29" s="63">
        <f>IF(D29&lt;&gt;0,HLOOKUP($B29,Paramètres!$K$39:$S$40,2,0),0)</f>
        <v>13.25</v>
      </c>
      <c r="G29" s="41"/>
      <c r="H29" s="41"/>
      <c r="I29" s="41"/>
      <c r="J29" s="41"/>
      <c r="K29" s="41"/>
    </row>
    <row r="30" spans="2:11" outlineLevel="1" x14ac:dyDescent="0.25">
      <c r="B30" s="60" t="str">
        <f>B29</f>
        <v>Journée avec repas + garderie matin</v>
      </c>
      <c r="C30" s="61">
        <f>C29+1</f>
        <v>43662</v>
      </c>
      <c r="D30" s="62">
        <f>IFERROR(VLOOKUP($C$2,Planning!$B$3:$W$50,12,0),0)</f>
        <v>0</v>
      </c>
      <c r="E30" s="63">
        <f>IF(D30&lt;&gt;0,HLOOKUP($B30,Paramètres!$K$39:$S$40,2,0),0)</f>
        <v>0</v>
      </c>
      <c r="G30" s="41"/>
      <c r="H30" s="41"/>
      <c r="I30" s="41"/>
      <c r="J30" s="41"/>
      <c r="K30" s="41"/>
    </row>
    <row r="31" spans="2:11" outlineLevel="1" x14ac:dyDescent="0.25">
      <c r="B31" s="60" t="str">
        <f t="shared" ref="B31:B33" si="1">B29</f>
        <v>Journée avec repas + garderie matin</v>
      </c>
      <c r="C31" s="61">
        <f t="shared" ref="C31:C33" si="2">C30+1</f>
        <v>43663</v>
      </c>
      <c r="D31" s="62">
        <f>IFERROR(VLOOKUP($C$2,Planning!$B$3:$W$50,13,0),0)</f>
        <v>0</v>
      </c>
      <c r="E31" s="63">
        <f>IF(D31&lt;&gt;0,HLOOKUP($B31,Paramètres!$K$39:$S$40,2,0),0)</f>
        <v>0</v>
      </c>
      <c r="G31" s="41"/>
      <c r="H31" s="41"/>
      <c r="I31" s="41"/>
      <c r="J31" s="41"/>
      <c r="K31" s="41"/>
    </row>
    <row r="32" spans="2:11" outlineLevel="1" x14ac:dyDescent="0.25">
      <c r="B32" s="60" t="str">
        <f t="shared" si="1"/>
        <v>Journée avec repas + garderie matin</v>
      </c>
      <c r="C32" s="61">
        <f t="shared" si="2"/>
        <v>43664</v>
      </c>
      <c r="D32" s="62">
        <f>IFERROR(VLOOKUP($C$2,Planning!$B$3:$W$50,14,0),0)</f>
        <v>0</v>
      </c>
      <c r="E32" s="63">
        <f>IF(D32&lt;&gt;0,HLOOKUP($B32,Paramètres!$K$39:$S$40,2,0),0)</f>
        <v>0</v>
      </c>
      <c r="G32" s="41"/>
      <c r="H32" s="41"/>
      <c r="I32" s="41"/>
      <c r="J32" s="41"/>
      <c r="K32" s="41"/>
    </row>
    <row r="33" spans="2:11" outlineLevel="1" x14ac:dyDescent="0.25">
      <c r="B33" s="60" t="str">
        <f t="shared" si="1"/>
        <v>Journée avec repas + garderie matin</v>
      </c>
      <c r="C33" s="61">
        <f t="shared" si="2"/>
        <v>43665</v>
      </c>
      <c r="D33" s="62">
        <f>IFERROR(VLOOKUP($C$2,Planning!$B$3:$W$50,15,0),0)</f>
        <v>1</v>
      </c>
      <c r="E33" s="63">
        <f>IF(D33&lt;&gt;0,HLOOKUP($B33,Paramètres!$K$39:$S$40,2,0),0)</f>
        <v>13.25</v>
      </c>
      <c r="G33" s="41"/>
      <c r="H33" s="41"/>
      <c r="I33" s="41"/>
      <c r="J33" s="41"/>
      <c r="K33" s="41"/>
    </row>
    <row r="34" spans="2:11" outlineLevel="1" x14ac:dyDescent="0.25">
      <c r="B34" s="64"/>
      <c r="C34" s="64"/>
      <c r="D34" s="62"/>
      <c r="E34" s="63">
        <f>IF(D34&lt;&gt;0,HLOOKUP($B34,Paramètres!$K$39:$S$40,2,0),0)</f>
        <v>0</v>
      </c>
      <c r="G34" s="41"/>
      <c r="H34" s="41"/>
      <c r="I34" s="41"/>
      <c r="J34" s="41"/>
      <c r="K34" s="41"/>
    </row>
    <row r="35" spans="2:11" outlineLevel="1" x14ac:dyDescent="0.25">
      <c r="B35" s="60" t="str">
        <f>B33</f>
        <v>Journée avec repas + garderie matin</v>
      </c>
      <c r="C35" s="61">
        <f>C33+3</f>
        <v>43668</v>
      </c>
      <c r="D35" s="62">
        <f>IFERROR(VLOOKUP($C$2,Planning!$B$3:$W$50,18,0),0)</f>
        <v>1</v>
      </c>
      <c r="E35" s="63">
        <f>IF(D35&lt;&gt;0,HLOOKUP($B35,Paramètres!$K$39:$S$40,2,0),0)</f>
        <v>13.25</v>
      </c>
      <c r="G35" s="41"/>
      <c r="H35" s="41"/>
      <c r="I35" s="41"/>
      <c r="J35" s="41"/>
      <c r="K35" s="41"/>
    </row>
    <row r="36" spans="2:11" outlineLevel="1" x14ac:dyDescent="0.25">
      <c r="B36" s="60" t="str">
        <f>B35</f>
        <v>Journée avec repas + garderie matin</v>
      </c>
      <c r="C36" s="61">
        <f>C35+1</f>
        <v>43669</v>
      </c>
      <c r="D36" s="62">
        <f>IFERROR(VLOOKUP($C$2,Planning!$B$3:$W$50,19,0),0)</f>
        <v>0</v>
      </c>
      <c r="E36" s="63">
        <f>IF(D36&lt;&gt;0,HLOOKUP($B36,Paramètres!$K$39:$S$40,2,0),0)</f>
        <v>0</v>
      </c>
      <c r="G36" s="41"/>
      <c r="H36" s="41"/>
      <c r="I36" s="41"/>
      <c r="J36" s="41"/>
      <c r="K36" s="41"/>
    </row>
    <row r="37" spans="2:11" outlineLevel="1" x14ac:dyDescent="0.25">
      <c r="B37" s="60" t="str">
        <f t="shared" ref="B37:B39" si="3">B35</f>
        <v>Journée avec repas + garderie matin</v>
      </c>
      <c r="C37" s="61">
        <f t="shared" ref="C37:C39" si="4">C36+1</f>
        <v>43670</v>
      </c>
      <c r="D37" s="62">
        <f>IFERROR(VLOOKUP($C$2,Planning!$B$3:$W$50,20,0),0)</f>
        <v>0</v>
      </c>
      <c r="E37" s="63">
        <f>IF(D37&lt;&gt;0,HLOOKUP($B37,Paramètres!$K$39:$S$40,2,0),0)</f>
        <v>0</v>
      </c>
      <c r="G37" s="41"/>
      <c r="H37" s="41"/>
      <c r="I37" s="41"/>
      <c r="J37" s="41"/>
      <c r="K37" s="41"/>
    </row>
    <row r="38" spans="2:11" outlineLevel="1" x14ac:dyDescent="0.25">
      <c r="B38" s="60" t="str">
        <f t="shared" si="3"/>
        <v>Journée avec repas + garderie matin</v>
      </c>
      <c r="C38" s="61">
        <f t="shared" si="4"/>
        <v>43671</v>
      </c>
      <c r="D38" s="62">
        <f>IFERROR(VLOOKUP($C$2,Planning!$B$3:$W$50,21,0),0)</f>
        <v>0</v>
      </c>
      <c r="E38" s="63">
        <f>IF(D38&lt;&gt;0,HLOOKUP($B38,Paramètres!$K$39:$S$40,2,0),0)</f>
        <v>0</v>
      </c>
      <c r="G38" s="41"/>
      <c r="H38" s="41"/>
      <c r="I38" s="41"/>
      <c r="J38" s="41"/>
      <c r="K38" s="41"/>
    </row>
    <row r="39" spans="2:11" outlineLevel="1" x14ac:dyDescent="0.25">
      <c r="B39" s="60" t="str">
        <f t="shared" si="3"/>
        <v>Journée avec repas + garderie matin</v>
      </c>
      <c r="C39" s="61">
        <f t="shared" si="4"/>
        <v>43672</v>
      </c>
      <c r="D39" s="62">
        <f>IFERROR(VLOOKUP($C$2,Planning!$B$3:$W$50,22,0),0)</f>
        <v>1</v>
      </c>
      <c r="E39" s="63">
        <f>IF(D39&lt;&gt;0,HLOOKUP($B39,Paramètres!$K$39:$S$40,2,0),0)</f>
        <v>13.25</v>
      </c>
      <c r="G39" s="41"/>
      <c r="H39" s="41"/>
      <c r="I39" s="41"/>
      <c r="J39" s="41"/>
      <c r="K39" s="41"/>
    </row>
    <row r="40" spans="2:11" x14ac:dyDescent="0.25">
      <c r="B40" s="64"/>
      <c r="C40" s="64"/>
      <c r="D40" s="62"/>
      <c r="E40" s="63"/>
      <c r="G40" s="41"/>
      <c r="H40" s="41"/>
      <c r="I40" s="41"/>
      <c r="J40" s="41"/>
      <c r="K40" s="41"/>
    </row>
    <row r="41" spans="2:11" outlineLevel="1" x14ac:dyDescent="0.25">
      <c r="B41" s="60" t="str">
        <f>IF(ISNUMBER(SEARCH("semaine",VLOOKUP(C2,T_Planning[],3,0))),VLOOKUP(C2,T_Planning[],3,0),"")</f>
        <v/>
      </c>
      <c r="C41" s="64" t="str">
        <f>"Semaine "&amp;WEEKNUM(C23,2)</f>
        <v>Semaine 28</v>
      </c>
      <c r="D41" s="62">
        <f>IFERROR(VLOOKUP($C$2,T_Planning[],24,0),0)</f>
        <v>0</v>
      </c>
      <c r="E41" s="63">
        <f>IF(D41&lt;&gt;0,HLOOKUP($B41,Paramètres!$K$39:$S$40,2,0),0)</f>
        <v>0</v>
      </c>
      <c r="G41" s="41"/>
      <c r="H41" s="41"/>
      <c r="I41" s="41"/>
      <c r="J41" s="41"/>
      <c r="K41" s="41"/>
    </row>
    <row r="42" spans="2:11" outlineLevel="1" x14ac:dyDescent="0.25">
      <c r="B42" s="60" t="str">
        <f>B41</f>
        <v/>
      </c>
      <c r="C42" s="64" t="str">
        <f>"Semaine "&amp;WEEKNUM(C29,2)</f>
        <v>Semaine 29</v>
      </c>
      <c r="D42" s="62">
        <f>IFERROR(VLOOKUP($C$2,T_Planning[],25,0),0)</f>
        <v>0</v>
      </c>
      <c r="E42" s="63">
        <f>IF(D42&lt;&gt;0,HLOOKUP($B42,Paramètres!$K$39:$S$40,2,0),0)</f>
        <v>0</v>
      </c>
      <c r="G42" s="41"/>
      <c r="H42" s="41"/>
      <c r="I42" s="41"/>
      <c r="J42" s="41"/>
      <c r="K42" s="41"/>
    </row>
    <row r="43" spans="2:11" outlineLevel="1" x14ac:dyDescent="0.25">
      <c r="B43" s="60" t="str">
        <f>B41</f>
        <v/>
      </c>
      <c r="C43" s="64" t="str">
        <f>"Semaine "&amp;WEEKNUM(C35,2)</f>
        <v>Semaine 30</v>
      </c>
      <c r="D43" s="62">
        <f>IFERROR(VLOOKUP($C$2,T_Planning[],26,0),0)</f>
        <v>0</v>
      </c>
      <c r="E43" s="63">
        <f>IF(D43&lt;&gt;0,HLOOKUP($B43,Paramètres!$K$39:$S$40,2,0),0)</f>
        <v>0</v>
      </c>
      <c r="G43" s="41"/>
      <c r="H43" s="41"/>
      <c r="I43" s="41"/>
      <c r="J43" s="41"/>
      <c r="K43" s="41"/>
    </row>
    <row r="44" spans="2:11" outlineLevel="1" x14ac:dyDescent="0.25">
      <c r="B44" s="50"/>
      <c r="C44" s="148"/>
      <c r="D44" s="177"/>
      <c r="E44" s="51"/>
      <c r="G44" s="41"/>
      <c r="H44" s="41"/>
      <c r="I44" s="41"/>
      <c r="J44" s="41"/>
      <c r="K44" s="41"/>
    </row>
    <row r="45" spans="2:11" x14ac:dyDescent="0.25">
      <c r="B45" s="162" t="s">
        <v>101</v>
      </c>
      <c r="C45" s="163"/>
      <c r="D45" s="164"/>
      <c r="E45" s="57">
        <f>SUM(E23:E43)</f>
        <v>66.25</v>
      </c>
      <c r="G45" s="41"/>
      <c r="H45" s="41"/>
      <c r="I45" s="41"/>
      <c r="J45" s="41"/>
      <c r="K45" s="41"/>
    </row>
    <row r="46" spans="2:11" x14ac:dyDescent="0.25">
      <c r="B46" s="155" t="s">
        <v>35</v>
      </c>
      <c r="C46" s="156"/>
      <c r="D46" s="157"/>
      <c r="E46" s="58">
        <f>E20+E45</f>
        <v>66.25</v>
      </c>
      <c r="G46" s="41"/>
      <c r="H46" s="41"/>
      <c r="I46" s="41"/>
      <c r="J46" s="41"/>
      <c r="K46" s="41"/>
    </row>
  </sheetData>
  <mergeCells count="7">
    <mergeCell ref="D2:E14"/>
    <mergeCell ref="B46:D46"/>
    <mergeCell ref="D16:E16"/>
    <mergeCell ref="C18:D18"/>
    <mergeCell ref="C19:D19"/>
    <mergeCell ref="B20:D20"/>
    <mergeCell ref="B45:D45"/>
  </mergeCells>
  <dataValidations count="1">
    <dataValidation type="list" allowBlank="1" showInputMessage="1" showErrorMessage="1" sqref="C2" xr:uid="{7BA52878-38E5-49BD-9AC1-1BA4D869E059}">
      <formula1>L_Nom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ED32B-4409-4F2A-877A-669213B2D739}">
  <dimension ref="B1:S48"/>
  <sheetViews>
    <sheetView showGridLines="0" workbookViewId="0">
      <selection activeCell="C42" sqref="C42"/>
    </sheetView>
  </sheetViews>
  <sheetFormatPr baseColWidth="10" defaultColWidth="83.85546875" defaultRowHeight="15" x14ac:dyDescent="0.25"/>
  <cols>
    <col min="1" max="1" width="2.7109375" customWidth="1"/>
    <col min="2" max="2" width="46.28515625" bestFit="1" customWidth="1"/>
    <col min="3" max="4" width="20.7109375" style="18" customWidth="1"/>
    <col min="5" max="8" width="15.7109375" style="18" customWidth="1"/>
    <col min="9" max="9" width="7.5703125" style="65" bestFit="1" customWidth="1"/>
    <col min="10" max="10" width="2.7109375" customWidth="1"/>
    <col min="11" max="11" width="10.7109375" style="18" customWidth="1"/>
    <col min="12" max="13" width="25.7109375" customWidth="1"/>
    <col min="14" max="14" width="39.140625" bestFit="1" customWidth="1"/>
    <col min="15" max="15" width="25.7109375" customWidth="1"/>
    <col min="16" max="16" width="25.7109375" style="18" customWidth="1"/>
    <col min="17" max="19" width="25.7109375" customWidth="1"/>
    <col min="20" max="70" width="12.7109375" customWidth="1"/>
  </cols>
  <sheetData>
    <row r="1" spans="2:16" ht="28.5" x14ac:dyDescent="0.45">
      <c r="B1" s="172" t="s">
        <v>1</v>
      </c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</row>
    <row r="2" spans="2:16" s="22" customFormat="1" x14ac:dyDescent="0.25">
      <c r="B2" s="19" t="s">
        <v>0</v>
      </c>
      <c r="C2" s="20" t="s">
        <v>29</v>
      </c>
      <c r="D2" s="20" t="s">
        <v>25</v>
      </c>
      <c r="E2" s="20" t="s">
        <v>2</v>
      </c>
      <c r="F2" s="20" t="s">
        <v>3</v>
      </c>
      <c r="G2" s="20" t="s">
        <v>4</v>
      </c>
      <c r="H2" s="21" t="s">
        <v>5</v>
      </c>
      <c r="I2" s="121" t="s">
        <v>36</v>
      </c>
      <c r="K2" s="26" t="s">
        <v>27</v>
      </c>
      <c r="L2" s="26" t="s">
        <v>14</v>
      </c>
      <c r="M2" s="26" t="s">
        <v>17</v>
      </c>
      <c r="N2" s="26" t="s">
        <v>19</v>
      </c>
      <c r="O2" s="26" t="s">
        <v>23</v>
      </c>
      <c r="P2" s="29"/>
    </row>
    <row r="3" spans="2:16" x14ac:dyDescent="0.25">
      <c r="B3" s="3" t="s">
        <v>14</v>
      </c>
      <c r="C3" s="15" t="s">
        <v>15</v>
      </c>
      <c r="D3" s="15" t="s">
        <v>16</v>
      </c>
      <c r="E3" s="2">
        <v>40</v>
      </c>
      <c r="F3" s="2">
        <v>45</v>
      </c>
      <c r="G3" s="2">
        <v>50</v>
      </c>
      <c r="H3" s="6">
        <v>55</v>
      </c>
      <c r="I3" s="123">
        <v>2</v>
      </c>
      <c r="K3" s="129">
        <v>0</v>
      </c>
      <c r="L3" s="24">
        <v>40</v>
      </c>
      <c r="M3" s="24">
        <v>70</v>
      </c>
      <c r="N3" s="24">
        <v>80</v>
      </c>
      <c r="O3" s="130">
        <v>95</v>
      </c>
    </row>
    <row r="4" spans="2:16" x14ac:dyDescent="0.25">
      <c r="B4" s="4" t="s">
        <v>17</v>
      </c>
      <c r="C4" s="16" t="s">
        <v>21</v>
      </c>
      <c r="D4" s="16" t="s">
        <v>18</v>
      </c>
      <c r="E4" s="1">
        <v>70</v>
      </c>
      <c r="F4" s="1">
        <v>80</v>
      </c>
      <c r="G4" s="1">
        <v>90</v>
      </c>
      <c r="H4" s="7">
        <v>100</v>
      </c>
      <c r="I4" s="124">
        <v>3</v>
      </c>
      <c r="K4" s="131">
        <v>601</v>
      </c>
      <c r="L4" s="25">
        <v>45</v>
      </c>
      <c r="M4" s="25">
        <v>80</v>
      </c>
      <c r="N4" s="25">
        <v>90</v>
      </c>
      <c r="O4" s="132">
        <v>105</v>
      </c>
    </row>
    <row r="5" spans="2:16" x14ac:dyDescent="0.25">
      <c r="B5" s="5" t="s">
        <v>19</v>
      </c>
      <c r="C5" s="16" t="s">
        <v>20</v>
      </c>
      <c r="D5" s="16" t="s">
        <v>22</v>
      </c>
      <c r="E5" s="1">
        <v>80</v>
      </c>
      <c r="F5" s="1">
        <v>90</v>
      </c>
      <c r="G5" s="1">
        <v>100</v>
      </c>
      <c r="H5" s="7">
        <v>110</v>
      </c>
      <c r="I5" s="124">
        <v>4</v>
      </c>
      <c r="K5" s="131">
        <v>1001</v>
      </c>
      <c r="L5" s="25">
        <v>50</v>
      </c>
      <c r="M5" s="25">
        <v>90</v>
      </c>
      <c r="N5" s="25">
        <v>100</v>
      </c>
      <c r="O5" s="132">
        <v>115</v>
      </c>
    </row>
    <row r="6" spans="2:16" x14ac:dyDescent="0.25">
      <c r="B6" s="11" t="s">
        <v>23</v>
      </c>
      <c r="C6" s="17" t="s">
        <v>20</v>
      </c>
      <c r="D6" s="17" t="s">
        <v>24</v>
      </c>
      <c r="E6" s="12">
        <v>95</v>
      </c>
      <c r="F6" s="12">
        <v>105</v>
      </c>
      <c r="G6" s="12">
        <v>115</v>
      </c>
      <c r="H6" s="13">
        <v>125</v>
      </c>
      <c r="I6" s="125">
        <v>5</v>
      </c>
      <c r="K6" s="133">
        <v>1300</v>
      </c>
      <c r="L6" s="27">
        <v>55</v>
      </c>
      <c r="M6" s="27">
        <v>100</v>
      </c>
      <c r="N6" s="27">
        <v>110</v>
      </c>
      <c r="O6" s="134">
        <v>125</v>
      </c>
    </row>
    <row r="8" spans="2:16" x14ac:dyDescent="0.25">
      <c r="K8" s="26" t="s">
        <v>27</v>
      </c>
      <c r="L8" s="26" t="s">
        <v>14</v>
      </c>
      <c r="M8" s="26" t="s">
        <v>17</v>
      </c>
      <c r="N8" s="26" t="s">
        <v>19</v>
      </c>
      <c r="O8" s="26" t="s">
        <v>23</v>
      </c>
      <c r="P8" s="26" t="s">
        <v>26</v>
      </c>
    </row>
    <row r="9" spans="2:16" x14ac:dyDescent="0.25">
      <c r="K9" s="136">
        <f>Facture!C13</f>
        <v>985</v>
      </c>
      <c r="L9" s="28">
        <f>IF(Facture!$B$19=Paramètres!L$2,VLOOKUP($K$9,$K$3:$O$6,2,1),0)</f>
        <v>0</v>
      </c>
      <c r="M9" s="28">
        <f>IF(Facture!$B$19=Paramètres!M$2,VLOOKUP($K$9,$K$3:$O$6,3,1),0)</f>
        <v>0</v>
      </c>
      <c r="N9" s="28">
        <f>IF(Facture!$B$19=Paramètres!N$2,VLOOKUP($K$9,$K$3:$O$6,4,1),0)</f>
        <v>0</v>
      </c>
      <c r="O9" s="28">
        <f>IF(Facture!$B$19=Paramètres!O$2,VLOOKUP($K$9,$K$3:$O$6,5,1),0)</f>
        <v>0</v>
      </c>
      <c r="P9" s="137">
        <f>SUM(L9:O9)</f>
        <v>0</v>
      </c>
    </row>
    <row r="10" spans="2:16" x14ac:dyDescent="0.25">
      <c r="K10" s="31"/>
      <c r="L10" s="14"/>
      <c r="M10" s="14"/>
      <c r="N10" s="14"/>
      <c r="O10" s="14"/>
      <c r="P10" s="32"/>
    </row>
    <row r="11" spans="2:16" x14ac:dyDescent="0.25">
      <c r="K11" s="31"/>
      <c r="L11" s="14"/>
      <c r="M11" s="14"/>
      <c r="N11" s="14"/>
      <c r="O11" s="14"/>
      <c r="P11" s="32"/>
    </row>
    <row r="12" spans="2:16" ht="28.5" x14ac:dyDescent="0.45">
      <c r="B12" s="172" t="s">
        <v>8</v>
      </c>
      <c r="C12" s="172"/>
      <c r="D12" s="172"/>
      <c r="E12" s="172"/>
      <c r="F12" s="172"/>
      <c r="G12" s="172"/>
      <c r="H12" s="172"/>
      <c r="I12" s="172"/>
      <c r="J12" s="172"/>
      <c r="K12" s="172"/>
      <c r="L12" s="172"/>
      <c r="M12" s="172"/>
      <c r="N12" s="172"/>
      <c r="O12" s="172"/>
      <c r="P12" s="172"/>
    </row>
    <row r="13" spans="2:16" x14ac:dyDescent="0.25">
      <c r="B13" s="8" t="s">
        <v>0</v>
      </c>
      <c r="C13" s="9" t="s">
        <v>13</v>
      </c>
      <c r="D13" s="9" t="s">
        <v>25</v>
      </c>
      <c r="E13" s="9" t="s">
        <v>2</v>
      </c>
      <c r="F13" s="9" t="s">
        <v>3</v>
      </c>
      <c r="G13" s="9" t="s">
        <v>4</v>
      </c>
      <c r="H13" s="10" t="s">
        <v>5</v>
      </c>
      <c r="I13" s="122" t="s">
        <v>36</v>
      </c>
      <c r="K13" s="26" t="s">
        <v>27</v>
      </c>
      <c r="L13" s="26" t="s">
        <v>14</v>
      </c>
      <c r="M13" s="26" t="s">
        <v>17</v>
      </c>
      <c r="N13" s="26" t="s">
        <v>19</v>
      </c>
      <c r="O13" s="26" t="s">
        <v>23</v>
      </c>
    </row>
    <row r="14" spans="2:16" x14ac:dyDescent="0.25">
      <c r="B14" s="3" t="s">
        <v>14</v>
      </c>
      <c r="C14" s="15" t="s">
        <v>15</v>
      </c>
      <c r="D14" s="15" t="s">
        <v>16</v>
      </c>
      <c r="E14" s="2">
        <v>70</v>
      </c>
      <c r="F14" s="2">
        <v>75</v>
      </c>
      <c r="G14" s="2">
        <v>80</v>
      </c>
      <c r="H14" s="6">
        <v>95</v>
      </c>
      <c r="I14" s="123">
        <v>2</v>
      </c>
      <c r="K14" s="129">
        <v>0</v>
      </c>
      <c r="L14" s="24">
        <v>70</v>
      </c>
      <c r="M14" s="24">
        <v>100</v>
      </c>
      <c r="N14" s="24">
        <v>110</v>
      </c>
      <c r="O14" s="130">
        <v>125</v>
      </c>
    </row>
    <row r="15" spans="2:16" x14ac:dyDescent="0.25">
      <c r="B15" s="4" t="s">
        <v>17</v>
      </c>
      <c r="C15" s="16" t="s">
        <v>21</v>
      </c>
      <c r="D15" s="16" t="s">
        <v>18</v>
      </c>
      <c r="E15" s="1">
        <v>100</v>
      </c>
      <c r="F15" s="1">
        <v>110</v>
      </c>
      <c r="G15" s="1">
        <v>120</v>
      </c>
      <c r="H15" s="7">
        <v>130</v>
      </c>
      <c r="I15" s="124">
        <v>3</v>
      </c>
      <c r="K15" s="131">
        <v>601</v>
      </c>
      <c r="L15" s="25">
        <v>75</v>
      </c>
      <c r="M15" s="25">
        <v>110</v>
      </c>
      <c r="N15" s="25">
        <v>120</v>
      </c>
      <c r="O15" s="132">
        <v>135</v>
      </c>
    </row>
    <row r="16" spans="2:16" x14ac:dyDescent="0.25">
      <c r="B16" s="5" t="s">
        <v>19</v>
      </c>
      <c r="C16" s="16" t="s">
        <v>20</v>
      </c>
      <c r="D16" s="16" t="s">
        <v>22</v>
      </c>
      <c r="E16" s="1">
        <v>110</v>
      </c>
      <c r="F16" s="1">
        <v>120</v>
      </c>
      <c r="G16" s="1">
        <v>130</v>
      </c>
      <c r="H16" s="7">
        <v>140</v>
      </c>
      <c r="I16" s="124">
        <v>4</v>
      </c>
      <c r="K16" s="131">
        <v>1001</v>
      </c>
      <c r="L16" s="25">
        <v>80</v>
      </c>
      <c r="M16" s="25">
        <v>120</v>
      </c>
      <c r="N16" s="25">
        <v>130</v>
      </c>
      <c r="O16" s="132">
        <v>145</v>
      </c>
    </row>
    <row r="17" spans="2:19" x14ac:dyDescent="0.25">
      <c r="B17" s="11" t="s">
        <v>23</v>
      </c>
      <c r="C17" s="17" t="s">
        <v>20</v>
      </c>
      <c r="D17" s="17" t="s">
        <v>24</v>
      </c>
      <c r="E17" s="12">
        <v>125</v>
      </c>
      <c r="F17" s="12">
        <v>135</v>
      </c>
      <c r="G17" s="12">
        <v>145</v>
      </c>
      <c r="H17" s="13">
        <v>155</v>
      </c>
      <c r="I17" s="125">
        <v>5</v>
      </c>
      <c r="K17" s="133">
        <v>1300</v>
      </c>
      <c r="L17" s="27">
        <v>95</v>
      </c>
      <c r="M17" s="27">
        <v>130</v>
      </c>
      <c r="N17" s="27">
        <v>140</v>
      </c>
      <c r="O17" s="134">
        <v>155</v>
      </c>
    </row>
    <row r="19" spans="2:19" x14ac:dyDescent="0.25">
      <c r="K19" s="23" t="s">
        <v>27</v>
      </c>
      <c r="L19" s="23" t="s">
        <v>14</v>
      </c>
      <c r="M19" s="23" t="s">
        <v>17</v>
      </c>
      <c r="N19" s="23" t="s">
        <v>19</v>
      </c>
      <c r="O19" s="23" t="s">
        <v>23</v>
      </c>
      <c r="P19" s="23" t="s">
        <v>26</v>
      </c>
    </row>
    <row r="20" spans="2:19" x14ac:dyDescent="0.25">
      <c r="K20" s="138">
        <f>Tableau7[QF]</f>
        <v>985</v>
      </c>
      <c r="L20" s="30">
        <f>IF(Facture!$B$19=Paramètres!L$13,VLOOKUP($K$20,$K$14:$O$17,2,1),0)</f>
        <v>0</v>
      </c>
      <c r="M20" s="30">
        <f>IF(Facture!$B$19=Paramètres!M$13,VLOOKUP($K$20,$K$14:$O$17,3,1),0)</f>
        <v>0</v>
      </c>
      <c r="N20" s="30">
        <f>IF(Facture!$B$19=Paramètres!N$13,VLOOKUP($K$20,$K$14:$O$17,4,1),0)</f>
        <v>0</v>
      </c>
      <c r="O20" s="30">
        <f>IF(Facture!$B$19=Paramètres!O$13,VLOOKUP($K$20,$K$14:$O$17,5,1),0)</f>
        <v>0</v>
      </c>
      <c r="P20" s="139">
        <f>SUM(L20:O20)</f>
        <v>0</v>
      </c>
    </row>
    <row r="23" spans="2:19" x14ac:dyDescent="0.25">
      <c r="C23" s="170" t="s">
        <v>31</v>
      </c>
      <c r="D23" s="171"/>
      <c r="E23" s="33" t="s">
        <v>2</v>
      </c>
      <c r="F23" s="33" t="s">
        <v>3</v>
      </c>
      <c r="G23" s="33" t="s">
        <v>4</v>
      </c>
      <c r="H23" s="126" t="s">
        <v>5</v>
      </c>
      <c r="K23" s="165" t="s">
        <v>1</v>
      </c>
      <c r="L23" s="165"/>
      <c r="M23" s="165"/>
      <c r="N23" s="165"/>
      <c r="O23" s="165"/>
      <c r="P23" s="165"/>
      <c r="Q23" s="165"/>
      <c r="R23" s="165"/>
      <c r="S23" s="165"/>
    </row>
    <row r="24" spans="2:19" ht="30" x14ac:dyDescent="0.25">
      <c r="C24" s="173" t="s">
        <v>1</v>
      </c>
      <c r="D24" s="173"/>
      <c r="E24" s="173"/>
      <c r="F24" s="173"/>
      <c r="G24" s="173"/>
      <c r="H24" s="173"/>
      <c r="I24" s="66"/>
      <c r="K24" s="23" t="s">
        <v>27</v>
      </c>
      <c r="L24" s="23" t="s">
        <v>6</v>
      </c>
      <c r="M24" s="23" t="s">
        <v>7</v>
      </c>
      <c r="N24" s="23" t="s">
        <v>102</v>
      </c>
      <c r="O24" s="23" t="s">
        <v>106</v>
      </c>
      <c r="P24" s="23" t="s">
        <v>103</v>
      </c>
      <c r="Q24" s="23" t="s">
        <v>107</v>
      </c>
      <c r="R24" s="23" t="s">
        <v>104</v>
      </c>
      <c r="S24" s="23" t="s">
        <v>105</v>
      </c>
    </row>
    <row r="25" spans="2:19" x14ac:dyDescent="0.25">
      <c r="C25" s="166" t="s">
        <v>6</v>
      </c>
      <c r="D25" s="167"/>
      <c r="E25" s="37">
        <v>9</v>
      </c>
      <c r="F25" s="37">
        <v>12</v>
      </c>
      <c r="G25" s="37">
        <v>13.5</v>
      </c>
      <c r="H25" s="127">
        <v>15</v>
      </c>
      <c r="I25" s="67"/>
      <c r="K25" s="129">
        <v>0</v>
      </c>
      <c r="L25" s="34">
        <v>9</v>
      </c>
      <c r="M25" s="140">
        <v>42</v>
      </c>
      <c r="N25" s="34">
        <f>L25+1.25</f>
        <v>10.25</v>
      </c>
      <c r="O25" s="34">
        <f>M25+1.25</f>
        <v>43.25</v>
      </c>
      <c r="P25" s="34">
        <f>L25+1.25</f>
        <v>10.25</v>
      </c>
      <c r="Q25" s="34">
        <f>M25+1.25</f>
        <v>43.25</v>
      </c>
      <c r="R25" s="34">
        <f>L25+2.5</f>
        <v>11.5</v>
      </c>
      <c r="S25" s="34">
        <f>M25+2.5</f>
        <v>44.5</v>
      </c>
    </row>
    <row r="26" spans="2:19" x14ac:dyDescent="0.25">
      <c r="C26" s="168" t="s">
        <v>7</v>
      </c>
      <c r="D26" s="169"/>
      <c r="E26" s="38">
        <v>42</v>
      </c>
      <c r="F26" s="38">
        <v>57</v>
      </c>
      <c r="G26" s="38">
        <v>64</v>
      </c>
      <c r="H26" s="128">
        <v>71</v>
      </c>
      <c r="I26" s="67"/>
      <c r="K26" s="131">
        <v>601</v>
      </c>
      <c r="L26" s="35">
        <v>12</v>
      </c>
      <c r="M26" s="141">
        <v>57</v>
      </c>
      <c r="N26" s="35">
        <f t="shared" ref="N26:N28" si="0">L26+1.25</f>
        <v>13.25</v>
      </c>
      <c r="O26" s="35">
        <f t="shared" ref="O26:O28" si="1">M26+1.25</f>
        <v>58.25</v>
      </c>
      <c r="P26" s="35">
        <f t="shared" ref="P26:P28" si="2">L26+1.25</f>
        <v>13.25</v>
      </c>
      <c r="Q26" s="35">
        <f t="shared" ref="Q26:Q28" si="3">M26+1.25</f>
        <v>58.25</v>
      </c>
      <c r="R26" s="35">
        <f>L26+2.5</f>
        <v>14.5</v>
      </c>
      <c r="S26" s="35">
        <f>M26+2.5</f>
        <v>59.5</v>
      </c>
    </row>
    <row r="27" spans="2:19" x14ac:dyDescent="0.25">
      <c r="C27" s="173" t="s">
        <v>8</v>
      </c>
      <c r="D27" s="173"/>
      <c r="E27" s="173"/>
      <c r="F27" s="173"/>
      <c r="G27" s="173"/>
      <c r="H27" s="173"/>
      <c r="I27" s="66"/>
      <c r="K27" s="131">
        <v>1001</v>
      </c>
      <c r="L27" s="35">
        <v>13.5</v>
      </c>
      <c r="M27" s="141">
        <v>64</v>
      </c>
      <c r="N27" s="35">
        <f t="shared" si="0"/>
        <v>14.75</v>
      </c>
      <c r="O27" s="35">
        <f t="shared" si="1"/>
        <v>65.25</v>
      </c>
      <c r="P27" s="35">
        <f t="shared" si="2"/>
        <v>14.75</v>
      </c>
      <c r="Q27" s="35">
        <f t="shared" si="3"/>
        <v>65.25</v>
      </c>
      <c r="R27" s="35">
        <f>L27+2.5</f>
        <v>16</v>
      </c>
      <c r="S27" s="35">
        <f>M27+2.5</f>
        <v>66.5</v>
      </c>
    </row>
    <row r="28" spans="2:19" x14ac:dyDescent="0.25">
      <c r="C28" s="166" t="s">
        <v>6</v>
      </c>
      <c r="D28" s="167"/>
      <c r="E28" s="37">
        <v>9.5</v>
      </c>
      <c r="F28" s="37">
        <v>18</v>
      </c>
      <c r="G28" s="37">
        <v>19.5</v>
      </c>
      <c r="H28" s="127">
        <v>21</v>
      </c>
      <c r="I28" s="67"/>
      <c r="K28" s="135">
        <v>1300</v>
      </c>
      <c r="L28" s="36">
        <v>15</v>
      </c>
      <c r="M28" s="142">
        <v>71</v>
      </c>
      <c r="N28" s="36">
        <f t="shared" si="0"/>
        <v>16.25</v>
      </c>
      <c r="O28" s="36">
        <f t="shared" si="1"/>
        <v>72.25</v>
      </c>
      <c r="P28" s="36">
        <f t="shared" si="2"/>
        <v>16.25</v>
      </c>
      <c r="Q28" s="36">
        <f t="shared" si="3"/>
        <v>72.25</v>
      </c>
      <c r="R28" s="36">
        <f>L28+2.5</f>
        <v>17.5</v>
      </c>
      <c r="S28" s="36">
        <f>M28+2.5</f>
        <v>73.5</v>
      </c>
    </row>
    <row r="29" spans="2:19" x14ac:dyDescent="0.25">
      <c r="C29" s="168" t="s">
        <v>7</v>
      </c>
      <c r="D29" s="169"/>
      <c r="E29" s="38">
        <v>45</v>
      </c>
      <c r="F29" s="38">
        <v>87</v>
      </c>
      <c r="G29" s="38">
        <v>94</v>
      </c>
      <c r="H29" s="128">
        <v>101</v>
      </c>
      <c r="I29" s="67"/>
      <c r="K29" s="143">
        <f>K20</f>
        <v>985</v>
      </c>
      <c r="L29" s="39">
        <f>VLOOKUP($K29,$K$25:$S$28,2,1)</f>
        <v>12</v>
      </c>
      <c r="M29" s="39">
        <f>VLOOKUP($K29,$K$25:$S$28,3,1)</f>
        <v>57</v>
      </c>
      <c r="N29" s="39">
        <f>VLOOKUP($K29,$K$25:$S$28,4,1)</f>
        <v>13.25</v>
      </c>
      <c r="O29" s="39">
        <f>VLOOKUP($K29,$K$25:$S$28,5,1)</f>
        <v>58.25</v>
      </c>
      <c r="P29" s="39">
        <f>VLOOKUP($K29,$K$25:$S$28,6,1)</f>
        <v>13.25</v>
      </c>
      <c r="Q29" s="39">
        <f>VLOOKUP($K29,$K$25:$S$28,7,1)</f>
        <v>58.25</v>
      </c>
      <c r="R29" s="39">
        <f>VLOOKUP($K29,$K$25:$S$28,8,1)</f>
        <v>14.5</v>
      </c>
      <c r="S29" s="39">
        <f>VLOOKUP($K29,$K$25:$S$28,9,1)</f>
        <v>59.5</v>
      </c>
    </row>
    <row r="30" spans="2:19" x14ac:dyDescent="0.25">
      <c r="K30" s="175" t="s">
        <v>8</v>
      </c>
      <c r="L30" s="175"/>
      <c r="M30" s="175"/>
      <c r="N30" s="175"/>
      <c r="O30" s="175"/>
      <c r="P30" s="175"/>
      <c r="Q30" s="175"/>
      <c r="R30" s="175"/>
      <c r="S30" s="175"/>
    </row>
    <row r="31" spans="2:19" ht="30" x14ac:dyDescent="0.25">
      <c r="K31" s="23" t="s">
        <v>27</v>
      </c>
      <c r="L31" s="23" t="str">
        <f>L24</f>
        <v xml:space="preserve">Journée avec repas </v>
      </c>
      <c r="M31" s="23" t="str">
        <f t="shared" ref="M31:S31" si="4">M24</f>
        <v>Forfait semaine avec repas</v>
      </c>
      <c r="N31" s="23" t="str">
        <f t="shared" si="4"/>
        <v>Journée avec repas + garderie matin</v>
      </c>
      <c r="O31" s="23" t="str">
        <f t="shared" si="4"/>
        <v>Forfait semaine avec repas + garderie matin</v>
      </c>
      <c r="P31" s="23" t="str">
        <f t="shared" ref="P31:Q31" si="5">P24</f>
        <v>Journée avec repas + garderie soir</v>
      </c>
      <c r="Q31" s="23" t="str">
        <f t="shared" si="5"/>
        <v>Forfait semaine avec repas + garderie soir</v>
      </c>
      <c r="R31" s="23" t="str">
        <f t="shared" si="4"/>
        <v>Journée avec repas + garderie matin et soir</v>
      </c>
      <c r="S31" s="23" t="str">
        <f t="shared" si="4"/>
        <v>Forfait semaine avec repas + garderie matin et soir</v>
      </c>
    </row>
    <row r="32" spans="2:19" x14ac:dyDescent="0.25">
      <c r="K32" s="129">
        <v>0</v>
      </c>
      <c r="L32" s="34">
        <v>9.5</v>
      </c>
      <c r="M32" s="140">
        <v>45</v>
      </c>
      <c r="N32" s="34">
        <f>L32+1.25</f>
        <v>10.75</v>
      </c>
      <c r="O32" s="34">
        <f>M32+1.25</f>
        <v>46.25</v>
      </c>
      <c r="P32" s="34">
        <f>L32+1.25</f>
        <v>10.75</v>
      </c>
      <c r="Q32" s="34">
        <f>M32+1.25</f>
        <v>46.25</v>
      </c>
      <c r="R32" s="34">
        <f>L32+2.5</f>
        <v>12</v>
      </c>
      <c r="S32" s="34">
        <f>M32+2.5</f>
        <v>47.5</v>
      </c>
    </row>
    <row r="33" spans="2:19" x14ac:dyDescent="0.25">
      <c r="K33" s="131">
        <v>601</v>
      </c>
      <c r="L33" s="35">
        <v>18</v>
      </c>
      <c r="M33" s="141">
        <v>87</v>
      </c>
      <c r="N33" s="35">
        <f t="shared" ref="N33:N35" si="6">L33+1.25</f>
        <v>19.25</v>
      </c>
      <c r="O33" s="35">
        <f t="shared" ref="O33:O35" si="7">M33+1.25</f>
        <v>88.25</v>
      </c>
      <c r="P33" s="35">
        <f t="shared" ref="P33:P35" si="8">L33+1.25</f>
        <v>19.25</v>
      </c>
      <c r="Q33" s="35">
        <f t="shared" ref="Q33:Q35" si="9">M33+1.25</f>
        <v>88.25</v>
      </c>
      <c r="R33" s="35">
        <f>L33+2.5</f>
        <v>20.5</v>
      </c>
      <c r="S33" s="35">
        <f>M33+2.5</f>
        <v>89.5</v>
      </c>
    </row>
    <row r="34" spans="2:19" x14ac:dyDescent="0.25">
      <c r="K34" s="131">
        <v>1001</v>
      </c>
      <c r="L34" s="35">
        <v>19.5</v>
      </c>
      <c r="M34" s="141">
        <v>94</v>
      </c>
      <c r="N34" s="35">
        <f t="shared" si="6"/>
        <v>20.75</v>
      </c>
      <c r="O34" s="35">
        <f t="shared" si="7"/>
        <v>95.25</v>
      </c>
      <c r="P34" s="35">
        <f t="shared" si="8"/>
        <v>20.75</v>
      </c>
      <c r="Q34" s="35">
        <f t="shared" si="9"/>
        <v>95.25</v>
      </c>
      <c r="R34" s="35">
        <f>L34+2.5</f>
        <v>22</v>
      </c>
      <c r="S34" s="35">
        <f>M34+2.5</f>
        <v>96.5</v>
      </c>
    </row>
    <row r="35" spans="2:19" x14ac:dyDescent="0.25">
      <c r="K35" s="135">
        <v>1300</v>
      </c>
      <c r="L35" s="36">
        <v>21</v>
      </c>
      <c r="M35" s="142">
        <v>101</v>
      </c>
      <c r="N35" s="36">
        <f t="shared" si="6"/>
        <v>22.25</v>
      </c>
      <c r="O35" s="36">
        <f t="shared" si="7"/>
        <v>102.25</v>
      </c>
      <c r="P35" s="36">
        <f t="shared" si="8"/>
        <v>22.25</v>
      </c>
      <c r="Q35" s="36">
        <f t="shared" si="9"/>
        <v>102.25</v>
      </c>
      <c r="R35" s="36">
        <f>L35+2.5</f>
        <v>23.5</v>
      </c>
      <c r="S35" s="36">
        <f>M35+2.5</f>
        <v>103.5</v>
      </c>
    </row>
    <row r="36" spans="2:19" x14ac:dyDescent="0.25">
      <c r="K36" s="143">
        <f>K29</f>
        <v>985</v>
      </c>
      <c r="L36" s="39">
        <f>VLOOKUP($K36,$K$32:$S$35,2,1)</f>
        <v>18</v>
      </c>
      <c r="M36" s="39">
        <f>VLOOKUP($K36,$K$32:$S$35,3,1)</f>
        <v>87</v>
      </c>
      <c r="N36" s="39">
        <f>VLOOKUP($K36,$K$32:$S$35,4,1)</f>
        <v>19.25</v>
      </c>
      <c r="O36" s="39">
        <f>VLOOKUP($K36,$K$32:$S$35,5,1)</f>
        <v>88.25</v>
      </c>
      <c r="P36" s="39">
        <f>VLOOKUP($K36,$K$32:$S$35,6,1)</f>
        <v>19.25</v>
      </c>
      <c r="Q36" s="39">
        <f>VLOOKUP($K36,$K$32:$S$35,7,1)</f>
        <v>88.25</v>
      </c>
      <c r="R36" s="39">
        <f>VLOOKUP($K36,$K$32:$S$35,8,1)</f>
        <v>20.5</v>
      </c>
      <c r="S36" s="39">
        <f>VLOOKUP($K36,$K$32:$S$35,9,1)</f>
        <v>89.5</v>
      </c>
    </row>
    <row r="37" spans="2:19" x14ac:dyDescent="0.25">
      <c r="B37" s="75"/>
      <c r="C37" s="76"/>
      <c r="K37" s="76"/>
      <c r="L37" s="174"/>
      <c r="M37" s="174"/>
      <c r="N37" s="174"/>
      <c r="O37" s="174"/>
      <c r="P37" s="174"/>
      <c r="Q37" s="174"/>
      <c r="R37" s="174"/>
      <c r="S37" s="174"/>
    </row>
    <row r="38" spans="2:19" x14ac:dyDescent="0.25">
      <c r="C38" s="76"/>
      <c r="K38" s="175" t="s">
        <v>108</v>
      </c>
      <c r="L38" s="175"/>
      <c r="M38" s="175"/>
      <c r="N38" s="175"/>
      <c r="O38" s="175"/>
      <c r="P38" s="175"/>
      <c r="Q38" s="175"/>
      <c r="R38" s="175"/>
      <c r="S38" s="175"/>
    </row>
    <row r="39" spans="2:19" ht="30" x14ac:dyDescent="0.25">
      <c r="C39" s="14"/>
      <c r="K39" s="23" t="s">
        <v>27</v>
      </c>
      <c r="L39" s="23" t="str">
        <f>L31</f>
        <v xml:space="preserve">Journée avec repas </v>
      </c>
      <c r="M39" s="23" t="str">
        <f t="shared" ref="M39:S39" si="10">M31</f>
        <v>Forfait semaine avec repas</v>
      </c>
      <c r="N39" s="23" t="str">
        <f t="shared" si="10"/>
        <v>Journée avec repas + garderie matin</v>
      </c>
      <c r="O39" s="23" t="str">
        <f t="shared" si="10"/>
        <v>Forfait semaine avec repas + garderie matin</v>
      </c>
      <c r="P39" s="23" t="str">
        <f t="shared" si="10"/>
        <v>Journée avec repas + garderie soir</v>
      </c>
      <c r="Q39" s="23" t="str">
        <f t="shared" si="10"/>
        <v>Forfait semaine avec repas + garderie soir</v>
      </c>
      <c r="R39" s="23" t="str">
        <f t="shared" si="10"/>
        <v>Journée avec repas + garderie matin et soir</v>
      </c>
      <c r="S39" s="23" t="str">
        <f t="shared" si="10"/>
        <v>Forfait semaine avec repas + garderie matin et soir</v>
      </c>
    </row>
    <row r="40" spans="2:19" x14ac:dyDescent="0.25">
      <c r="B40" s="77" t="s">
        <v>31</v>
      </c>
      <c r="K40" s="144">
        <f>K20</f>
        <v>985</v>
      </c>
      <c r="L40" s="40">
        <f>IF(Facture!$C$14="Oui",Paramètres!L29,Paramètres!L36)</f>
        <v>12</v>
      </c>
      <c r="M40" s="40">
        <f>IF(Facture!$C$14="Oui",Paramètres!M29,Paramètres!M36)</f>
        <v>57</v>
      </c>
      <c r="N40" s="40">
        <f>IF(Facture!$C$14="Oui",Paramètres!N29,Paramètres!N36)</f>
        <v>13.25</v>
      </c>
      <c r="O40" s="40">
        <f>IF(Facture!$C$14="Oui",Paramètres!O29,Paramètres!O36)</f>
        <v>58.25</v>
      </c>
      <c r="P40" s="40">
        <f>IF(Facture!$C$14="Oui",Paramètres!P29,Paramètres!P36)</f>
        <v>13.25</v>
      </c>
      <c r="Q40" s="40">
        <f>IF(Facture!$C$14="Oui",Paramètres!Q29,Paramètres!Q36)</f>
        <v>58.25</v>
      </c>
      <c r="R40" s="40">
        <f>IF(Facture!$C$14="Oui",Paramètres!R29,Paramètres!R36)</f>
        <v>14.5</v>
      </c>
      <c r="S40" s="40">
        <f>IF(Facture!$C$14="Oui",Paramètres!S29,Paramètres!S36)</f>
        <v>59.5</v>
      </c>
    </row>
    <row r="41" spans="2:19" x14ac:dyDescent="0.25">
      <c r="B41" s="14" t="s">
        <v>6</v>
      </c>
    </row>
    <row r="42" spans="2:19" x14ac:dyDescent="0.25">
      <c r="B42" s="14" t="s">
        <v>102</v>
      </c>
    </row>
    <row r="43" spans="2:19" x14ac:dyDescent="0.25">
      <c r="B43" s="14" t="s">
        <v>103</v>
      </c>
    </row>
    <row r="44" spans="2:19" x14ac:dyDescent="0.25">
      <c r="B44" s="14" t="s">
        <v>104</v>
      </c>
    </row>
    <row r="45" spans="2:19" x14ac:dyDescent="0.25">
      <c r="B45" s="14" t="s">
        <v>7</v>
      </c>
    </row>
    <row r="46" spans="2:19" x14ac:dyDescent="0.25">
      <c r="B46" s="14" t="s">
        <v>106</v>
      </c>
    </row>
    <row r="47" spans="2:19" x14ac:dyDescent="0.25">
      <c r="B47" s="14" t="s">
        <v>107</v>
      </c>
    </row>
    <row r="48" spans="2:19" x14ac:dyDescent="0.25">
      <c r="B48" s="14" t="s">
        <v>105</v>
      </c>
    </row>
  </sheetData>
  <mergeCells count="12">
    <mergeCell ref="K38:S38"/>
    <mergeCell ref="B1:P1"/>
    <mergeCell ref="B12:P12"/>
    <mergeCell ref="C29:D29"/>
    <mergeCell ref="C27:H27"/>
    <mergeCell ref="C24:H24"/>
    <mergeCell ref="K23:S23"/>
    <mergeCell ref="C28:D28"/>
    <mergeCell ref="C25:D25"/>
    <mergeCell ref="C26:D26"/>
    <mergeCell ref="C23:D23"/>
    <mergeCell ref="K30:S30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de données</vt:lpstr>
      <vt:lpstr>Planning</vt:lpstr>
      <vt:lpstr>Facture</vt:lpstr>
      <vt:lpstr>Paramètres</vt:lpstr>
      <vt:lpstr>L_Nom</vt:lpstr>
      <vt:lpstr>L_Péricentre</vt:lpstr>
      <vt:lpstr>L_Prestations</vt:lpstr>
      <vt:lpstr>Péricentre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Marie-Line</dc:creator>
  <cp:lastModifiedBy>JoDan</cp:lastModifiedBy>
  <cp:lastPrinted>2019-05-15T13:44:03Z</cp:lastPrinted>
  <dcterms:created xsi:type="dcterms:W3CDTF">2019-04-19T12:12:37Z</dcterms:created>
  <dcterms:modified xsi:type="dcterms:W3CDTF">2019-08-13T20:27:31Z</dcterms:modified>
</cp:coreProperties>
</file>