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B8C6AFF5-6FE5-4AFE-87F9-7AEA448289D3}" xr6:coauthVersionLast="41" xr6:coauthVersionMax="43" xr10:uidLastSave="{00000000-0000-0000-0000-000000000000}"/>
  <bookViews>
    <workbookView xWindow="-120" yWindow="-120" windowWidth="29040" windowHeight="15840" activeTab="1" xr2:uid="{051311D5-6B63-40C7-A3EE-8EF37A6A0964}"/>
  </bookViews>
  <sheets>
    <sheet name="Feuil1" sheetId="1" r:id="rId1"/>
    <sheet name="Base de données" sheetId="4" r:id="rId2"/>
    <sheet name="Planning" sheetId="5" r:id="rId3"/>
    <sheet name="Facture" sheetId="2" r:id="rId4"/>
    <sheet name="Paramètres" sheetId="3" r:id="rId5"/>
  </sheets>
  <definedNames>
    <definedName name="L_Nom">T_BdD[Nom]</definedName>
    <definedName name="L_Péricentre">Tableau1[Péricentre]</definedName>
    <definedName name="L_Prestations">T_Prestations[Prestations]</definedName>
    <definedName name="Péricentre">Paramètres!$B$3:$B$6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2" l="1"/>
  <c r="B17" i="2" s="1"/>
  <c r="C11" i="2"/>
  <c r="C10" i="2"/>
  <c r="C9" i="2"/>
  <c r="C7" i="2"/>
  <c r="C6" i="2"/>
  <c r="C5" i="2"/>
  <c r="C4" i="2"/>
  <c r="D40" i="2"/>
  <c r="E40" i="2" s="1"/>
  <c r="D39" i="2"/>
  <c r="E39" i="2" s="1"/>
  <c r="D38" i="2"/>
  <c r="E38" i="2" s="1"/>
  <c r="D37" i="2"/>
  <c r="D36" i="2"/>
  <c r="D35" i="2"/>
  <c r="E35" i="2" s="1"/>
  <c r="D34" i="2"/>
  <c r="E34" i="2" s="1"/>
  <c r="D33" i="2"/>
  <c r="E33" i="2" s="1"/>
  <c r="D32" i="2"/>
  <c r="D30" i="2"/>
  <c r="D29" i="2"/>
  <c r="D28" i="2"/>
  <c r="E28" i="2" s="1"/>
  <c r="D27" i="2"/>
  <c r="E27" i="2" s="1"/>
  <c r="D26" i="2"/>
  <c r="D24" i="2"/>
  <c r="E24" i="2" s="1"/>
  <c r="D23" i="2"/>
  <c r="E23" i="2" s="1"/>
  <c r="D22" i="2"/>
  <c r="D21" i="2"/>
  <c r="E21" i="2" s="1"/>
  <c r="D20" i="2"/>
  <c r="E20" i="2" s="1"/>
  <c r="E17" i="2" l="1"/>
  <c r="C16" i="2"/>
  <c r="C50" i="5"/>
  <c r="C49" i="5"/>
  <c r="C48" i="5"/>
  <c r="C47" i="5"/>
  <c r="C46" i="5"/>
  <c r="C45" i="5"/>
  <c r="C44" i="5"/>
  <c r="C43" i="5"/>
  <c r="C42" i="5"/>
  <c r="C41" i="5"/>
  <c r="C40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C5" i="5"/>
  <c r="C3" i="2" s="1"/>
  <c r="C4" i="5"/>
  <c r="C3" i="5"/>
  <c r="X4" i="5"/>
  <c r="X5" i="5"/>
  <c r="X6" i="5"/>
  <c r="X7" i="5"/>
  <c r="X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3" i="5"/>
  <c r="D13" i="2"/>
  <c r="C21" i="2"/>
  <c r="C22" i="2" s="1"/>
  <c r="C23" i="2" s="1"/>
  <c r="C24" i="2" s="1"/>
  <c r="C26" i="2" s="1"/>
  <c r="C27" i="2" s="1"/>
  <c r="C28" i="2" s="1"/>
  <c r="C29" i="2" s="1"/>
  <c r="C30" i="2" s="1"/>
  <c r="C32" i="2" s="1"/>
  <c r="C33" i="2" s="1"/>
  <c r="C34" i="2" s="1"/>
  <c r="C35" i="2" s="1"/>
  <c r="C36" i="2" s="1"/>
  <c r="E42" i="2" l="1"/>
  <c r="E43" i="2" s="1"/>
  <c r="C38" i="2"/>
  <c r="M20" i="3"/>
  <c r="M9" i="3"/>
  <c r="K9" i="3"/>
  <c r="O9" i="3" s="1"/>
  <c r="L9" i="3" l="1"/>
  <c r="N9" i="3"/>
  <c r="K20" i="3"/>
  <c r="L20" i="3" s="1"/>
  <c r="C39" i="2"/>
  <c r="P9" i="3" l="1"/>
  <c r="O20" i="3"/>
  <c r="N20" i="3"/>
  <c r="K29" i="3"/>
  <c r="L29" i="3" s="1"/>
  <c r="C40" i="2"/>
  <c r="P20" i="3" l="1"/>
  <c r="E16" i="2" s="1"/>
  <c r="E18" i="2" s="1"/>
  <c r="K36" i="3"/>
  <c r="M36" i="3" s="1"/>
  <c r="M29" i="3"/>
  <c r="M38" i="3" l="1"/>
  <c r="L36" i="3"/>
  <c r="L38" i="3" s="1"/>
  <c r="E26" i="2" l="1"/>
  <c r="E32" i="2"/>
  <c r="E22" i="2"/>
  <c r="E36" i="2"/>
  <c r="E29" i="2"/>
  <c r="E30" i="2"/>
  <c r="E41" i="2" l="1"/>
  <c r="E44" i="2" s="1"/>
</calcChain>
</file>

<file path=xl/sharedStrings.xml><?xml version="1.0" encoding="utf-8"?>
<sst xmlns="http://schemas.openxmlformats.org/spreadsheetml/2006/main" count="233" uniqueCount="105">
  <si>
    <t>Péricentre</t>
  </si>
  <si>
    <t>TARIFS 2019</t>
  </si>
  <si>
    <t>ADHERENTS</t>
  </si>
  <si>
    <t>Quotient Familial</t>
  </si>
  <si>
    <t>0 à 600</t>
  </si>
  <si>
    <t>601 à 1000</t>
  </si>
  <si>
    <t>1001 à 1299</t>
  </si>
  <si>
    <t>plus de 1300</t>
  </si>
  <si>
    <t xml:space="preserve">Journée avec repas </t>
  </si>
  <si>
    <t>Forfait semaine avec repas</t>
  </si>
  <si>
    <t>Forfait Matin : 1,25 €</t>
  </si>
  <si>
    <t>Forfait Soir : 1,25 €</t>
  </si>
  <si>
    <t>NON ADHERENTS</t>
  </si>
  <si>
    <t>Carte d'adhésion Familles Rurales 2019 : 29,00 €</t>
  </si>
  <si>
    <t>Camp Multi activité en Anjou - Ponts de cé 9-12 ans du 22 au 25 juillet</t>
  </si>
  <si>
    <t>Camp Craon 6-8 ans du 15 au 17 juillet</t>
  </si>
  <si>
    <t>Camp à l'Herberie Pouancé 3-5 ans du 18 au 19 juillet</t>
  </si>
  <si>
    <t>Camp Sportif à Rougé 9-12 ans du 8 au 12 juillet</t>
  </si>
  <si>
    <t>Voici les différentes informations qu'il faudrait dans le tableau</t>
  </si>
  <si>
    <t>- Nom Prénom de l'enfant</t>
  </si>
  <si>
    <t>- Quotient familial</t>
  </si>
  <si>
    <t>- Adresse mail</t>
  </si>
  <si>
    <t>Nous fonctionnons 3 semaines</t>
  </si>
  <si>
    <t>- du 8 au 26 juillet du lundi au vendredi avec un forfait garderie matin et soir</t>
  </si>
  <si>
    <t>et de plus nous organisons 4 camps en fonction de l'age</t>
  </si>
  <si>
    <t>- du 8 au 12 juillet à Rougé pour les 9-12 ans</t>
  </si>
  <si>
    <t>- du 15 au 17 juillet à Craon pour les 6-8 ans</t>
  </si>
  <si>
    <t>- du 18 au 18 juillet à l'Herberie pour les 3-5 ans</t>
  </si>
  <si>
    <t>- du 22 au 25 juillet à Ponts de cé pour les 9-12 ans</t>
  </si>
  <si>
    <t>De plus les familles peuvent être adhérentes ou non à l'association, pour être adhérent il faut payer une cotisation de 29 €.</t>
  </si>
  <si>
    <t>Selon que les familles sont adhérentes ou non les tarifs sont différents</t>
  </si>
  <si>
    <t>De même nous pratiquons des tarifs à la journée ou à la semaine</t>
  </si>
  <si>
    <t>Nom</t>
  </si>
  <si>
    <t>Prénom</t>
  </si>
  <si>
    <t>Quotient familial</t>
  </si>
  <si>
    <t>Adresse mail</t>
  </si>
  <si>
    <t>Age</t>
  </si>
  <si>
    <t>Camp à l'Herberie Pouancé</t>
  </si>
  <si>
    <t>3-5 ans</t>
  </si>
  <si>
    <t>du 18 au 19 juillet</t>
  </si>
  <si>
    <t>Camp Craon</t>
  </si>
  <si>
    <t>du 15 au 17 juillet</t>
  </si>
  <si>
    <t>Camp Multi activité en Anjou - Ponts de cé</t>
  </si>
  <si>
    <t>9-12 ans</t>
  </si>
  <si>
    <t>6-8 ans</t>
  </si>
  <si>
    <t>du 22 au 25 juillet</t>
  </si>
  <si>
    <t>Camp Sportif à Rougé</t>
  </si>
  <si>
    <t>du 8 au 12 juillet</t>
  </si>
  <si>
    <t>Période</t>
  </si>
  <si>
    <t>Coût</t>
  </si>
  <si>
    <t>QF</t>
  </si>
  <si>
    <t>Adhérent</t>
  </si>
  <si>
    <t>Tranche d'age</t>
  </si>
  <si>
    <t>Prestation</t>
  </si>
  <si>
    <t xml:space="preserve">Sous total 1 </t>
  </si>
  <si>
    <t>Présence</t>
  </si>
  <si>
    <t>Prestations</t>
  </si>
  <si>
    <t xml:space="preserve">Sous total 2 </t>
  </si>
  <si>
    <t>Contact</t>
  </si>
  <si>
    <t>Lien avec l'enfant</t>
  </si>
  <si>
    <t>Téléphone</t>
  </si>
  <si>
    <t>Cotisation adhérent</t>
  </si>
  <si>
    <t xml:space="preserve">Sous total 3 </t>
  </si>
  <si>
    <t>Total général</t>
  </si>
  <si>
    <t>Nb jour</t>
  </si>
  <si>
    <t xml:space="preserve">Lieu, le </t>
  </si>
  <si>
    <t>08/07/2019</t>
  </si>
  <si>
    <t>09/07/2019</t>
  </si>
  <si>
    <t>10/07/2019</t>
  </si>
  <si>
    <t>11/07/2019</t>
  </si>
  <si>
    <t>12/07/2019</t>
  </si>
  <si>
    <t>13/07/2019</t>
  </si>
  <si>
    <t>14/07/2019</t>
  </si>
  <si>
    <t>15/07/2019</t>
  </si>
  <si>
    <t>16/07/2019</t>
  </si>
  <si>
    <t>17/07/2019</t>
  </si>
  <si>
    <t>18/07/2019</t>
  </si>
  <si>
    <t>19/07/2019</t>
  </si>
  <si>
    <t>20/07/2019</t>
  </si>
  <si>
    <t>21/07/2019</t>
  </si>
  <si>
    <t>22/07/2019</t>
  </si>
  <si>
    <t>23/07/2019</t>
  </si>
  <si>
    <t>24/07/2019</t>
  </si>
  <si>
    <t>25/07/2019</t>
  </si>
  <si>
    <t>26/07/2019</t>
  </si>
  <si>
    <t>Nb prestations</t>
  </si>
  <si>
    <t>Potter</t>
  </si>
  <si>
    <t>Harrry</t>
  </si>
  <si>
    <t>hpotter@free.fr</t>
  </si>
  <si>
    <t>Albus Dumbledore</t>
  </si>
  <si>
    <t>Tuteur</t>
  </si>
  <si>
    <t>Oui</t>
  </si>
  <si>
    <t>Pan</t>
  </si>
  <si>
    <t>Peter</t>
  </si>
  <si>
    <t>ppan@gmail,com</t>
  </si>
  <si>
    <t>J M Barrie</t>
  </si>
  <si>
    <t>Père</t>
  </si>
  <si>
    <t>09 08 07 06 05</t>
  </si>
  <si>
    <t>Non</t>
  </si>
  <si>
    <t>Centre</t>
  </si>
  <si>
    <t>McCallister</t>
  </si>
  <si>
    <t>Kévin</t>
  </si>
  <si>
    <t>kmcc@yahoo,com</t>
  </si>
  <si>
    <t xml:space="preserve">Kate McCallister </t>
  </si>
  <si>
    <t>Mère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</si>
</sst>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[$-F800]dddd\,\ mmmm\ dd\,\ yyyy"/>
    <numFmt numFmtId="166" formatCode="0#&quot; &quot;##&quot; &quot;##&quot; &quot;##&quot; &quot;##"/>
    <numFmt numFmtId="167" formatCode="0&quot; ans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20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8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6" xfId="0" applyBorder="1" applyAlignment="1">
      <alignment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19" xfId="0" applyFont="1" applyFill="1" applyBorder="1" applyAlignment="1">
      <alignment horizontal="center" vertical="center" wrapText="1"/>
    </xf>
    <xf numFmtId="164" fontId="0" fillId="0" borderId="22" xfId="0" applyNumberFormat="1" applyFont="1" applyBorder="1" applyAlignment="1">
      <alignment horizontal="center" vertical="center"/>
    </xf>
    <xf numFmtId="164" fontId="0" fillId="0" borderId="23" xfId="0" applyNumberFormat="1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164" fontId="0" fillId="0" borderId="25" xfId="0" applyNumberFormat="1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5" fillId="0" borderId="2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9" fillId="0" borderId="0" xfId="0" applyFont="1" applyAlignment="1">
      <alignment vertical="center"/>
    </xf>
    <xf numFmtId="0" fontId="10" fillId="4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27" xfId="0" applyFont="1" applyBorder="1" applyAlignment="1">
      <alignment horizontal="left" vertical="center"/>
    </xf>
    <xf numFmtId="164" fontId="9" fillId="0" borderId="27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left" vertical="center"/>
    </xf>
    <xf numFmtId="164" fontId="9" fillId="0" borderId="28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166" fontId="9" fillId="2" borderId="0" xfId="0" applyNumberFormat="1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 wrapText="1"/>
    </xf>
    <xf numFmtId="164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164" fontId="10" fillId="2" borderId="1" xfId="0" applyNumberFormat="1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165" fontId="9" fillId="0" borderId="27" xfId="0" applyNumberFormat="1" applyFont="1" applyBorder="1" applyAlignment="1">
      <alignment horizontal="center" vertical="center"/>
    </xf>
    <xf numFmtId="3" fontId="9" fillId="0" borderId="27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165" fontId="9" fillId="0" borderId="9" xfId="0" applyNumberFormat="1" applyFont="1" applyBorder="1" applyAlignment="1">
      <alignment horizontal="center" vertical="center"/>
    </xf>
    <xf numFmtId="3" fontId="9" fillId="0" borderId="9" xfId="0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3" fontId="9" fillId="0" borderId="28" xfId="0" applyNumberFormat="1" applyFont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3" fontId="0" fillId="0" borderId="0" xfId="0" applyNumberFormat="1" applyAlignment="1">
      <alignment horizontal="center"/>
    </xf>
    <xf numFmtId="3" fontId="1" fillId="2" borderId="15" xfId="0" applyNumberFormat="1" applyFont="1" applyFill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1" fillId="2" borderId="1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166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0" applyFont="1" applyBorder="1"/>
    <xf numFmtId="0" fontId="0" fillId="0" borderId="0" xfId="0" applyFill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0" fontId="0" fillId="0" borderId="0" xfId="0" applyFont="1"/>
    <xf numFmtId="166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67" fontId="9" fillId="0" borderId="0" xfId="0" applyNumberFormat="1" applyFont="1" applyFill="1" applyBorder="1" applyAlignment="1">
      <alignment horizontal="center" vertical="center" wrapText="1"/>
    </xf>
    <xf numFmtId="167" fontId="9" fillId="2" borderId="0" xfId="0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 wrapText="1"/>
    </xf>
    <xf numFmtId="0" fontId="0" fillId="0" borderId="0" xfId="0" applyFont="1" applyFill="1"/>
    <xf numFmtId="166" fontId="9" fillId="0" borderId="0" xfId="0" applyNumberFormat="1" applyFont="1" applyFill="1" applyAlignment="1">
      <alignment horizontal="center" vertical="center" wrapText="1"/>
    </xf>
    <xf numFmtId="167" fontId="9" fillId="0" borderId="0" xfId="0" applyNumberFormat="1" applyFont="1" applyFill="1" applyAlignment="1">
      <alignment horizontal="center" vertical="center" wrapText="1"/>
    </xf>
    <xf numFmtId="1" fontId="9" fillId="0" borderId="0" xfId="0" applyNumberFormat="1" applyFont="1" applyFill="1" applyAlignment="1">
      <alignment horizontal="center" vertical="center" wrapText="1"/>
    </xf>
    <xf numFmtId="0" fontId="11" fillId="0" borderId="0" xfId="1" applyFill="1" applyAlignment="1">
      <alignment horizontal="center" vertical="center" wrapText="1"/>
    </xf>
    <xf numFmtId="0" fontId="14" fillId="0" borderId="27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7" fillId="0" borderId="7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0" borderId="26" xfId="0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2" borderId="6" xfId="0" applyFont="1" applyFill="1" applyBorder="1" applyAlignment="1">
      <alignment horizontal="right" vertical="center"/>
    </xf>
    <xf numFmtId="0" fontId="10" fillId="2" borderId="7" xfId="0" applyFont="1" applyFill="1" applyBorder="1" applyAlignment="1">
      <alignment horizontal="right" vertical="center"/>
    </xf>
    <xf numFmtId="0" fontId="10" fillId="2" borderId="8" xfId="0" applyFont="1" applyFill="1" applyBorder="1" applyAlignment="1">
      <alignment horizontal="right" vertical="center"/>
    </xf>
    <xf numFmtId="0" fontId="12" fillId="4" borderId="6" xfId="0" applyFont="1" applyFill="1" applyBorder="1" applyAlignment="1">
      <alignment horizontal="right" vertical="center"/>
    </xf>
    <xf numFmtId="0" fontId="12" fillId="4" borderId="7" xfId="0" applyFont="1" applyFill="1" applyBorder="1" applyAlignment="1">
      <alignment horizontal="right" vertical="center"/>
    </xf>
    <xf numFmtId="0" fontId="12" fillId="4" borderId="8" xfId="0" applyFont="1" applyFill="1" applyBorder="1" applyAlignment="1">
      <alignment horizontal="right" vertical="center"/>
    </xf>
    <xf numFmtId="14" fontId="9" fillId="0" borderId="0" xfId="0" applyNumberFormat="1" applyFont="1" applyAlignment="1">
      <alignment horizontal="left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4" fillId="0" borderId="30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14" fontId="13" fillId="0" borderId="29" xfId="0" applyNumberFormat="1" applyFont="1" applyFill="1" applyBorder="1" applyAlignment="1">
      <alignment horizontal="center" vertical="center" textRotation="64"/>
    </xf>
    <xf numFmtId="14" fontId="13" fillId="0" borderId="32" xfId="0" applyNumberFormat="1" applyFont="1" applyFill="1" applyBorder="1" applyAlignment="1">
      <alignment horizontal="center" vertical="center" textRotation="64"/>
    </xf>
    <xf numFmtId="14" fontId="13" fillId="0" borderId="15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0" borderId="31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9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64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top style="thin">
          <color theme="1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</border>
    </dxf>
    <dxf>
      <alignment vertical="center" textRotation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7" formatCode="0&quot; ans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6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5CCBF-20B7-46F6-AF3E-72CF3BA55904}" name="T_BdD" displayName="T_BdD" ref="B2:J6" insertRowShift="1" totalsRowShown="0" dataDxfId="91">
  <autoFilter ref="B2:J6" xr:uid="{BB70F634-A43F-4E81-AC38-5D272D4983D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21D963DD-E46E-48FB-8EE5-5C93A868C8B6}" name="Nom" dataDxfId="5"/>
    <tableColumn id="2" xr3:uid="{E0F891A7-67EA-416B-A3F3-B49EF58912A6}" name="Prénom" dataDxfId="3"/>
    <tableColumn id="3" xr3:uid="{DBA016DB-5811-4EAB-8EC8-3C6B8C441D0F}" name="Adresse mail" dataDxfId="4" dataCellStyle="Lien hypertexte"/>
    <tableColumn id="4" xr3:uid="{CCC79E35-ADE3-45D1-A074-A707C2F97CC6}" name="Contact" dataDxfId="90" dataCellStyle="Normal"/>
    <tableColumn id="5" xr3:uid="{AC1A9311-8A00-4303-89FF-340D9A7937F1}" name="Lien avec l'enfant" dataDxfId="89"/>
    <tableColumn id="6" xr3:uid="{80699049-1DB1-456C-A0D4-23B9215CA09D}" name="Téléphone" dataDxfId="88"/>
    <tableColumn id="7" xr3:uid="{C1F04176-CDE4-4E94-8096-49EBA39A916C}" name="Age" dataDxfId="87"/>
    <tableColumn id="8" xr3:uid="{CB271D30-60BC-451D-9CD3-F252A4440494}" name="Quotient familial" dataDxfId="2"/>
    <tableColumn id="9" xr3:uid="{6FE70DA8-B6E9-4560-9178-4987ABA0418F}" name="Adhérent" dataDxfId="8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D9E1FE-A3AB-42DE-B773-E43BCE6851B2}" name="T_Planning" displayName="T_Planning" ref="B2:Y50" totalsRowShown="0" headerRowDxfId="0" dataDxfId="6" tableBorderDxfId="30">
  <autoFilter ref="B2:Y50" xr:uid="{897612B2-D6DE-40A2-A1BB-033D565C6CA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</autoFilter>
  <tableColumns count="24">
    <tableColumn id="1" xr3:uid="{47AA05F9-A735-40B5-A3D4-D309B5A19D9D}" name="Nom" dataDxfId="29"/>
    <tableColumn id="2" xr3:uid="{8E26FF0B-E6C3-49E1-BE19-F744EA2FF89E}" name="Prénom" dataDxfId="28">
      <calculatedColumnFormula>IFERROR(VLOOKUP(B3,T_BdD[#This Row],2,0),"")</calculatedColumnFormula>
    </tableColumn>
    <tableColumn id="3" xr3:uid="{9DD0B9F0-37B4-4F1D-B4DB-841DE4D25704}" name="Centre" dataDxfId="27"/>
    <tableColumn id="4" xr3:uid="{2E28E39B-3C39-442D-A4FC-E9EBC59F30B5}" name="08/07/2019" dataDxfId="26"/>
    <tableColumn id="5" xr3:uid="{4DF6D94A-FCEC-4B00-9C2A-47BAD8160F27}" name="09/07/2019" dataDxfId="25"/>
    <tableColumn id="6" xr3:uid="{53729E4F-6C88-4E9E-8118-1AEECA03687B}" name="10/07/2019" dataDxfId="24"/>
    <tableColumn id="7" xr3:uid="{0CA44CAC-6CD0-482F-B704-CC871068341E}" name="11/07/2019" dataDxfId="23"/>
    <tableColumn id="8" xr3:uid="{68E6E5DB-DC9E-45B5-B09F-0AE50C5E61A6}" name="12/07/2019" dataDxfId="22"/>
    <tableColumn id="9" xr3:uid="{D49A3D13-FE36-4000-8A1B-09411988EC31}" name="13/07/2019" dataDxfId="21"/>
    <tableColumn id="10" xr3:uid="{AE5FA048-FF0C-46AC-91CA-F446C44880CD}" name="14/07/2019" dataDxfId="20"/>
    <tableColumn id="11" xr3:uid="{F8D39F73-C16A-406F-97A1-B5A3C6EA2CD7}" name="15/07/2019" dataDxfId="19"/>
    <tableColumn id="12" xr3:uid="{C4550426-443D-4BF7-83FE-FD266F754602}" name="16/07/2019" dataDxfId="18"/>
    <tableColumn id="13" xr3:uid="{6C30E7AA-02BB-4196-97C8-1757AAE156BD}" name="17/07/2019" dataDxfId="17"/>
    <tableColumn id="14" xr3:uid="{2B9C4835-52CF-4CFE-A54A-E9D3C4DA9637}" name="18/07/2019" dataDxfId="16"/>
    <tableColumn id="15" xr3:uid="{27842D2F-3973-4F1E-B418-96761C0E71FE}" name="19/07/2019" dataDxfId="15"/>
    <tableColumn id="16" xr3:uid="{165A7200-5727-4DED-84AB-424B16FEDF5B}" name="20/07/2019" dataDxfId="14"/>
    <tableColumn id="17" xr3:uid="{1A13552E-7602-4774-B555-2DFBA1C3F028}" name="21/07/2019" dataDxfId="13"/>
    <tableColumn id="18" xr3:uid="{FCB5F024-BFCF-4E75-BAE0-1C21C6991281}" name="22/07/2019" dataDxfId="12"/>
    <tableColumn id="19" xr3:uid="{035BE36E-9608-46DD-8CA2-3F518C7491ED}" name="23/07/2019" dataDxfId="11"/>
    <tableColumn id="20" xr3:uid="{E38AEB2D-1ABC-425D-BDD9-3D644C7613FE}" name="24/07/2019" dataDxfId="10"/>
    <tableColumn id="21" xr3:uid="{A20C2ACC-D5CC-423A-860D-F3CECE39991E}" name="25/07/2019" dataDxfId="9"/>
    <tableColumn id="22" xr3:uid="{C2C360DC-BBB8-415D-BF97-4630D061B3B8}" name="26/07/2019" dataDxfId="8"/>
    <tableColumn id="23" xr3:uid="{A8F83573-F6E5-4099-954E-E9DDAA19E531}" name="Nb prestations" dataDxfId="7">
      <calculatedColumnFormula>COUNTA(E3:W3)</calculatedColumnFormula>
    </tableColumn>
    <tableColumn id="24" xr3:uid="{7C134DF2-4BCD-400B-BC25-7CA110E29B67}" name="Péricentre" dataDxfId="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A6D0D7-4CC2-4C97-A8B9-DF358A5B9930}" name="Tableau1" displayName="Tableau1" ref="B2:I6" totalsRowShown="0" headerRowDxfId="85" dataDxfId="83" headerRowBorderDxfId="84" tableBorderDxfId="82">
  <autoFilter ref="B2:I6" xr:uid="{168002CA-8156-4190-8AA5-BA4606D678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7D92022-D331-42B6-B86A-1E271066EF66}" name="Péricentre" dataDxfId="81"/>
    <tableColumn id="2" xr3:uid="{3F4981C5-FC97-48E9-BF07-454106EA145E}" name="Tranche d'age" dataDxfId="80"/>
    <tableColumn id="3" xr3:uid="{FC05E4E7-8C34-4F60-8E21-677D0D62C10A}" name="Période" dataDxfId="79"/>
    <tableColumn id="4" xr3:uid="{6F07931E-8756-42A9-B151-92CC3E9284ED}" name="0 à 600" dataDxfId="78"/>
    <tableColumn id="5" xr3:uid="{C9C59B28-231A-4B48-A695-DC46DDB47E52}" name="601 à 1000" dataDxfId="77"/>
    <tableColumn id="6" xr3:uid="{1600A71D-378C-4720-9F37-D2B2C9901212}" name="1001 à 1299" dataDxfId="76"/>
    <tableColumn id="7" xr3:uid="{0EB4EC0D-EB51-4B83-B675-FA589161F7D4}" name="plus de 1300" dataDxfId="75"/>
    <tableColumn id="8" xr3:uid="{BF775144-0BD3-48B5-8C70-07F53DF020EA}" name="Nb jour" dataDxfId="74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12DD39-D846-4849-94C1-823B2EEE2FEC}" name="Tableau14" displayName="Tableau14" ref="B13:I17" totalsRowShown="0" headerRowDxfId="73" dataDxfId="71" headerRowBorderDxfId="72" tableBorderDxfId="70">
  <autoFilter ref="B13:I17" xr:uid="{4D81D880-E863-4562-BF04-38E3A8CDDA5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368A2D2-17CE-4002-9FE8-9F7C85F8754C}" name="Péricentre" dataDxfId="69"/>
    <tableColumn id="2" xr3:uid="{983CA757-15A6-4ECF-85B8-CE00032FD2F0}" name="Age" dataDxfId="68"/>
    <tableColumn id="3" xr3:uid="{526B2C09-CC5D-4AE9-8562-224E1CF4AFEA}" name="Période" dataDxfId="67"/>
    <tableColumn id="4" xr3:uid="{D8DF8F90-7DE0-41D8-B5B0-8BE929973C5D}" name="0 à 600" dataDxfId="66"/>
    <tableColumn id="5" xr3:uid="{15CFBDE2-2294-4E2C-A711-A5F9C11C2ECB}" name="601 à 1000" dataDxfId="65"/>
    <tableColumn id="6" xr3:uid="{38B4F40F-1917-4CBD-8BAD-C2226CD1A086}" name="1001 à 1299" dataDxfId="64"/>
    <tableColumn id="7" xr3:uid="{14BA0EC9-909C-41F4-A941-A44172FA7A5D}" name="plus de 1300" dataDxfId="63"/>
    <tableColumn id="8" xr3:uid="{A2374441-B90C-4E35-BE91-713508C2B8EE}" name="Nb jour" dataDxfId="62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DB38322-EE87-4CE1-AA56-E2DEBBC5BA5D}" name="Tableau6" displayName="Tableau6" ref="K2:O6" totalsRowShown="0" headerRowDxfId="61" dataDxfId="59" headerRowBorderDxfId="60" tableBorderDxfId="58">
  <autoFilter ref="K2:O6" xr:uid="{86A39C67-0C80-4C04-9BE3-A08708B2003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B1677085-601F-4811-800E-6308D5DD71CE}" name="QF" dataDxfId="57"/>
    <tableColumn id="2" xr3:uid="{403BD6A7-2039-4E48-9103-01C5D981FFFE}" name="Camp à l'Herberie Pouancé" dataDxfId="56"/>
    <tableColumn id="3" xr3:uid="{4CFAF20E-3D5D-4E6D-AF7C-A02CB161B4D6}" name="Camp Craon" dataDxfId="55"/>
    <tableColumn id="4" xr3:uid="{CB3C39B5-1EAF-4D1F-9437-3BF23C6B5E3B}" name="Camp Multi activité en Anjou - Ponts de cé" dataDxfId="54"/>
    <tableColumn id="5" xr3:uid="{48D28ED7-7645-4263-8203-B9D738D65E4E}" name="Camp Sportif à Rougé" dataDxfId="53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50396A-26C6-4608-8D88-84D2751D113E}" name="Tableau7" displayName="Tableau7" ref="K8:P9" totalsRowShown="0" headerRowDxfId="52" dataDxfId="50" headerRowBorderDxfId="51" tableBorderDxfId="49" totalsRowBorderDxfId="48">
  <autoFilter ref="K8:P9" xr:uid="{ED85D1BB-28A3-4AC8-A4CE-EEE639542EE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9BBC6F22-F6B6-4749-8112-743E2D6B7E3A}" name="QF" dataDxfId="47">
      <calculatedColumnFormula>Facture!C10</calculatedColumnFormula>
    </tableColumn>
    <tableColumn id="2" xr3:uid="{B3641534-467E-450A-8E39-C94659C6D9EB}" name="Camp à l'Herberie Pouancé" dataDxfId="46">
      <calculatedColumnFormula>IF(Facture!$B$16=Paramètres!L$2,VLOOKUP($K$9,$K$3:$O$6,2,1),0)</calculatedColumnFormula>
    </tableColumn>
    <tableColumn id="3" xr3:uid="{2569E8CC-916D-468C-BEC4-1741BA389588}" name="Camp Craon" dataDxfId="45">
      <calculatedColumnFormula>IF(Facture!$B$16=Paramètres!M$2,VLOOKUP($K$9,$K$3:$O$6,3,1),0)</calculatedColumnFormula>
    </tableColumn>
    <tableColumn id="4" xr3:uid="{D6227154-55AC-41F5-8434-3AF5B0FF08FF}" name="Camp Multi activité en Anjou - Ponts de cé" dataDxfId="44">
      <calculatedColumnFormula>IF(Facture!$B$16=Paramètres!N$2,VLOOKUP($K$9,$K$3:$O$6,4,1),0)</calculatedColumnFormula>
    </tableColumn>
    <tableColumn id="5" xr3:uid="{2CFF9FEB-2F6A-4161-B6C0-F7036EF54483}" name="Camp Sportif à Rougé" dataDxfId="43">
      <calculatedColumnFormula>IF(Facture!$B$16=Paramètres!O$2,VLOOKUP($K$9,$K$3:$O$6,5,1),0)</calculatedColumnFormula>
    </tableColumn>
    <tableColumn id="6" xr3:uid="{A3B4DC13-385F-4581-B639-C3353A615091}" name="Coût" dataDxfId="42">
      <calculatedColumnFormula>SUM(L9:O9)</calculatedColumnFormula>
    </tableColumn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0D12995-9FEC-455F-B80F-F0C3C52F11EE}" name="Tableau9" displayName="Tableau9" ref="K13:O17" totalsRowShown="0" headerRowDxfId="41" dataDxfId="39" headerRowBorderDxfId="40" tableBorderDxfId="38">
  <autoFilter ref="K13:O17" xr:uid="{41357D61-951C-4B7B-B7D4-69E29849FBCA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96143702-7A6F-4AC1-8132-2ACB41E41956}" name="QF" dataDxfId="37"/>
    <tableColumn id="2" xr3:uid="{633E9D32-C754-48AA-962E-3C82C3CFCB64}" name="Camp à l'Herberie Pouancé" dataDxfId="36"/>
    <tableColumn id="3" xr3:uid="{37FEB513-D79E-47F4-9EE9-C631AC326BC2}" name="Camp Craon" dataDxfId="35"/>
    <tableColumn id="4" xr3:uid="{AE8EBF86-13CD-40D2-8687-9F1BCBC89D16}" name="Camp Multi activité en Anjou - Ponts de cé" dataDxfId="34"/>
    <tableColumn id="5" xr3:uid="{18ECC678-CB3D-4B8C-9C18-6ACC3B6CB56F}" name="Camp Sportif à Rougé" dataDxfId="33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832AF2A-76C5-42E1-BDF9-5A5A8794FECA}" name="T_Prestations" displayName="T_Prestations" ref="B38:B40" totalsRowShown="0" headerRowDxfId="32">
  <autoFilter ref="B38:B40" xr:uid="{D142D31C-6467-49EA-9B01-0E30F14604AB}">
    <filterColumn colId="0" hiddenButton="1"/>
  </autoFilter>
  <tableColumns count="1">
    <tableColumn id="1" xr3:uid="{FAA8F085-23E6-45FA-B102-282C06AD683E}" name="Prestation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pan@gmail,com" TargetMode="External"/><Relationship Id="rId2" Type="http://schemas.openxmlformats.org/officeDocument/2006/relationships/hyperlink" Target="https://harrypotter.fandom.com/fr/wiki/Albus_Dumbledore" TargetMode="External"/><Relationship Id="rId1" Type="http://schemas.openxmlformats.org/officeDocument/2006/relationships/hyperlink" Target="mailto:hpotter@free.fr" TargetMode="External"/><Relationship Id="rId5" Type="http://schemas.openxmlformats.org/officeDocument/2006/relationships/table" Target="../tables/table1.xml"/><Relationship Id="rId4" Type="http://schemas.openxmlformats.org/officeDocument/2006/relationships/hyperlink" Target="mailto:kmcc@yahoo,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75EE-181A-4494-B6A1-AE7C1EB9F924}">
  <dimension ref="A2:I52"/>
  <sheetViews>
    <sheetView workbookViewId="0">
      <selection activeCell="A2" sqref="A2:F2"/>
    </sheetView>
  </sheetViews>
  <sheetFormatPr baseColWidth="10" defaultRowHeight="15" x14ac:dyDescent="0.25"/>
  <cols>
    <col min="1" max="1" width="11.42578125" style="2"/>
    <col min="2" max="2" width="39" style="2" bestFit="1" customWidth="1"/>
    <col min="3" max="3" width="8.140625" style="2" bestFit="1" customWidth="1"/>
    <col min="4" max="4" width="16.5703125" style="2" bestFit="1" customWidth="1"/>
    <col min="5" max="5" width="11.42578125" style="2"/>
    <col min="6" max="6" width="12" style="2" customWidth="1"/>
    <col min="7" max="7" width="13" style="2" customWidth="1"/>
    <col min="8" max="9" width="14" style="2" customWidth="1"/>
    <col min="10" max="10" width="11.5703125" style="2" customWidth="1"/>
    <col min="11" max="14" width="20.7109375" style="2" customWidth="1"/>
    <col min="15" max="15" width="8.140625" style="2" customWidth="1"/>
    <col min="16" max="16384" width="11.42578125" style="2"/>
  </cols>
  <sheetData>
    <row r="2" spans="1:8" ht="26.25" x14ac:dyDescent="0.25">
      <c r="A2" s="147" t="s">
        <v>1</v>
      </c>
      <c r="B2" s="147"/>
      <c r="C2" s="147"/>
      <c r="D2" s="147"/>
      <c r="E2" s="147"/>
      <c r="F2" s="147"/>
    </row>
    <row r="4" spans="1:8" ht="21" x14ac:dyDescent="0.25">
      <c r="A4" s="141" t="s">
        <v>2</v>
      </c>
      <c r="B4" s="141"/>
      <c r="C4" s="141"/>
      <c r="D4" s="141"/>
      <c r="E4" s="141"/>
      <c r="F4" s="141"/>
    </row>
    <row r="6" spans="1:8" ht="30" customHeight="1" x14ac:dyDescent="0.25">
      <c r="A6" s="142" t="s">
        <v>3</v>
      </c>
      <c r="B6" s="142"/>
      <c r="C6" s="4" t="s">
        <v>4</v>
      </c>
      <c r="D6" s="4" t="s">
        <v>5</v>
      </c>
      <c r="E6" s="4" t="s">
        <v>6</v>
      </c>
      <c r="F6" s="1" t="s">
        <v>7</v>
      </c>
      <c r="H6" s="2" t="s">
        <v>18</v>
      </c>
    </row>
    <row r="7" spans="1:8" ht="30" customHeight="1" x14ac:dyDescent="0.25">
      <c r="A7" s="134" t="s">
        <v>8</v>
      </c>
      <c r="B7" s="134"/>
      <c r="C7" s="3">
        <v>9</v>
      </c>
      <c r="D7" s="3">
        <v>12</v>
      </c>
      <c r="E7" s="3">
        <v>13.5</v>
      </c>
      <c r="F7" s="3">
        <v>15</v>
      </c>
      <c r="H7" s="2" t="s">
        <v>19</v>
      </c>
    </row>
    <row r="8" spans="1:8" ht="30" customHeight="1" x14ac:dyDescent="0.25">
      <c r="A8" s="134" t="s">
        <v>9</v>
      </c>
      <c r="B8" s="134"/>
      <c r="C8" s="3">
        <v>42</v>
      </c>
      <c r="D8" s="3">
        <v>57</v>
      </c>
      <c r="E8" s="3">
        <v>64</v>
      </c>
      <c r="F8" s="3">
        <v>71</v>
      </c>
      <c r="H8" s="2" t="s">
        <v>20</v>
      </c>
    </row>
    <row r="9" spans="1:8" ht="15" customHeight="1" x14ac:dyDescent="0.25">
      <c r="A9" s="143" t="s">
        <v>0</v>
      </c>
      <c r="B9" s="144"/>
      <c r="C9" s="138" t="s">
        <v>10</v>
      </c>
      <c r="D9" s="139"/>
      <c r="E9" s="139"/>
      <c r="F9" s="140"/>
      <c r="H9" s="2" t="s">
        <v>21</v>
      </c>
    </row>
    <row r="10" spans="1:8" ht="15" customHeight="1" x14ac:dyDescent="0.25">
      <c r="A10" s="145"/>
      <c r="B10" s="146"/>
      <c r="C10" s="138" t="s">
        <v>11</v>
      </c>
      <c r="D10" s="139"/>
      <c r="E10" s="139"/>
      <c r="F10" s="140"/>
      <c r="H10" s="2" t="s">
        <v>22</v>
      </c>
    </row>
    <row r="11" spans="1:8" ht="30" customHeight="1" x14ac:dyDescent="0.25">
      <c r="A11" s="133" t="s">
        <v>16</v>
      </c>
      <c r="B11" s="133"/>
      <c r="C11" s="3">
        <v>40</v>
      </c>
      <c r="D11" s="3">
        <v>45</v>
      </c>
      <c r="E11" s="3">
        <v>50</v>
      </c>
      <c r="F11" s="3">
        <v>55</v>
      </c>
      <c r="H11" s="2" t="s">
        <v>23</v>
      </c>
    </row>
    <row r="12" spans="1:8" ht="30" customHeight="1" x14ac:dyDescent="0.25">
      <c r="A12" s="134" t="s">
        <v>15</v>
      </c>
      <c r="B12" s="134"/>
      <c r="C12" s="3">
        <v>70</v>
      </c>
      <c r="D12" s="3">
        <v>80</v>
      </c>
      <c r="E12" s="3">
        <v>90</v>
      </c>
      <c r="F12" s="3">
        <v>100</v>
      </c>
      <c r="H12" s="2" t="s">
        <v>24</v>
      </c>
    </row>
    <row r="13" spans="1:8" ht="30" customHeight="1" x14ac:dyDescent="0.25">
      <c r="A13" s="135" t="s">
        <v>14</v>
      </c>
      <c r="B13" s="136"/>
      <c r="C13" s="3">
        <v>80</v>
      </c>
      <c r="D13" s="3">
        <v>90</v>
      </c>
      <c r="E13" s="3">
        <v>100</v>
      </c>
      <c r="F13" s="3">
        <v>110</v>
      </c>
      <c r="H13" s="2" t="s">
        <v>25</v>
      </c>
    </row>
    <row r="14" spans="1:8" ht="30" customHeight="1" x14ac:dyDescent="0.25">
      <c r="A14" s="134" t="s">
        <v>17</v>
      </c>
      <c r="B14" s="134"/>
      <c r="C14" s="3">
        <v>95</v>
      </c>
      <c r="D14" s="3">
        <v>105</v>
      </c>
      <c r="E14" s="3">
        <v>115</v>
      </c>
      <c r="F14" s="3">
        <v>125</v>
      </c>
      <c r="H14" s="2" t="s">
        <v>26</v>
      </c>
    </row>
    <row r="15" spans="1:8" ht="30" customHeight="1" x14ac:dyDescent="0.25">
      <c r="H15" s="2" t="s">
        <v>27</v>
      </c>
    </row>
    <row r="16" spans="1:8" ht="30" customHeight="1" x14ac:dyDescent="0.25">
      <c r="A16" s="141" t="s">
        <v>12</v>
      </c>
      <c r="B16" s="141"/>
      <c r="C16" s="141"/>
      <c r="D16" s="141"/>
      <c r="E16" s="141"/>
      <c r="F16" s="141"/>
      <c r="H16" s="2" t="s">
        <v>28</v>
      </c>
    </row>
    <row r="17" spans="1:9" ht="30" customHeight="1" x14ac:dyDescent="0.25">
      <c r="A17" s="142" t="s">
        <v>3</v>
      </c>
      <c r="B17" s="142"/>
      <c r="C17" s="4" t="s">
        <v>4</v>
      </c>
      <c r="D17" s="4" t="s">
        <v>5</v>
      </c>
      <c r="E17" s="4" t="s">
        <v>6</v>
      </c>
      <c r="F17" s="1" t="s">
        <v>7</v>
      </c>
    </row>
    <row r="18" spans="1:9" ht="30" customHeight="1" x14ac:dyDescent="0.25">
      <c r="A18" s="134" t="s">
        <v>8</v>
      </c>
      <c r="B18" s="134"/>
      <c r="C18" s="3">
        <v>9.5</v>
      </c>
      <c r="D18" s="3">
        <v>18</v>
      </c>
      <c r="E18" s="3">
        <v>19.5</v>
      </c>
      <c r="F18" s="3">
        <v>21</v>
      </c>
      <c r="H18" s="2" t="s">
        <v>29</v>
      </c>
    </row>
    <row r="19" spans="1:9" ht="30" customHeight="1" x14ac:dyDescent="0.25">
      <c r="A19" s="134" t="s">
        <v>9</v>
      </c>
      <c r="B19" s="134"/>
      <c r="C19" s="3">
        <v>45</v>
      </c>
      <c r="D19" s="3">
        <v>87</v>
      </c>
      <c r="E19" s="3">
        <v>94</v>
      </c>
      <c r="F19" s="3">
        <v>101</v>
      </c>
      <c r="H19" s="2" t="s">
        <v>30</v>
      </c>
    </row>
    <row r="20" spans="1:9" ht="15" customHeight="1" x14ac:dyDescent="0.25">
      <c r="A20" s="143"/>
      <c r="B20" s="144"/>
      <c r="C20" s="138" t="s">
        <v>10</v>
      </c>
      <c r="D20" s="139"/>
      <c r="E20" s="139"/>
      <c r="F20" s="140"/>
      <c r="H20" s="2" t="s">
        <v>31</v>
      </c>
    </row>
    <row r="21" spans="1:9" ht="15" customHeight="1" x14ac:dyDescent="0.25">
      <c r="A21" s="145"/>
      <c r="B21" s="146"/>
      <c r="C21" s="138" t="s">
        <v>11</v>
      </c>
      <c r="D21" s="139"/>
      <c r="E21" s="139"/>
      <c r="F21" s="140"/>
    </row>
    <row r="22" spans="1:9" ht="30" customHeight="1" x14ac:dyDescent="0.25">
      <c r="A22" s="133" t="s">
        <v>16</v>
      </c>
      <c r="B22" s="133"/>
      <c r="C22" s="3">
        <v>70</v>
      </c>
      <c r="D22" s="3">
        <v>75</v>
      </c>
      <c r="E22" s="3">
        <v>80</v>
      </c>
      <c r="F22" s="3">
        <v>95</v>
      </c>
    </row>
    <row r="23" spans="1:9" ht="30" customHeight="1" x14ac:dyDescent="0.25">
      <c r="A23" s="134" t="s">
        <v>15</v>
      </c>
      <c r="B23" s="134"/>
      <c r="C23" s="3">
        <v>100</v>
      </c>
      <c r="D23" s="3">
        <v>110</v>
      </c>
      <c r="E23" s="3">
        <v>120</v>
      </c>
      <c r="F23" s="3">
        <v>130</v>
      </c>
    </row>
    <row r="24" spans="1:9" ht="30" customHeight="1" x14ac:dyDescent="0.25">
      <c r="A24" s="135" t="s">
        <v>14</v>
      </c>
      <c r="B24" s="136"/>
      <c r="C24" s="3">
        <v>110</v>
      </c>
      <c r="D24" s="3">
        <v>120</v>
      </c>
      <c r="E24" s="3">
        <v>130</v>
      </c>
      <c r="F24" s="3">
        <v>140</v>
      </c>
    </row>
    <row r="25" spans="1:9" ht="30" customHeight="1" x14ac:dyDescent="0.25">
      <c r="A25" s="134" t="s">
        <v>17</v>
      </c>
      <c r="B25" s="134"/>
      <c r="C25" s="3">
        <v>125</v>
      </c>
      <c r="D25" s="3">
        <v>135</v>
      </c>
      <c r="E25" s="3">
        <v>145</v>
      </c>
      <c r="F25" s="3">
        <v>155</v>
      </c>
    </row>
    <row r="27" spans="1:9" ht="18.75" x14ac:dyDescent="0.25">
      <c r="A27" s="137" t="s">
        <v>13</v>
      </c>
      <c r="B27" s="137"/>
      <c r="C27" s="137"/>
      <c r="D27" s="137"/>
      <c r="E27" s="137"/>
      <c r="F27" s="137"/>
    </row>
    <row r="28" spans="1:9" ht="18.75" x14ac:dyDescent="0.25">
      <c r="A28" s="20"/>
      <c r="B28" s="20"/>
      <c r="C28" s="20"/>
      <c r="D28" s="20"/>
      <c r="E28" s="20"/>
      <c r="F28" s="20"/>
    </row>
    <row r="29" spans="1:9" ht="18.75" x14ac:dyDescent="0.25">
      <c r="A29" s="20"/>
      <c r="B29" s="20"/>
      <c r="C29" s="20"/>
      <c r="D29" s="20"/>
      <c r="E29" s="20"/>
      <c r="F29" s="20"/>
    </row>
    <row r="30" spans="1:9" ht="18.75" x14ac:dyDescent="0.25">
      <c r="A30" s="20"/>
      <c r="B30" s="20"/>
      <c r="C30" s="20"/>
      <c r="D30" s="20"/>
      <c r="E30" s="20"/>
      <c r="F30" s="20"/>
    </row>
    <row r="31" spans="1:9" ht="18.75" x14ac:dyDescent="0.25">
      <c r="A31" s="20"/>
      <c r="B31" s="20"/>
      <c r="C31" s="20"/>
      <c r="D31" s="20"/>
      <c r="E31" s="20"/>
      <c r="F31" s="20"/>
    </row>
    <row r="32" spans="1:9" ht="18.75" x14ac:dyDescent="0.25">
      <c r="A32" s="20"/>
      <c r="B32" s="5" t="s">
        <v>8</v>
      </c>
      <c r="C32" s="5"/>
      <c r="E32" s="3">
        <v>9</v>
      </c>
      <c r="F32" s="3">
        <v>12</v>
      </c>
      <c r="G32" s="3">
        <v>13.5</v>
      </c>
      <c r="H32" s="3">
        <v>15</v>
      </c>
      <c r="I32" s="19"/>
    </row>
    <row r="33" spans="1:9" ht="18.75" x14ac:dyDescent="0.25">
      <c r="A33" s="20"/>
      <c r="B33" s="5" t="s">
        <v>9</v>
      </c>
      <c r="C33" s="5"/>
      <c r="E33" s="3">
        <v>42</v>
      </c>
      <c r="F33" s="3">
        <v>57</v>
      </c>
      <c r="G33" s="3">
        <v>64</v>
      </c>
      <c r="H33" s="3">
        <v>71</v>
      </c>
      <c r="I33" s="19"/>
    </row>
    <row r="35" spans="1:9" x14ac:dyDescent="0.25">
      <c r="I35" s="19"/>
    </row>
    <row r="36" spans="1:9" x14ac:dyDescent="0.25">
      <c r="I36" s="19"/>
    </row>
    <row r="37" spans="1:9" x14ac:dyDescent="0.25">
      <c r="I37" s="19"/>
    </row>
    <row r="38" spans="1:9" ht="15" customHeight="1" x14ac:dyDescent="0.25">
      <c r="I38" s="19"/>
    </row>
    <row r="39" spans="1:9" x14ac:dyDescent="0.25">
      <c r="I39" s="19"/>
    </row>
    <row r="40" spans="1:9" x14ac:dyDescent="0.25">
      <c r="B40" s="21"/>
      <c r="C40" s="21"/>
      <c r="D40" s="21"/>
      <c r="E40" s="19"/>
      <c r="F40" s="19"/>
      <c r="G40" s="19"/>
      <c r="H40" s="19"/>
      <c r="I40" s="19"/>
    </row>
    <row r="41" spans="1:9" x14ac:dyDescent="0.25">
      <c r="B41" s="21"/>
      <c r="C41" s="21"/>
      <c r="D41" s="21"/>
      <c r="E41" s="19"/>
      <c r="F41" s="19"/>
      <c r="G41" s="19"/>
      <c r="H41" s="19"/>
      <c r="I41" s="19"/>
    </row>
    <row r="46" spans="1:9" x14ac:dyDescent="0.25">
      <c r="I46" s="19"/>
    </row>
    <row r="47" spans="1:9" x14ac:dyDescent="0.25">
      <c r="I47" s="19"/>
    </row>
    <row r="48" spans="1:9" x14ac:dyDescent="0.25">
      <c r="I48" s="19"/>
    </row>
    <row r="49" spans="2:9" x14ac:dyDescent="0.25">
      <c r="I49" s="19"/>
    </row>
    <row r="50" spans="2:9" x14ac:dyDescent="0.25">
      <c r="I50" s="19"/>
    </row>
    <row r="51" spans="2:9" x14ac:dyDescent="0.25">
      <c r="B51" s="21"/>
      <c r="C51" s="21"/>
      <c r="D51" s="21"/>
      <c r="E51" s="19"/>
      <c r="F51" s="19"/>
      <c r="G51" s="19"/>
      <c r="H51" s="19"/>
      <c r="I51" s="19"/>
    </row>
    <row r="52" spans="2:9" x14ac:dyDescent="0.25">
      <c r="B52" s="21"/>
      <c r="C52" s="21"/>
      <c r="D52" s="21"/>
      <c r="E52" s="19"/>
      <c r="F52" s="19"/>
      <c r="G52" s="19"/>
      <c r="H52" s="19"/>
      <c r="I52" s="19"/>
    </row>
  </sheetData>
  <mergeCells count="24">
    <mergeCell ref="A2:F2"/>
    <mergeCell ref="A4:F4"/>
    <mergeCell ref="A6:B6"/>
    <mergeCell ref="A7:B7"/>
    <mergeCell ref="A8:B8"/>
    <mergeCell ref="A20:B21"/>
    <mergeCell ref="C20:F20"/>
    <mergeCell ref="C21:F21"/>
    <mergeCell ref="A11:B11"/>
    <mergeCell ref="A12:B12"/>
    <mergeCell ref="A13:B13"/>
    <mergeCell ref="A14:B14"/>
    <mergeCell ref="C10:F10"/>
    <mergeCell ref="A16:F16"/>
    <mergeCell ref="A17:B17"/>
    <mergeCell ref="A18:B18"/>
    <mergeCell ref="A19:B19"/>
    <mergeCell ref="A9:B10"/>
    <mergeCell ref="C9:F9"/>
    <mergeCell ref="A22:B22"/>
    <mergeCell ref="A23:B23"/>
    <mergeCell ref="A24:B24"/>
    <mergeCell ref="A25:B25"/>
    <mergeCell ref="A27:F27"/>
  </mergeCells>
  <pageMargins left="0.25" right="0.25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C8E6-6FEE-4165-859F-BDD2BE14B3AA}">
  <dimension ref="B2:J41"/>
  <sheetViews>
    <sheetView showGridLines="0" tabSelected="1" workbookViewId="0">
      <selection activeCell="B6" sqref="B6"/>
    </sheetView>
  </sheetViews>
  <sheetFormatPr baseColWidth="10" defaultRowHeight="15" x14ac:dyDescent="0.25"/>
  <cols>
    <col min="1" max="1" width="4.7109375" customWidth="1"/>
    <col min="2" max="3" width="20.7109375" style="182" customWidth="1"/>
    <col min="4" max="4" width="20.7109375" style="25" customWidth="1"/>
    <col min="5" max="6" width="20.7109375" customWidth="1"/>
    <col min="7" max="7" width="15.7109375" style="97" customWidth="1"/>
    <col min="8" max="8" width="8.7109375" style="88" customWidth="1"/>
    <col min="9" max="9" width="20.42578125" style="98" customWidth="1"/>
    <col min="10" max="10" width="16.140625" style="25" customWidth="1"/>
  </cols>
  <sheetData>
    <row r="2" spans="2:10" s="25" customFormat="1" ht="15.75" x14ac:dyDescent="0.25">
      <c r="B2" s="179" t="s">
        <v>32</v>
      </c>
      <c r="C2" s="179" t="s">
        <v>33</v>
      </c>
      <c r="D2" s="99" t="s">
        <v>35</v>
      </c>
      <c r="E2" s="99" t="s">
        <v>58</v>
      </c>
      <c r="F2" s="99" t="s">
        <v>59</v>
      </c>
      <c r="G2" s="100" t="s">
        <v>60</v>
      </c>
      <c r="H2" s="101" t="s">
        <v>36</v>
      </c>
      <c r="I2" s="102" t="s">
        <v>34</v>
      </c>
      <c r="J2" s="99" t="s">
        <v>51</v>
      </c>
    </row>
    <row r="3" spans="2:10" s="114" customFormat="1" ht="15.75" x14ac:dyDescent="0.25">
      <c r="B3" s="180" t="s">
        <v>86</v>
      </c>
      <c r="C3" s="180" t="s">
        <v>87</v>
      </c>
      <c r="D3" s="113" t="s">
        <v>88</v>
      </c>
      <c r="E3" s="114" t="s">
        <v>89</v>
      </c>
      <c r="F3" s="112" t="s">
        <v>90</v>
      </c>
      <c r="G3" s="115">
        <v>102030405</v>
      </c>
      <c r="H3" s="121">
        <v>9</v>
      </c>
      <c r="I3" s="116">
        <v>985</v>
      </c>
      <c r="J3" s="112" t="s">
        <v>91</v>
      </c>
    </row>
    <row r="4" spans="2:10" s="114" customFormat="1" ht="15.75" x14ac:dyDescent="0.25">
      <c r="B4" s="181" t="s">
        <v>92</v>
      </c>
      <c r="C4" s="181" t="s">
        <v>93</v>
      </c>
      <c r="D4" s="129" t="s">
        <v>94</v>
      </c>
      <c r="E4" s="125" t="s">
        <v>95</v>
      </c>
      <c r="F4" s="123" t="s">
        <v>96</v>
      </c>
      <c r="G4" s="126" t="s">
        <v>97</v>
      </c>
      <c r="H4" s="127">
        <v>5</v>
      </c>
      <c r="I4" s="128">
        <v>1200</v>
      </c>
      <c r="J4" s="123" t="s">
        <v>98</v>
      </c>
    </row>
    <row r="5" spans="2:10" s="114" customFormat="1" ht="15.75" x14ac:dyDescent="0.25">
      <c r="B5" s="182" t="s">
        <v>100</v>
      </c>
      <c r="C5" s="181" t="s">
        <v>101</v>
      </c>
      <c r="D5" s="129" t="s">
        <v>102</v>
      </c>
      <c r="E5" s="125" t="s">
        <v>103</v>
      </c>
      <c r="F5" s="123" t="s">
        <v>104</v>
      </c>
      <c r="G5" s="126">
        <v>504060907</v>
      </c>
      <c r="H5" s="127">
        <v>11</v>
      </c>
      <c r="I5" s="128">
        <v>850</v>
      </c>
      <c r="J5" s="123" t="s">
        <v>91</v>
      </c>
    </row>
    <row r="6" spans="2:10" s="114" customFormat="1" ht="15.75" x14ac:dyDescent="0.25">
      <c r="B6" s="181"/>
      <c r="C6" s="181"/>
      <c r="D6" s="124"/>
      <c r="E6" s="125"/>
      <c r="F6" s="123"/>
      <c r="G6" s="126"/>
      <c r="H6" s="127"/>
      <c r="I6" s="128"/>
      <c r="J6" s="123"/>
    </row>
    <row r="7" spans="2:10" s="114" customFormat="1" x14ac:dyDescent="0.25">
      <c r="B7" s="183"/>
      <c r="C7" s="183"/>
      <c r="D7" s="117"/>
      <c r="G7" s="118"/>
      <c r="H7" s="119"/>
      <c r="I7" s="120"/>
      <c r="J7" s="117"/>
    </row>
    <row r="8" spans="2:10" s="114" customFormat="1" x14ac:dyDescent="0.25">
      <c r="B8" s="183"/>
      <c r="C8" s="183"/>
      <c r="D8" s="117"/>
      <c r="G8" s="118"/>
      <c r="H8" s="119"/>
      <c r="I8" s="120"/>
      <c r="J8" s="117"/>
    </row>
    <row r="9" spans="2:10" s="114" customFormat="1" x14ac:dyDescent="0.25">
      <c r="B9" s="183"/>
      <c r="C9" s="183"/>
      <c r="D9" s="117"/>
      <c r="G9" s="118"/>
      <c r="H9" s="119"/>
      <c r="I9" s="120"/>
      <c r="J9" s="117"/>
    </row>
    <row r="10" spans="2:10" s="114" customFormat="1" x14ac:dyDescent="0.25">
      <c r="B10" s="183"/>
      <c r="C10" s="183"/>
      <c r="D10" s="117"/>
      <c r="G10" s="118"/>
      <c r="H10" s="119"/>
      <c r="I10" s="120"/>
      <c r="J10" s="117"/>
    </row>
    <row r="11" spans="2:10" s="114" customFormat="1" x14ac:dyDescent="0.25">
      <c r="B11" s="183"/>
      <c r="C11" s="183"/>
      <c r="D11" s="117"/>
      <c r="G11" s="118"/>
      <c r="H11" s="119"/>
      <c r="I11" s="120"/>
      <c r="J11" s="117"/>
    </row>
    <row r="12" spans="2:10" s="114" customFormat="1" x14ac:dyDescent="0.25">
      <c r="B12" s="183"/>
      <c r="C12" s="183"/>
      <c r="D12" s="117"/>
      <c r="G12" s="118"/>
      <c r="H12" s="119"/>
      <c r="I12" s="120"/>
      <c r="J12" s="117"/>
    </row>
    <row r="13" spans="2:10" s="114" customFormat="1" x14ac:dyDescent="0.25">
      <c r="B13" s="183"/>
      <c r="C13" s="183"/>
      <c r="D13" s="117"/>
      <c r="G13" s="118"/>
      <c r="H13" s="119"/>
      <c r="I13" s="120"/>
      <c r="J13" s="117"/>
    </row>
    <row r="14" spans="2:10" s="114" customFormat="1" x14ac:dyDescent="0.25">
      <c r="B14" s="183"/>
      <c r="C14" s="183"/>
      <c r="D14" s="117"/>
      <c r="G14" s="118"/>
      <c r="H14" s="119"/>
      <c r="I14" s="120"/>
      <c r="J14" s="117"/>
    </row>
    <row r="15" spans="2:10" s="114" customFormat="1" x14ac:dyDescent="0.25">
      <c r="B15" s="183"/>
      <c r="C15" s="183"/>
      <c r="D15" s="117"/>
      <c r="G15" s="118"/>
      <c r="H15" s="119"/>
      <c r="I15" s="120"/>
      <c r="J15" s="117"/>
    </row>
    <row r="16" spans="2:10" s="114" customFormat="1" x14ac:dyDescent="0.25">
      <c r="B16" s="183"/>
      <c r="C16" s="183"/>
      <c r="D16" s="117"/>
      <c r="G16" s="118"/>
      <c r="H16" s="119"/>
      <c r="I16" s="120"/>
      <c r="J16" s="117"/>
    </row>
    <row r="17" spans="2:10" s="114" customFormat="1" x14ac:dyDescent="0.25">
      <c r="B17" s="183"/>
      <c r="C17" s="183"/>
      <c r="D17" s="117"/>
      <c r="G17" s="118"/>
      <c r="H17" s="119"/>
      <c r="I17" s="120"/>
      <c r="J17" s="117"/>
    </row>
    <row r="18" spans="2:10" s="114" customFormat="1" x14ac:dyDescent="0.25">
      <c r="B18" s="183"/>
      <c r="C18" s="183"/>
      <c r="D18" s="117"/>
      <c r="G18" s="118"/>
      <c r="H18" s="119"/>
      <c r="I18" s="120"/>
      <c r="J18" s="117"/>
    </row>
    <row r="19" spans="2:10" s="114" customFormat="1" x14ac:dyDescent="0.25">
      <c r="B19" s="183"/>
      <c r="C19" s="183"/>
      <c r="D19" s="117"/>
      <c r="G19" s="118"/>
      <c r="H19" s="119"/>
      <c r="I19" s="120"/>
      <c r="J19" s="117"/>
    </row>
    <row r="20" spans="2:10" s="114" customFormat="1" x14ac:dyDescent="0.25">
      <c r="B20" s="183"/>
      <c r="C20" s="183"/>
      <c r="D20" s="117"/>
      <c r="G20" s="118"/>
      <c r="H20" s="119"/>
      <c r="I20" s="120"/>
      <c r="J20" s="117"/>
    </row>
    <row r="21" spans="2:10" s="114" customFormat="1" x14ac:dyDescent="0.25">
      <c r="B21" s="183"/>
      <c r="C21" s="183"/>
      <c r="D21" s="117"/>
      <c r="G21" s="118"/>
      <c r="H21" s="119"/>
      <c r="I21" s="120"/>
      <c r="J21" s="117"/>
    </row>
    <row r="22" spans="2:10" s="114" customFormat="1" x14ac:dyDescent="0.25">
      <c r="B22" s="183"/>
      <c r="C22" s="183"/>
      <c r="D22" s="117"/>
      <c r="G22" s="118"/>
      <c r="H22" s="119"/>
      <c r="I22" s="120"/>
      <c r="J22" s="117"/>
    </row>
    <row r="23" spans="2:10" s="114" customFormat="1" x14ac:dyDescent="0.25">
      <c r="B23" s="183"/>
      <c r="C23" s="183"/>
      <c r="D23" s="117"/>
      <c r="G23" s="118"/>
      <c r="H23" s="119"/>
      <c r="I23" s="120"/>
      <c r="J23" s="117"/>
    </row>
    <row r="24" spans="2:10" s="114" customFormat="1" x14ac:dyDescent="0.25">
      <c r="B24" s="183"/>
      <c r="C24" s="183"/>
      <c r="D24" s="117"/>
      <c r="G24" s="118"/>
      <c r="H24" s="119"/>
      <c r="I24" s="120"/>
      <c r="J24" s="117"/>
    </row>
    <row r="25" spans="2:10" s="114" customFormat="1" x14ac:dyDescent="0.25">
      <c r="B25" s="183"/>
      <c r="C25" s="183"/>
      <c r="D25" s="117"/>
      <c r="G25" s="118"/>
      <c r="H25" s="119"/>
      <c r="I25" s="120"/>
      <c r="J25" s="117"/>
    </row>
    <row r="26" spans="2:10" s="114" customFormat="1" x14ac:dyDescent="0.25">
      <c r="B26" s="183"/>
      <c r="C26" s="183"/>
      <c r="D26" s="117"/>
      <c r="G26" s="118"/>
      <c r="H26" s="119"/>
      <c r="I26" s="120"/>
      <c r="J26" s="117"/>
    </row>
    <row r="27" spans="2:10" s="114" customFormat="1" x14ac:dyDescent="0.25">
      <c r="B27" s="183"/>
      <c r="C27" s="183"/>
      <c r="D27" s="117"/>
      <c r="G27" s="118"/>
      <c r="H27" s="119"/>
      <c r="I27" s="120"/>
      <c r="J27" s="117"/>
    </row>
    <row r="28" spans="2:10" s="114" customFormat="1" x14ac:dyDescent="0.25">
      <c r="B28" s="183"/>
      <c r="C28" s="183"/>
      <c r="D28" s="117"/>
      <c r="G28" s="118"/>
      <c r="H28" s="119"/>
      <c r="I28" s="120"/>
      <c r="J28" s="117"/>
    </row>
    <row r="29" spans="2:10" s="114" customFormat="1" x14ac:dyDescent="0.25">
      <c r="B29" s="183"/>
      <c r="C29" s="183"/>
      <c r="D29" s="117"/>
      <c r="G29" s="118"/>
      <c r="H29" s="119"/>
      <c r="I29" s="120"/>
      <c r="J29" s="117"/>
    </row>
    <row r="30" spans="2:10" s="114" customFormat="1" x14ac:dyDescent="0.25">
      <c r="B30" s="183"/>
      <c r="C30" s="183"/>
      <c r="D30" s="117"/>
      <c r="G30" s="118"/>
      <c r="H30" s="119"/>
      <c r="I30" s="120"/>
      <c r="J30" s="117"/>
    </row>
    <row r="31" spans="2:10" s="114" customFormat="1" x14ac:dyDescent="0.25">
      <c r="B31" s="183"/>
      <c r="C31" s="183"/>
      <c r="D31" s="117"/>
      <c r="G31" s="118"/>
      <c r="H31" s="119"/>
      <c r="I31" s="120"/>
      <c r="J31" s="117"/>
    </row>
    <row r="32" spans="2:10" s="114" customFormat="1" x14ac:dyDescent="0.25">
      <c r="B32" s="183"/>
      <c r="C32" s="183"/>
      <c r="D32" s="117"/>
      <c r="G32" s="118"/>
      <c r="H32" s="119"/>
      <c r="I32" s="120"/>
      <c r="J32" s="117"/>
    </row>
    <row r="33" spans="2:10" s="114" customFormat="1" x14ac:dyDescent="0.25">
      <c r="B33" s="183"/>
      <c r="C33" s="183"/>
      <c r="D33" s="117"/>
      <c r="G33" s="118"/>
      <c r="H33" s="119"/>
      <c r="I33" s="120"/>
      <c r="J33" s="117"/>
    </row>
    <row r="34" spans="2:10" s="114" customFormat="1" x14ac:dyDescent="0.25">
      <c r="B34" s="183"/>
      <c r="C34" s="183"/>
      <c r="D34" s="117"/>
      <c r="G34" s="118"/>
      <c r="H34" s="119"/>
      <c r="I34" s="120"/>
      <c r="J34" s="117"/>
    </row>
    <row r="35" spans="2:10" s="114" customFormat="1" x14ac:dyDescent="0.25">
      <c r="B35" s="183"/>
      <c r="C35" s="183"/>
      <c r="D35" s="117"/>
      <c r="G35" s="118"/>
      <c r="H35" s="119"/>
      <c r="I35" s="120"/>
      <c r="J35" s="117"/>
    </row>
    <row r="36" spans="2:10" s="114" customFormat="1" x14ac:dyDescent="0.25">
      <c r="B36" s="183"/>
      <c r="C36" s="183"/>
      <c r="D36" s="117"/>
      <c r="G36" s="118"/>
      <c r="H36" s="119"/>
      <c r="I36" s="120"/>
      <c r="J36" s="117"/>
    </row>
    <row r="37" spans="2:10" s="114" customFormat="1" x14ac:dyDescent="0.25">
      <c r="B37" s="183"/>
      <c r="C37" s="183"/>
      <c r="D37" s="117"/>
      <c r="G37" s="118"/>
      <c r="H37" s="119"/>
      <c r="I37" s="120"/>
      <c r="J37" s="117"/>
    </row>
    <row r="38" spans="2:10" s="114" customFormat="1" x14ac:dyDescent="0.25">
      <c r="B38" s="183"/>
      <c r="C38" s="183"/>
      <c r="D38" s="117"/>
      <c r="G38" s="118"/>
      <c r="H38" s="119"/>
      <c r="I38" s="120"/>
      <c r="J38" s="117"/>
    </row>
    <row r="39" spans="2:10" s="114" customFormat="1" x14ac:dyDescent="0.25">
      <c r="B39" s="183"/>
      <c r="C39" s="183"/>
      <c r="D39" s="117"/>
      <c r="G39" s="118"/>
      <c r="H39" s="119"/>
      <c r="I39" s="120"/>
      <c r="J39" s="117"/>
    </row>
    <row r="40" spans="2:10" s="114" customFormat="1" x14ac:dyDescent="0.25">
      <c r="B40" s="183"/>
      <c r="C40" s="183"/>
      <c r="D40" s="117"/>
      <c r="G40" s="118"/>
      <c r="H40" s="119"/>
      <c r="I40" s="120"/>
      <c r="J40" s="117"/>
    </row>
    <row r="41" spans="2:10" s="114" customFormat="1" x14ac:dyDescent="0.25">
      <c r="B41" s="183"/>
      <c r="C41" s="183"/>
      <c r="D41" s="117"/>
      <c r="G41" s="118"/>
      <c r="H41" s="119"/>
      <c r="I41" s="120"/>
      <c r="J41" s="117"/>
    </row>
  </sheetData>
  <dataValidations count="2">
    <dataValidation type="list" allowBlank="1" showInputMessage="1" showErrorMessage="1" sqref="J3:J6" xr:uid="{474A0B40-19B5-49FF-AEB9-078E7DCA6071}">
      <formula1>"Oui,Non"</formula1>
    </dataValidation>
    <dataValidation type="whole" allowBlank="1" showInputMessage="1" showErrorMessage="1" sqref="H3:H6" xr:uid="{CEF185DC-8EC2-45BB-9238-8B1BF4C34C0E}">
      <formula1>3</formula1>
      <formula2>13</formula2>
    </dataValidation>
  </dataValidations>
  <hyperlinks>
    <hyperlink ref="D3" r:id="rId1" xr:uid="{361952FF-6100-41C2-BDA7-677DE3522221}"/>
    <hyperlink ref="E3" r:id="rId2" tooltip="Albus Dumbledore" display="https://harrypotter.fandom.com/fr/wiki/Albus_Dumbledore" xr:uid="{8537030E-7928-4735-BEB8-C0E5C5B0FF76}"/>
    <hyperlink ref="D4" r:id="rId3" xr:uid="{D92265F8-C649-43BC-A8A1-F555C30B1DE3}"/>
    <hyperlink ref="D5" r:id="rId4" xr:uid="{1683E903-C3ED-41F3-8462-A6353FEA695D}"/>
  </hyperlinks>
  <pageMargins left="0.7" right="0.7" top="0.75" bottom="0.75" header="0.3" footer="0.3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CC832-E1CF-473A-93B8-CFA4FEE78DD0}">
  <dimension ref="B2:Y50"/>
  <sheetViews>
    <sheetView showGridLines="0" showZeros="0" workbookViewId="0">
      <selection activeCell="A2" sqref="A2:XFD2"/>
    </sheetView>
  </sheetViews>
  <sheetFormatPr baseColWidth="10" defaultRowHeight="15" x14ac:dyDescent="0.25"/>
  <cols>
    <col min="1" max="1" width="2.7109375" style="106" customWidth="1"/>
    <col min="2" max="3" width="25.7109375" style="132" customWidth="1"/>
    <col min="4" max="4" width="20.7109375" style="132" customWidth="1"/>
    <col min="5" max="23" width="3.7109375" style="106" customWidth="1"/>
    <col min="24" max="24" width="21.28515625" style="106" customWidth="1"/>
    <col min="25" max="25" width="40.7109375" style="132" customWidth="1"/>
    <col min="26" max="16384" width="11.42578125" style="106"/>
  </cols>
  <sheetData>
    <row r="2" spans="2:25" ht="56.25" x14ac:dyDescent="0.25">
      <c r="B2" s="169" t="s">
        <v>32</v>
      </c>
      <c r="C2" s="170" t="s">
        <v>33</v>
      </c>
      <c r="D2" s="170" t="s">
        <v>99</v>
      </c>
      <c r="E2" s="171" t="s">
        <v>66</v>
      </c>
      <c r="F2" s="171" t="s">
        <v>67</v>
      </c>
      <c r="G2" s="171" t="s">
        <v>68</v>
      </c>
      <c r="H2" s="171" t="s">
        <v>69</v>
      </c>
      <c r="I2" s="171" t="s">
        <v>70</v>
      </c>
      <c r="J2" s="171" t="s">
        <v>71</v>
      </c>
      <c r="K2" s="171" t="s">
        <v>72</v>
      </c>
      <c r="L2" s="171" t="s">
        <v>73</v>
      </c>
      <c r="M2" s="171" t="s">
        <v>74</v>
      </c>
      <c r="N2" s="171" t="s">
        <v>75</v>
      </c>
      <c r="O2" s="171" t="s">
        <v>76</v>
      </c>
      <c r="P2" s="171" t="s">
        <v>77</v>
      </c>
      <c r="Q2" s="171" t="s">
        <v>78</v>
      </c>
      <c r="R2" s="171" t="s">
        <v>79</v>
      </c>
      <c r="S2" s="171" t="s">
        <v>80</v>
      </c>
      <c r="T2" s="171" t="s">
        <v>81</v>
      </c>
      <c r="U2" s="171" t="s">
        <v>82</v>
      </c>
      <c r="V2" s="171" t="s">
        <v>83</v>
      </c>
      <c r="W2" s="172" t="s">
        <v>84</v>
      </c>
      <c r="X2" s="173" t="s">
        <v>85</v>
      </c>
      <c r="Y2" s="174" t="s">
        <v>0</v>
      </c>
    </row>
    <row r="3" spans="2:25" x14ac:dyDescent="0.25">
      <c r="B3" s="166" t="s">
        <v>86</v>
      </c>
      <c r="C3" s="130" t="str">
        <f>IFERROR(VLOOKUP(B3,T_BdD[#This Row],2,0),"")</f>
        <v>Harrry</v>
      </c>
      <c r="D3" s="130" t="s">
        <v>8</v>
      </c>
      <c r="E3" s="107"/>
      <c r="F3" s="107"/>
      <c r="G3" s="107">
        <v>1</v>
      </c>
      <c r="H3" s="107"/>
      <c r="I3" s="107"/>
      <c r="J3" s="107"/>
      <c r="K3" s="107"/>
      <c r="L3" s="107">
        <v>1</v>
      </c>
      <c r="M3" s="107"/>
      <c r="N3" s="107"/>
      <c r="O3" s="107"/>
      <c r="P3" s="107">
        <v>1</v>
      </c>
      <c r="Q3" s="107"/>
      <c r="R3" s="107"/>
      <c r="S3" s="107">
        <v>1</v>
      </c>
      <c r="T3" s="107"/>
      <c r="U3" s="107"/>
      <c r="V3" s="107"/>
      <c r="W3" s="107">
        <v>1</v>
      </c>
      <c r="X3" s="108">
        <f>COUNTA(E3:W3)</f>
        <v>5</v>
      </c>
      <c r="Y3" s="184"/>
    </row>
    <row r="4" spans="2:25" x14ac:dyDescent="0.25">
      <c r="B4" s="167" t="s">
        <v>92</v>
      </c>
      <c r="C4" s="131" t="str">
        <f>IFERROR(VLOOKUP(B4,T_BdD[#This Row],2,0),"")</f>
        <v>Peter</v>
      </c>
      <c r="D4" s="131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10">
        <f t="shared" ref="X4:X50" si="0">COUNTA(E4:W4)</f>
        <v>0</v>
      </c>
      <c r="Y4" s="168" t="s">
        <v>37</v>
      </c>
    </row>
    <row r="5" spans="2:25" x14ac:dyDescent="0.25">
      <c r="B5" s="167" t="s">
        <v>100</v>
      </c>
      <c r="C5" s="131" t="str">
        <f>IFERROR(VLOOKUP(B5,T_BdD[#This Row],2,0),"")</f>
        <v>Kévin</v>
      </c>
      <c r="D5" s="131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10">
        <f t="shared" si="0"/>
        <v>0</v>
      </c>
      <c r="Y5" s="168" t="s">
        <v>42</v>
      </c>
    </row>
    <row r="6" spans="2:25" x14ac:dyDescent="0.25">
      <c r="B6" s="167"/>
      <c r="C6" s="131" t="str">
        <f>IFERROR(VLOOKUP(B6,T_BdD[#This Row],2,0),"")</f>
        <v/>
      </c>
      <c r="D6" s="131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10">
        <f t="shared" si="0"/>
        <v>0</v>
      </c>
      <c r="Y6" s="168"/>
    </row>
    <row r="7" spans="2:25" x14ac:dyDescent="0.25">
      <c r="B7" s="167"/>
      <c r="C7" s="131" t="str">
        <f>IFERROR(VLOOKUP(B7,T_BdD[#This Row],2,0),"")</f>
        <v/>
      </c>
      <c r="D7" s="131"/>
      <c r="E7" s="109"/>
      <c r="F7" s="109"/>
      <c r="G7" s="109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10">
        <f t="shared" si="0"/>
        <v>0</v>
      </c>
      <c r="Y7" s="168"/>
    </row>
    <row r="8" spans="2:25" x14ac:dyDescent="0.25">
      <c r="B8" s="167"/>
      <c r="C8" s="131" t="str">
        <f>IFERROR(VLOOKUP(B8,T_BdD[#This Row],2,0),"")</f>
        <v/>
      </c>
      <c r="D8" s="131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>
        <f t="shared" si="0"/>
        <v>0</v>
      </c>
      <c r="Y8" s="168"/>
    </row>
    <row r="9" spans="2:25" x14ac:dyDescent="0.25">
      <c r="B9" s="167"/>
      <c r="C9" s="131" t="str">
        <f>IFERROR(VLOOKUP(B9,T_BdD[#This Row],2,0),"")</f>
        <v/>
      </c>
      <c r="D9" s="131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10">
        <f t="shared" si="0"/>
        <v>0</v>
      </c>
      <c r="Y9" s="168"/>
    </row>
    <row r="10" spans="2:25" x14ac:dyDescent="0.25">
      <c r="B10" s="167"/>
      <c r="C10" s="131" t="str">
        <f>IFERROR(VLOOKUP(B10,T_BdD[#This Row],2,0),"")</f>
        <v/>
      </c>
      <c r="D10" s="131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10">
        <f t="shared" si="0"/>
        <v>0</v>
      </c>
      <c r="Y10" s="168"/>
    </row>
    <row r="11" spans="2:25" x14ac:dyDescent="0.25">
      <c r="B11" s="167"/>
      <c r="C11" s="131" t="str">
        <f>IFERROR(VLOOKUP(B11,T_BdD[#This Row],2,0),"")</f>
        <v/>
      </c>
      <c r="D11" s="131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10">
        <f t="shared" si="0"/>
        <v>0</v>
      </c>
      <c r="Y11" s="168"/>
    </row>
    <row r="12" spans="2:25" x14ac:dyDescent="0.25">
      <c r="B12" s="167"/>
      <c r="C12" s="131" t="str">
        <f>IFERROR(VLOOKUP(B12,T_BdD[#This Row],2,0),"")</f>
        <v/>
      </c>
      <c r="D12" s="131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10">
        <f t="shared" si="0"/>
        <v>0</v>
      </c>
      <c r="Y12" s="168"/>
    </row>
    <row r="13" spans="2:25" x14ac:dyDescent="0.25">
      <c r="B13" s="167"/>
      <c r="C13" s="131" t="str">
        <f>IFERROR(VLOOKUP(B13,T_BdD[#This Row],2,0),"")</f>
        <v/>
      </c>
      <c r="D13" s="131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10">
        <f t="shared" si="0"/>
        <v>0</v>
      </c>
      <c r="Y13" s="168"/>
    </row>
    <row r="14" spans="2:25" x14ac:dyDescent="0.25">
      <c r="B14" s="167"/>
      <c r="C14" s="131" t="str">
        <f>IFERROR(VLOOKUP(B14,T_BdD[#This Row],2,0),"")</f>
        <v/>
      </c>
      <c r="D14" s="131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10">
        <f t="shared" si="0"/>
        <v>0</v>
      </c>
      <c r="Y14" s="168"/>
    </row>
    <row r="15" spans="2:25" x14ac:dyDescent="0.25">
      <c r="B15" s="167"/>
      <c r="C15" s="131" t="str">
        <f>IFERROR(VLOOKUP(B15,T_BdD[#This Row],2,0),"")</f>
        <v/>
      </c>
      <c r="D15" s="131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10">
        <f t="shared" si="0"/>
        <v>0</v>
      </c>
      <c r="Y15" s="168"/>
    </row>
    <row r="16" spans="2:25" x14ac:dyDescent="0.25">
      <c r="B16" s="167"/>
      <c r="C16" s="131" t="str">
        <f>IFERROR(VLOOKUP(B16,T_BdD[#This Row],2,0),"")</f>
        <v/>
      </c>
      <c r="D16" s="131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10">
        <f t="shared" si="0"/>
        <v>0</v>
      </c>
      <c r="Y16" s="168"/>
    </row>
    <row r="17" spans="2:25" x14ac:dyDescent="0.25">
      <c r="B17" s="167"/>
      <c r="C17" s="131" t="str">
        <f>IFERROR(VLOOKUP(B17,T_BdD[#This Row],2,0),"")</f>
        <v/>
      </c>
      <c r="D17" s="131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10">
        <f t="shared" si="0"/>
        <v>0</v>
      </c>
      <c r="Y17" s="168"/>
    </row>
    <row r="18" spans="2:25" x14ac:dyDescent="0.25">
      <c r="B18" s="167"/>
      <c r="C18" s="131" t="str">
        <f>IFERROR(VLOOKUP(B18,T_BdD[#This Row],2,0),"")</f>
        <v/>
      </c>
      <c r="D18" s="131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10">
        <f t="shared" si="0"/>
        <v>0</v>
      </c>
      <c r="Y18" s="168"/>
    </row>
    <row r="19" spans="2:25" x14ac:dyDescent="0.25">
      <c r="B19" s="167"/>
      <c r="C19" s="131" t="str">
        <f>IFERROR(VLOOKUP(B19,T_BdD[#This Row],2,0),"")</f>
        <v/>
      </c>
      <c r="D19" s="131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10">
        <f t="shared" si="0"/>
        <v>0</v>
      </c>
      <c r="Y19" s="168"/>
    </row>
    <row r="20" spans="2:25" x14ac:dyDescent="0.25">
      <c r="B20" s="167"/>
      <c r="C20" s="131" t="str">
        <f>IFERROR(VLOOKUP(B20,T_BdD[#This Row],2,0),"")</f>
        <v/>
      </c>
      <c r="D20" s="131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10">
        <f t="shared" si="0"/>
        <v>0</v>
      </c>
      <c r="Y20" s="168"/>
    </row>
    <row r="21" spans="2:25" x14ac:dyDescent="0.25">
      <c r="B21" s="167"/>
      <c r="C21" s="131" t="str">
        <f>IFERROR(VLOOKUP(B21,T_BdD[#This Row],2,0),"")</f>
        <v/>
      </c>
      <c r="D21" s="131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10">
        <f t="shared" si="0"/>
        <v>0</v>
      </c>
      <c r="Y21" s="168"/>
    </row>
    <row r="22" spans="2:25" x14ac:dyDescent="0.25">
      <c r="B22" s="167"/>
      <c r="C22" s="131" t="str">
        <f>IFERROR(VLOOKUP(B22,T_BdD[#This Row],2,0),"")</f>
        <v/>
      </c>
      <c r="D22" s="131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10">
        <f t="shared" si="0"/>
        <v>0</v>
      </c>
      <c r="Y22" s="168"/>
    </row>
    <row r="23" spans="2:25" x14ac:dyDescent="0.25">
      <c r="B23" s="167"/>
      <c r="C23" s="131" t="str">
        <f>IFERROR(VLOOKUP(B23,T_BdD[#This Row],2,0),"")</f>
        <v/>
      </c>
      <c r="D23" s="131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10">
        <f t="shared" si="0"/>
        <v>0</v>
      </c>
      <c r="Y23" s="168"/>
    </row>
    <row r="24" spans="2:25" x14ac:dyDescent="0.25">
      <c r="B24" s="167"/>
      <c r="C24" s="131" t="str">
        <f>IFERROR(VLOOKUP(B24,T_BdD[#This Row],2,0),"")</f>
        <v/>
      </c>
      <c r="D24" s="131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10">
        <f t="shared" si="0"/>
        <v>0</v>
      </c>
      <c r="Y24" s="168"/>
    </row>
    <row r="25" spans="2:25" x14ac:dyDescent="0.25">
      <c r="B25" s="167"/>
      <c r="C25" s="131" t="str">
        <f>IFERROR(VLOOKUP(B25,T_BdD[#This Row],2,0),"")</f>
        <v/>
      </c>
      <c r="D25" s="131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10">
        <f t="shared" si="0"/>
        <v>0</v>
      </c>
      <c r="Y25" s="168"/>
    </row>
    <row r="26" spans="2:25" x14ac:dyDescent="0.25">
      <c r="B26" s="167"/>
      <c r="C26" s="131" t="str">
        <f>IFERROR(VLOOKUP(B26,T_BdD[#This Row],2,0),"")</f>
        <v/>
      </c>
      <c r="D26" s="131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10">
        <f t="shared" si="0"/>
        <v>0</v>
      </c>
      <c r="Y26" s="168"/>
    </row>
    <row r="27" spans="2:25" x14ac:dyDescent="0.25">
      <c r="B27" s="167"/>
      <c r="C27" s="131" t="str">
        <f>IFERROR(VLOOKUP(B27,T_BdD[#This Row],2,0),"")</f>
        <v/>
      </c>
      <c r="D27" s="131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10">
        <f t="shared" si="0"/>
        <v>0</v>
      </c>
      <c r="Y27" s="168"/>
    </row>
    <row r="28" spans="2:25" x14ac:dyDescent="0.25">
      <c r="B28" s="167"/>
      <c r="C28" s="131" t="str">
        <f>IFERROR(VLOOKUP(B28,T_BdD[#This Row],2,0),"")</f>
        <v/>
      </c>
      <c r="D28" s="131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10">
        <f t="shared" si="0"/>
        <v>0</v>
      </c>
      <c r="Y28" s="168"/>
    </row>
    <row r="29" spans="2:25" x14ac:dyDescent="0.25">
      <c r="B29" s="167"/>
      <c r="C29" s="131" t="str">
        <f>IFERROR(VLOOKUP(B29,T_BdD[#This Row],2,0),"")</f>
        <v/>
      </c>
      <c r="D29" s="131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10">
        <f t="shared" si="0"/>
        <v>0</v>
      </c>
      <c r="Y29" s="168"/>
    </row>
    <row r="30" spans="2:25" x14ac:dyDescent="0.25">
      <c r="B30" s="167"/>
      <c r="C30" s="131" t="str">
        <f>IFERROR(VLOOKUP(B30,T_BdD[#This Row],2,0),"")</f>
        <v/>
      </c>
      <c r="D30" s="131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10">
        <f t="shared" si="0"/>
        <v>0</v>
      </c>
      <c r="Y30" s="168"/>
    </row>
    <row r="31" spans="2:25" x14ac:dyDescent="0.25">
      <c r="B31" s="167"/>
      <c r="C31" s="131" t="str">
        <f>IFERROR(VLOOKUP(B31,T_BdD[#This Row],2,0),"")</f>
        <v/>
      </c>
      <c r="D31" s="131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10">
        <f t="shared" si="0"/>
        <v>0</v>
      </c>
      <c r="Y31" s="168"/>
    </row>
    <row r="32" spans="2:25" x14ac:dyDescent="0.25">
      <c r="B32" s="167"/>
      <c r="C32" s="131" t="str">
        <f>IFERROR(VLOOKUP(B32,T_BdD[#This Row],2,0),"")</f>
        <v/>
      </c>
      <c r="D32" s="131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10">
        <f t="shared" si="0"/>
        <v>0</v>
      </c>
      <c r="Y32" s="168"/>
    </row>
    <row r="33" spans="2:25" x14ac:dyDescent="0.25">
      <c r="B33" s="167"/>
      <c r="C33" s="131" t="str">
        <f>IFERROR(VLOOKUP(B33,T_BdD[#This Row],2,0),"")</f>
        <v/>
      </c>
      <c r="D33" s="131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10">
        <f t="shared" si="0"/>
        <v>0</v>
      </c>
      <c r="Y33" s="168"/>
    </row>
    <row r="34" spans="2:25" x14ac:dyDescent="0.25">
      <c r="B34" s="167"/>
      <c r="C34" s="131" t="str">
        <f>IFERROR(VLOOKUP(B34,T_BdD[#This Row],2,0),"")</f>
        <v/>
      </c>
      <c r="D34" s="131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10">
        <f t="shared" si="0"/>
        <v>0</v>
      </c>
      <c r="Y34" s="168"/>
    </row>
    <row r="35" spans="2:25" x14ac:dyDescent="0.25">
      <c r="B35" s="167"/>
      <c r="C35" s="131" t="str">
        <f>IFERROR(VLOOKUP(B35,T_BdD[#This Row],2,0),"")</f>
        <v/>
      </c>
      <c r="D35" s="131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10">
        <f t="shared" si="0"/>
        <v>0</v>
      </c>
      <c r="Y35" s="168"/>
    </row>
    <row r="36" spans="2:25" x14ac:dyDescent="0.25">
      <c r="B36" s="167"/>
      <c r="C36" s="131" t="str">
        <f>IFERROR(VLOOKUP(B36,T_BdD[#This Row],2,0),"")</f>
        <v/>
      </c>
      <c r="D36" s="131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10">
        <f t="shared" si="0"/>
        <v>0</v>
      </c>
      <c r="Y36" s="168"/>
    </row>
    <row r="37" spans="2:25" x14ac:dyDescent="0.25">
      <c r="B37" s="167"/>
      <c r="C37" s="131" t="str">
        <f>IFERROR(VLOOKUP(B37,T_BdD[#This Row],2,0),"")</f>
        <v/>
      </c>
      <c r="D37" s="131"/>
      <c r="E37" s="109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10">
        <f t="shared" si="0"/>
        <v>0</v>
      </c>
      <c r="Y37" s="168"/>
    </row>
    <row r="38" spans="2:25" x14ac:dyDescent="0.25">
      <c r="B38" s="167"/>
      <c r="C38" s="131" t="str">
        <f>IFERROR(VLOOKUP(B38,T_BdD[#This Row],2,0),"")</f>
        <v/>
      </c>
      <c r="D38" s="131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10">
        <f t="shared" si="0"/>
        <v>0</v>
      </c>
      <c r="Y38" s="168"/>
    </row>
    <row r="39" spans="2:25" x14ac:dyDescent="0.25">
      <c r="B39" s="167"/>
      <c r="C39" s="131" t="str">
        <f>IFERROR(VLOOKUP(B39,T_BdD[#This Row],2,0),"")</f>
        <v/>
      </c>
      <c r="D39" s="131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10">
        <f t="shared" si="0"/>
        <v>0</v>
      </c>
      <c r="Y39" s="168"/>
    </row>
    <row r="40" spans="2:25" x14ac:dyDescent="0.25">
      <c r="B40" s="167"/>
      <c r="C40" s="131" t="str">
        <f>IFERROR(VLOOKUP(B40,T_BdD[#This Row],2,0),"")</f>
        <v/>
      </c>
      <c r="D40" s="131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10">
        <f t="shared" si="0"/>
        <v>0</v>
      </c>
      <c r="Y40" s="168"/>
    </row>
    <row r="41" spans="2:25" x14ac:dyDescent="0.25">
      <c r="B41" s="167"/>
      <c r="C41" s="131" t="str">
        <f>IFERROR(VLOOKUP(B41,T_BdD[#This Row],2,0),"")</f>
        <v/>
      </c>
      <c r="D41" s="131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10">
        <f t="shared" si="0"/>
        <v>0</v>
      </c>
      <c r="Y41" s="168"/>
    </row>
    <row r="42" spans="2:25" x14ac:dyDescent="0.25">
      <c r="B42" s="167"/>
      <c r="C42" s="131" t="str">
        <f>IFERROR(VLOOKUP(B42,T_BdD[#This Row],2,0),"")</f>
        <v/>
      </c>
      <c r="D42" s="131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10">
        <f t="shared" si="0"/>
        <v>0</v>
      </c>
      <c r="Y42" s="168"/>
    </row>
    <row r="43" spans="2:25" x14ac:dyDescent="0.25">
      <c r="B43" s="167"/>
      <c r="C43" s="131" t="str">
        <f>IFERROR(VLOOKUP(B43,T_BdD[#This Row],2,0),"")</f>
        <v/>
      </c>
      <c r="D43" s="131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10">
        <f t="shared" si="0"/>
        <v>0</v>
      </c>
      <c r="Y43" s="168"/>
    </row>
    <row r="44" spans="2:25" x14ac:dyDescent="0.25">
      <c r="B44" s="167"/>
      <c r="C44" s="131" t="str">
        <f>IFERROR(VLOOKUP(B44,T_BdD[#This Row],2,0),"")</f>
        <v/>
      </c>
      <c r="D44" s="131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10">
        <f t="shared" si="0"/>
        <v>0</v>
      </c>
      <c r="Y44" s="168"/>
    </row>
    <row r="45" spans="2:25" x14ac:dyDescent="0.25">
      <c r="B45" s="167"/>
      <c r="C45" s="131" t="str">
        <f>IFERROR(VLOOKUP(B45,T_BdD[#This Row],2,0),"")</f>
        <v/>
      </c>
      <c r="D45" s="131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10">
        <f t="shared" si="0"/>
        <v>0</v>
      </c>
      <c r="Y45" s="168"/>
    </row>
    <row r="46" spans="2:25" x14ac:dyDescent="0.25">
      <c r="B46" s="167"/>
      <c r="C46" s="131" t="str">
        <f>IFERROR(VLOOKUP(B46,T_BdD[#This Row],2,0),"")</f>
        <v/>
      </c>
      <c r="D46" s="131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10">
        <f t="shared" si="0"/>
        <v>0</v>
      </c>
      <c r="Y46" s="168"/>
    </row>
    <row r="47" spans="2:25" x14ac:dyDescent="0.25">
      <c r="B47" s="167"/>
      <c r="C47" s="131" t="str">
        <f>IFERROR(VLOOKUP(B47,T_BdD[#This Row],2,0),"")</f>
        <v/>
      </c>
      <c r="D47" s="131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10">
        <f t="shared" si="0"/>
        <v>0</v>
      </c>
      <c r="Y47" s="168"/>
    </row>
    <row r="48" spans="2:25" x14ac:dyDescent="0.25">
      <c r="B48" s="167"/>
      <c r="C48" s="131" t="str">
        <f>IFERROR(VLOOKUP(B48,T_BdD[#This Row],2,0),"")</f>
        <v/>
      </c>
      <c r="D48" s="131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10">
        <f t="shared" si="0"/>
        <v>0</v>
      </c>
      <c r="Y48" s="168"/>
    </row>
    <row r="49" spans="2:25" x14ac:dyDescent="0.25">
      <c r="B49" s="167"/>
      <c r="C49" s="131" t="str">
        <f>IFERROR(VLOOKUP(B49,T_BdD[#This Row],2,0),"")</f>
        <v/>
      </c>
      <c r="D49" s="131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10">
        <f t="shared" si="0"/>
        <v>0</v>
      </c>
      <c r="Y49" s="168"/>
    </row>
    <row r="50" spans="2:25" x14ac:dyDescent="0.25">
      <c r="B50" s="175"/>
      <c r="C50" s="176" t="str">
        <f>IFERROR(VLOOKUP(B50,T_BdD[#This Row],2,0),"")</f>
        <v/>
      </c>
      <c r="D50" s="176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8">
        <f t="shared" si="0"/>
        <v>0</v>
      </c>
      <c r="Y50" s="185"/>
    </row>
  </sheetData>
  <conditionalFormatting sqref="E2:W50 X2">
    <cfRule type="expression" dxfId="31" priority="1">
      <formula>WEEKDAY(E$2,2)&gt;5</formula>
    </cfRule>
  </conditionalFormatting>
  <dataValidations count="3">
    <dataValidation type="list" allowBlank="1" showInputMessage="1" showErrorMessage="1" sqref="D3:D50" xr:uid="{64123C79-3963-4B37-9E9C-0AB14B12F7E0}">
      <formula1>L_Prestations</formula1>
    </dataValidation>
    <dataValidation type="list" allowBlank="1" showInputMessage="1" showErrorMessage="1" sqref="B3:B50" xr:uid="{65804DA7-4BE5-4E00-AA3E-D681F575B31E}">
      <formula1>L_Nom</formula1>
    </dataValidation>
    <dataValidation type="list" allowBlank="1" showInputMessage="1" showErrorMessage="1" sqref="Y3:Y50" xr:uid="{A5086C40-5BE2-449D-AB07-DCB525155B01}">
      <formula1>Péricentre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7E00-9C54-4C6D-BAE6-7BE08B4DC8F0}">
  <dimension ref="B2:K44"/>
  <sheetViews>
    <sheetView showGridLines="0" showZeros="0" topLeftCell="A4" workbookViewId="0">
      <selection activeCell="C2" sqref="C2"/>
    </sheetView>
  </sheetViews>
  <sheetFormatPr baseColWidth="10" defaultRowHeight="15.75" x14ac:dyDescent="0.25"/>
  <cols>
    <col min="1" max="1" width="11.42578125" style="59"/>
    <col min="2" max="2" width="40.7109375" style="59" customWidth="1"/>
    <col min="3" max="3" width="30.7109375" style="59" customWidth="1"/>
    <col min="4" max="4" width="9.140625" style="62" bestFit="1" customWidth="1"/>
    <col min="5" max="5" width="12.7109375" style="62" customWidth="1"/>
    <col min="6" max="6" width="11.42578125" style="59"/>
    <col min="7" max="7" width="20" style="62" customWidth="1"/>
    <col min="8" max="8" width="39" style="62" bestFit="1" customWidth="1"/>
    <col min="9" max="9" width="22.5703125" style="62" bestFit="1" customWidth="1"/>
    <col min="10" max="10" width="9.140625" style="62" bestFit="1" customWidth="1"/>
    <col min="11" max="11" width="11.42578125" style="63"/>
    <col min="12" max="16384" width="11.42578125" style="59"/>
  </cols>
  <sheetData>
    <row r="2" spans="2:11" x14ac:dyDescent="0.25">
      <c r="B2" s="60" t="s">
        <v>32</v>
      </c>
      <c r="C2" s="71" t="s">
        <v>100</v>
      </c>
    </row>
    <row r="3" spans="2:11" x14ac:dyDescent="0.25">
      <c r="B3" s="60" t="s">
        <v>33</v>
      </c>
      <c r="C3" s="71" t="str">
        <f>IFERROR(VLOOKUP($C$2,T_Planning[],2,0),"")</f>
        <v>Kévin</v>
      </c>
    </row>
    <row r="4" spans="2:11" x14ac:dyDescent="0.25">
      <c r="B4" s="60" t="s">
        <v>35</v>
      </c>
      <c r="C4" s="71" t="str">
        <f>IFERROR(VLOOKUP($C$2,T_BdD[],3,0),"")</f>
        <v>kmcc@yahoo,com</v>
      </c>
    </row>
    <row r="5" spans="2:11" x14ac:dyDescent="0.25">
      <c r="B5" s="60" t="s">
        <v>58</v>
      </c>
      <c r="C5" s="71" t="str">
        <f>IFERROR(VLOOKUP($C$2,T_BdD[],4,0),"")</f>
        <v xml:space="preserve">Kate McCallister </v>
      </c>
    </row>
    <row r="6" spans="2:11" x14ac:dyDescent="0.25">
      <c r="B6" s="60" t="s">
        <v>59</v>
      </c>
      <c r="C6" s="71" t="str">
        <f>IFERROR(VLOOKUP($C$2,T_BdD[],5,0),"")</f>
        <v>Mère</v>
      </c>
    </row>
    <row r="7" spans="2:11" x14ac:dyDescent="0.25">
      <c r="B7" s="60" t="s">
        <v>60</v>
      </c>
      <c r="C7" s="72">
        <f>IFERROR(VLOOKUP($C$2,T_BdD[],6,0),"")</f>
        <v>504060907</v>
      </c>
    </row>
    <row r="8" spans="2:11" x14ac:dyDescent="0.25">
      <c r="B8" s="64"/>
      <c r="C8" s="61"/>
    </row>
    <row r="9" spans="2:11" x14ac:dyDescent="0.25">
      <c r="B9" s="60" t="s">
        <v>36</v>
      </c>
      <c r="C9" s="122">
        <f>IFERROR(VLOOKUP($C$2,T_BdD[],7,0),"")</f>
        <v>11</v>
      </c>
    </row>
    <row r="10" spans="2:11" x14ac:dyDescent="0.25">
      <c r="B10" s="60" t="s">
        <v>34</v>
      </c>
      <c r="C10" s="71">
        <f>IFERROR(VLOOKUP($C$2,T_BdD[],8,0),"")</f>
        <v>850</v>
      </c>
    </row>
    <row r="11" spans="2:11" x14ac:dyDescent="0.25">
      <c r="B11" s="60" t="s">
        <v>51</v>
      </c>
      <c r="C11" s="71" t="str">
        <f>IFERROR(VLOOKUP($C$2,T_BdD[],9,0),"")</f>
        <v>Oui</v>
      </c>
    </row>
    <row r="13" spans="2:11" x14ac:dyDescent="0.25">
      <c r="C13" s="96" t="s">
        <v>65</v>
      </c>
      <c r="D13" s="161">
        <f ca="1">TODAY()</f>
        <v>43689</v>
      </c>
      <c r="E13" s="161"/>
    </row>
    <row r="15" spans="2:11" s="66" customFormat="1" x14ac:dyDescent="0.25">
      <c r="B15" s="73" t="s">
        <v>53</v>
      </c>
      <c r="C15" s="162" t="s">
        <v>48</v>
      </c>
      <c r="D15" s="163"/>
      <c r="E15" s="74" t="s">
        <v>49</v>
      </c>
    </row>
    <row r="16" spans="2:11" x14ac:dyDescent="0.25">
      <c r="B16" s="67" t="str">
        <f>IFERROR(VLOOKUP($C$2,T_Planning[],24,0),0)</f>
        <v>Camp Multi activité en Anjou - Ponts de cé</v>
      </c>
      <c r="C16" s="164" t="str">
        <f>IFERROR(VLOOKUP(B16,Tableau1[],3,0),"")</f>
        <v>du 22 au 25 juillet</v>
      </c>
      <c r="D16" s="164"/>
      <c r="E16" s="68">
        <f>IF($C11="oui",Paramètres!P9,Paramètres!P20)</f>
        <v>90</v>
      </c>
      <c r="G16" s="59"/>
      <c r="H16" s="59"/>
      <c r="I16" s="59"/>
      <c r="J16" s="59"/>
      <c r="K16" s="59"/>
    </row>
    <row r="17" spans="2:11" x14ac:dyDescent="0.25">
      <c r="B17" s="69" t="str">
        <f>IF(B16&lt;&gt;0,"Forfait journalier","")</f>
        <v>Forfait journalier</v>
      </c>
      <c r="C17" s="165"/>
      <c r="D17" s="165"/>
      <c r="E17" s="70">
        <f>IFERROR(2.5*VLOOKUP(Facture!B16,Tableau1[],8,0),"")</f>
        <v>10</v>
      </c>
      <c r="G17" s="59"/>
      <c r="H17" s="59"/>
      <c r="I17" s="59"/>
      <c r="J17" s="59"/>
      <c r="K17" s="59"/>
    </row>
    <row r="18" spans="2:11" x14ac:dyDescent="0.25">
      <c r="B18" s="155" t="s">
        <v>54</v>
      </c>
      <c r="C18" s="156"/>
      <c r="D18" s="157"/>
      <c r="E18" s="76">
        <f>SUM(E16:E17)</f>
        <v>100</v>
      </c>
      <c r="G18" s="59"/>
      <c r="H18" s="59"/>
      <c r="I18" s="59"/>
      <c r="J18" s="59"/>
      <c r="K18" s="59"/>
    </row>
    <row r="19" spans="2:11" ht="15.75" customHeight="1" x14ac:dyDescent="0.25">
      <c r="B19" s="75" t="s">
        <v>53</v>
      </c>
      <c r="C19" s="75" t="s">
        <v>48</v>
      </c>
      <c r="D19" s="75" t="s">
        <v>55</v>
      </c>
      <c r="E19" s="74" t="s">
        <v>49</v>
      </c>
      <c r="G19" s="59"/>
      <c r="H19" s="59"/>
      <c r="I19" s="59"/>
      <c r="J19" s="59"/>
      <c r="K19" s="59"/>
    </row>
    <row r="20" spans="2:11" x14ac:dyDescent="0.25">
      <c r="B20" s="67" t="s">
        <v>8</v>
      </c>
      <c r="C20" s="78">
        <v>43654</v>
      </c>
      <c r="D20" s="79">
        <f>IFERROR(VLOOKUP($C$2,Planning!$B$3:$W$50,4,0),0)</f>
        <v>0</v>
      </c>
      <c r="E20" s="68">
        <f>IF(D20&lt;&gt;0,Paramètres!$L$38,0)</f>
        <v>0</v>
      </c>
      <c r="G20" s="59"/>
      <c r="H20" s="59"/>
      <c r="I20" s="59"/>
      <c r="J20" s="59"/>
      <c r="K20" s="59"/>
    </row>
    <row r="21" spans="2:11" x14ac:dyDescent="0.25">
      <c r="B21" s="80" t="s">
        <v>8</v>
      </c>
      <c r="C21" s="81">
        <f>C20+1</f>
        <v>43655</v>
      </c>
      <c r="D21" s="82">
        <f>IFERROR(VLOOKUP($C$2,Planning!$B$3:$W$50,5,0),0)</f>
        <v>0</v>
      </c>
      <c r="E21" s="83">
        <f>IF(D21&lt;&gt;0,Paramètres!$L$38,0)</f>
        <v>0</v>
      </c>
      <c r="G21" s="59"/>
      <c r="H21" s="59"/>
      <c r="I21" s="59"/>
      <c r="J21" s="59"/>
      <c r="K21" s="59"/>
    </row>
    <row r="22" spans="2:11" x14ac:dyDescent="0.25">
      <c r="B22" s="80" t="s">
        <v>8</v>
      </c>
      <c r="C22" s="81">
        <f t="shared" ref="C22:C24" si="0">C21+1</f>
        <v>43656</v>
      </c>
      <c r="D22" s="82">
        <f>IFERROR(VLOOKUP($C$2,Planning!$B$3:$W$50,6,0),0)</f>
        <v>0</v>
      </c>
      <c r="E22" s="83">
        <f>IF(D22&lt;&gt;0,Paramètres!$L$38,0)</f>
        <v>0</v>
      </c>
      <c r="G22" s="59"/>
      <c r="H22" s="59"/>
      <c r="I22" s="59"/>
      <c r="J22" s="59"/>
      <c r="K22" s="59"/>
    </row>
    <row r="23" spans="2:11" x14ac:dyDescent="0.25">
      <c r="B23" s="80" t="s">
        <v>8</v>
      </c>
      <c r="C23" s="81">
        <f t="shared" si="0"/>
        <v>43657</v>
      </c>
      <c r="D23" s="82">
        <f>IFERROR(VLOOKUP($C$2,Planning!$B$3:$W$50,7,0),0)</f>
        <v>0</v>
      </c>
      <c r="E23" s="83">
        <f>IF(D23&lt;&gt;0,Paramètres!$L$38,0)</f>
        <v>0</v>
      </c>
      <c r="G23" s="59"/>
      <c r="H23" s="59"/>
      <c r="I23" s="59"/>
      <c r="J23" s="59"/>
      <c r="K23" s="59"/>
    </row>
    <row r="24" spans="2:11" x14ac:dyDescent="0.25">
      <c r="B24" s="80" t="s">
        <v>8</v>
      </c>
      <c r="C24" s="81">
        <f t="shared" si="0"/>
        <v>43658</v>
      </c>
      <c r="D24" s="82">
        <f>IFERROR(VLOOKUP($C$2,Planning!$B$3:$W$50,8,0),0)</f>
        <v>0</v>
      </c>
      <c r="E24" s="83">
        <f>IF(D24&lt;&gt;0,Paramètres!$L$38,0)</f>
        <v>0</v>
      </c>
      <c r="G24" s="59"/>
      <c r="H24" s="59"/>
      <c r="I24" s="59"/>
      <c r="J24" s="59"/>
      <c r="K24" s="59"/>
    </row>
    <row r="25" spans="2:11" x14ac:dyDescent="0.25">
      <c r="B25" s="84"/>
      <c r="C25" s="84"/>
      <c r="D25" s="82"/>
      <c r="E25" s="83"/>
      <c r="G25" s="59"/>
      <c r="H25" s="59"/>
      <c r="I25" s="59"/>
      <c r="J25" s="59"/>
      <c r="K25" s="59"/>
    </row>
    <row r="26" spans="2:11" x14ac:dyDescent="0.25">
      <c r="B26" s="80" t="s">
        <v>8</v>
      </c>
      <c r="C26" s="81">
        <f>C24+3</f>
        <v>43661</v>
      </c>
      <c r="D26" s="82">
        <f>IFERROR(VLOOKUP($C$2,Planning!$B$3:$W$50,11,0),0)</f>
        <v>0</v>
      </c>
      <c r="E26" s="83">
        <f>IF(D26&lt;&gt;0,Paramètres!$L$38,0)</f>
        <v>0</v>
      </c>
      <c r="G26" s="59"/>
      <c r="H26" s="59"/>
      <c r="I26" s="59"/>
      <c r="J26" s="59"/>
      <c r="K26" s="59"/>
    </row>
    <row r="27" spans="2:11" x14ac:dyDescent="0.25">
      <c r="B27" s="80" t="s">
        <v>8</v>
      </c>
      <c r="C27" s="81">
        <f>C26+1</f>
        <v>43662</v>
      </c>
      <c r="D27" s="82">
        <f>IFERROR(VLOOKUP($C$2,Planning!$B$3:$W$50,12,0),0)</f>
        <v>0</v>
      </c>
      <c r="E27" s="83">
        <f>IF(D27&lt;&gt;0,Paramètres!$L$38,0)</f>
        <v>0</v>
      </c>
      <c r="G27" s="59"/>
      <c r="H27" s="59"/>
      <c r="I27" s="59"/>
      <c r="J27" s="59"/>
      <c r="K27" s="59"/>
    </row>
    <row r="28" spans="2:11" x14ac:dyDescent="0.25">
      <c r="B28" s="80" t="s">
        <v>8</v>
      </c>
      <c r="C28" s="81">
        <f t="shared" ref="C28:C30" si="1">C27+1</f>
        <v>43663</v>
      </c>
      <c r="D28" s="82">
        <f>IFERROR(VLOOKUP($C$2,Planning!$B$3:$W$50,13,0),0)</f>
        <v>0</v>
      </c>
      <c r="E28" s="83">
        <f>IF(D28&lt;&gt;0,Paramètres!$L$38,0)</f>
        <v>0</v>
      </c>
      <c r="G28" s="59"/>
      <c r="H28" s="59"/>
      <c r="I28" s="59"/>
      <c r="J28" s="59"/>
      <c r="K28" s="59"/>
    </row>
    <row r="29" spans="2:11" x14ac:dyDescent="0.25">
      <c r="B29" s="80" t="s">
        <v>8</v>
      </c>
      <c r="C29" s="81">
        <f t="shared" si="1"/>
        <v>43664</v>
      </c>
      <c r="D29" s="82">
        <f>IFERROR(VLOOKUP($C$2,Planning!$B$3:$W$50,14,0),0)</f>
        <v>0</v>
      </c>
      <c r="E29" s="83">
        <f>IF(D29&lt;&gt;0,Paramètres!$L$38,0)</f>
        <v>0</v>
      </c>
      <c r="G29" s="59"/>
      <c r="H29" s="59"/>
      <c r="I29" s="59"/>
      <c r="J29" s="59"/>
      <c r="K29" s="59"/>
    </row>
    <row r="30" spans="2:11" x14ac:dyDescent="0.25">
      <c r="B30" s="80" t="s">
        <v>8</v>
      </c>
      <c r="C30" s="81">
        <f t="shared" si="1"/>
        <v>43665</v>
      </c>
      <c r="D30" s="82">
        <f>IFERROR(VLOOKUP($C$2,Planning!$B$3:$W$50,15,0),0)</f>
        <v>0</v>
      </c>
      <c r="E30" s="83">
        <f>IF(D30&lt;&gt;0,Paramètres!$L$38,0)</f>
        <v>0</v>
      </c>
      <c r="G30" s="59"/>
      <c r="H30" s="59"/>
      <c r="I30" s="59"/>
      <c r="J30" s="59"/>
      <c r="K30" s="59"/>
    </row>
    <row r="31" spans="2:11" x14ac:dyDescent="0.25">
      <c r="B31" s="84"/>
      <c r="C31" s="84"/>
      <c r="D31" s="82"/>
      <c r="E31" s="83"/>
      <c r="G31" s="59"/>
      <c r="H31" s="59"/>
      <c r="I31" s="59"/>
      <c r="J31" s="59"/>
      <c r="K31" s="59"/>
    </row>
    <row r="32" spans="2:11" x14ac:dyDescent="0.25">
      <c r="B32" s="80" t="s">
        <v>8</v>
      </c>
      <c r="C32" s="81">
        <f>C30+3</f>
        <v>43668</v>
      </c>
      <c r="D32" s="82">
        <f>IFERROR(VLOOKUP($C$2,Planning!$B$3:$W$50,18,0),0)</f>
        <v>0</v>
      </c>
      <c r="E32" s="83">
        <f>IF(D32&lt;&gt;0,Paramètres!$L$38,0)</f>
        <v>0</v>
      </c>
      <c r="G32" s="59"/>
      <c r="H32" s="59"/>
      <c r="I32" s="59"/>
      <c r="J32" s="59"/>
      <c r="K32" s="59"/>
    </row>
    <row r="33" spans="2:11" x14ac:dyDescent="0.25">
      <c r="B33" s="80" t="s">
        <v>8</v>
      </c>
      <c r="C33" s="81">
        <f>C32+1</f>
        <v>43669</v>
      </c>
      <c r="D33" s="82">
        <f>IFERROR(VLOOKUP($C$2,Planning!$B$3:$W$50,19,0),0)</f>
        <v>0</v>
      </c>
      <c r="E33" s="83">
        <f>IF(D33&lt;&gt;0,Paramètres!$L$38,0)</f>
        <v>0</v>
      </c>
      <c r="G33" s="59"/>
      <c r="H33" s="59"/>
      <c r="I33" s="59"/>
      <c r="J33" s="59"/>
      <c r="K33" s="59"/>
    </row>
    <row r="34" spans="2:11" x14ac:dyDescent="0.25">
      <c r="B34" s="80" t="s">
        <v>8</v>
      </c>
      <c r="C34" s="81">
        <f t="shared" ref="C34:C36" si="2">C33+1</f>
        <v>43670</v>
      </c>
      <c r="D34" s="82">
        <f>IFERROR(VLOOKUP($C$2,Planning!$B$3:$W$50,20,0),0)</f>
        <v>0</v>
      </c>
      <c r="E34" s="83">
        <f>IF(D34&lt;&gt;0,Paramètres!$L$38,0)</f>
        <v>0</v>
      </c>
      <c r="G34" s="59"/>
      <c r="H34" s="59"/>
      <c r="I34" s="59"/>
      <c r="J34" s="59"/>
      <c r="K34" s="59"/>
    </row>
    <row r="35" spans="2:11" x14ac:dyDescent="0.25">
      <c r="B35" s="80" t="s">
        <v>8</v>
      </c>
      <c r="C35" s="81">
        <f t="shared" si="2"/>
        <v>43671</v>
      </c>
      <c r="D35" s="82">
        <f>IFERROR(VLOOKUP($C$2,Planning!$B$3:$W$50,21,0),0)</f>
        <v>0</v>
      </c>
      <c r="E35" s="83">
        <f>IF(D35&lt;&gt;0,Paramètres!$L$38,0)</f>
        <v>0</v>
      </c>
      <c r="G35" s="59"/>
      <c r="H35" s="59"/>
      <c r="I35" s="59"/>
      <c r="J35" s="59"/>
      <c r="K35" s="59"/>
    </row>
    <row r="36" spans="2:11" x14ac:dyDescent="0.25">
      <c r="B36" s="80" t="s">
        <v>8</v>
      </c>
      <c r="C36" s="81">
        <f t="shared" si="2"/>
        <v>43672</v>
      </c>
      <c r="D36" s="82">
        <f>IFERROR(VLOOKUP($C$2,Planning!$B$3:$W$50,22,0),0)</f>
        <v>0</v>
      </c>
      <c r="E36" s="83">
        <f>IF(D36&lt;&gt;0,Paramètres!$L$38,0)</f>
        <v>0</v>
      </c>
      <c r="G36" s="59"/>
      <c r="H36" s="59"/>
      <c r="I36" s="59"/>
      <c r="J36" s="59"/>
      <c r="K36" s="59"/>
    </row>
    <row r="37" spans="2:11" x14ac:dyDescent="0.25">
      <c r="B37" s="84"/>
      <c r="C37" s="84"/>
      <c r="D37" s="82">
        <f>IFERROR(VLOOKUP($C$2,Planning!$B$3:$W$50,4,0),0)</f>
        <v>0</v>
      </c>
      <c r="E37" s="83"/>
      <c r="G37" s="59"/>
      <c r="H37" s="59"/>
      <c r="I37" s="59"/>
      <c r="J37" s="59"/>
      <c r="K37" s="59"/>
    </row>
    <row r="38" spans="2:11" x14ac:dyDescent="0.25">
      <c r="B38" s="80" t="s">
        <v>9</v>
      </c>
      <c r="C38" s="84" t="str">
        <f>"Semaine "&amp;WEEKNUM(C20,2)</f>
        <v>Semaine 28</v>
      </c>
      <c r="D38" s="82">
        <f>IFERROR(VLOOKUP($C$2,Planning!$B$3:$W$50,4,0),0)</f>
        <v>0</v>
      </c>
      <c r="E38" s="83">
        <f>IF(D38&lt;&gt;0,Paramètres!$M$38,0)</f>
        <v>0</v>
      </c>
      <c r="G38" s="59"/>
      <c r="H38" s="59"/>
      <c r="I38" s="59"/>
      <c r="J38" s="59"/>
      <c r="K38" s="59"/>
    </row>
    <row r="39" spans="2:11" x14ac:dyDescent="0.25">
      <c r="B39" s="80" t="s">
        <v>9</v>
      </c>
      <c r="C39" s="84" t="str">
        <f>"Semaine "&amp;WEEKNUM(C26,2)</f>
        <v>Semaine 29</v>
      </c>
      <c r="D39" s="82">
        <f>IFERROR(VLOOKUP($C$2,Planning!$B$3:$W$50,4,0),0)</f>
        <v>0</v>
      </c>
      <c r="E39" s="83">
        <f>IF(D39&lt;&gt;0,Paramètres!$M$38,0)</f>
        <v>0</v>
      </c>
      <c r="G39" s="59"/>
      <c r="H39" s="59"/>
      <c r="I39" s="59"/>
      <c r="J39" s="59"/>
      <c r="K39" s="59"/>
    </row>
    <row r="40" spans="2:11" x14ac:dyDescent="0.25">
      <c r="B40" s="69" t="s">
        <v>9</v>
      </c>
      <c r="C40" s="85" t="str">
        <f>"Semaine "&amp;WEEKNUM(C32,2)</f>
        <v>Semaine 30</v>
      </c>
      <c r="D40" s="86">
        <f>IFERROR(VLOOKUP($C$2,Planning!$B$3:$W$50,4,0),0)</f>
        <v>0</v>
      </c>
      <c r="E40" s="70">
        <f>IF(D40&lt;&gt;0,Paramètres!$M$38,0)</f>
        <v>0</v>
      </c>
      <c r="G40" s="59"/>
      <c r="H40" s="59"/>
      <c r="I40" s="59"/>
      <c r="J40" s="59"/>
      <c r="K40" s="59"/>
    </row>
    <row r="41" spans="2:11" x14ac:dyDescent="0.25">
      <c r="B41" s="155" t="s">
        <v>57</v>
      </c>
      <c r="C41" s="156"/>
      <c r="D41" s="157"/>
      <c r="E41" s="76">
        <f>SUM(E20:E40)</f>
        <v>0</v>
      </c>
      <c r="G41" s="59"/>
      <c r="H41" s="59"/>
      <c r="I41" s="59"/>
      <c r="J41" s="59"/>
      <c r="K41" s="59"/>
    </row>
    <row r="42" spans="2:11" x14ac:dyDescent="0.25">
      <c r="B42" s="87" t="s">
        <v>61</v>
      </c>
      <c r="C42" s="61"/>
      <c r="D42" s="65"/>
      <c r="E42" s="111">
        <f>IF(C11="Oui",29,0)</f>
        <v>29</v>
      </c>
    </row>
    <row r="43" spans="2:11" x14ac:dyDescent="0.25">
      <c r="B43" s="155" t="s">
        <v>62</v>
      </c>
      <c r="C43" s="156"/>
      <c r="D43" s="157"/>
      <c r="E43" s="76">
        <f>E42</f>
        <v>29</v>
      </c>
    </row>
    <row r="44" spans="2:11" x14ac:dyDescent="0.25">
      <c r="B44" s="158" t="s">
        <v>63</v>
      </c>
      <c r="C44" s="159"/>
      <c r="D44" s="160"/>
      <c r="E44" s="77">
        <f>E18+E41+E43</f>
        <v>129</v>
      </c>
    </row>
  </sheetData>
  <mergeCells count="8">
    <mergeCell ref="B43:D43"/>
    <mergeCell ref="B44:D44"/>
    <mergeCell ref="D13:E13"/>
    <mergeCell ref="C15:D15"/>
    <mergeCell ref="C16:D16"/>
    <mergeCell ref="C17:D17"/>
    <mergeCell ref="B18:D18"/>
    <mergeCell ref="B41:D41"/>
  </mergeCells>
  <dataValidations count="1">
    <dataValidation type="list" allowBlank="1" showInputMessage="1" showErrorMessage="1" sqref="C2" xr:uid="{7BA52878-38E5-49BD-9AC1-1BA4D869E059}">
      <formula1>L_Nom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D32B-4409-4F2A-877A-669213B2D739}">
  <dimension ref="B1:P45"/>
  <sheetViews>
    <sheetView showGridLines="0" workbookViewId="0">
      <selection activeCell="C40" sqref="C40"/>
    </sheetView>
  </sheetViews>
  <sheetFormatPr baseColWidth="10" defaultColWidth="83.85546875" defaultRowHeight="15" x14ac:dyDescent="0.25"/>
  <cols>
    <col min="1" max="1" width="4.7109375" customWidth="1"/>
    <col min="2" max="2" width="39" bestFit="1" customWidth="1"/>
    <col min="3" max="4" width="20.7109375" style="25" customWidth="1"/>
    <col min="5" max="8" width="15.7109375" style="25" customWidth="1"/>
    <col min="9" max="9" width="7.5703125" style="88" bestFit="1" customWidth="1"/>
    <col min="10" max="10" width="4.7109375" customWidth="1"/>
    <col min="11" max="11" width="10.7109375" style="25" customWidth="1"/>
    <col min="12" max="13" width="25.7109375" customWidth="1"/>
    <col min="14" max="14" width="39.140625" bestFit="1" customWidth="1"/>
    <col min="15" max="15" width="25.7109375" customWidth="1"/>
    <col min="16" max="16" width="10.7109375" style="25" customWidth="1"/>
    <col min="17" max="70" width="12.7109375" customWidth="1"/>
  </cols>
  <sheetData>
    <row r="1" spans="2:16" ht="28.5" x14ac:dyDescent="0.45">
      <c r="B1" s="154" t="s">
        <v>2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</row>
    <row r="2" spans="2:16" s="29" customFormat="1" x14ac:dyDescent="0.25">
      <c r="B2" s="26" t="s">
        <v>0</v>
      </c>
      <c r="C2" s="27" t="s">
        <v>52</v>
      </c>
      <c r="D2" s="27" t="s">
        <v>48</v>
      </c>
      <c r="E2" s="27" t="s">
        <v>4</v>
      </c>
      <c r="F2" s="27" t="s">
        <v>5</v>
      </c>
      <c r="G2" s="27" t="s">
        <v>6</v>
      </c>
      <c r="H2" s="28" t="s">
        <v>7</v>
      </c>
      <c r="I2" s="95" t="s">
        <v>64</v>
      </c>
      <c r="K2" s="33" t="s">
        <v>50</v>
      </c>
      <c r="L2" s="33" t="s">
        <v>37</v>
      </c>
      <c r="M2" s="33" t="s">
        <v>40</v>
      </c>
      <c r="N2" s="33" t="s">
        <v>42</v>
      </c>
      <c r="O2" s="33" t="s">
        <v>46</v>
      </c>
      <c r="P2" s="41"/>
    </row>
    <row r="3" spans="2:16" x14ac:dyDescent="0.25">
      <c r="B3" s="8" t="s">
        <v>37</v>
      </c>
      <c r="C3" s="22" t="s">
        <v>38</v>
      </c>
      <c r="D3" s="22" t="s">
        <v>39</v>
      </c>
      <c r="E3" s="7">
        <v>40</v>
      </c>
      <c r="F3" s="7">
        <v>45</v>
      </c>
      <c r="G3" s="7">
        <v>50</v>
      </c>
      <c r="H3" s="11">
        <v>55</v>
      </c>
      <c r="I3" s="7">
        <v>2</v>
      </c>
      <c r="K3" s="36">
        <v>0</v>
      </c>
      <c r="L3" s="31">
        <v>40</v>
      </c>
      <c r="M3" s="31">
        <v>70</v>
      </c>
      <c r="N3" s="31">
        <v>80</v>
      </c>
      <c r="O3" s="31">
        <v>95</v>
      </c>
    </row>
    <row r="4" spans="2:16" x14ac:dyDescent="0.25">
      <c r="B4" s="9" t="s">
        <v>40</v>
      </c>
      <c r="C4" s="23" t="s">
        <v>44</v>
      </c>
      <c r="D4" s="23" t="s">
        <v>41</v>
      </c>
      <c r="E4" s="6">
        <v>70</v>
      </c>
      <c r="F4" s="6">
        <v>80</v>
      </c>
      <c r="G4" s="6">
        <v>90</v>
      </c>
      <c r="H4" s="12">
        <v>100</v>
      </c>
      <c r="I4" s="6">
        <v>3</v>
      </c>
      <c r="K4" s="37">
        <v>601</v>
      </c>
      <c r="L4" s="32">
        <v>45</v>
      </c>
      <c r="M4" s="32">
        <v>80</v>
      </c>
      <c r="N4" s="32">
        <v>90</v>
      </c>
      <c r="O4" s="32">
        <v>105</v>
      </c>
    </row>
    <row r="5" spans="2:16" x14ac:dyDescent="0.25">
      <c r="B5" s="10" t="s">
        <v>42</v>
      </c>
      <c r="C5" s="23" t="s">
        <v>43</v>
      </c>
      <c r="D5" s="23" t="s">
        <v>45</v>
      </c>
      <c r="E5" s="6">
        <v>80</v>
      </c>
      <c r="F5" s="6">
        <v>90</v>
      </c>
      <c r="G5" s="6">
        <v>100</v>
      </c>
      <c r="H5" s="12">
        <v>110</v>
      </c>
      <c r="I5" s="6">
        <v>4</v>
      </c>
      <c r="K5" s="37">
        <v>1001</v>
      </c>
      <c r="L5" s="32">
        <v>50</v>
      </c>
      <c r="M5" s="32">
        <v>90</v>
      </c>
      <c r="N5" s="32">
        <v>100</v>
      </c>
      <c r="O5" s="32">
        <v>115</v>
      </c>
    </row>
    <row r="6" spans="2:16" x14ac:dyDescent="0.25">
      <c r="B6" s="16" t="s">
        <v>46</v>
      </c>
      <c r="C6" s="24" t="s">
        <v>43</v>
      </c>
      <c r="D6" s="24" t="s">
        <v>47</v>
      </c>
      <c r="E6" s="17">
        <v>95</v>
      </c>
      <c r="F6" s="17">
        <v>105</v>
      </c>
      <c r="G6" s="17">
        <v>115</v>
      </c>
      <c r="H6" s="18">
        <v>125</v>
      </c>
      <c r="I6" s="17">
        <v>5</v>
      </c>
      <c r="K6" s="38">
        <v>1300</v>
      </c>
      <c r="L6" s="34">
        <v>55</v>
      </c>
      <c r="M6" s="34">
        <v>100</v>
      </c>
      <c r="N6" s="34">
        <v>110</v>
      </c>
      <c r="O6" s="34">
        <v>125</v>
      </c>
    </row>
    <row r="8" spans="2:16" x14ac:dyDescent="0.25">
      <c r="K8" s="33" t="s">
        <v>50</v>
      </c>
      <c r="L8" s="33" t="s">
        <v>37</v>
      </c>
      <c r="M8" s="33" t="s">
        <v>40</v>
      </c>
      <c r="N8" s="33" t="s">
        <v>42</v>
      </c>
      <c r="O8" s="33" t="s">
        <v>46</v>
      </c>
      <c r="P8" s="33" t="s">
        <v>49</v>
      </c>
    </row>
    <row r="9" spans="2:16" x14ac:dyDescent="0.25">
      <c r="K9" s="39">
        <f>Facture!C10</f>
        <v>850</v>
      </c>
      <c r="L9" s="35">
        <f>IF(Facture!$B$16=Paramètres!L$2,VLOOKUP($K$9,$K$3:$O$6,2,1),0)</f>
        <v>0</v>
      </c>
      <c r="M9" s="35">
        <f>IF(Facture!$B$16=Paramètres!M$2,VLOOKUP($K$9,$K$3:$O$6,3,1),0)</f>
        <v>0</v>
      </c>
      <c r="N9" s="35">
        <f>IF(Facture!$B$16=Paramètres!N$2,VLOOKUP($K$9,$K$3:$O$6,4,1),0)</f>
        <v>90</v>
      </c>
      <c r="O9" s="35">
        <f>IF(Facture!$B$16=Paramètres!O$2,VLOOKUP($K$9,$K$3:$O$6,5,1),0)</f>
        <v>0</v>
      </c>
      <c r="P9" s="42">
        <f>SUM(L9:O9)</f>
        <v>90</v>
      </c>
    </row>
    <row r="10" spans="2:16" x14ac:dyDescent="0.25">
      <c r="K10" s="46"/>
      <c r="L10" s="21"/>
      <c r="M10" s="21"/>
      <c r="N10" s="21"/>
      <c r="O10" s="21"/>
      <c r="P10" s="47"/>
    </row>
    <row r="11" spans="2:16" x14ac:dyDescent="0.25">
      <c r="K11" s="46"/>
      <c r="L11" s="21"/>
      <c r="M11" s="21"/>
      <c r="N11" s="21"/>
      <c r="O11" s="21"/>
      <c r="P11" s="47"/>
    </row>
    <row r="12" spans="2:16" ht="28.5" x14ac:dyDescent="0.45">
      <c r="B12" s="154" t="s">
        <v>12</v>
      </c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</row>
    <row r="13" spans="2:16" x14ac:dyDescent="0.25">
      <c r="B13" s="13" t="s">
        <v>0</v>
      </c>
      <c r="C13" s="14" t="s">
        <v>36</v>
      </c>
      <c r="D13" s="14" t="s">
        <v>48</v>
      </c>
      <c r="E13" s="14" t="s">
        <v>4</v>
      </c>
      <c r="F13" s="14" t="s">
        <v>5</v>
      </c>
      <c r="G13" s="14" t="s">
        <v>6</v>
      </c>
      <c r="H13" s="15" t="s">
        <v>7</v>
      </c>
      <c r="I13" s="89" t="s">
        <v>64</v>
      </c>
      <c r="K13" s="33" t="s">
        <v>50</v>
      </c>
      <c r="L13" s="33" t="s">
        <v>37</v>
      </c>
      <c r="M13" s="33" t="s">
        <v>40</v>
      </c>
      <c r="N13" s="33" t="s">
        <v>42</v>
      </c>
      <c r="O13" s="33" t="s">
        <v>46</v>
      </c>
    </row>
    <row r="14" spans="2:16" x14ac:dyDescent="0.25">
      <c r="B14" s="8" t="s">
        <v>37</v>
      </c>
      <c r="C14" s="22" t="s">
        <v>38</v>
      </c>
      <c r="D14" s="22" t="s">
        <v>39</v>
      </c>
      <c r="E14" s="7">
        <v>70</v>
      </c>
      <c r="F14" s="7">
        <v>75</v>
      </c>
      <c r="G14" s="7">
        <v>80</v>
      </c>
      <c r="H14" s="11">
        <v>95</v>
      </c>
      <c r="I14" s="90">
        <v>2</v>
      </c>
      <c r="K14" s="36">
        <v>0</v>
      </c>
      <c r="L14" s="31">
        <v>70</v>
      </c>
      <c r="M14" s="31">
        <v>100</v>
      </c>
      <c r="N14" s="31">
        <v>110</v>
      </c>
      <c r="O14" s="31">
        <v>125</v>
      </c>
    </row>
    <row r="15" spans="2:16" x14ac:dyDescent="0.25">
      <c r="B15" s="9" t="s">
        <v>40</v>
      </c>
      <c r="C15" s="23" t="s">
        <v>44</v>
      </c>
      <c r="D15" s="23" t="s">
        <v>41</v>
      </c>
      <c r="E15" s="6">
        <v>100</v>
      </c>
      <c r="F15" s="6">
        <v>110</v>
      </c>
      <c r="G15" s="6">
        <v>120</v>
      </c>
      <c r="H15" s="12">
        <v>130</v>
      </c>
      <c r="I15" s="91">
        <v>3</v>
      </c>
      <c r="K15" s="37">
        <v>601</v>
      </c>
      <c r="L15" s="32">
        <v>75</v>
      </c>
      <c r="M15" s="32">
        <v>110</v>
      </c>
      <c r="N15" s="32">
        <v>120</v>
      </c>
      <c r="O15" s="32">
        <v>135</v>
      </c>
    </row>
    <row r="16" spans="2:16" x14ac:dyDescent="0.25">
      <c r="B16" s="10" t="s">
        <v>42</v>
      </c>
      <c r="C16" s="23" t="s">
        <v>43</v>
      </c>
      <c r="D16" s="23" t="s">
        <v>45</v>
      </c>
      <c r="E16" s="6">
        <v>110</v>
      </c>
      <c r="F16" s="6">
        <v>120</v>
      </c>
      <c r="G16" s="6">
        <v>130</v>
      </c>
      <c r="H16" s="12">
        <v>140</v>
      </c>
      <c r="I16" s="91">
        <v>4</v>
      </c>
      <c r="K16" s="37">
        <v>1001</v>
      </c>
      <c r="L16" s="32">
        <v>80</v>
      </c>
      <c r="M16" s="32">
        <v>120</v>
      </c>
      <c r="N16" s="32">
        <v>130</v>
      </c>
      <c r="O16" s="32">
        <v>145</v>
      </c>
    </row>
    <row r="17" spans="2:16" x14ac:dyDescent="0.25">
      <c r="B17" s="16" t="s">
        <v>46</v>
      </c>
      <c r="C17" s="24" t="s">
        <v>43</v>
      </c>
      <c r="D17" s="24" t="s">
        <v>47</v>
      </c>
      <c r="E17" s="17">
        <v>125</v>
      </c>
      <c r="F17" s="17">
        <v>135</v>
      </c>
      <c r="G17" s="17">
        <v>145</v>
      </c>
      <c r="H17" s="18">
        <v>155</v>
      </c>
      <c r="I17" s="92">
        <v>5</v>
      </c>
      <c r="K17" s="38">
        <v>1300</v>
      </c>
      <c r="L17" s="34">
        <v>95</v>
      </c>
      <c r="M17" s="34">
        <v>130</v>
      </c>
      <c r="N17" s="34">
        <v>140</v>
      </c>
      <c r="O17" s="34">
        <v>155</v>
      </c>
    </row>
    <row r="19" spans="2:16" x14ac:dyDescent="0.25">
      <c r="K19" s="30" t="s">
        <v>50</v>
      </c>
      <c r="L19" s="30" t="s">
        <v>37</v>
      </c>
      <c r="M19" s="30" t="s">
        <v>40</v>
      </c>
      <c r="N19" s="30" t="s">
        <v>42</v>
      </c>
      <c r="O19" s="30" t="s">
        <v>46</v>
      </c>
      <c r="P19" s="30" t="s">
        <v>49</v>
      </c>
    </row>
    <row r="20" spans="2:16" x14ac:dyDescent="0.25">
      <c r="K20" s="43">
        <f>Tableau7[QF]</f>
        <v>850</v>
      </c>
      <c r="L20" s="44">
        <f>IF(Facture!$B$16=Paramètres!L$13,VLOOKUP($K$20,$K$14:$O$17,2,1),0)</f>
        <v>0</v>
      </c>
      <c r="M20" s="44">
        <f>IF(Facture!$B$16=Paramètres!M$13,VLOOKUP($K$20,$K$14:$O$17,3,1),0)</f>
        <v>0</v>
      </c>
      <c r="N20" s="44">
        <f>IF(Facture!$B$16=Paramètres!N$13,VLOOKUP($K$20,$K$14:$O$17,4,1),0)</f>
        <v>120</v>
      </c>
      <c r="O20" s="44">
        <f>IF(Facture!$B$16=Paramètres!O$13,VLOOKUP($K$20,$K$14:$O$17,5,1),0)</f>
        <v>0</v>
      </c>
      <c r="P20" s="45">
        <f>SUM(L20:O20)</f>
        <v>120</v>
      </c>
    </row>
    <row r="23" spans="2:16" x14ac:dyDescent="0.25">
      <c r="C23" s="152" t="s">
        <v>56</v>
      </c>
      <c r="D23" s="153"/>
      <c r="E23" s="48" t="s">
        <v>4</v>
      </c>
      <c r="F23" s="48" t="s">
        <v>5</v>
      </c>
      <c r="G23" s="48" t="s">
        <v>6</v>
      </c>
      <c r="H23" s="49" t="s">
        <v>7</v>
      </c>
      <c r="K23" s="150" t="s">
        <v>2</v>
      </c>
      <c r="L23" s="150"/>
      <c r="M23" s="150"/>
    </row>
    <row r="24" spans="2:16" x14ac:dyDescent="0.25">
      <c r="C24" s="149" t="s">
        <v>2</v>
      </c>
      <c r="D24" s="149"/>
      <c r="E24" s="149"/>
      <c r="F24" s="149"/>
      <c r="G24" s="149"/>
      <c r="H24" s="149"/>
      <c r="I24" s="93"/>
      <c r="K24" s="30" t="s">
        <v>50</v>
      </c>
      <c r="L24" s="30" t="s">
        <v>8</v>
      </c>
      <c r="M24" s="30" t="s">
        <v>9</v>
      </c>
    </row>
    <row r="25" spans="2:16" x14ac:dyDescent="0.25">
      <c r="C25" s="151" t="s">
        <v>8</v>
      </c>
      <c r="D25" s="151"/>
      <c r="E25" s="53">
        <v>9</v>
      </c>
      <c r="F25" s="53">
        <v>12</v>
      </c>
      <c r="G25" s="53">
        <v>13.5</v>
      </c>
      <c r="H25" s="53">
        <v>15</v>
      </c>
      <c r="I25" s="94"/>
      <c r="K25" s="36">
        <v>0</v>
      </c>
      <c r="L25" s="50">
        <v>9</v>
      </c>
      <c r="M25" s="50">
        <v>42</v>
      </c>
    </row>
    <row r="26" spans="2:16" x14ac:dyDescent="0.25">
      <c r="C26" s="148" t="s">
        <v>9</v>
      </c>
      <c r="D26" s="148"/>
      <c r="E26" s="54">
        <v>42</v>
      </c>
      <c r="F26" s="54">
        <v>57</v>
      </c>
      <c r="G26" s="54">
        <v>64</v>
      </c>
      <c r="H26" s="54">
        <v>71</v>
      </c>
      <c r="I26" s="94"/>
      <c r="K26" s="37">
        <v>601</v>
      </c>
      <c r="L26" s="51">
        <v>12</v>
      </c>
      <c r="M26" s="51">
        <v>57</v>
      </c>
    </row>
    <row r="27" spans="2:16" x14ac:dyDescent="0.25">
      <c r="C27" s="149" t="s">
        <v>12</v>
      </c>
      <c r="D27" s="149"/>
      <c r="E27" s="149"/>
      <c r="F27" s="149"/>
      <c r="G27" s="149"/>
      <c r="H27" s="149"/>
      <c r="I27" s="93"/>
      <c r="K27" s="37">
        <v>1001</v>
      </c>
      <c r="L27" s="51">
        <v>13.5</v>
      </c>
      <c r="M27" s="51">
        <v>64</v>
      </c>
    </row>
    <row r="28" spans="2:16" x14ac:dyDescent="0.25">
      <c r="C28" s="151" t="s">
        <v>8</v>
      </c>
      <c r="D28" s="151"/>
      <c r="E28" s="53">
        <v>9.5</v>
      </c>
      <c r="F28" s="53">
        <v>18</v>
      </c>
      <c r="G28" s="53">
        <v>19.5</v>
      </c>
      <c r="H28" s="53">
        <v>21</v>
      </c>
      <c r="I28" s="94"/>
      <c r="K28" s="40">
        <v>1300</v>
      </c>
      <c r="L28" s="52">
        <v>15</v>
      </c>
      <c r="M28" s="52">
        <v>71</v>
      </c>
    </row>
    <row r="29" spans="2:16" x14ac:dyDescent="0.25">
      <c r="C29" s="148" t="s">
        <v>9</v>
      </c>
      <c r="D29" s="148"/>
      <c r="E29" s="54">
        <v>45</v>
      </c>
      <c r="F29" s="54">
        <v>87</v>
      </c>
      <c r="G29" s="54">
        <v>94</v>
      </c>
      <c r="H29" s="54">
        <v>101</v>
      </c>
      <c r="I29" s="94"/>
      <c r="K29" s="55">
        <f>K20</f>
        <v>850</v>
      </c>
      <c r="L29" s="56">
        <f>VLOOKUP($K29,K25:M28,2,1)</f>
        <v>12</v>
      </c>
      <c r="M29" s="56">
        <f>VLOOKUP($K29,K25:M28,3,1)</f>
        <v>57</v>
      </c>
    </row>
    <row r="30" spans="2:16" x14ac:dyDescent="0.25">
      <c r="K30" s="150" t="s">
        <v>12</v>
      </c>
      <c r="L30" s="150"/>
      <c r="M30" s="150"/>
    </row>
    <row r="31" spans="2:16" x14ac:dyDescent="0.25">
      <c r="K31" s="30" t="s">
        <v>50</v>
      </c>
      <c r="L31" s="30" t="s">
        <v>8</v>
      </c>
      <c r="M31" s="30" t="s">
        <v>9</v>
      </c>
    </row>
    <row r="32" spans="2:16" x14ac:dyDescent="0.25">
      <c r="K32" s="36">
        <v>0</v>
      </c>
      <c r="L32" s="50">
        <v>9.5</v>
      </c>
      <c r="M32" s="50">
        <v>45</v>
      </c>
    </row>
    <row r="33" spans="2:13" x14ac:dyDescent="0.25">
      <c r="K33" s="37">
        <v>601</v>
      </c>
      <c r="L33" s="51">
        <v>18</v>
      </c>
      <c r="M33" s="51">
        <v>87</v>
      </c>
    </row>
    <row r="34" spans="2:13" x14ac:dyDescent="0.25">
      <c r="K34" s="37">
        <v>1001</v>
      </c>
      <c r="L34" s="51">
        <v>19.5</v>
      </c>
      <c r="M34" s="51">
        <v>94</v>
      </c>
    </row>
    <row r="35" spans="2:13" x14ac:dyDescent="0.25">
      <c r="K35" s="40">
        <v>1300</v>
      </c>
      <c r="L35" s="52">
        <v>21</v>
      </c>
      <c r="M35" s="52">
        <v>101</v>
      </c>
    </row>
    <row r="36" spans="2:13" x14ac:dyDescent="0.25">
      <c r="K36" s="55">
        <f>K29</f>
        <v>850</v>
      </c>
      <c r="L36" s="56">
        <f>VLOOKUP($K36,K32:M35,2,1)</f>
        <v>18</v>
      </c>
      <c r="M36" s="56">
        <f>VLOOKUP($K36,K32:M35,3,1)</f>
        <v>87</v>
      </c>
    </row>
    <row r="37" spans="2:13" x14ac:dyDescent="0.25">
      <c r="B37" s="103"/>
      <c r="C37" s="104"/>
    </row>
    <row r="38" spans="2:13" x14ac:dyDescent="0.25">
      <c r="B38" s="105" t="s">
        <v>56</v>
      </c>
      <c r="C38" s="104"/>
      <c r="K38" s="57" t="s">
        <v>49</v>
      </c>
      <c r="L38" s="58">
        <f>IF(Facture!$C$11="Oui",Paramètres!L29,Paramètres!L36)</f>
        <v>12</v>
      </c>
      <c r="M38" s="58">
        <f>IF(Facture!$C$11="Oui",Paramètres!M29,Paramètres!M36)</f>
        <v>57</v>
      </c>
    </row>
    <row r="39" spans="2:13" x14ac:dyDescent="0.25">
      <c r="B39" s="21" t="s">
        <v>8</v>
      </c>
      <c r="C39" s="21"/>
    </row>
    <row r="40" spans="2:13" x14ac:dyDescent="0.25">
      <c r="B40" s="21" t="s">
        <v>9</v>
      </c>
      <c r="C40" s="21"/>
    </row>
    <row r="41" spans="2:13" x14ac:dyDescent="0.25">
      <c r="B41" s="103"/>
      <c r="C41" s="104"/>
    </row>
    <row r="42" spans="2:13" x14ac:dyDescent="0.25">
      <c r="C42" s="104"/>
    </row>
    <row r="43" spans="2:13" x14ac:dyDescent="0.25">
      <c r="C43" s="104"/>
    </row>
    <row r="44" spans="2:13" x14ac:dyDescent="0.25">
      <c r="C44" s="104"/>
    </row>
    <row r="45" spans="2:13" x14ac:dyDescent="0.25">
      <c r="C45" s="104"/>
    </row>
  </sheetData>
  <mergeCells count="11">
    <mergeCell ref="B1:P1"/>
    <mergeCell ref="B12:P12"/>
    <mergeCell ref="C29:D29"/>
    <mergeCell ref="C27:H27"/>
    <mergeCell ref="C24:H24"/>
    <mergeCell ref="K23:M23"/>
    <mergeCell ref="K30:M30"/>
    <mergeCell ref="C28:D28"/>
    <mergeCell ref="C25:D25"/>
    <mergeCell ref="C26:D26"/>
    <mergeCell ref="C23:D23"/>
  </mergeCell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Feuil1</vt:lpstr>
      <vt:lpstr>Base de données</vt:lpstr>
      <vt:lpstr>Planning</vt:lpstr>
      <vt:lpstr>Facture</vt:lpstr>
      <vt:lpstr>Paramètres</vt:lpstr>
      <vt:lpstr>L_Nom</vt:lpstr>
      <vt:lpstr>L_Péricentre</vt:lpstr>
      <vt:lpstr>L_Prestations</vt:lpstr>
      <vt:lpstr>Péricentre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Marie-Line</dc:creator>
  <cp:lastModifiedBy>JoDan</cp:lastModifiedBy>
  <cp:lastPrinted>2019-05-15T13:44:03Z</cp:lastPrinted>
  <dcterms:created xsi:type="dcterms:W3CDTF">2019-04-19T12:12:37Z</dcterms:created>
  <dcterms:modified xsi:type="dcterms:W3CDTF">2019-08-12T10:44:27Z</dcterms:modified>
</cp:coreProperties>
</file>