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71331377-3655-4CD3-B887-7E6C0697A5BA}" xr6:coauthVersionLast="47" xr6:coauthVersionMax="47" xr10:uidLastSave="{00000000-0000-0000-0000-000000000000}"/>
  <bookViews>
    <workbookView xWindow="-108" yWindow="-108" windowWidth="23256" windowHeight="12576" xr2:uid="{CD132BAD-9B80-4529-8F56-0C4891AA67A2}"/>
  </bookViews>
  <sheets>
    <sheet name="Agenda" sheetId="2" r:id="rId1"/>
    <sheet name="Paramètres" sheetId="1" r:id="rId2"/>
  </sheets>
  <definedNames>
    <definedName name="_xlnm._FilterDatabase" localSheetId="0" hidden="1">Agenda!$B$6:$D$112</definedName>
    <definedName name="Annee">YEAR(Agenda!$C$2)</definedName>
    <definedName name="DebPer">Agenda!$C$2</definedName>
    <definedName name="DebVac">DataGouv[Début]</definedName>
    <definedName name="DonnéesExternes_1" localSheetId="1" hidden="1">Paramètres!$G$2:$I$9</definedName>
    <definedName name="Feries">Agenda!$C$7:$C$32</definedName>
    <definedName name="FinVac">DataGouv[Fin]</definedName>
    <definedName name="l_Evenement">Agenda!$B$7:$B$112</definedName>
    <definedName name="l_IdDate">Agenda!$D$7:$D$112</definedName>
    <definedName name="l_Mois">t_Mois[Mois]</definedName>
    <definedName name="Mois">Agenda!$C$4</definedName>
    <definedName name="PremJourMois">Paramètres!$E$2</definedName>
    <definedName name="Zone">Agenda!$C$3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B67" i="2" l="1"/>
  <c r="B83" i="2"/>
  <c r="B57" i="2"/>
  <c r="B58" i="2"/>
  <c r="B59" i="2"/>
  <c r="B60" i="2"/>
  <c r="B61" i="2"/>
  <c r="B62" i="2"/>
  <c r="B63" i="2"/>
  <c r="B64" i="2"/>
  <c r="B65" i="2"/>
  <c r="B66" i="2"/>
  <c r="B68" i="2"/>
  <c r="B69" i="2"/>
  <c r="B70" i="2"/>
  <c r="B71" i="2"/>
  <c r="B72" i="2"/>
  <c r="B73" i="2"/>
  <c r="B74" i="2"/>
  <c r="B75" i="2"/>
  <c r="B76" i="2"/>
  <c r="B77" i="2"/>
  <c r="C77" i="2"/>
  <c r="B78" i="2"/>
  <c r="B79" i="2"/>
  <c r="C79" i="2"/>
  <c r="B80" i="2"/>
  <c r="B81" i="2"/>
  <c r="B82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I40" i="2"/>
  <c r="C66" i="2" s="1"/>
  <c r="I51" i="2"/>
  <c r="I52" i="2"/>
  <c r="C78" i="2" s="1"/>
  <c r="I53" i="2"/>
  <c r="I31" i="2"/>
  <c r="C57" i="2" s="1"/>
  <c r="G32" i="2"/>
  <c r="M7" i="2"/>
  <c r="G33" i="2" l="1"/>
  <c r="I32" i="2"/>
  <c r="C58" i="2" s="1"/>
  <c r="I30" i="2" a="1"/>
  <c r="I30" i="2" s="1"/>
  <c r="I27" i="2" a="1"/>
  <c r="I27" i="2" s="1"/>
  <c r="I26" i="2" a="1"/>
  <c r="I26" i="2" s="1"/>
  <c r="I25" i="2" a="1"/>
  <c r="I25" i="2" s="1"/>
  <c r="I24" i="2" a="1"/>
  <c r="I24" i="2" s="1"/>
  <c r="I22" i="2" a="1"/>
  <c r="I22" i="2" s="1"/>
  <c r="I21" i="2" a="1"/>
  <c r="I21" i="2" s="1"/>
  <c r="I20" i="2" a="1"/>
  <c r="I20" i="2" s="1"/>
  <c r="I7" i="2" a="1"/>
  <c r="I7" i="2" s="1"/>
  <c r="C32" i="2" a="1"/>
  <c r="C32" i="2" s="1"/>
  <c r="C31" i="2" a="1"/>
  <c r="C31" i="2" s="1"/>
  <c r="C30" i="2" a="1"/>
  <c r="C30" i="2" s="1"/>
  <c r="C29" i="2" a="1"/>
  <c r="C29" i="2" s="1"/>
  <c r="C28" i="2" a="1"/>
  <c r="C28" i="2" s="1"/>
  <c r="C24" i="2" a="1"/>
  <c r="C24" i="2" s="1"/>
  <c r="C23" i="2" a="1"/>
  <c r="C23" i="2" s="1"/>
  <c r="C21" i="2" a="1"/>
  <c r="C21" i="2" s="1"/>
  <c r="C20" i="2" a="1"/>
  <c r="C20" i="2" s="1"/>
  <c r="C19" i="2" a="1"/>
  <c r="C19" i="2" s="1"/>
  <c r="C18" i="2" a="1"/>
  <c r="C18" i="2" s="1"/>
  <c r="C17" i="2" a="1"/>
  <c r="C17" i="2" s="1"/>
  <c r="C16" i="2" a="1"/>
  <c r="C16" i="2" s="1"/>
  <c r="C15" i="2" a="1"/>
  <c r="C15" i="2" s="1"/>
  <c r="C11" i="2" a="1"/>
  <c r="C11" i="2" s="1"/>
  <c r="C10" i="2" a="1"/>
  <c r="C10" i="2" s="1"/>
  <c r="C8" i="2" a="1"/>
  <c r="C8" i="2" s="1"/>
  <c r="C7" i="2" a="1"/>
  <c r="C7" i="2" s="1"/>
  <c r="D7" i="2" s="1"/>
  <c r="E2" i="1"/>
  <c r="G34" i="2" l="1"/>
  <c r="I33" i="2"/>
  <c r="C59" i="2" s="1"/>
  <c r="D8" i="2"/>
  <c r="Q7" i="2"/>
  <c r="G35" i="2" l="1"/>
  <c r="I34" i="2"/>
  <c r="C60" i="2" s="1"/>
  <c r="B55" i="2"/>
  <c r="B56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C54" i="2"/>
  <c r="B33" i="2"/>
  <c r="G36" i="2" l="1"/>
  <c r="I35" i="2"/>
  <c r="C61" i="2" s="1"/>
  <c r="K10" i="2"/>
  <c r="C56" i="2"/>
  <c r="C51" i="2"/>
  <c r="C47" i="2"/>
  <c r="I19" i="2"/>
  <c r="C45" i="2" s="1"/>
  <c r="I15" i="2"/>
  <c r="C41" i="2" s="1"/>
  <c r="I12" i="2"/>
  <c r="C38" i="2" s="1"/>
  <c r="I29" i="2"/>
  <c r="C55" i="2" s="1"/>
  <c r="C50" i="2"/>
  <c r="C46" i="2"/>
  <c r="I18" i="2"/>
  <c r="C44" i="2" s="1"/>
  <c r="I9" i="2"/>
  <c r="C35" i="2" s="1"/>
  <c r="I13" i="2"/>
  <c r="C39" i="2" s="1"/>
  <c r="C53" i="2"/>
  <c r="I23" i="2"/>
  <c r="C49" i="2" s="1"/>
  <c r="C33" i="2"/>
  <c r="I17" i="2"/>
  <c r="C43" i="2" s="1"/>
  <c r="I10" i="2"/>
  <c r="C36" i="2" s="1"/>
  <c r="I8" i="2"/>
  <c r="C34" i="2" s="1"/>
  <c r="C52" i="2"/>
  <c r="I14" i="2"/>
  <c r="C40" i="2" s="1"/>
  <c r="I16" i="2"/>
  <c r="C42" i="2" s="1"/>
  <c r="C48" i="2"/>
  <c r="I11" i="2"/>
  <c r="C37" i="2" s="1"/>
  <c r="G37" i="2" l="1"/>
  <c r="I36" i="2"/>
  <c r="C62" i="2" s="1"/>
  <c r="E4" i="1"/>
  <c r="E3" i="1"/>
  <c r="L10" i="2"/>
  <c r="C26" i="2"/>
  <c r="C13" i="2"/>
  <c r="C12" i="2"/>
  <c r="D61" i="2" s="1"/>
  <c r="C9" i="2"/>
  <c r="C14" i="2"/>
  <c r="C25" i="2"/>
  <c r="C27" i="2"/>
  <c r="C22" i="2"/>
  <c r="D62" i="2" l="1"/>
  <c r="D58" i="2"/>
  <c r="D57" i="2"/>
  <c r="D59" i="2"/>
  <c r="D60" i="2"/>
  <c r="G38" i="2"/>
  <c r="I37" i="2"/>
  <c r="C63" i="2" s="1"/>
  <c r="L15" i="2"/>
  <c r="D25" i="2"/>
  <c r="D13" i="2"/>
  <c r="D40" i="2"/>
  <c r="D36" i="2"/>
  <c r="D44" i="2"/>
  <c r="D43" i="2"/>
  <c r="D52" i="2"/>
  <c r="D39" i="2"/>
  <c r="D14" i="2"/>
  <c r="D26" i="2"/>
  <c r="D41" i="2"/>
  <c r="D42" i="2"/>
  <c r="D49" i="2"/>
  <c r="D47" i="2"/>
  <c r="D37" i="2"/>
  <c r="D22" i="2"/>
  <c r="D30" i="2"/>
  <c r="D9" i="2"/>
  <c r="D18" i="2"/>
  <c r="D28" i="2"/>
  <c r="D21" i="2"/>
  <c r="D15" i="2"/>
  <c r="D32" i="2"/>
  <c r="D29" i="2"/>
  <c r="D19" i="2"/>
  <c r="D16" i="2"/>
  <c r="D10" i="2"/>
  <c r="D11" i="2"/>
  <c r="D24" i="2"/>
  <c r="D20" i="2"/>
  <c r="D17" i="2"/>
  <c r="D23" i="2"/>
  <c r="D31" i="2"/>
  <c r="D54" i="2"/>
  <c r="D46" i="2"/>
  <c r="D51" i="2"/>
  <c r="D34" i="2"/>
  <c r="D35" i="2"/>
  <c r="D45" i="2"/>
  <c r="D55" i="2"/>
  <c r="D27" i="2"/>
  <c r="D12" i="2"/>
  <c r="D53" i="2"/>
  <c r="D38" i="2"/>
  <c r="D48" i="2"/>
  <c r="D33" i="2"/>
  <c r="D50" i="2"/>
  <c r="M10" i="2"/>
  <c r="D63" i="2" l="1"/>
  <c r="G39" i="2"/>
  <c r="I38" i="2"/>
  <c r="C64" i="2" s="1"/>
  <c r="D64" i="2" s="1"/>
  <c r="M15" i="2"/>
  <c r="K15" i="2"/>
  <c r="N10" i="2"/>
  <c r="G41" i="2" l="1"/>
  <c r="I39" i="2"/>
  <c r="C65" i="2" s="1"/>
  <c r="N15" i="2"/>
  <c r="O10" i="2"/>
  <c r="D65" i="2" l="1"/>
  <c r="D66" i="2"/>
  <c r="G42" i="2"/>
  <c r="I41" i="2"/>
  <c r="C67" i="2" s="1"/>
  <c r="D67" i="2" s="1"/>
  <c r="O15" i="2"/>
  <c r="P10" i="2"/>
  <c r="G43" i="2" l="1"/>
  <c r="I42" i="2"/>
  <c r="C68" i="2" s="1"/>
  <c r="P15" i="2"/>
  <c r="Q10" i="2"/>
  <c r="D68" i="2" l="1"/>
  <c r="G44" i="2"/>
  <c r="I43" i="2"/>
  <c r="C69" i="2" s="1"/>
  <c r="D69" i="2" s="1"/>
  <c r="Q15" i="2"/>
  <c r="K16" i="2"/>
  <c r="G45" i="2" l="1"/>
  <c r="I44" i="2"/>
  <c r="C70" i="2" s="1"/>
  <c r="D70" i="2" s="1"/>
  <c r="K21" i="2"/>
  <c r="L16" i="2"/>
  <c r="G46" i="2" l="1"/>
  <c r="I45" i="2"/>
  <c r="C71" i="2" s="1"/>
  <c r="D71" i="2" s="1"/>
  <c r="L21" i="2"/>
  <c r="M16" i="2"/>
  <c r="G47" i="2" l="1"/>
  <c r="I46" i="2"/>
  <c r="C72" i="2" s="1"/>
  <c r="D72" i="2" s="1"/>
  <c r="M21" i="2"/>
  <c r="N16" i="2"/>
  <c r="G48" i="2" l="1"/>
  <c r="I47" i="2"/>
  <c r="C73" i="2" s="1"/>
  <c r="D73" i="2" s="1"/>
  <c r="N21" i="2"/>
  <c r="O16" i="2"/>
  <c r="G49" i="2" l="1"/>
  <c r="I48" i="2"/>
  <c r="C74" i="2" s="1"/>
  <c r="D74" i="2" s="1"/>
  <c r="O21" i="2"/>
  <c r="P16" i="2"/>
  <c r="G50" i="2" l="1"/>
  <c r="I49" i="2"/>
  <c r="C75" i="2" s="1"/>
  <c r="D75" i="2" s="1"/>
  <c r="P21" i="2"/>
  <c r="Q16" i="2"/>
  <c r="G54" i="2" l="1"/>
  <c r="I50" i="2"/>
  <c r="C76" i="2" s="1"/>
  <c r="Q21" i="2"/>
  <c r="K22" i="2"/>
  <c r="D76" i="2" l="1"/>
  <c r="D79" i="2"/>
  <c r="D77" i="2"/>
  <c r="D78" i="2"/>
  <c r="G55" i="2"/>
  <c r="I54" i="2"/>
  <c r="C80" i="2" s="1"/>
  <c r="D80" i="2" s="1"/>
  <c r="K27" i="2"/>
  <c r="L22" i="2"/>
  <c r="G56" i="2" l="1"/>
  <c r="I55" i="2"/>
  <c r="C81" i="2" s="1"/>
  <c r="D81" i="2" s="1"/>
  <c r="L27" i="2"/>
  <c r="M22" i="2"/>
  <c r="G57" i="2" l="1"/>
  <c r="I56" i="2"/>
  <c r="C82" i="2" s="1"/>
  <c r="D82" i="2" s="1"/>
  <c r="M27" i="2"/>
  <c r="N22" i="2"/>
  <c r="G58" i="2" l="1"/>
  <c r="I57" i="2"/>
  <c r="C83" i="2" s="1"/>
  <c r="D83" i="2" s="1"/>
  <c r="N27" i="2"/>
  <c r="O22" i="2"/>
  <c r="G59" i="2" l="1"/>
  <c r="I58" i="2"/>
  <c r="C84" i="2" s="1"/>
  <c r="D84" i="2" s="1"/>
  <c r="O27" i="2"/>
  <c r="P22" i="2"/>
  <c r="G60" i="2" l="1"/>
  <c r="I59" i="2"/>
  <c r="C85" i="2" s="1"/>
  <c r="D85" i="2" s="1"/>
  <c r="P27" i="2"/>
  <c r="P23" i="2"/>
  <c r="Q22" i="2"/>
  <c r="G61" i="2" l="1"/>
  <c r="I60" i="2"/>
  <c r="C86" i="2" s="1"/>
  <c r="D86" i="2" s="1"/>
  <c r="Q27" i="2"/>
  <c r="K28" i="2"/>
  <c r="G62" i="2" l="1"/>
  <c r="I61" i="2"/>
  <c r="C87" i="2" s="1"/>
  <c r="D87" i="2" s="1"/>
  <c r="K33" i="2"/>
  <c r="L28" i="2"/>
  <c r="G63" i="2" l="1"/>
  <c r="I62" i="2"/>
  <c r="C88" i="2" s="1"/>
  <c r="D88" i="2" s="1"/>
  <c r="L33" i="2"/>
  <c r="M28" i="2"/>
  <c r="G64" i="2" l="1"/>
  <c r="I63" i="2"/>
  <c r="C89" i="2" s="1"/>
  <c r="D89" i="2" s="1"/>
  <c r="M33" i="2"/>
  <c r="N28" i="2"/>
  <c r="G65" i="2" l="1"/>
  <c r="I64" i="2"/>
  <c r="C90" i="2" s="1"/>
  <c r="D90" i="2" s="1"/>
  <c r="N33" i="2"/>
  <c r="O28" i="2"/>
  <c r="G66" i="2" l="1"/>
  <c r="I65" i="2"/>
  <c r="C91" i="2" s="1"/>
  <c r="D91" i="2" s="1"/>
  <c r="O33" i="2"/>
  <c r="P28" i="2"/>
  <c r="G67" i="2" l="1"/>
  <c r="I66" i="2"/>
  <c r="C92" i="2" s="1"/>
  <c r="D92" i="2" s="1"/>
  <c r="P33" i="2"/>
  <c r="Q28" i="2"/>
  <c r="G68" i="2" l="1"/>
  <c r="I67" i="2"/>
  <c r="C93" i="2" s="1"/>
  <c r="D93" i="2" s="1"/>
  <c r="Q33" i="2"/>
  <c r="K34" i="2"/>
  <c r="G69" i="2" l="1"/>
  <c r="I68" i="2"/>
  <c r="C94" i="2" s="1"/>
  <c r="D94" i="2" s="1"/>
  <c r="L34" i="2"/>
  <c r="K39" i="2"/>
  <c r="G70" i="2" l="1"/>
  <c r="I69" i="2"/>
  <c r="C95" i="2" s="1"/>
  <c r="D95" i="2" s="1"/>
  <c r="L39" i="2"/>
  <c r="M34" i="2"/>
  <c r="G71" i="2" l="1"/>
  <c r="I70" i="2"/>
  <c r="C96" i="2" s="1"/>
  <c r="D96" i="2" s="1"/>
  <c r="M39" i="2"/>
  <c r="N34" i="2"/>
  <c r="G72" i="2" l="1"/>
  <c r="I71" i="2"/>
  <c r="C97" i="2" s="1"/>
  <c r="D97" i="2" s="1"/>
  <c r="N39" i="2"/>
  <c r="N35" i="2"/>
  <c r="O34" i="2"/>
  <c r="G73" i="2" l="1"/>
  <c r="I72" i="2"/>
  <c r="C98" i="2" s="1"/>
  <c r="D98" i="2" s="1"/>
  <c r="O39" i="2"/>
  <c r="P34" i="2"/>
  <c r="G74" i="2" l="1"/>
  <c r="I73" i="2"/>
  <c r="C99" i="2" s="1"/>
  <c r="D99" i="2" s="1"/>
  <c r="P39" i="2"/>
  <c r="Q34" i="2"/>
  <c r="G75" i="2" l="1"/>
  <c r="I74" i="2"/>
  <c r="C100" i="2" s="1"/>
  <c r="D100" i="2" s="1"/>
  <c r="Q39" i="2"/>
  <c r="K40" i="2"/>
  <c r="G76" i="2" l="1"/>
  <c r="I75" i="2"/>
  <c r="C101" i="2" s="1"/>
  <c r="D101" i="2" s="1"/>
  <c r="L40" i="2"/>
  <c r="K45" i="2"/>
  <c r="G77" i="2" l="1"/>
  <c r="I76" i="2"/>
  <c r="C102" i="2" s="1"/>
  <c r="D102" i="2" s="1"/>
  <c r="L45" i="2"/>
  <c r="M40" i="2"/>
  <c r="G78" i="2" l="1"/>
  <c r="I77" i="2"/>
  <c r="C103" i="2" s="1"/>
  <c r="D103" i="2" s="1"/>
  <c r="M45" i="2"/>
  <c r="N40" i="2"/>
  <c r="G79" i="2" l="1"/>
  <c r="I78" i="2"/>
  <c r="C104" i="2" s="1"/>
  <c r="D104" i="2" s="1"/>
  <c r="N45" i="2"/>
  <c r="O40" i="2"/>
  <c r="G80" i="2" l="1"/>
  <c r="I79" i="2"/>
  <c r="C105" i="2" s="1"/>
  <c r="D105" i="2" s="1"/>
  <c r="O45" i="2"/>
  <c r="P40" i="2"/>
  <c r="G81" i="2" l="1"/>
  <c r="I80" i="2"/>
  <c r="C106" i="2" s="1"/>
  <c r="D106" i="2" s="1"/>
  <c r="P45" i="2"/>
  <c r="Q40" i="2"/>
  <c r="G82" i="2" l="1"/>
  <c r="I81" i="2"/>
  <c r="C107" i="2" s="1"/>
  <c r="D107" i="2" s="1"/>
  <c r="Q45" i="2"/>
  <c r="G83" i="2" l="1"/>
  <c r="I82" i="2"/>
  <c r="C108" i="2" s="1"/>
  <c r="D108" i="2" s="1"/>
  <c r="G84" i="2" l="1"/>
  <c r="I83" i="2"/>
  <c r="C109" i="2" s="1"/>
  <c r="D109" i="2" s="1"/>
  <c r="G85" i="2" l="1"/>
  <c r="I84" i="2"/>
  <c r="C110" i="2" s="1"/>
  <c r="D110" i="2" s="1"/>
  <c r="G86" i="2" l="1"/>
  <c r="I86" i="2" s="1"/>
  <c r="C112" i="2" s="1"/>
  <c r="I85" i="2"/>
  <c r="C111" i="2" s="1"/>
  <c r="D111" i="2" s="1"/>
  <c r="D112" i="2" l="1"/>
  <c r="D56" i="2"/>
  <c r="M14" i="2" l="1"/>
  <c r="M11" i="2"/>
  <c r="M13" i="2"/>
  <c r="L12" i="2"/>
  <c r="M12" i="2"/>
  <c r="K14" i="2"/>
  <c r="K13" i="2"/>
  <c r="L14" i="2"/>
  <c r="K12" i="2"/>
  <c r="L11" i="2"/>
  <c r="L13" i="2"/>
  <c r="K11" i="2"/>
  <c r="N13" i="2"/>
  <c r="N11" i="2"/>
  <c r="N14" i="2"/>
  <c r="N12" i="2"/>
  <c r="O12" i="2"/>
  <c r="O13" i="2"/>
  <c r="O11" i="2"/>
  <c r="O14" i="2"/>
  <c r="P12" i="2"/>
  <c r="P13" i="2"/>
  <c r="P11" i="2"/>
  <c r="P14" i="2"/>
  <c r="Q14" i="2"/>
  <c r="Q11" i="2"/>
  <c r="Q13" i="2"/>
  <c r="Q12" i="2"/>
  <c r="K18" i="2"/>
  <c r="K17" i="2"/>
  <c r="K20" i="2"/>
  <c r="K19" i="2"/>
  <c r="L19" i="2"/>
  <c r="L17" i="2"/>
  <c r="L18" i="2"/>
  <c r="L20" i="2"/>
  <c r="M17" i="2"/>
  <c r="M18" i="2"/>
  <c r="M19" i="2"/>
  <c r="M20" i="2"/>
  <c r="N18" i="2"/>
  <c r="N17" i="2"/>
  <c r="N20" i="2"/>
  <c r="N19" i="2"/>
  <c r="O19" i="2"/>
  <c r="O17" i="2"/>
  <c r="O18" i="2"/>
  <c r="O20" i="2"/>
  <c r="P20" i="2"/>
  <c r="P18" i="2"/>
  <c r="P19" i="2"/>
  <c r="P17" i="2"/>
  <c r="Q17" i="2"/>
  <c r="Q20" i="2"/>
  <c r="Q18" i="2"/>
  <c r="Q19" i="2"/>
  <c r="K24" i="2"/>
  <c r="K25" i="2"/>
  <c r="K26" i="2"/>
  <c r="K23" i="2"/>
  <c r="L26" i="2"/>
  <c r="L24" i="2"/>
  <c r="L25" i="2"/>
  <c r="L23" i="2"/>
  <c r="M25" i="2"/>
  <c r="M26" i="2"/>
  <c r="M23" i="2"/>
  <c r="M24" i="2"/>
  <c r="N25" i="2"/>
  <c r="N23" i="2"/>
  <c r="N24" i="2"/>
  <c r="N26" i="2"/>
  <c r="O23" i="2"/>
  <c r="O26" i="2"/>
  <c r="O24" i="2"/>
  <c r="O25" i="2"/>
  <c r="P24" i="2"/>
  <c r="P26" i="2"/>
  <c r="P25" i="2"/>
  <c r="Q25" i="2"/>
  <c r="Q24" i="2"/>
  <c r="Q23" i="2"/>
  <c r="Q26" i="2"/>
  <c r="K31" i="2"/>
  <c r="K32" i="2"/>
  <c r="K29" i="2"/>
  <c r="K30" i="2"/>
  <c r="L31" i="2"/>
  <c r="L29" i="2"/>
  <c r="L30" i="2"/>
  <c r="L32" i="2"/>
  <c r="M29" i="2"/>
  <c r="M32" i="2"/>
  <c r="M31" i="2"/>
  <c r="M30" i="2"/>
  <c r="N32" i="2"/>
  <c r="N30" i="2"/>
  <c r="N29" i="2"/>
  <c r="N31" i="2"/>
  <c r="O29" i="2"/>
  <c r="O31" i="2"/>
  <c r="O30" i="2"/>
  <c r="O32" i="2"/>
  <c r="P31" i="2"/>
  <c r="P32" i="2"/>
  <c r="P29" i="2"/>
  <c r="P30" i="2"/>
  <c r="Q29" i="2"/>
  <c r="Q32" i="2"/>
  <c r="Q31" i="2"/>
  <c r="Q30" i="2"/>
  <c r="K36" i="2"/>
  <c r="K35" i="2"/>
  <c r="K37" i="2"/>
  <c r="K38" i="2"/>
  <c r="L36" i="2"/>
  <c r="L38" i="2"/>
  <c r="L37" i="2"/>
  <c r="L35" i="2"/>
  <c r="M37" i="2"/>
  <c r="M35" i="2"/>
  <c r="M36" i="2"/>
  <c r="M38" i="2"/>
  <c r="N37" i="2"/>
  <c r="N38" i="2"/>
  <c r="N36" i="2"/>
  <c r="O35" i="2"/>
  <c r="O38" i="2"/>
  <c r="O36" i="2"/>
  <c r="O37" i="2"/>
  <c r="P38" i="2"/>
  <c r="P36" i="2"/>
  <c r="P37" i="2"/>
  <c r="P35" i="2"/>
  <c r="Q37" i="2"/>
  <c r="Q36" i="2"/>
  <c r="Q38" i="2"/>
  <c r="Q35" i="2"/>
  <c r="K44" i="2"/>
  <c r="K42" i="2"/>
  <c r="K43" i="2"/>
  <c r="K41" i="2"/>
  <c r="L43" i="2"/>
  <c r="L41" i="2"/>
  <c r="L42" i="2"/>
  <c r="L44" i="2"/>
  <c r="M41" i="2"/>
  <c r="M44" i="2"/>
  <c r="M42" i="2"/>
  <c r="M43" i="2"/>
  <c r="N42" i="2"/>
  <c r="N41" i="2"/>
  <c r="N44" i="2"/>
  <c r="N43" i="2"/>
  <c r="O43" i="2"/>
  <c r="O41" i="2"/>
  <c r="O42" i="2"/>
  <c r="O44" i="2"/>
  <c r="P43" i="2"/>
  <c r="P41" i="2"/>
  <c r="P42" i="2"/>
  <c r="P44" i="2"/>
  <c r="Q41" i="2"/>
  <c r="Q44" i="2"/>
  <c r="Q43" i="2"/>
  <c r="Q4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Lily</author>
  </authors>
  <commentList>
    <comment ref="G63" authorId="0" shapeId="0" xr:uid="{4B8657A3-DE6C-4D3A-A93F-2B1BCF153B78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F3D5724-5542-4B5A-8B06-9B45075E788A}" keepAlive="1" name="Requête - DataGouv" description="Connexion à la requête « DataGouv » dans le classeur." type="5" refreshedVersion="8" background="1" saveData="1">
    <dbPr connection="Provider=Microsoft.Mashup.OleDb.1;Data Source=$Workbook$;Location=DataGouv;Extended Properties=&quot;&quot;" command="SELECT * FROM [DataGouv]"/>
  </connection>
  <connection id="2" xr16:uid="{6381E2D6-15A8-415F-9202-5F255BCD1C7A}" keepAlive="1" name="Requête - DebPer" description="Connexion à la requête « DebPer » dans le classeur." type="5" refreshedVersion="0" background="1">
    <dbPr connection="Provider=Microsoft.Mashup.OleDb.1;Data Source=$Workbook$;Location=DebPer;Extended Properties=&quot;&quot;" command="SELECT * FROM [DebPer]"/>
  </connection>
  <connection id="3" xr16:uid="{FD84F3EE-6BBB-4456-91BC-3313F976C557}" keepAlive="1" name="Requête - FinPer" description="Connexion à la requête « FinPer » dans le classeur." type="5" refreshedVersion="0" background="1">
    <dbPr connection="Provider=Microsoft.Mashup.OleDb.1;Data Source=$Workbook$;Location=FinPer;Extended Properties=&quot;&quot;" command="SELECT * FROM [FinPer]"/>
  </connection>
  <connection id="4" xr16:uid="{1C076EBD-DC0A-4CB4-A00C-D510F75430FD}" keepAlive="1" name="Requête - Zone" description="Connexion à la requête « Zone » dans le classeur." type="5" refreshedVersion="0" background="1">
    <dbPr connection="Provider=Microsoft.Mashup.OleDb.1;Data Source=$Workbook$;Location=Zone;Extended Properties=&quot;&quot;" command="SELECT * FROM [Zon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<sst xmlns="http://schemas.openxmlformats.org/spreadsheetml/2006/main" count="182" uniqueCount="113">
  <si>
    <t>Début période</t>
  </si>
  <si>
    <t>Zone</t>
  </si>
  <si>
    <t>C</t>
  </si>
  <si>
    <t>Vacances d'Été</t>
  </si>
  <si>
    <t>Vacances de la Toussaint</t>
  </si>
  <si>
    <t>Vacances d'Hiver</t>
  </si>
  <si>
    <t>Pont de l'Ascension</t>
  </si>
  <si>
    <t>Vacances de Noël</t>
  </si>
  <si>
    <t>Vacances de Printemps</t>
  </si>
  <si>
    <t>Début</t>
  </si>
  <si>
    <t>Fin</t>
  </si>
  <si>
    <t>Année</t>
  </si>
  <si>
    <t>1er Janvier</t>
  </si>
  <si>
    <t>Date</t>
  </si>
  <si>
    <t>Pâques</t>
  </si>
  <si>
    <t>Lundi de Pâques</t>
  </si>
  <si>
    <t>Fête du travail</t>
  </si>
  <si>
    <t>Victoire 1945</t>
  </si>
  <si>
    <t>Ascension</t>
  </si>
  <si>
    <t>Pentecôte</t>
  </si>
  <si>
    <t>Lundi de la Pentecôte</t>
  </si>
  <si>
    <t>Fête Nationale</t>
  </si>
  <si>
    <t>Assomption</t>
  </si>
  <si>
    <t>Toussaint</t>
  </si>
  <si>
    <t>Armistice 1918</t>
  </si>
  <si>
    <t>Noël</t>
  </si>
  <si>
    <t>Dates à incrémenter automatiquement</t>
  </si>
  <si>
    <t>Banque alimentaire</t>
  </si>
  <si>
    <t>1 vendredi du mois de novembre</t>
  </si>
  <si>
    <t>Repas mensuel</t>
  </si>
  <si>
    <t>dernier jeudi de chaque mois</t>
  </si>
  <si>
    <t>Huitres</t>
  </si>
  <si>
    <t>premier jeudi du mois de décembre</t>
  </si>
  <si>
    <t xml:space="preserve">Vœux </t>
  </si>
  <si>
    <t>premier jeudi du mois de janvier</t>
  </si>
  <si>
    <t>Crêpes</t>
  </si>
  <si>
    <t>premier jeudi du mois de février</t>
  </si>
  <si>
    <t>Soirée au coin du feu</t>
  </si>
  <si>
    <t>Dernier jeudi du mois de mars</t>
  </si>
  <si>
    <t>Concert</t>
  </si>
  <si>
    <t>premier jeudi du mois de mars</t>
  </si>
  <si>
    <t>premier samedi du mois d'avril</t>
  </si>
  <si>
    <t>Prix</t>
  </si>
  <si>
    <t>deuxième jeudi du mois de mai</t>
  </si>
  <si>
    <t>Deuxième jeudi du mois de juin</t>
  </si>
  <si>
    <t>Visite</t>
  </si>
  <si>
    <t>Visite en mars</t>
  </si>
  <si>
    <t>Passation</t>
  </si>
  <si>
    <t>dernier jeud de juin</t>
  </si>
  <si>
    <t>Beaujolais nouveau</t>
  </si>
  <si>
    <t>3° jeudi du mois de novembre</t>
  </si>
  <si>
    <t>novembre</t>
  </si>
  <si>
    <t>décembre</t>
  </si>
  <si>
    <t>janvier</t>
  </si>
  <si>
    <t>février</t>
  </si>
  <si>
    <t>mars</t>
  </si>
  <si>
    <t>mai</t>
  </si>
  <si>
    <t>juin</t>
  </si>
  <si>
    <t>avril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</si>
  <si>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</si>
  <si>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</si>
  <si>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</si>
  <si>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</si>
  <si>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</si>
  <si>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</si>
  <si>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</si>
  <si>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</si>
  <si>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</si>
  <si>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</si>
  <si>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</si>
  <si>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</si>
  <si>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</si>
  <si>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jour du mois</t>
  </si>
  <si>
    <t>Nbre de jours</t>
  </si>
  <si>
    <t>Lundi</t>
  </si>
  <si>
    <t>Mardi</t>
  </si>
  <si>
    <t>Mercredi</t>
  </si>
  <si>
    <t>Jeudi</t>
  </si>
  <si>
    <t>Vendredi</t>
  </si>
  <si>
    <t>Samedi</t>
  </si>
  <si>
    <t>Dimanche</t>
  </si>
  <si>
    <t>Libellé</t>
  </si>
  <si>
    <t>Index</t>
  </si>
  <si>
    <t xml:space="preserve"> </t>
  </si>
  <si>
    <t>Description</t>
  </si>
  <si>
    <t>Saisir ici les dates à incrémenter et celles à afficher dans l'agenda.</t>
  </si>
  <si>
    <t>Si rajout de lignes, penser à faire de même dans le tableau t_Date</t>
  </si>
  <si>
    <t>PASSATION</t>
  </si>
  <si>
    <t>Relâche</t>
  </si>
  <si>
    <t>GARDEN PARTY</t>
  </si>
  <si>
    <t xml:space="preserve">Pique-nique chez 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</si>
  <si>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</si>
  <si>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</si>
  <si>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</si>
  <si>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</si>
  <si>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</si>
  <si>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</si>
  <si>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Collecte banque alimentaire</t>
  </si>
  <si>
    <t>Exposition</t>
  </si>
  <si>
    <t>Soirée Beaujolais Nouveau</t>
  </si>
  <si>
    <t>AG et repas</t>
  </si>
  <si>
    <t xml:space="preserve">Repas de Noël </t>
  </si>
  <si>
    <t>Soirée huîtres</t>
  </si>
  <si>
    <t>Voeux du Président et apéro</t>
  </si>
  <si>
    <t xml:space="preserve">Conférence </t>
  </si>
  <si>
    <t>Soirée crêpes</t>
  </si>
  <si>
    <t>conférence</t>
  </si>
  <si>
    <t>Soirée Ecossaise - ouvert au public</t>
  </si>
  <si>
    <t>remise du prix</t>
  </si>
  <si>
    <t>Repas au coin du feu</t>
  </si>
  <si>
    <t>concert</t>
  </si>
  <si>
    <t>repas</t>
  </si>
  <si>
    <t>Férié - relâche?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</si>
</sst>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[$-F800]dddd\,\ mmmm\ dd\,\ yyyy"/>
    <numFmt numFmtId="165" formatCode="dddd"/>
    <numFmt numFmtId="166" formatCode="d"/>
  </numFmts>
  <fonts count="17" x14ac:knownFonts="1">
    <font>
      <sz val="11"/>
      <color theme="1"/>
      <name val="Segoe UI"/>
      <family val="2"/>
    </font>
    <font>
      <sz val="8"/>
      <name val="Segoe UI"/>
      <family val="2"/>
    </font>
    <font>
      <sz val="11"/>
      <color theme="1"/>
      <name val="Aptos Narrow"/>
      <family val="2"/>
      <scheme val="minor"/>
    </font>
    <font>
      <b/>
      <sz val="11"/>
      <color theme="0"/>
      <name val="Segoe UI"/>
      <family val="2"/>
    </font>
    <font>
      <b/>
      <sz val="16"/>
      <color theme="1"/>
      <name val="Segoe UI"/>
      <family val="2"/>
    </font>
    <font>
      <sz val="10"/>
      <name val="Segoe UI"/>
      <family val="2"/>
    </font>
    <font>
      <sz val="11"/>
      <color theme="1"/>
      <name val="Segoe UI"/>
      <family val="2"/>
    </font>
    <font>
      <b/>
      <sz val="11"/>
      <color theme="0"/>
      <name val="Century Gothic"/>
      <family val="2"/>
    </font>
    <font>
      <sz val="11"/>
      <color theme="1"/>
      <name val="Century Gothic"/>
      <family val="2"/>
    </font>
    <font>
      <sz val="9"/>
      <color theme="1"/>
      <name val="Century Gothic"/>
      <family val="2"/>
    </font>
    <font>
      <b/>
      <sz val="9"/>
      <color theme="1"/>
      <name val="Century Gothic"/>
      <family val="2"/>
    </font>
    <font>
      <b/>
      <sz val="10"/>
      <color theme="1"/>
      <name val="Century Gothic"/>
      <family val="2"/>
    </font>
    <font>
      <b/>
      <sz val="11"/>
      <color theme="1"/>
      <name val="Segoe UI"/>
      <family val="2"/>
    </font>
    <font>
      <sz val="14"/>
      <color theme="8"/>
      <name val="Aptos Narrow"/>
      <family val="2"/>
      <scheme val="minor"/>
    </font>
    <font>
      <sz val="14"/>
      <color theme="9"/>
      <name val="Aptos Narrow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rgb="FF00206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/>
      <diagonal/>
    </border>
    <border>
      <left/>
      <right/>
      <top/>
      <bottom style="medium">
        <color theme="9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43" fontId="6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1"/>
    </xf>
    <xf numFmtId="14" fontId="8" fillId="4" borderId="4" xfId="0" applyNumberFormat="1" applyFont="1" applyFill="1" applyBorder="1" applyAlignment="1">
      <alignment horizontal="left" vertical="center" indent="1"/>
    </xf>
    <xf numFmtId="165" fontId="8" fillId="4" borderId="5" xfId="0" applyNumberFormat="1" applyFont="1" applyFill="1" applyBorder="1" applyAlignment="1">
      <alignment horizontal="left" vertical="center" indent="1"/>
    </xf>
    <xf numFmtId="0" fontId="8" fillId="4" borderId="6" xfId="0" applyFont="1" applyFill="1" applyBorder="1" applyAlignment="1">
      <alignment horizontal="left" vertical="center" indent="1"/>
    </xf>
    <xf numFmtId="0" fontId="9" fillId="0" borderId="0" xfId="0" applyFont="1"/>
    <xf numFmtId="0" fontId="9" fillId="5" borderId="8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 vertical="center"/>
    </xf>
    <xf numFmtId="166" fontId="11" fillId="5" borderId="9" xfId="0" applyNumberFormat="1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43" fontId="9" fillId="0" borderId="3" xfId="2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7" borderId="0" xfId="0" applyFill="1" applyAlignment="1">
      <alignment vertical="center"/>
    </xf>
    <xf numFmtId="0" fontId="4" fillId="7" borderId="2" xfId="0" applyFont="1" applyFill="1" applyBorder="1"/>
    <xf numFmtId="0" fontId="0" fillId="7" borderId="2" xfId="0" applyFill="1" applyBorder="1"/>
    <xf numFmtId="0" fontId="0" fillId="7" borderId="2" xfId="0" applyFill="1" applyBorder="1" applyAlignment="1">
      <alignment horizontal="left"/>
    </xf>
    <xf numFmtId="0" fontId="0" fillId="0" borderId="0" xfId="0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12" fillId="0" borderId="0" xfId="0" applyFont="1" applyAlignment="1">
      <alignment vertical="center"/>
    </xf>
    <xf numFmtId="0" fontId="3" fillId="2" borderId="0" xfId="1" applyFont="1" applyFill="1" applyAlignment="1">
      <alignment horizontal="left" vertical="center" wrapText="1" indent="1"/>
    </xf>
    <xf numFmtId="0" fontId="3" fillId="2" borderId="0" xfId="1" applyFont="1" applyFill="1" applyAlignment="1">
      <alignment horizontal="center" vertical="center" wrapText="1"/>
    </xf>
    <xf numFmtId="0" fontId="0" fillId="0" borderId="0" xfId="1" applyFont="1" applyAlignment="1">
      <alignment horizontal="left" vertical="center" indent="1"/>
    </xf>
    <xf numFmtId="14" fontId="5" fillId="0" borderId="0" xfId="1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0" xfId="0" applyFill="1" applyAlignment="1">
      <alignment horizontal="left" vertical="center" indent="1"/>
    </xf>
    <xf numFmtId="0" fontId="0" fillId="7" borderId="2" xfId="0" applyFill="1" applyBorder="1" applyAlignment="1">
      <alignment horizontal="left" vertical="center" indent="1"/>
    </xf>
    <xf numFmtId="164" fontId="0" fillId="7" borderId="2" xfId="0" applyNumberFormat="1" applyFill="1" applyBorder="1" applyAlignment="1">
      <alignment horizontal="left" vertical="center" indent="1"/>
    </xf>
    <xf numFmtId="0" fontId="7" fillId="3" borderId="0" xfId="0" applyFont="1" applyFill="1" applyAlignment="1">
      <alignment horizontal="right" indent="1"/>
    </xf>
    <xf numFmtId="0" fontId="13" fillId="0" borderId="0" xfId="0" applyFont="1"/>
    <xf numFmtId="14" fontId="0" fillId="0" borderId="0" xfId="0" applyNumberFormat="1" applyAlignment="1">
      <alignment horizontal="left"/>
    </xf>
    <xf numFmtId="14" fontId="0" fillId="8" borderId="0" xfId="0" applyNumberFormat="1" applyFill="1" applyAlignment="1">
      <alignment horizontal="left"/>
    </xf>
    <xf numFmtId="0" fontId="14" fillId="0" borderId="0" xfId="0" applyFont="1"/>
    <xf numFmtId="14" fontId="14" fillId="0" borderId="0" xfId="0" applyNumberFormat="1" applyFont="1" applyAlignment="1">
      <alignment horizontal="left"/>
    </xf>
    <xf numFmtId="14" fontId="0" fillId="7" borderId="0" xfId="0" applyNumberFormat="1" applyFill="1" applyAlignment="1">
      <alignment horizontal="left" vertical="center" indent="1"/>
    </xf>
    <xf numFmtId="14" fontId="0" fillId="0" borderId="0" xfId="0" applyNumberFormat="1" applyAlignment="1">
      <alignment horizontal="center"/>
    </xf>
    <xf numFmtId="0" fontId="10" fillId="0" borderId="7" xfId="0" applyFont="1" applyBorder="1" applyAlignment="1">
      <alignment horizontal="center"/>
    </xf>
  </cellXfs>
  <cellStyles count="3">
    <cellStyle name="Milliers" xfId="2" builtinId="3"/>
    <cellStyle name="Normal" xfId="0" builtinId="0"/>
    <cellStyle name="Normal 2" xfId="1" xr:uid="{6FDFECCE-F4BA-4795-A0D4-72ED099FEB64}"/>
  </cellStyles>
  <dxfs count="24"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numFmt numFmtId="0" formatCode="General"/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alignment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2E0A4D86-6008-4719-9BCD-0984982D6707}" autoFormatId="16" applyNumberFormats="0" applyBorderFormats="0" applyFontFormats="0" applyPatternFormats="0" applyAlignmentFormats="0" applyWidthHeightFormats="0">
  <queryTableRefresh nextId="8">
    <queryTableFields count="3">
      <queryTableField id="1" name="description" tableColumnId="1"/>
      <queryTableField id="6" name="Début" tableColumnId="6"/>
      <queryTableField id="7" name="Fin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9B21EE-D581-4345-8FF7-7533BFB9595A}" name="t_Date" displayName="t_Date" ref="B6:D112" totalsRowShown="0">
  <autoFilter ref="B6:D112" xr:uid="{5F43879A-4E0B-462C-A7D5-223DDFB74519}">
    <filterColumn colId="0" hiddenButton="1"/>
    <filterColumn colId="1" hiddenButton="1"/>
    <filterColumn colId="2" hiddenButton="1"/>
  </autoFilter>
  <tableColumns count="3">
    <tableColumn id="1" xr3:uid="{83F6C4EE-0E56-4AF1-B70C-1D2BC1FCB119}" name="Libellé" dataDxfId="23" dataCellStyle="Normal 2"/>
    <tableColumn id="2" xr3:uid="{468F9A64-9571-4CE0-A15E-C8F059FBB94F}" name="Date" dataDxfId="22" dataCellStyle="Normal 2"/>
    <tableColumn id="3" xr3:uid="{B51A68BE-2D4E-4168-8481-251F3747CBAC}" name="Index" dataDxfId="21">
      <calculatedColumnFormula>IF(C7&lt;&gt;"",COUNTIF($C$7:C7,C7)&amp;C7,"")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C291C2-7BAC-4373-AC42-3DAF913A2BAA}" name="t_Mois" displayName="t_Mois" ref="B2:B14" totalsRowShown="0" headerRowDxfId="20" dataDxfId="19">
  <autoFilter ref="B2:B14" xr:uid="{97C291C2-7BAC-4373-AC42-3DAF913A2BAA}">
    <filterColumn colId="0" hiddenButton="1"/>
  </autoFilter>
  <tableColumns count="1">
    <tableColumn id="1" xr3:uid="{EEB962BF-B0F7-454F-9297-0A8E56A8404A}" name="Mois" dataDxfId="1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0D2847-5B68-4CB3-8FC3-98C4AF600422}" name="DataGouv" displayName="DataGouv" ref="G2:I9" tableType="queryTable" totalsRowShown="0" headerRowDxfId="17" dataDxfId="16">
  <autoFilter ref="G2:I9" xr:uid="{9F0D2847-5B68-4CB3-8FC3-98C4AF600422}">
    <filterColumn colId="0" hiddenButton="1"/>
    <filterColumn colId="1" hiddenButton="1"/>
    <filterColumn colId="2" hiddenButton="1"/>
  </autoFilter>
  <tableColumns count="3">
    <tableColumn id="1" xr3:uid="{C0CEA5D8-F764-4709-A047-3AA121936527}" uniqueName="1" name="Description" queryTableFieldId="1" dataDxfId="15"/>
    <tableColumn id="6" xr3:uid="{6497F7B7-A8B4-4982-ABBD-E1CE347188C5}" uniqueName="6" name="Début" queryTableFieldId="6" dataDxfId="14"/>
    <tableColumn id="7" xr3:uid="{9E3D7A69-34DC-44C7-B680-EBEC3C2D2F28}" uniqueName="7" name="Fin" queryTableFieldId="7" dataDxfId="1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3879A-4E0B-462C-A7D5-223DDFB74519}">
  <dimension ref="B2:Q112"/>
  <sheetViews>
    <sheetView showGridLines="0" tabSelected="1" workbookViewId="0">
      <selection activeCell="B67" sqref="B67"/>
    </sheetView>
  </sheetViews>
  <sheetFormatPr baseColWidth="10" defaultRowHeight="16.8" outlineLevelCol="1" x14ac:dyDescent="0.4"/>
  <cols>
    <col min="1" max="1" width="3.69921875" style="1" customWidth="1"/>
    <col min="2" max="2" width="20.69921875" style="1" customWidth="1"/>
    <col min="3" max="3" width="11.69921875" style="1" customWidth="1"/>
    <col min="4" max="4" width="9.69921875" style="1" hidden="1" customWidth="1" outlineLevel="1"/>
    <col min="5" max="5" width="3.69921875" style="1" customWidth="1" collapsed="1"/>
    <col min="6" max="6" width="45.3984375" style="16" hidden="1" customWidth="1" outlineLevel="1"/>
    <col min="7" max="7" width="29.5" style="16" hidden="1" customWidth="1" outlineLevel="1"/>
    <col min="8" max="8" width="9" style="28" hidden="1" customWidth="1" outlineLevel="1"/>
    <col min="9" max="9" width="24.09765625" style="31" hidden="1" customWidth="1" outlineLevel="1"/>
    <col min="10" max="10" width="3.69921875" style="1" customWidth="1" collapsed="1"/>
    <col min="11" max="17" width="17.69921875" style="1" customWidth="1"/>
    <col min="18" max="16384" width="11.19921875" style="1"/>
  </cols>
  <sheetData>
    <row r="2" spans="2:17" x14ac:dyDescent="0.4">
      <c r="B2" s="22" t="s">
        <v>0</v>
      </c>
      <c r="C2" s="2">
        <v>46204</v>
      </c>
      <c r="F2" s="16" t="s">
        <v>85</v>
      </c>
    </row>
    <row r="3" spans="2:17" x14ac:dyDescent="0.4">
      <c r="B3" s="22" t="s">
        <v>1</v>
      </c>
      <c r="C3" s="2" t="s">
        <v>2</v>
      </c>
      <c r="F3" s="16" t="s">
        <v>86</v>
      </c>
    </row>
    <row r="4" spans="2:17" x14ac:dyDescent="0.4">
      <c r="B4" s="22" t="s">
        <v>59</v>
      </c>
      <c r="C4" s="2" t="s">
        <v>67</v>
      </c>
    </row>
    <row r="6" spans="2:17" ht="24.6" x14ac:dyDescent="0.55000000000000004">
      <c r="B6" s="23" t="s">
        <v>81</v>
      </c>
      <c r="C6" s="24" t="s">
        <v>13</v>
      </c>
      <c r="D6" s="24" t="s">
        <v>82</v>
      </c>
      <c r="F6" s="17" t="s">
        <v>26</v>
      </c>
      <c r="G6" s="18"/>
      <c r="H6" s="29" t="s">
        <v>59</v>
      </c>
      <c r="I6" s="32" t="s">
        <v>13</v>
      </c>
      <c r="K6" s="8"/>
      <c r="L6" s="8"/>
      <c r="M6" s="8"/>
      <c r="N6" s="8"/>
      <c r="O6" s="8"/>
      <c r="P6" s="8"/>
      <c r="Q6" s="8"/>
    </row>
    <row r="7" spans="2:17" ht="17.399999999999999" thickBot="1" x14ac:dyDescent="0.45">
      <c r="B7" s="25" t="s">
        <v>12</v>
      </c>
      <c r="C7" s="26" cm="1">
        <f t="array" ref="C7">DATE(Annee,1,1)</f>
        <v>46023</v>
      </c>
      <c r="D7" s="27" t="str">
        <f>IF(C7&lt;&gt;"",COUNTIF($C$7:C7,C7)&amp;C7,"")</f>
        <v>146023</v>
      </c>
      <c r="F7" s="19" t="s">
        <v>27</v>
      </c>
      <c r="G7" s="19" t="s">
        <v>28</v>
      </c>
      <c r="H7" s="29" t="s">
        <v>51</v>
      </c>
      <c r="I7" s="33" cm="1">
        <f t="array" ref="I7">WORKDAY.INTL(DATEVALUE($H7&amp;Annee)-1,1,"1111011")</f>
        <v>46332</v>
      </c>
      <c r="K7" s="42" t="s">
        <v>11</v>
      </c>
      <c r="L7" s="42"/>
      <c r="M7" s="9">
        <f>IF(MONTH(Mois&amp;1)&lt;7,YEAR(DebPer)+1,YEAR(DebPer))</f>
        <v>2026</v>
      </c>
      <c r="N7" s="8"/>
      <c r="O7" s="42" t="s">
        <v>59</v>
      </c>
      <c r="P7" s="42"/>
      <c r="Q7" s="10" t="str">
        <f>Mois</f>
        <v>Août</v>
      </c>
    </row>
    <row r="8" spans="2:17" x14ac:dyDescent="0.4">
      <c r="B8" s="25" t="s">
        <v>14</v>
      </c>
      <c r="C8" s="26" cm="1">
        <f t="array" ref="C8">ROUND(DATE(Annee,4,MOD(234-11*MOD(Annee,19),30))/7,)*7-6</f>
        <v>46117</v>
      </c>
      <c r="D8" s="27" t="str">
        <f>IF(C8&lt;&gt;"",COUNTIF($C$7:C8,C8)&amp;C8,"")</f>
        <v>146117</v>
      </c>
      <c r="F8" s="18" t="s">
        <v>29</v>
      </c>
      <c r="G8" s="18" t="s">
        <v>30</v>
      </c>
      <c r="H8" s="29">
        <v>7</v>
      </c>
      <c r="I8" s="33">
        <f t="shared" ref="I8:I13" si="0">DATE(Annee,$H8+1,0)-MOD(DATE(Annee,$H8+1,0)+4-2,7)</f>
        <v>46233</v>
      </c>
      <c r="K8" s="8"/>
      <c r="L8" s="8"/>
      <c r="M8" s="8"/>
      <c r="N8" s="8"/>
      <c r="O8" s="8"/>
      <c r="P8" s="8"/>
      <c r="Q8" s="8"/>
    </row>
    <row r="9" spans="2:17" x14ac:dyDescent="0.4">
      <c r="B9" s="25" t="s">
        <v>15</v>
      </c>
      <c r="C9" s="26">
        <f>C8+1</f>
        <v>46118</v>
      </c>
      <c r="D9" s="27" t="str">
        <f>IF(C9&lt;&gt;"",COUNTIF($C$7:C9,C9)&amp;C9,"")</f>
        <v>146118</v>
      </c>
      <c r="F9" s="18" t="s">
        <v>29</v>
      </c>
      <c r="G9" s="18" t="s">
        <v>30</v>
      </c>
      <c r="H9" s="29">
        <v>8</v>
      </c>
      <c r="I9" s="33">
        <f t="shared" si="0"/>
        <v>46261</v>
      </c>
      <c r="K9" s="11" t="s">
        <v>74</v>
      </c>
      <c r="L9" s="11" t="s">
        <v>75</v>
      </c>
      <c r="M9" s="11" t="s">
        <v>76</v>
      </c>
      <c r="N9" s="11" t="s">
        <v>77</v>
      </c>
      <c r="O9" s="11" t="s">
        <v>78</v>
      </c>
      <c r="P9" s="11" t="s">
        <v>79</v>
      </c>
      <c r="Q9" s="11" t="s">
        <v>80</v>
      </c>
    </row>
    <row r="10" spans="2:17" x14ac:dyDescent="0.4">
      <c r="B10" s="25" t="s">
        <v>16</v>
      </c>
      <c r="C10" s="26" cm="1">
        <f t="array" ref="C10">DATE(Annee,5,1)</f>
        <v>46143</v>
      </c>
      <c r="D10" s="27" t="str">
        <f>IF(C10&lt;&gt;"",COUNTIF($C$7:C10,C10)&amp;C10,"")</f>
        <v>146143</v>
      </c>
      <c r="F10" s="18" t="s">
        <v>29</v>
      </c>
      <c r="G10" s="18" t="s">
        <v>30</v>
      </c>
      <c r="H10" s="29">
        <v>9</v>
      </c>
      <c r="I10" s="33">
        <f t="shared" si="0"/>
        <v>46289</v>
      </c>
      <c r="K10" s="12" t="str">
        <f>IF(J10&lt;&gt;"",J10+1,IF(WEEKDAY(PremJourMois,2)=1,PremJourMois,""))</f>
        <v/>
      </c>
      <c r="L10" s="12" t="str">
        <f>IF(K10&lt;&gt;"",K10+1,IF(WEEKDAY(PremJourMois,2)=2,PremJourMois,""))</f>
        <v/>
      </c>
      <c r="M10" s="12" t="str">
        <f>IF(L10&lt;&gt;"",L10+1,IF(WEEKDAY(PremJourMois,2)=3,PremJourMois,""))</f>
        <v/>
      </c>
      <c r="N10" s="12" t="str">
        <f>IF(M10&lt;&gt;"",M10+1,IF(WEEKDAY(PremJourMois,2)=4,PremJourMois,""))</f>
        <v/>
      </c>
      <c r="O10" s="12" t="str">
        <f>IF(N10&lt;&gt;"",N10+1,IF(WEEKDAY(PremJourMois,2)=5,PremJourMois,""))</f>
        <v/>
      </c>
      <c r="P10" s="12">
        <f>IF(O10&lt;&gt;"",O10+1,IF(WEEKDAY(PremJourMois,2)=6,PremJourMois,""))</f>
        <v>46235</v>
      </c>
      <c r="Q10" s="12">
        <f>IF(P10&lt;&gt;"",P10+1,IF(WEEKDAY(PremJourMois,2)=7,PremJourMois,""))</f>
        <v>46236</v>
      </c>
    </row>
    <row r="11" spans="2:17" x14ac:dyDescent="0.4">
      <c r="B11" s="25" t="s">
        <v>17</v>
      </c>
      <c r="C11" s="26" cm="1">
        <f t="array" ref="C11">DATE(Annee,5,8)</f>
        <v>46150</v>
      </c>
      <c r="D11" s="27" t="str">
        <f>IF(C11&lt;&gt;"",COUNTIF($C$7:C11,C11)&amp;C11,"")</f>
        <v>146150</v>
      </c>
      <c r="F11" s="18" t="s">
        <v>29</v>
      </c>
      <c r="G11" s="18" t="s">
        <v>30</v>
      </c>
      <c r="H11" s="29">
        <v>10</v>
      </c>
      <c r="I11" s="33">
        <f t="shared" si="0"/>
        <v>46324</v>
      </c>
      <c r="K11" s="13" t="str">
        <f t="shared" ref="K11:Q14" si="1">IF($B7="","",IFERROR(INDEX(l_Evenement,MATCH(ROW(A1)&amp;K$10,l_IdDate,0),1),""))</f>
        <v/>
      </c>
      <c r="L11" s="14" t="str">
        <f t="shared" si="1"/>
        <v/>
      </c>
      <c r="M11" s="14" t="str">
        <f t="shared" si="1"/>
        <v/>
      </c>
      <c r="N11" s="14" t="str">
        <f t="shared" si="1"/>
        <v/>
      </c>
      <c r="O11" s="14" t="str">
        <f t="shared" si="1"/>
        <v/>
      </c>
      <c r="P11" s="14" t="str">
        <f t="shared" si="1"/>
        <v/>
      </c>
      <c r="Q11" s="14" t="str">
        <f t="shared" si="1"/>
        <v/>
      </c>
    </row>
    <row r="12" spans="2:17" x14ac:dyDescent="0.4">
      <c r="B12" s="25" t="s">
        <v>18</v>
      </c>
      <c r="C12" s="26">
        <f>C8+39</f>
        <v>46156</v>
      </c>
      <c r="D12" s="27" t="str">
        <f>IF(C12&lt;&gt;"",COUNTIF($C$7:C12,C12)&amp;C12,"")</f>
        <v>146156</v>
      </c>
      <c r="F12" s="18" t="s">
        <v>29</v>
      </c>
      <c r="G12" s="18" t="s">
        <v>30</v>
      </c>
      <c r="H12" s="29">
        <v>11</v>
      </c>
      <c r="I12" s="33">
        <f t="shared" si="0"/>
        <v>46352</v>
      </c>
      <c r="K12" s="13" t="str">
        <f t="shared" si="1"/>
        <v/>
      </c>
      <c r="L12" s="14" t="str">
        <f t="shared" si="1"/>
        <v/>
      </c>
      <c r="M12" s="14" t="str">
        <f t="shared" si="1"/>
        <v/>
      </c>
      <c r="N12" s="14" t="str">
        <f t="shared" si="1"/>
        <v/>
      </c>
      <c r="O12" s="14" t="str">
        <f t="shared" si="1"/>
        <v/>
      </c>
      <c r="P12" s="14" t="str">
        <f t="shared" si="1"/>
        <v/>
      </c>
      <c r="Q12" s="14" t="str">
        <f t="shared" si="1"/>
        <v/>
      </c>
    </row>
    <row r="13" spans="2:17" x14ac:dyDescent="0.4">
      <c r="B13" s="25" t="s">
        <v>19</v>
      </c>
      <c r="C13" s="26">
        <f>C8+49</f>
        <v>46166</v>
      </c>
      <c r="D13" s="27" t="str">
        <f>IF(C13&lt;&gt;"",COUNTIF($C$7:C13,C13)&amp;C13,"")</f>
        <v>146166</v>
      </c>
      <c r="F13" s="18" t="s">
        <v>29</v>
      </c>
      <c r="G13" s="18" t="s">
        <v>30</v>
      </c>
      <c r="H13" s="29">
        <v>12</v>
      </c>
      <c r="I13" s="33">
        <f t="shared" si="0"/>
        <v>46387</v>
      </c>
      <c r="K13" s="13" t="str">
        <f t="shared" si="1"/>
        <v/>
      </c>
      <c r="L13" s="14" t="str">
        <f t="shared" si="1"/>
        <v/>
      </c>
      <c r="M13" s="14" t="str">
        <f t="shared" si="1"/>
        <v/>
      </c>
      <c r="N13" s="14" t="str">
        <f t="shared" si="1"/>
        <v/>
      </c>
      <c r="O13" s="14" t="str">
        <f t="shared" si="1"/>
        <v/>
      </c>
      <c r="P13" s="14" t="str">
        <f t="shared" si="1"/>
        <v/>
      </c>
      <c r="Q13" s="14" t="str">
        <f t="shared" si="1"/>
        <v/>
      </c>
    </row>
    <row r="14" spans="2:17" x14ac:dyDescent="0.4">
      <c r="B14" s="25" t="s">
        <v>20</v>
      </c>
      <c r="C14" s="26">
        <f>C8+50</f>
        <v>46167</v>
      </c>
      <c r="D14" s="27" t="str">
        <f>IF(C14&lt;&gt;"",COUNTIF($C$7:C14,C14)&amp;C14,"")</f>
        <v>146167</v>
      </c>
      <c r="F14" s="18" t="s">
        <v>29</v>
      </c>
      <c r="G14" s="18" t="s">
        <v>30</v>
      </c>
      <c r="H14" s="29">
        <v>1</v>
      </c>
      <c r="I14" s="33">
        <f t="shared" ref="I14:I19" si="2">DATE(Annee+1,$H14+1,0)-MOD(DATE(Annee+1,$H14+1,0)+4-2,7)</f>
        <v>46415</v>
      </c>
      <c r="K14" s="13" t="str">
        <f t="shared" si="1"/>
        <v/>
      </c>
      <c r="L14" s="14" t="str">
        <f t="shared" si="1"/>
        <v/>
      </c>
      <c r="M14" s="14" t="str">
        <f t="shared" si="1"/>
        <v/>
      </c>
      <c r="N14" s="14" t="str">
        <f t="shared" si="1"/>
        <v/>
      </c>
      <c r="O14" s="14" t="str">
        <f t="shared" si="1"/>
        <v/>
      </c>
      <c r="P14" s="14" t="str">
        <f t="shared" si="1"/>
        <v/>
      </c>
      <c r="Q14" s="14" t="str">
        <f t="shared" si="1"/>
        <v/>
      </c>
    </row>
    <row r="15" spans="2:17" x14ac:dyDescent="0.4">
      <c r="B15" s="25" t="s">
        <v>21</v>
      </c>
      <c r="C15" s="26" cm="1">
        <f t="array" ref="C15">DATE(Annee,7,14)</f>
        <v>46217</v>
      </c>
      <c r="D15" s="27" t="str">
        <f>IF(C15&lt;&gt;"",COUNTIF($C$7:C15,C15)&amp;C15,"")</f>
        <v>146217</v>
      </c>
      <c r="F15" s="18" t="s">
        <v>29</v>
      </c>
      <c r="G15" s="18" t="s">
        <v>30</v>
      </c>
      <c r="H15" s="29">
        <v>2</v>
      </c>
      <c r="I15" s="33">
        <f t="shared" si="2"/>
        <v>46443</v>
      </c>
      <c r="K15" s="13" t="str">
        <f>IF($B11="","",IFERROR(INDEX(l_Evenement,MATCH(ROW(#REF!)&amp;K$10,l_IdDate,0),1),""))</f>
        <v/>
      </c>
      <c r="L15" s="14" t="str">
        <f>IF($B11="","",IFERROR(INDEX(l_Evenement,MATCH(ROW(#REF!)&amp;L$10,l_IdDate,0),1),""))</f>
        <v/>
      </c>
      <c r="M15" s="14" t="str">
        <f>IF($B11="","",IFERROR(INDEX(l_Evenement,MATCH(ROW(#REF!)&amp;M$10,l_IdDate,0),1),""))</f>
        <v/>
      </c>
      <c r="N15" s="14" t="str">
        <f>IF($B11="","",IFERROR(INDEX(l_Evenement,MATCH(ROW(#REF!)&amp;N$10,l_IdDate,0),1),""))</f>
        <v/>
      </c>
      <c r="O15" s="14" t="str">
        <f>IF($B11="","",IFERROR(INDEX(l_Evenement,MATCH(ROW(#REF!)&amp;O$10,l_IdDate,0),1),""))</f>
        <v/>
      </c>
      <c r="P15" s="14" t="str">
        <f>IF($B11="","",IFERROR(INDEX(l_Evenement,MATCH(ROW(#REF!)&amp;P$10,l_IdDate,0),1),""))</f>
        <v/>
      </c>
      <c r="Q15" s="14" t="str">
        <f>IF($B11="","",IFERROR(INDEX(l_Evenement,MATCH(ROW(#REF!)&amp;Q$10,l_IdDate,0),1),""))</f>
        <v/>
      </c>
    </row>
    <row r="16" spans="2:17" x14ac:dyDescent="0.4">
      <c r="B16" s="25" t="s">
        <v>22</v>
      </c>
      <c r="C16" s="26" cm="1">
        <f t="array" ref="C16">DATE(Annee,8,15)</f>
        <v>46249</v>
      </c>
      <c r="D16" s="27" t="str">
        <f>IF(C16&lt;&gt;"",COUNTIF($C$7:C16,C16)&amp;C16,"")</f>
        <v>146249</v>
      </c>
      <c r="F16" s="18" t="s">
        <v>29</v>
      </c>
      <c r="G16" s="18" t="s">
        <v>30</v>
      </c>
      <c r="H16" s="29">
        <v>3</v>
      </c>
      <c r="I16" s="33">
        <f t="shared" si="2"/>
        <v>46471</v>
      </c>
      <c r="K16" s="12">
        <f>Q10+1</f>
        <v>46237</v>
      </c>
      <c r="L16" s="12">
        <f>K16+1</f>
        <v>46238</v>
      </c>
      <c r="M16" s="12">
        <f t="shared" ref="M16:Q16" si="3">L16+1</f>
        <v>46239</v>
      </c>
      <c r="N16" s="12">
        <f t="shared" si="3"/>
        <v>46240</v>
      </c>
      <c r="O16" s="12">
        <f t="shared" si="3"/>
        <v>46241</v>
      </c>
      <c r="P16" s="12">
        <f t="shared" si="3"/>
        <v>46242</v>
      </c>
      <c r="Q16" s="12">
        <f t="shared" si="3"/>
        <v>46243</v>
      </c>
    </row>
    <row r="17" spans="2:17" x14ac:dyDescent="0.4">
      <c r="B17" s="25" t="s">
        <v>23</v>
      </c>
      <c r="C17" s="26" cm="1">
        <f t="array" ref="C17">DATE(Annee,11,1)</f>
        <v>46327</v>
      </c>
      <c r="D17" s="27" t="str">
        <f>IF(C17&lt;&gt;"",COUNTIF($C$7:C17,C17)&amp;C17,"")</f>
        <v>146327</v>
      </c>
      <c r="F17" s="18" t="s">
        <v>29</v>
      </c>
      <c r="G17" s="18" t="s">
        <v>30</v>
      </c>
      <c r="H17" s="29">
        <v>4</v>
      </c>
      <c r="I17" s="33">
        <f t="shared" si="2"/>
        <v>46506</v>
      </c>
      <c r="K17" s="13" t="str">
        <f t="shared" ref="K17:Q20" si="4">IF($B7="","",IFERROR(INDEX(l_Evenement,MATCH(ROW(A1)&amp;K$16,l_IdDate,0),1),""))</f>
        <v/>
      </c>
      <c r="L17" s="13" t="str">
        <f t="shared" si="4"/>
        <v/>
      </c>
      <c r="M17" s="13" t="str">
        <f t="shared" si="4"/>
        <v/>
      </c>
      <c r="N17" s="13" t="str">
        <f t="shared" si="4"/>
        <v xml:space="preserve">Pique-nique chez </v>
      </c>
      <c r="O17" s="13" t="str">
        <f t="shared" si="4"/>
        <v/>
      </c>
      <c r="P17" s="13" t="str">
        <f t="shared" si="4"/>
        <v/>
      </c>
      <c r="Q17" s="13" t="str">
        <f t="shared" si="4"/>
        <v/>
      </c>
    </row>
    <row r="18" spans="2:17" x14ac:dyDescent="0.4">
      <c r="B18" s="25" t="s">
        <v>24</v>
      </c>
      <c r="C18" s="26" cm="1">
        <f t="array" ref="C18">DATE(Annee,11,11)</f>
        <v>46337</v>
      </c>
      <c r="D18" s="27" t="str">
        <f>IF(C18&lt;&gt;"",COUNTIF($C$7:C18,C18)&amp;C18,"")</f>
        <v>146337</v>
      </c>
      <c r="F18" s="18" t="s">
        <v>29</v>
      </c>
      <c r="G18" s="18" t="s">
        <v>30</v>
      </c>
      <c r="H18" s="29">
        <v>5</v>
      </c>
      <c r="I18" s="33">
        <f t="shared" si="2"/>
        <v>46534</v>
      </c>
      <c r="K18" s="13" t="str">
        <f t="shared" si="4"/>
        <v/>
      </c>
      <c r="L18" s="13" t="str">
        <f t="shared" si="4"/>
        <v/>
      </c>
      <c r="M18" s="13" t="str">
        <f t="shared" si="4"/>
        <v/>
      </c>
      <c r="N18" s="13" t="str">
        <f t="shared" si="4"/>
        <v/>
      </c>
      <c r="O18" s="13" t="str">
        <f t="shared" si="4"/>
        <v/>
      </c>
      <c r="P18" s="13" t="str">
        <f t="shared" si="4"/>
        <v/>
      </c>
      <c r="Q18" s="13" t="str">
        <f t="shared" si="4"/>
        <v/>
      </c>
    </row>
    <row r="19" spans="2:17" x14ac:dyDescent="0.4">
      <c r="B19" s="25" t="s">
        <v>25</v>
      </c>
      <c r="C19" s="26" cm="1">
        <f t="array" ref="C19">DATE(Annee,12,25)</f>
        <v>46381</v>
      </c>
      <c r="D19" s="27" t="str">
        <f>IF(C19&lt;&gt;"",COUNTIF($C$7:C19,C19)&amp;C19,"")</f>
        <v>146381</v>
      </c>
      <c r="F19" s="18" t="s">
        <v>29</v>
      </c>
      <c r="G19" s="18" t="s">
        <v>30</v>
      </c>
      <c r="H19" s="29">
        <v>6</v>
      </c>
      <c r="I19" s="33">
        <f t="shared" si="2"/>
        <v>46562</v>
      </c>
      <c r="K19" s="13" t="str">
        <f t="shared" si="4"/>
        <v/>
      </c>
      <c r="L19" s="13" t="str">
        <f t="shared" si="4"/>
        <v/>
      </c>
      <c r="M19" s="13" t="str">
        <f t="shared" si="4"/>
        <v/>
      </c>
      <c r="N19" s="13" t="str">
        <f t="shared" si="4"/>
        <v/>
      </c>
      <c r="O19" s="13" t="str">
        <f t="shared" si="4"/>
        <v/>
      </c>
      <c r="P19" s="13" t="str">
        <f t="shared" si="4"/>
        <v/>
      </c>
      <c r="Q19" s="13" t="str">
        <f t="shared" si="4"/>
        <v/>
      </c>
    </row>
    <row r="20" spans="2:17" x14ac:dyDescent="0.4">
      <c r="B20" s="25" t="s">
        <v>12</v>
      </c>
      <c r="C20" s="26" cm="1">
        <f t="array" ref="C20">DATE(Annee+1,1,1)</f>
        <v>46388</v>
      </c>
      <c r="D20" s="27" t="str">
        <f>IF(C20&lt;&gt;"",COUNTIF($C$7:C20,C20)&amp;C20,"")</f>
        <v>146388</v>
      </c>
      <c r="F20" s="18" t="s">
        <v>31</v>
      </c>
      <c r="G20" s="18" t="s">
        <v>32</v>
      </c>
      <c r="H20" s="29" t="s">
        <v>52</v>
      </c>
      <c r="I20" s="33" cm="1">
        <f t="array" ref="I20">WORKDAY.INTL(DATEVALUE($H20&amp;Annee)-1,1,"1110111")</f>
        <v>46359</v>
      </c>
      <c r="K20" s="13" t="str">
        <f t="shared" si="4"/>
        <v/>
      </c>
      <c r="L20" s="13" t="str">
        <f t="shared" si="4"/>
        <v/>
      </c>
      <c r="M20" s="13" t="str">
        <f t="shared" si="4"/>
        <v/>
      </c>
      <c r="N20" s="13" t="str">
        <f t="shared" si="4"/>
        <v/>
      </c>
      <c r="O20" s="13" t="str">
        <f t="shared" si="4"/>
        <v/>
      </c>
      <c r="P20" s="13" t="str">
        <f t="shared" si="4"/>
        <v/>
      </c>
      <c r="Q20" s="13" t="str">
        <f t="shared" si="4"/>
        <v/>
      </c>
    </row>
    <row r="21" spans="2:17" x14ac:dyDescent="0.4">
      <c r="B21" s="25" t="s">
        <v>14</v>
      </c>
      <c r="C21" s="26" cm="1">
        <f t="array" ref="C21">ROUND(DATE(Annee+1,4,MOD(234-11*MOD(Annee+1,19),30))/7,)*7-6</f>
        <v>46474</v>
      </c>
      <c r="D21" s="27" t="str">
        <f>IF(C21&lt;&gt;"",COUNTIF($C$7:C21,C21)&amp;C21,"")</f>
        <v>146474</v>
      </c>
      <c r="F21" s="18" t="s">
        <v>33</v>
      </c>
      <c r="G21" s="18" t="s">
        <v>34</v>
      </c>
      <c r="H21" s="30" t="s">
        <v>53</v>
      </c>
      <c r="I21" s="33" cm="1">
        <f t="array" ref="I21">WORKDAY.INTL(DATEVALUE($H21&amp;Annee+1)-1,1,"1110111")</f>
        <v>46394</v>
      </c>
      <c r="K21" s="13" t="str">
        <f>IF($B11="","",IFERROR(INDEX(l_Evenement,MATCH(ROW(#REF!)&amp;K$16,l_IdDate,0),1),""))</f>
        <v/>
      </c>
      <c r="L21" s="13" t="str">
        <f>IF($B11="","",IFERROR(INDEX(l_Evenement,MATCH(ROW(#REF!)&amp;L$16,l_IdDate,0),1),""))</f>
        <v/>
      </c>
      <c r="M21" s="13" t="str">
        <f>IF($B11="","",IFERROR(INDEX(l_Evenement,MATCH(ROW(#REF!)&amp;M$16,l_IdDate,0),1),""))</f>
        <v/>
      </c>
      <c r="N21" s="13" t="str">
        <f>IF($B11="","",IFERROR(INDEX(l_Evenement,MATCH(ROW(#REF!)&amp;N$16,l_IdDate,0),1),""))</f>
        <v/>
      </c>
      <c r="O21" s="13" t="str">
        <f>IF($B11="","",IFERROR(INDEX(l_Evenement,MATCH(ROW(#REF!)&amp;O$16,l_IdDate,0),1),""))</f>
        <v/>
      </c>
      <c r="P21" s="13" t="str">
        <f>IF($B11="","",IFERROR(INDEX(l_Evenement,MATCH(ROW(#REF!)&amp;P$16,l_IdDate,0),1),""))</f>
        <v/>
      </c>
      <c r="Q21" s="13" t="str">
        <f>IF($B11="","",IFERROR(INDEX(l_Evenement,MATCH(ROW(#REF!)&amp;Q$16,l_IdDate,0),1),""))</f>
        <v/>
      </c>
    </row>
    <row r="22" spans="2:17" x14ac:dyDescent="0.4">
      <c r="B22" s="25" t="s">
        <v>15</v>
      </c>
      <c r="C22" s="26">
        <f>C21+1</f>
        <v>46475</v>
      </c>
      <c r="D22" s="27" t="str">
        <f>IF(C22&lt;&gt;"",COUNTIF($C$7:C22,C22)&amp;C22,"")</f>
        <v>146475</v>
      </c>
      <c r="F22" s="18" t="s">
        <v>35</v>
      </c>
      <c r="G22" s="18" t="s">
        <v>36</v>
      </c>
      <c r="H22" s="30" t="s">
        <v>54</v>
      </c>
      <c r="I22" s="33" cm="1">
        <f t="array" ref="I22">WORKDAY.INTL(DATEVALUE($H22&amp;Annee+1)-1,1,"1110111")</f>
        <v>46422</v>
      </c>
      <c r="K22" s="12">
        <f>Q16+1</f>
        <v>46244</v>
      </c>
      <c r="L22" s="12">
        <f>K22+1</f>
        <v>46245</v>
      </c>
      <c r="M22" s="12">
        <f t="shared" ref="M22:Q22" si="5">L22+1</f>
        <v>46246</v>
      </c>
      <c r="N22" s="12">
        <f t="shared" si="5"/>
        <v>46247</v>
      </c>
      <c r="O22" s="12">
        <f t="shared" si="5"/>
        <v>46248</v>
      </c>
      <c r="P22" s="12">
        <f t="shared" si="5"/>
        <v>46249</v>
      </c>
      <c r="Q22" s="12">
        <f t="shared" si="5"/>
        <v>46250</v>
      </c>
    </row>
    <row r="23" spans="2:17" x14ac:dyDescent="0.4">
      <c r="B23" s="25" t="s">
        <v>16</v>
      </c>
      <c r="C23" s="26" cm="1">
        <f t="array" ref="C23">DATE(Annee+1,5,1)</f>
        <v>46508</v>
      </c>
      <c r="D23" s="27" t="str">
        <f>IF(C23&lt;&gt;"",COUNTIF($C$7:C23,C23)&amp;C23,"")</f>
        <v>146508</v>
      </c>
      <c r="F23" s="18" t="s">
        <v>37</v>
      </c>
      <c r="G23" s="18" t="s">
        <v>38</v>
      </c>
      <c r="H23" s="30">
        <v>3</v>
      </c>
      <c r="I23" s="33">
        <f>DATE(Annee+1,$H23+1,0)-MOD(DATE(Annee+1,$H23+1,0)+4-2,7)</f>
        <v>46471</v>
      </c>
      <c r="K23" s="13" t="str">
        <f t="shared" ref="K23:Q26" si="6">IF($B7="","",IFERROR(INDEX(l_Evenement,MATCH(ROW(A1)&amp;K$22,l_IdDate,0),1),""))</f>
        <v/>
      </c>
      <c r="L23" s="14" t="str">
        <f t="shared" si="6"/>
        <v/>
      </c>
      <c r="M23" s="14" t="str">
        <f t="shared" si="6"/>
        <v/>
      </c>
      <c r="N23" s="14" t="str">
        <f t="shared" si="6"/>
        <v>Relâche</v>
      </c>
      <c r="O23" s="14" t="str">
        <f t="shared" si="6"/>
        <v/>
      </c>
      <c r="P23" s="14" t="str">
        <f t="shared" si="6"/>
        <v>Assomption</v>
      </c>
      <c r="Q23" s="14" t="str">
        <f t="shared" si="6"/>
        <v/>
      </c>
    </row>
    <row r="24" spans="2:17" x14ac:dyDescent="0.4">
      <c r="B24" s="25" t="s">
        <v>17</v>
      </c>
      <c r="C24" s="26" cm="1">
        <f t="array" ref="C24">DATE(Annee+1,5,8)</f>
        <v>46515</v>
      </c>
      <c r="D24" s="27" t="str">
        <f>IF(C24&lt;&gt;"",COUNTIF($C$7:C24,C24)&amp;C24,"")</f>
        <v>146515</v>
      </c>
      <c r="F24" s="18" t="s">
        <v>39</v>
      </c>
      <c r="G24" s="18" t="s">
        <v>40</v>
      </c>
      <c r="H24" s="30" t="s">
        <v>55</v>
      </c>
      <c r="I24" s="33" cm="1">
        <f t="array" ref="I24">WORKDAY.INTL(DATEVALUE($H24&amp;Annee+1)-1,1,"1110111")</f>
        <v>46450</v>
      </c>
      <c r="K24" s="13" t="str">
        <f t="shared" si="6"/>
        <v/>
      </c>
      <c r="L24" s="14" t="str">
        <f t="shared" si="6"/>
        <v/>
      </c>
      <c r="M24" s="14" t="str">
        <f t="shared" si="6"/>
        <v/>
      </c>
      <c r="N24" s="14" t="str">
        <f t="shared" si="6"/>
        <v/>
      </c>
      <c r="O24" s="14" t="str">
        <f t="shared" si="6"/>
        <v/>
      </c>
      <c r="P24" s="14" t="str">
        <f t="shared" si="6"/>
        <v/>
      </c>
      <c r="Q24" s="14" t="str">
        <f t="shared" si="6"/>
        <v/>
      </c>
    </row>
    <row r="25" spans="2:17" x14ac:dyDescent="0.4">
      <c r="B25" s="25" t="s">
        <v>18</v>
      </c>
      <c r="C25" s="26">
        <f>C21+39</f>
        <v>46513</v>
      </c>
      <c r="D25" s="27" t="str">
        <f>IF(C25&lt;&gt;"",COUNTIF($C$7:C25,C25)&amp;C25,"")</f>
        <v>146513</v>
      </c>
      <c r="F25" s="18" t="s">
        <v>39</v>
      </c>
      <c r="G25" s="18" t="s">
        <v>41</v>
      </c>
      <c r="H25" s="30" t="s">
        <v>58</v>
      </c>
      <c r="I25" s="33" cm="1">
        <f t="array" ref="I25">WORKDAY.INTL(DATEVALUE($H25&amp;Annee+1)-1,1,"1111101")</f>
        <v>46480</v>
      </c>
      <c r="K25" s="13" t="str">
        <f t="shared" si="6"/>
        <v/>
      </c>
      <c r="L25" s="14" t="str">
        <f t="shared" si="6"/>
        <v/>
      </c>
      <c r="M25" s="14" t="str">
        <f t="shared" si="6"/>
        <v/>
      </c>
      <c r="N25" s="14" t="str">
        <f t="shared" si="6"/>
        <v/>
      </c>
      <c r="O25" s="14" t="str">
        <f t="shared" si="6"/>
        <v/>
      </c>
      <c r="P25" s="14" t="str">
        <f t="shared" si="6"/>
        <v/>
      </c>
      <c r="Q25" s="14" t="str">
        <f t="shared" si="6"/>
        <v/>
      </c>
    </row>
    <row r="26" spans="2:17" x14ac:dyDescent="0.4">
      <c r="B26" s="25" t="s">
        <v>19</v>
      </c>
      <c r="C26" s="26">
        <f>C21+49</f>
        <v>46523</v>
      </c>
      <c r="D26" s="27" t="str">
        <f>IF(C26&lt;&gt;"",COUNTIF($C$7:C26,C26)&amp;C26,"")</f>
        <v>146523</v>
      </c>
      <c r="F26" s="18" t="s">
        <v>42</v>
      </c>
      <c r="G26" s="18" t="s">
        <v>43</v>
      </c>
      <c r="H26" s="29" t="s">
        <v>56</v>
      </c>
      <c r="I26" s="33" cm="1">
        <f t="array" ref="I26">WORKDAY.INTL(DATEVALUE($H26&amp;Annee+1)-1,1,"1110111")+7</f>
        <v>46520</v>
      </c>
      <c r="K26" s="13" t="str">
        <f t="shared" si="6"/>
        <v/>
      </c>
      <c r="L26" s="14" t="str">
        <f t="shared" si="6"/>
        <v/>
      </c>
      <c r="M26" s="14" t="str">
        <f t="shared" si="6"/>
        <v/>
      </c>
      <c r="N26" s="14" t="str">
        <f t="shared" si="6"/>
        <v/>
      </c>
      <c r="O26" s="14" t="str">
        <f t="shared" si="6"/>
        <v/>
      </c>
      <c r="P26" s="14" t="str">
        <f t="shared" si="6"/>
        <v/>
      </c>
      <c r="Q26" s="14" t="str">
        <f t="shared" si="6"/>
        <v/>
      </c>
    </row>
    <row r="27" spans="2:17" x14ac:dyDescent="0.4">
      <c r="B27" s="25" t="s">
        <v>20</v>
      </c>
      <c r="C27" s="26">
        <f>C21+50</f>
        <v>46524</v>
      </c>
      <c r="D27" s="27" t="str">
        <f>IF(C27&lt;&gt;"",COUNTIF($C$7:C27,C27)&amp;C27,"")</f>
        <v>146524</v>
      </c>
      <c r="F27" s="18" t="s">
        <v>42</v>
      </c>
      <c r="G27" s="18" t="s">
        <v>44</v>
      </c>
      <c r="H27" s="30" t="s">
        <v>57</v>
      </c>
      <c r="I27" s="33" cm="1">
        <f t="array" ref="I27">WORKDAY.INTL(DATEVALUE($H27&amp;Annee+1)-1,1,"1110111")+7</f>
        <v>46548</v>
      </c>
      <c r="K27" s="13" t="str">
        <f>IF($B11="","",IFERROR(INDEX(l_Evenement,MATCH(ROW(#REF!)&amp;K$22,l_IdDate,0),1),""))</f>
        <v/>
      </c>
      <c r="L27" s="14" t="str">
        <f>IF($B11="","",IFERROR(INDEX(l_Evenement,MATCH(ROW(#REF!)&amp;L$22,l_IdDate,0),1),""))</f>
        <v/>
      </c>
      <c r="M27" s="14" t="str">
        <f>IF($B11="","",IFERROR(INDEX(l_Evenement,MATCH(ROW(#REF!)&amp;M$22,l_IdDate,0),1),""))</f>
        <v/>
      </c>
      <c r="N27" s="14" t="str">
        <f>IF($B11="","",IFERROR(INDEX(l_Evenement,MATCH(ROW(#REF!)&amp;N$22,l_IdDate,0),1),""))</f>
        <v/>
      </c>
      <c r="O27" s="14" t="str">
        <f>IF($B11="","",IFERROR(INDEX(l_Evenement,MATCH(ROW(#REF!)&amp;O$22,l_IdDate,0),1),""))</f>
        <v/>
      </c>
      <c r="P27" s="14" t="str">
        <f>IF($B11="","",IFERROR(INDEX(l_Evenement,MATCH(ROW(#REF!)&amp;P$22,l_IdDate,0),1),""))</f>
        <v/>
      </c>
      <c r="Q27" s="14" t="str">
        <f>IF($B11="","",IFERROR(INDEX(l_Evenement,MATCH(ROW(#REF!)&amp;Q$22,l_IdDate,0),1),""))</f>
        <v/>
      </c>
    </row>
    <row r="28" spans="2:17" x14ac:dyDescent="0.4">
      <c r="B28" s="25" t="s">
        <v>21</v>
      </c>
      <c r="C28" s="26" cm="1">
        <f t="array" ref="C28">DATE(Annee+1,7,14)</f>
        <v>46582</v>
      </c>
      <c r="D28" s="27" t="str">
        <f>IF(C28&lt;&gt;"",COUNTIF($C$7:C28,C28)&amp;C28,"")</f>
        <v>146582</v>
      </c>
      <c r="F28" s="18" t="s">
        <v>45</v>
      </c>
      <c r="G28" s="18" t="s">
        <v>46</v>
      </c>
      <c r="H28" s="30"/>
      <c r="I28" s="32" t="s">
        <v>83</v>
      </c>
      <c r="K28" s="12">
        <f>Q22+1</f>
        <v>46251</v>
      </c>
      <c r="L28" s="12">
        <f>K28+1</f>
        <v>46252</v>
      </c>
      <c r="M28" s="12">
        <f t="shared" ref="M28:Q28" si="7">L28+1</f>
        <v>46253</v>
      </c>
      <c r="N28" s="12">
        <f t="shared" si="7"/>
        <v>46254</v>
      </c>
      <c r="O28" s="12">
        <f t="shared" si="7"/>
        <v>46255</v>
      </c>
      <c r="P28" s="12">
        <f t="shared" si="7"/>
        <v>46256</v>
      </c>
      <c r="Q28" s="12">
        <f t="shared" si="7"/>
        <v>46257</v>
      </c>
    </row>
    <row r="29" spans="2:17" x14ac:dyDescent="0.4">
      <c r="B29" s="25" t="s">
        <v>22</v>
      </c>
      <c r="C29" s="26" cm="1">
        <f t="array" ref="C29">DATE(Annee+1,8,15)</f>
        <v>46614</v>
      </c>
      <c r="D29" s="27" t="str">
        <f>IF(C29&lt;&gt;"",COUNTIF($C$7:C29,C29)&amp;C29,"")</f>
        <v>146614</v>
      </c>
      <c r="F29" s="18" t="s">
        <v>47</v>
      </c>
      <c r="G29" s="18" t="s">
        <v>48</v>
      </c>
      <c r="H29" s="29">
        <v>6</v>
      </c>
      <c r="I29" s="33">
        <f>DATE(Annee+1,$H29+1,0)-MOD(DATE(Annee+1,$H29+1,0)+4-2,7)</f>
        <v>46562</v>
      </c>
      <c r="K29" s="13" t="str">
        <f t="shared" ref="K29:Q32" si="8">IF($B7="","",IFERROR(INDEX(l_Evenement,MATCH(ROW(A1)&amp;K$28,l_IdDate,0),1),""))</f>
        <v/>
      </c>
      <c r="L29" s="13" t="str">
        <f t="shared" si="8"/>
        <v/>
      </c>
      <c r="M29" s="13" t="str">
        <f t="shared" si="8"/>
        <v/>
      </c>
      <c r="N29" s="13" t="str">
        <f t="shared" si="8"/>
        <v>Relâche</v>
      </c>
      <c r="O29" s="13" t="str">
        <f t="shared" si="8"/>
        <v/>
      </c>
      <c r="P29" s="13" t="str">
        <f t="shared" si="8"/>
        <v/>
      </c>
      <c r="Q29" s="13" t="str">
        <f t="shared" si="8"/>
        <v/>
      </c>
    </row>
    <row r="30" spans="2:17" x14ac:dyDescent="0.4">
      <c r="B30" s="25" t="s">
        <v>23</v>
      </c>
      <c r="C30" s="26" cm="1">
        <f t="array" ref="C30">DATE(Annee+1,11,1)</f>
        <v>46692</v>
      </c>
      <c r="D30" s="27" t="str">
        <f>IF(C30&lt;&gt;"",COUNTIF($C$7:C30,C30)&amp;C30,"")</f>
        <v>146692</v>
      </c>
      <c r="F30" s="18" t="s">
        <v>49</v>
      </c>
      <c r="G30" s="18" t="s">
        <v>50</v>
      </c>
      <c r="H30" s="30" t="s">
        <v>51</v>
      </c>
      <c r="I30" s="33" cm="1">
        <f t="array" ref="I30">WORKDAY.INTL(DATEVALUE($H30&amp;Annee+1)-1,1,"1110111")+14</f>
        <v>46709</v>
      </c>
      <c r="K30" s="13" t="str">
        <f t="shared" si="8"/>
        <v/>
      </c>
      <c r="L30" s="13" t="str">
        <f t="shared" si="8"/>
        <v/>
      </c>
      <c r="M30" s="13" t="str">
        <f t="shared" si="8"/>
        <v/>
      </c>
      <c r="N30" s="13" t="str">
        <f t="shared" si="8"/>
        <v/>
      </c>
      <c r="O30" s="13" t="str">
        <f t="shared" si="8"/>
        <v/>
      </c>
      <c r="P30" s="13" t="str">
        <f t="shared" si="8"/>
        <v/>
      </c>
      <c r="Q30" s="13" t="str">
        <f t="shared" si="8"/>
        <v/>
      </c>
    </row>
    <row r="31" spans="2:17" ht="18.600000000000001" x14ac:dyDescent="0.4">
      <c r="B31" s="25" t="s">
        <v>24</v>
      </c>
      <c r="C31" s="26" cm="1">
        <f t="array" ref="C31">DATE(Annee+1,11,11)</f>
        <v>46702</v>
      </c>
      <c r="D31" s="27" t="str">
        <f>IF(C31&lt;&gt;"",COUNTIF($C$7:C31,C31)&amp;C31,"")</f>
        <v>146702</v>
      </c>
      <c r="F31" s="35" t="s">
        <v>87</v>
      </c>
      <c r="G31" s="36">
        <v>46205</v>
      </c>
      <c r="I31" s="40">
        <f>G31</f>
        <v>46205</v>
      </c>
      <c r="K31" s="13" t="str">
        <f t="shared" si="8"/>
        <v/>
      </c>
      <c r="L31" s="13" t="str">
        <f t="shared" si="8"/>
        <v/>
      </c>
      <c r="M31" s="13" t="str">
        <f t="shared" si="8"/>
        <v/>
      </c>
      <c r="N31" s="13" t="str">
        <f t="shared" si="8"/>
        <v/>
      </c>
      <c r="O31" s="13" t="str">
        <f t="shared" si="8"/>
        <v/>
      </c>
      <c r="P31" s="13" t="str">
        <f t="shared" si="8"/>
        <v/>
      </c>
      <c r="Q31" s="13" t="str">
        <f t="shared" si="8"/>
        <v/>
      </c>
    </row>
    <row r="32" spans="2:17" ht="18.600000000000001" x14ac:dyDescent="0.4">
      <c r="B32" s="25" t="s">
        <v>25</v>
      </c>
      <c r="C32" s="26" cm="1">
        <f t="array" ref="C32">DATE(Annee+1,12,25)</f>
        <v>46746</v>
      </c>
      <c r="D32" s="27" t="str">
        <f>IF(C32&lt;&gt;"",COUNTIF($C$7:C32,C32)&amp;C32,"")</f>
        <v>146746</v>
      </c>
      <c r="F32" s="35" t="s">
        <v>88</v>
      </c>
      <c r="G32" s="36">
        <f t="shared" ref="G32:G39" si="9">G31+7</f>
        <v>46212</v>
      </c>
      <c r="I32" s="40">
        <f t="shared" ref="I32:I86" si="10">G32</f>
        <v>46212</v>
      </c>
      <c r="K32" s="13" t="str">
        <f t="shared" si="8"/>
        <v/>
      </c>
      <c r="L32" s="13" t="str">
        <f t="shared" si="8"/>
        <v/>
      </c>
      <c r="M32" s="13" t="str">
        <f t="shared" si="8"/>
        <v/>
      </c>
      <c r="N32" s="13" t="str">
        <f t="shared" si="8"/>
        <v/>
      </c>
      <c r="O32" s="13" t="str">
        <f t="shared" si="8"/>
        <v/>
      </c>
      <c r="P32" s="13" t="str">
        <f t="shared" si="8"/>
        <v/>
      </c>
      <c r="Q32" s="13" t="str">
        <f t="shared" si="8"/>
        <v/>
      </c>
    </row>
    <row r="33" spans="2:17" ht="18.600000000000001" x14ac:dyDescent="0.4">
      <c r="B33" s="25" t="str">
        <f>F7</f>
        <v>Banque alimentaire</v>
      </c>
      <c r="C33" s="26">
        <f>I7</f>
        <v>46332</v>
      </c>
      <c r="D33" s="27" t="str">
        <f>IF(C33&lt;&gt;"",COUNTIF($C$7:C33,C33)&amp;C33,"")</f>
        <v>146332</v>
      </c>
      <c r="F33" s="35" t="s">
        <v>89</v>
      </c>
      <c r="G33" s="36">
        <f t="shared" si="9"/>
        <v>46219</v>
      </c>
      <c r="I33" s="40">
        <f t="shared" si="10"/>
        <v>46219</v>
      </c>
      <c r="K33" s="13" t="str">
        <f>IF($B11="","",IFERROR(INDEX(l_Evenement,MATCH(ROW(#REF!)&amp;K$28,l_IdDate,0),1),""))</f>
        <v/>
      </c>
      <c r="L33" s="13" t="str">
        <f>IF($B11="","",IFERROR(INDEX(l_Evenement,MATCH(ROW(#REF!)&amp;L$28,l_IdDate,0),1),""))</f>
        <v/>
      </c>
      <c r="M33" s="13" t="str">
        <f>IF($B11="","",IFERROR(INDEX(l_Evenement,MATCH(ROW(#REF!)&amp;M$28,l_IdDate,0),1),""))</f>
        <v/>
      </c>
      <c r="N33" s="13" t="str">
        <f>IF($B11="","",IFERROR(INDEX(l_Evenement,MATCH(ROW(#REF!)&amp;N$28,l_IdDate,0),1),""))</f>
        <v/>
      </c>
      <c r="O33" s="13" t="str">
        <f>IF($B11="","",IFERROR(INDEX(l_Evenement,MATCH(ROW(#REF!)&amp;O$28,l_IdDate,0),1),""))</f>
        <v/>
      </c>
      <c r="P33" s="13" t="str">
        <f>IF($B11="","",IFERROR(INDEX(l_Evenement,MATCH(ROW(#REF!)&amp;P$28,l_IdDate,0),1),""))</f>
        <v/>
      </c>
      <c r="Q33" s="13" t="str">
        <f>IF($B11="","",IFERROR(INDEX(l_Evenement,MATCH(ROW(#REF!)&amp;Q$28,l_IdDate,0),1),""))</f>
        <v/>
      </c>
    </row>
    <row r="34" spans="2:17" ht="18.600000000000001" x14ac:dyDescent="0.4">
      <c r="B34" s="25" t="str">
        <f t="shared" ref="B34:B54" si="11">F8</f>
        <v>Repas mensuel</v>
      </c>
      <c r="C34" s="26">
        <f t="shared" ref="C34:C54" si="12">I8</f>
        <v>46233</v>
      </c>
      <c r="D34" s="27" t="str">
        <f>IF(C34&lt;&gt;"",COUNTIF($C$7:C34,C34)&amp;C34,"")</f>
        <v>146233</v>
      </c>
      <c r="F34" s="35" t="s">
        <v>90</v>
      </c>
      <c r="G34" s="37">
        <f t="shared" si="9"/>
        <v>46226</v>
      </c>
      <c r="I34" s="40">
        <f t="shared" si="10"/>
        <v>46226</v>
      </c>
      <c r="K34" s="12">
        <f>IFERROR(IF(MONTH(Q28+1)=MONTH(PremJourMois),Q28+1,""),"")</f>
        <v>46258</v>
      </c>
      <c r="L34" s="12">
        <f t="shared" ref="L34:Q34" si="13">IFERROR(IF(MONTH(K34+1)=MONTH(PremJourMois),K34+1,""),"")</f>
        <v>46259</v>
      </c>
      <c r="M34" s="12">
        <f t="shared" si="13"/>
        <v>46260</v>
      </c>
      <c r="N34" s="12">
        <f t="shared" si="13"/>
        <v>46261</v>
      </c>
      <c r="O34" s="12">
        <f t="shared" si="13"/>
        <v>46262</v>
      </c>
      <c r="P34" s="12">
        <f t="shared" si="13"/>
        <v>46263</v>
      </c>
      <c r="Q34" s="12">
        <f t="shared" si="13"/>
        <v>46264</v>
      </c>
    </row>
    <row r="35" spans="2:17" ht="18.600000000000001" x14ac:dyDescent="0.4">
      <c r="B35" s="25" t="str">
        <f t="shared" si="11"/>
        <v>Repas mensuel</v>
      </c>
      <c r="C35" s="26">
        <f t="shared" si="12"/>
        <v>46261</v>
      </c>
      <c r="D35" s="27" t="str">
        <f>IF(C35&lt;&gt;"",COUNTIF($C$7:C35,C35)&amp;C35,"")</f>
        <v>146261</v>
      </c>
      <c r="F35" s="35" t="s">
        <v>90</v>
      </c>
      <c r="G35" s="37">
        <f t="shared" si="9"/>
        <v>46233</v>
      </c>
      <c r="I35" s="40">
        <f t="shared" si="10"/>
        <v>46233</v>
      </c>
      <c r="K35" s="13" t="str">
        <f t="shared" ref="K35:Q38" si="14">IF($B7="","",IFERROR(INDEX(l_Evenement,MATCH(ROW(A1)&amp;K$34,l_IdDate,0),1),""))</f>
        <v/>
      </c>
      <c r="L35" s="13" t="str">
        <f t="shared" si="14"/>
        <v/>
      </c>
      <c r="M35" s="13" t="str">
        <f t="shared" si="14"/>
        <v/>
      </c>
      <c r="N35" s="13" t="str">
        <f t="shared" si="14"/>
        <v>Repas mensuel</v>
      </c>
      <c r="O35" s="13" t="str">
        <f t="shared" si="14"/>
        <v>apero President</v>
      </c>
      <c r="P35" s="13" t="str">
        <f t="shared" si="14"/>
        <v/>
      </c>
      <c r="Q35" s="13" t="str">
        <f t="shared" si="14"/>
        <v/>
      </c>
    </row>
    <row r="36" spans="2:17" x14ac:dyDescent="0.4">
      <c r="B36" s="25" t="str">
        <f t="shared" si="11"/>
        <v>Repas mensuel</v>
      </c>
      <c r="C36" s="26">
        <f t="shared" si="12"/>
        <v>46289</v>
      </c>
      <c r="D36" s="27" t="str">
        <f>IF(C36&lt;&gt;"",COUNTIF($C$7:C36,C36)&amp;C36,"")</f>
        <v>146289</v>
      </c>
      <c r="F36" t="s">
        <v>90</v>
      </c>
      <c r="G36" s="36">
        <f t="shared" si="9"/>
        <v>46240</v>
      </c>
      <c r="I36" s="40">
        <f t="shared" si="10"/>
        <v>46240</v>
      </c>
      <c r="K36" s="13" t="str">
        <f t="shared" si="14"/>
        <v/>
      </c>
      <c r="L36" s="13" t="str">
        <f t="shared" si="14"/>
        <v/>
      </c>
      <c r="M36" s="13" t="str">
        <f t="shared" si="14"/>
        <v/>
      </c>
      <c r="N36" s="13" t="str">
        <f t="shared" si="14"/>
        <v>relache</v>
      </c>
      <c r="O36" s="13" t="str">
        <f t="shared" si="14"/>
        <v/>
      </c>
      <c r="P36" s="13" t="str">
        <f t="shared" si="14"/>
        <v/>
      </c>
      <c r="Q36" s="13" t="str">
        <f t="shared" si="14"/>
        <v/>
      </c>
    </row>
    <row r="37" spans="2:17" x14ac:dyDescent="0.4">
      <c r="B37" s="25" t="str">
        <f t="shared" si="11"/>
        <v>Repas mensuel</v>
      </c>
      <c r="C37" s="26">
        <f t="shared" si="12"/>
        <v>46324</v>
      </c>
      <c r="D37" s="27" t="str">
        <f>IF(C37&lt;&gt;"",COUNTIF($C$7:C37,C37)&amp;C37,"")</f>
        <v>146324</v>
      </c>
      <c r="F37" t="s">
        <v>88</v>
      </c>
      <c r="G37" s="36">
        <f t="shared" si="9"/>
        <v>46247</v>
      </c>
      <c r="I37" s="40">
        <f t="shared" si="10"/>
        <v>46247</v>
      </c>
      <c r="K37" s="13" t="str">
        <f t="shared" si="14"/>
        <v/>
      </c>
      <c r="L37" s="13" t="str">
        <f t="shared" si="14"/>
        <v/>
      </c>
      <c r="M37" s="13" t="str">
        <f t="shared" si="14"/>
        <v/>
      </c>
      <c r="N37" s="13" t="str">
        <f t="shared" si="14"/>
        <v/>
      </c>
      <c r="O37" s="13" t="str">
        <f t="shared" si="14"/>
        <v/>
      </c>
      <c r="P37" s="13" t="str">
        <f t="shared" si="14"/>
        <v/>
      </c>
      <c r="Q37" s="13" t="str">
        <f t="shared" si="14"/>
        <v/>
      </c>
    </row>
    <row r="38" spans="2:17" x14ac:dyDescent="0.4">
      <c r="B38" s="25" t="str">
        <f t="shared" si="11"/>
        <v>Repas mensuel</v>
      </c>
      <c r="C38" s="26">
        <f t="shared" si="12"/>
        <v>46352</v>
      </c>
      <c r="D38" s="27" t="str">
        <f>IF(C38&lt;&gt;"",COUNTIF($C$7:C38,C38)&amp;C38,"")</f>
        <v>146352</v>
      </c>
      <c r="F38" t="s">
        <v>88</v>
      </c>
      <c r="G38" s="36">
        <f t="shared" si="9"/>
        <v>46254</v>
      </c>
      <c r="I38" s="40">
        <f t="shared" si="10"/>
        <v>46254</v>
      </c>
      <c r="K38" s="13" t="str">
        <f t="shared" si="14"/>
        <v/>
      </c>
      <c r="L38" s="13" t="str">
        <f t="shared" si="14"/>
        <v/>
      </c>
      <c r="M38" s="13" t="str">
        <f t="shared" si="14"/>
        <v/>
      </c>
      <c r="N38" s="13" t="str">
        <f t="shared" si="14"/>
        <v/>
      </c>
      <c r="O38" s="13" t="str">
        <f t="shared" si="14"/>
        <v/>
      </c>
      <c r="P38" s="13" t="str">
        <f t="shared" si="14"/>
        <v/>
      </c>
      <c r="Q38" s="13" t="str">
        <f t="shared" si="14"/>
        <v/>
      </c>
    </row>
    <row r="39" spans="2:17" x14ac:dyDescent="0.4">
      <c r="B39" s="25" t="str">
        <f t="shared" si="11"/>
        <v>Repas mensuel</v>
      </c>
      <c r="C39" s="26">
        <f t="shared" si="12"/>
        <v>46387</v>
      </c>
      <c r="D39" s="27" t="str">
        <f>IF(C39&lt;&gt;"",COUNTIF($C$7:C39,C39)&amp;C39,"")</f>
        <v>146387</v>
      </c>
      <c r="F39" t="s">
        <v>91</v>
      </c>
      <c r="G39" s="37">
        <f t="shared" si="9"/>
        <v>46261</v>
      </c>
      <c r="I39" s="40">
        <f t="shared" si="10"/>
        <v>46261</v>
      </c>
      <c r="K39" s="13" t="str">
        <f>IF($B11="","",IFERROR(INDEX(l_Evenement,MATCH(ROW(#REF!)&amp;K$34,l_IdDate,0),1),""))</f>
        <v/>
      </c>
      <c r="L39" s="13" t="str">
        <f>IF($B11="","",IFERROR(INDEX(l_Evenement,MATCH(ROW(#REF!)&amp;L$34,l_IdDate,0),1),""))</f>
        <v/>
      </c>
      <c r="M39" s="13" t="str">
        <f>IF($B11="","",IFERROR(INDEX(l_Evenement,MATCH(ROW(#REF!)&amp;M$34,l_IdDate,0),1),""))</f>
        <v/>
      </c>
      <c r="N39" s="13" t="str">
        <f>IF($B11="","",IFERROR(INDEX(l_Evenement,MATCH(ROW(#REF!)&amp;N$34,l_IdDate,0),1),""))</f>
        <v/>
      </c>
      <c r="O39" s="13" t="str">
        <f>IF($B11="","",IFERROR(INDEX(l_Evenement,MATCH(ROW(#REF!)&amp;O$34,l_IdDate,0),1),""))</f>
        <v/>
      </c>
      <c r="P39" s="13" t="str">
        <f>IF($B11="","",IFERROR(INDEX(l_Evenement,MATCH(ROW(#REF!)&amp;P$34,l_IdDate,0),1),""))</f>
        <v/>
      </c>
      <c r="Q39" s="13" t="str">
        <f>IF($B11="","",IFERROR(INDEX(l_Evenement,MATCH(ROW(#REF!)&amp;Q$34,l_IdDate,0),1),""))</f>
        <v/>
      </c>
    </row>
    <row r="40" spans="2:17" x14ac:dyDescent="0.4">
      <c r="B40" s="25" t="str">
        <f t="shared" si="11"/>
        <v>Repas mensuel</v>
      </c>
      <c r="C40" s="26">
        <f t="shared" si="12"/>
        <v>46415</v>
      </c>
      <c r="D40" s="27" t="str">
        <f>IF(C40&lt;&gt;"",COUNTIF($C$7:C40,C40)&amp;C40,"")</f>
        <v>146415</v>
      </c>
      <c r="F40" t="s">
        <v>92</v>
      </c>
      <c r="G40" s="37">
        <v>46262</v>
      </c>
      <c r="I40" s="40">
        <f t="shared" si="10"/>
        <v>46262</v>
      </c>
      <c r="K40" s="12">
        <f>IFERROR(IF(MONTH(Q34+1)=MONTH(PremJourMois),Q34+1,""),"")</f>
        <v>46265</v>
      </c>
      <c r="L40" s="12" t="str">
        <f t="shared" ref="L40:Q40" si="15">IFERROR(IF(MONTH(K40+1)=MONTH(PremJourMois),K40+1,""),"")</f>
        <v/>
      </c>
      <c r="M40" s="12" t="str">
        <f t="shared" si="15"/>
        <v/>
      </c>
      <c r="N40" s="12" t="str">
        <f t="shared" si="15"/>
        <v/>
      </c>
      <c r="O40" s="12" t="str">
        <f t="shared" si="15"/>
        <v/>
      </c>
      <c r="P40" s="12" t="str">
        <f t="shared" si="15"/>
        <v/>
      </c>
      <c r="Q40" s="12" t="str">
        <f t="shared" si="15"/>
        <v/>
      </c>
    </row>
    <row r="41" spans="2:17" x14ac:dyDescent="0.4">
      <c r="B41" s="25" t="str">
        <f t="shared" si="11"/>
        <v>Repas mensuel</v>
      </c>
      <c r="C41" s="26">
        <f t="shared" si="12"/>
        <v>46443</v>
      </c>
      <c r="D41" s="27" t="str">
        <f>IF(C41&lt;&gt;"",COUNTIF($C$7:C41,C41)&amp;C41,"")</f>
        <v>146443</v>
      </c>
      <c r="F41"/>
      <c r="G41" s="36">
        <f>G39+7</f>
        <v>46268</v>
      </c>
      <c r="I41" s="40">
        <f t="shared" si="10"/>
        <v>46268</v>
      </c>
      <c r="K41" s="13" t="str">
        <f t="shared" ref="K41:Q44" si="16">IF($B7="","",IFERROR(INDEX(l_Evenement,MATCH(ROW(A1)&amp;K$40,l_IdDate,0),1),""))</f>
        <v/>
      </c>
      <c r="L41" s="13" t="str">
        <f t="shared" si="16"/>
        <v/>
      </c>
      <c r="M41" s="13" t="str">
        <f t="shared" si="16"/>
        <v/>
      </c>
      <c r="N41" s="13" t="str">
        <f t="shared" si="16"/>
        <v/>
      </c>
      <c r="O41" s="13" t="str">
        <f t="shared" si="16"/>
        <v/>
      </c>
      <c r="P41" s="13" t="str">
        <f t="shared" si="16"/>
        <v/>
      </c>
      <c r="Q41" s="13" t="str">
        <f t="shared" si="16"/>
        <v/>
      </c>
    </row>
    <row r="42" spans="2:17" x14ac:dyDescent="0.4">
      <c r="B42" s="25" t="str">
        <f t="shared" si="11"/>
        <v>Repas mensuel</v>
      </c>
      <c r="C42" s="26">
        <f t="shared" si="12"/>
        <v>46471</v>
      </c>
      <c r="D42" s="27" t="str">
        <f>IF(C42&lt;&gt;"",COUNTIF($C$7:C42,C42)&amp;C42,"")</f>
        <v>146471</v>
      </c>
      <c r="F42" t="s">
        <v>93</v>
      </c>
      <c r="G42" s="36">
        <f>G41+7</f>
        <v>46275</v>
      </c>
      <c r="I42" s="40">
        <f t="shared" si="10"/>
        <v>46275</v>
      </c>
      <c r="K42" s="13" t="str">
        <f t="shared" si="16"/>
        <v/>
      </c>
      <c r="L42" s="13" t="str">
        <f t="shared" si="16"/>
        <v/>
      </c>
      <c r="M42" s="13" t="str">
        <f t="shared" si="16"/>
        <v/>
      </c>
      <c r="N42" s="13" t="str">
        <f t="shared" si="16"/>
        <v/>
      </c>
      <c r="O42" s="13" t="str">
        <f t="shared" si="16"/>
        <v/>
      </c>
      <c r="P42" s="13" t="str">
        <f t="shared" si="16"/>
        <v/>
      </c>
      <c r="Q42" s="13" t="str">
        <f t="shared" si="16"/>
        <v/>
      </c>
    </row>
    <row r="43" spans="2:17" x14ac:dyDescent="0.4">
      <c r="B43" s="25" t="str">
        <f t="shared" si="11"/>
        <v>Repas mensuel</v>
      </c>
      <c r="C43" s="26">
        <f t="shared" si="12"/>
        <v>46506</v>
      </c>
      <c r="D43" s="27" t="str">
        <f>IF(C43&lt;&gt;"",COUNTIF($C$7:C43,C43)&amp;C43,"")</f>
        <v>146506</v>
      </c>
      <c r="F43" t="s">
        <v>94</v>
      </c>
      <c r="G43" s="36">
        <f t="shared" ref="G43:G49" si="17">G42+7</f>
        <v>46282</v>
      </c>
      <c r="I43" s="40">
        <f t="shared" si="10"/>
        <v>46282</v>
      </c>
      <c r="K43" s="13" t="str">
        <f t="shared" si="16"/>
        <v/>
      </c>
      <c r="L43" s="13" t="str">
        <f t="shared" si="16"/>
        <v/>
      </c>
      <c r="M43" s="13" t="str">
        <f t="shared" si="16"/>
        <v/>
      </c>
      <c r="N43" s="13" t="str">
        <f t="shared" si="16"/>
        <v/>
      </c>
      <c r="O43" s="13" t="str">
        <f t="shared" si="16"/>
        <v/>
      </c>
      <c r="P43" s="13" t="str">
        <f t="shared" si="16"/>
        <v/>
      </c>
      <c r="Q43" s="13" t="str">
        <f t="shared" si="16"/>
        <v/>
      </c>
    </row>
    <row r="44" spans="2:17" x14ac:dyDescent="0.4">
      <c r="B44" s="25" t="str">
        <f t="shared" si="11"/>
        <v>Repas mensuel</v>
      </c>
      <c r="C44" s="26">
        <f t="shared" si="12"/>
        <v>46534</v>
      </c>
      <c r="D44" s="27" t="str">
        <f>IF(C44&lt;&gt;"",COUNTIF($C$7:C44,C44)&amp;C44,"")</f>
        <v>146534</v>
      </c>
      <c r="F44" t="s">
        <v>95</v>
      </c>
      <c r="G44" s="37">
        <f t="shared" si="17"/>
        <v>46289</v>
      </c>
      <c r="I44" s="40">
        <f t="shared" si="10"/>
        <v>46289</v>
      </c>
      <c r="K44" s="13" t="str">
        <f t="shared" si="16"/>
        <v/>
      </c>
      <c r="L44" s="13" t="str">
        <f t="shared" si="16"/>
        <v/>
      </c>
      <c r="M44" s="13" t="str">
        <f t="shared" si="16"/>
        <v/>
      </c>
      <c r="N44" s="13" t="str">
        <f t="shared" si="16"/>
        <v/>
      </c>
      <c r="O44" s="13" t="str">
        <f t="shared" si="16"/>
        <v/>
      </c>
      <c r="P44" s="13" t="str">
        <f t="shared" si="16"/>
        <v/>
      </c>
      <c r="Q44" s="13" t="str">
        <f t="shared" si="16"/>
        <v/>
      </c>
    </row>
    <row r="45" spans="2:17" x14ac:dyDescent="0.4">
      <c r="B45" s="25" t="str">
        <f t="shared" si="11"/>
        <v>Repas mensuel</v>
      </c>
      <c r="C45" s="26">
        <f t="shared" si="12"/>
        <v>46562</v>
      </c>
      <c r="D45" s="27" t="str">
        <f>IF(C45&lt;&gt;"",COUNTIF($C$7:C45,C45)&amp;C45,"")</f>
        <v>146562</v>
      </c>
      <c r="F45" t="s">
        <v>96</v>
      </c>
      <c r="G45" s="36">
        <f t="shared" si="17"/>
        <v>46296</v>
      </c>
      <c r="I45" s="40">
        <f t="shared" si="10"/>
        <v>46296</v>
      </c>
      <c r="K45" s="15" t="str">
        <f>IF($B11="","",IFERROR(INDEX(l_Evenement,MATCH(ROW(#REF!)&amp;K$40,l_IdDate,0),1),""))</f>
        <v/>
      </c>
      <c r="L45" s="15" t="str">
        <f>IF($B11="","",IFERROR(INDEX(l_Evenement,MATCH(ROW(#REF!)&amp;L$40,l_IdDate,0),1),""))</f>
        <v/>
      </c>
      <c r="M45" s="15" t="str">
        <f>IF($B11="","",IFERROR(INDEX(l_Evenement,MATCH(ROW(#REF!)&amp;M$40,l_IdDate,0),1),""))</f>
        <v/>
      </c>
      <c r="N45" s="15" t="str">
        <f>IF($B11="","",IFERROR(INDEX(l_Evenement,MATCH(ROW(#REF!)&amp;N$40,l_IdDate,0),1),""))</f>
        <v/>
      </c>
      <c r="O45" s="15" t="str">
        <f>IF($B11="","",IFERROR(INDEX(l_Evenement,MATCH(ROW(#REF!)&amp;O$40,l_IdDate,0),1),""))</f>
        <v/>
      </c>
      <c r="P45" s="15" t="str">
        <f>IF($B11="","",IFERROR(INDEX(l_Evenement,MATCH(ROW(#REF!)&amp;P$40,l_IdDate,0),1),""))</f>
        <v/>
      </c>
      <c r="Q45" s="15" t="str">
        <f>IF($B11="","",IFERROR(INDEX(l_Evenement,MATCH(ROW(#REF!)&amp;Q$40,l_IdDate,0),1),""))</f>
        <v/>
      </c>
    </row>
    <row r="46" spans="2:17" x14ac:dyDescent="0.4">
      <c r="B46" s="25" t="str">
        <f t="shared" si="11"/>
        <v>Huitres</v>
      </c>
      <c r="C46" s="26">
        <f t="shared" si="12"/>
        <v>46359</v>
      </c>
      <c r="D46" s="27" t="str">
        <f>IF(C46&lt;&gt;"",COUNTIF($C$7:C46,C46)&amp;C46,"")</f>
        <v>146359</v>
      </c>
      <c r="F46" t="s">
        <v>94</v>
      </c>
      <c r="G46" s="36">
        <f t="shared" si="17"/>
        <v>46303</v>
      </c>
      <c r="I46" s="40">
        <f t="shared" si="10"/>
        <v>46303</v>
      </c>
    </row>
    <row r="47" spans="2:17" x14ac:dyDescent="0.4">
      <c r="B47" s="25" t="str">
        <f t="shared" si="11"/>
        <v xml:space="preserve">Vœux </v>
      </c>
      <c r="C47" s="26">
        <f t="shared" si="12"/>
        <v>46394</v>
      </c>
      <c r="D47" s="27" t="str">
        <f>IF(C47&lt;&gt;"",COUNTIF($C$7:C47,C47)&amp;C47,"")</f>
        <v>146394</v>
      </c>
      <c r="F47" t="s">
        <v>94</v>
      </c>
      <c r="G47" s="37">
        <f t="shared" si="17"/>
        <v>46310</v>
      </c>
      <c r="I47" s="40">
        <f t="shared" si="10"/>
        <v>46310</v>
      </c>
    </row>
    <row r="48" spans="2:17" x14ac:dyDescent="0.4">
      <c r="B48" s="25" t="str">
        <f t="shared" si="11"/>
        <v>Crêpes</v>
      </c>
      <c r="C48" s="26">
        <f t="shared" si="12"/>
        <v>46422</v>
      </c>
      <c r="D48" s="27" t="str">
        <f>IF(C48&lt;&gt;"",COUNTIF($C$7:C48,C48)&amp;C48,"")</f>
        <v>146422</v>
      </c>
      <c r="F48" t="s">
        <v>88</v>
      </c>
      <c r="G48" s="36">
        <f t="shared" si="17"/>
        <v>46317</v>
      </c>
      <c r="I48" s="40">
        <f t="shared" si="10"/>
        <v>46317</v>
      </c>
    </row>
    <row r="49" spans="2:9" x14ac:dyDescent="0.4">
      <c r="B49" s="25" t="str">
        <f t="shared" si="11"/>
        <v>Soirée au coin du feu</v>
      </c>
      <c r="C49" s="26">
        <f t="shared" si="12"/>
        <v>46471</v>
      </c>
      <c r="D49" s="27" t="str">
        <f>IF(C49&lt;&gt;"",COUNTIF($C$7:C49,C49)&amp;C49,"")</f>
        <v>246471</v>
      </c>
      <c r="F49" t="s">
        <v>88</v>
      </c>
      <c r="G49" s="36">
        <f t="shared" si="17"/>
        <v>46324</v>
      </c>
      <c r="I49" s="40">
        <f t="shared" si="10"/>
        <v>46324</v>
      </c>
    </row>
    <row r="50" spans="2:9" x14ac:dyDescent="0.4">
      <c r="B50" s="25" t="str">
        <f t="shared" si="11"/>
        <v>Concert</v>
      </c>
      <c r="C50" s="26">
        <f t="shared" si="12"/>
        <v>46450</v>
      </c>
      <c r="D50" s="27" t="str">
        <f>IF(C50&lt;&gt;"",COUNTIF($C$7:C50,C50)&amp;C50,"")</f>
        <v>146450</v>
      </c>
      <c r="F50" t="s">
        <v>27</v>
      </c>
      <c r="G50" s="36">
        <f>G49+7</f>
        <v>46331</v>
      </c>
      <c r="I50" s="40">
        <f t="shared" si="10"/>
        <v>46331</v>
      </c>
    </row>
    <row r="51" spans="2:9" x14ac:dyDescent="0.4">
      <c r="B51" s="25" t="str">
        <f t="shared" si="11"/>
        <v>Concert</v>
      </c>
      <c r="C51" s="26">
        <f t="shared" si="12"/>
        <v>46480</v>
      </c>
      <c r="D51" s="27" t="str">
        <f>IF(C51&lt;&gt;"",COUNTIF($C$7:C51,C51)&amp;C51,"")</f>
        <v>146480</v>
      </c>
      <c r="F51" t="s">
        <v>97</v>
      </c>
      <c r="G51" s="36">
        <v>46332</v>
      </c>
      <c r="I51" s="40">
        <f t="shared" si="10"/>
        <v>46332</v>
      </c>
    </row>
    <row r="52" spans="2:9" x14ac:dyDescent="0.4">
      <c r="B52" s="25" t="str">
        <f t="shared" si="11"/>
        <v>Prix</v>
      </c>
      <c r="C52" s="26">
        <f t="shared" si="12"/>
        <v>46520</v>
      </c>
      <c r="D52" s="27" t="str">
        <f>IF(C52&lt;&gt;"",COUNTIF($C$7:C52,C52)&amp;C52,"")</f>
        <v>146520</v>
      </c>
      <c r="F52" t="s">
        <v>97</v>
      </c>
      <c r="G52" s="36">
        <v>46333</v>
      </c>
      <c r="I52" s="40">
        <f t="shared" si="10"/>
        <v>46333</v>
      </c>
    </row>
    <row r="53" spans="2:9" x14ac:dyDescent="0.4">
      <c r="B53" s="25" t="str">
        <f t="shared" si="11"/>
        <v>Prix</v>
      </c>
      <c r="C53" s="26">
        <f t="shared" si="12"/>
        <v>46548</v>
      </c>
      <c r="D53" s="27" t="str">
        <f>IF(C53&lt;&gt;"",COUNTIF($C$7:C53,C53)&amp;C53,"")</f>
        <v>146548</v>
      </c>
      <c r="F53" t="s">
        <v>97</v>
      </c>
      <c r="G53" s="36">
        <v>46334</v>
      </c>
      <c r="I53" s="40">
        <f t="shared" si="10"/>
        <v>46334</v>
      </c>
    </row>
    <row r="54" spans="2:9" x14ac:dyDescent="0.4">
      <c r="B54" s="25" t="str">
        <f t="shared" si="11"/>
        <v>Visite</v>
      </c>
      <c r="C54" s="26" t="str">
        <f t="shared" si="12"/>
        <v xml:space="preserve"> </v>
      </c>
      <c r="D54" s="27" t="str">
        <f>IF(C54&lt;&gt;"",COUNTIF($C$7:C54,C54)&amp;C54,"")</f>
        <v xml:space="preserve">1 </v>
      </c>
      <c r="F54" t="s">
        <v>98</v>
      </c>
      <c r="G54" s="36">
        <f>G50+7</f>
        <v>46338</v>
      </c>
      <c r="I54" s="40">
        <f t="shared" si="10"/>
        <v>46338</v>
      </c>
    </row>
    <row r="55" spans="2:9" x14ac:dyDescent="0.4">
      <c r="B55" s="25" t="str">
        <f t="shared" ref="B55:B56" si="18">F29</f>
        <v>Passation</v>
      </c>
      <c r="C55" s="26">
        <f t="shared" ref="C55:C56" si="19">I29</f>
        <v>46562</v>
      </c>
      <c r="D55" s="27" t="str">
        <f>IF(C55&lt;&gt;"",COUNTIF($C$7:C55,C55)&amp;C55,"")</f>
        <v>246562</v>
      </c>
      <c r="F55" t="s">
        <v>99</v>
      </c>
      <c r="G55" s="36">
        <f t="shared" ref="G55:G86" si="20">G54+7</f>
        <v>46345</v>
      </c>
      <c r="I55" s="40">
        <f t="shared" si="10"/>
        <v>46345</v>
      </c>
    </row>
    <row r="56" spans="2:9" x14ac:dyDescent="0.4">
      <c r="B56" s="25" t="str">
        <f t="shared" si="18"/>
        <v>Beaujolais nouveau</v>
      </c>
      <c r="C56" s="26">
        <f t="shared" si="19"/>
        <v>46709</v>
      </c>
      <c r="D56" s="41" t="str">
        <f>IF(C56&lt;&gt;"",COUNTIF($C$7:C112,C56)&amp;C56,"")</f>
        <v>146709</v>
      </c>
      <c r="F56" t="s">
        <v>100</v>
      </c>
      <c r="G56" s="36">
        <f t="shared" si="20"/>
        <v>46352</v>
      </c>
      <c r="I56" s="40">
        <f t="shared" si="10"/>
        <v>46352</v>
      </c>
    </row>
    <row r="57" spans="2:9" x14ac:dyDescent="0.4">
      <c r="B57" s="25" t="str">
        <f t="shared" ref="B57:B112" si="21">F31</f>
        <v>PASSATION</v>
      </c>
      <c r="C57" s="26">
        <f t="shared" ref="C57:C112" si="22">I31</f>
        <v>46205</v>
      </c>
      <c r="D57" s="27" t="str">
        <f>IF(C57&lt;&gt;"",COUNTIF($C$7:C57,C57)&amp;C57,"")</f>
        <v>146205</v>
      </c>
      <c r="F57"/>
      <c r="G57" s="36">
        <f t="shared" si="20"/>
        <v>46359</v>
      </c>
      <c r="I57" s="40">
        <f t="shared" si="10"/>
        <v>46359</v>
      </c>
    </row>
    <row r="58" spans="2:9" x14ac:dyDescent="0.4">
      <c r="B58" s="25" t="str">
        <f t="shared" si="21"/>
        <v>Relâche</v>
      </c>
      <c r="C58" s="26">
        <f t="shared" si="22"/>
        <v>46212</v>
      </c>
      <c r="D58" s="27" t="str">
        <f>IF(C58&lt;&gt;"",COUNTIF($C$7:C58,C58)&amp;C58,"")</f>
        <v>146212</v>
      </c>
      <c r="F58" t="s">
        <v>101</v>
      </c>
      <c r="G58" s="36">
        <f t="shared" si="20"/>
        <v>46366</v>
      </c>
      <c r="I58" s="40">
        <f t="shared" si="10"/>
        <v>46366</v>
      </c>
    </row>
    <row r="59" spans="2:9" x14ac:dyDescent="0.4">
      <c r="B59" s="25" t="str">
        <f t="shared" si="21"/>
        <v>GARDEN PARTY</v>
      </c>
      <c r="C59" s="26">
        <f t="shared" si="22"/>
        <v>46219</v>
      </c>
      <c r="D59" s="27" t="str">
        <f>IF(C59&lt;&gt;"",COUNTIF($C$7:C59,C59)&amp;C59,"")</f>
        <v>146219</v>
      </c>
      <c r="F59" t="s">
        <v>102</v>
      </c>
      <c r="G59" s="36">
        <f t="shared" si="20"/>
        <v>46373</v>
      </c>
      <c r="I59" s="40">
        <f t="shared" si="10"/>
        <v>46373</v>
      </c>
    </row>
    <row r="60" spans="2:9" x14ac:dyDescent="0.4">
      <c r="B60" s="25" t="str">
        <f t="shared" si="21"/>
        <v xml:space="preserve">Pique-nique chez </v>
      </c>
      <c r="C60" s="26">
        <f t="shared" si="22"/>
        <v>46226</v>
      </c>
      <c r="D60" s="27" t="str">
        <f>IF(C60&lt;&gt;"",COUNTIF($C$7:C60,C60)&amp;C60,"")</f>
        <v>146226</v>
      </c>
      <c r="F60" t="s">
        <v>88</v>
      </c>
      <c r="G60" s="36">
        <f t="shared" si="20"/>
        <v>46380</v>
      </c>
      <c r="I60" s="40">
        <f t="shared" si="10"/>
        <v>46380</v>
      </c>
    </row>
    <row r="61" spans="2:9" x14ac:dyDescent="0.4">
      <c r="B61" s="25" t="str">
        <f t="shared" si="21"/>
        <v xml:space="preserve">Pique-nique chez </v>
      </c>
      <c r="C61" s="26">
        <f t="shared" si="22"/>
        <v>46233</v>
      </c>
      <c r="D61" s="27" t="str">
        <f>IF(C61&lt;&gt;"",COUNTIF($C$7:C61,C61)&amp;C61,"")</f>
        <v>246233</v>
      </c>
      <c r="F61" t="s">
        <v>88</v>
      </c>
      <c r="G61" s="36">
        <f t="shared" si="20"/>
        <v>46387</v>
      </c>
      <c r="I61" s="40">
        <f t="shared" si="10"/>
        <v>46387</v>
      </c>
    </row>
    <row r="62" spans="2:9" ht="18" x14ac:dyDescent="0.35">
      <c r="B62" s="25" t="str">
        <f t="shared" si="21"/>
        <v xml:space="preserve">Pique-nique chez </v>
      </c>
      <c r="C62" s="26">
        <f t="shared" si="22"/>
        <v>46240</v>
      </c>
      <c r="D62" s="27" t="str">
        <f>IF(C62&lt;&gt;"",COUNTIF($C$7:C62,C62)&amp;C62,"")</f>
        <v>146240</v>
      </c>
      <c r="F62" s="38" t="s">
        <v>103</v>
      </c>
      <c r="G62" s="39">
        <f t="shared" si="20"/>
        <v>46394</v>
      </c>
      <c r="I62" s="40">
        <f t="shared" si="10"/>
        <v>46394</v>
      </c>
    </row>
    <row r="63" spans="2:9" ht="18" x14ac:dyDescent="0.35">
      <c r="B63" s="25" t="str">
        <f t="shared" si="21"/>
        <v>Relâche</v>
      </c>
      <c r="C63" s="26">
        <f t="shared" si="22"/>
        <v>46247</v>
      </c>
      <c r="D63" s="27" t="str">
        <f>IF(C63&lt;&gt;"",COUNTIF($C$7:C63,C63)&amp;C63,"")</f>
        <v>146247</v>
      </c>
      <c r="F63" s="38" t="s">
        <v>104</v>
      </c>
      <c r="G63" s="39">
        <f t="shared" si="20"/>
        <v>46401</v>
      </c>
      <c r="I63" s="40">
        <f t="shared" si="10"/>
        <v>46401</v>
      </c>
    </row>
    <row r="64" spans="2:9" ht="18" x14ac:dyDescent="0.35">
      <c r="B64" s="25" t="str">
        <f t="shared" si="21"/>
        <v>Relâche</v>
      </c>
      <c r="C64" s="26">
        <f t="shared" si="22"/>
        <v>46254</v>
      </c>
      <c r="D64" s="27" t="str">
        <f>IF(C64&lt;&gt;"",COUNTIF($C$7:C64,C64)&amp;C64,"")</f>
        <v>146254</v>
      </c>
      <c r="F64" s="38" t="s">
        <v>105</v>
      </c>
      <c r="G64" s="39">
        <f t="shared" si="20"/>
        <v>46408</v>
      </c>
      <c r="I64" s="40">
        <f t="shared" si="10"/>
        <v>46408</v>
      </c>
    </row>
    <row r="65" spans="2:9" ht="18" x14ac:dyDescent="0.35">
      <c r="B65" s="25" t="str">
        <f t="shared" si="21"/>
        <v>relache</v>
      </c>
      <c r="C65" s="26">
        <f t="shared" si="22"/>
        <v>46261</v>
      </c>
      <c r="D65" s="27" t="str">
        <f>IF(C65&lt;&gt;"",COUNTIF($C$7:C65,C65)&amp;C65,"")</f>
        <v>246261</v>
      </c>
      <c r="F65" s="38" t="s">
        <v>106</v>
      </c>
      <c r="G65" s="39">
        <f t="shared" si="20"/>
        <v>46415</v>
      </c>
      <c r="I65" s="40">
        <f t="shared" si="10"/>
        <v>46415</v>
      </c>
    </row>
    <row r="66" spans="2:9" ht="18" x14ac:dyDescent="0.35">
      <c r="B66" s="25" t="str">
        <f t="shared" si="21"/>
        <v>apero President</v>
      </c>
      <c r="C66" s="26">
        <f t="shared" si="22"/>
        <v>46262</v>
      </c>
      <c r="D66" s="27" t="str">
        <f>IF(C66&lt;&gt;"",COUNTIF($C$7:C66,C66)&amp;C66,"")</f>
        <v>146262</v>
      </c>
      <c r="F66" s="38"/>
      <c r="G66" s="39">
        <f t="shared" si="20"/>
        <v>46422</v>
      </c>
      <c r="I66" s="40">
        <f t="shared" si="10"/>
        <v>46422</v>
      </c>
    </row>
    <row r="67" spans="2:9" ht="18" x14ac:dyDescent="0.35">
      <c r="B67" s="25">
        <f t="shared" si="21"/>
        <v>0</v>
      </c>
      <c r="C67" s="26">
        <f t="shared" si="22"/>
        <v>46268</v>
      </c>
      <c r="D67" s="27" t="str">
        <f>IF(C67&lt;&gt;"",COUNTIF($C$7:C67,C67)&amp;C67,"")</f>
        <v>146268</v>
      </c>
      <c r="F67" s="38" t="s">
        <v>107</v>
      </c>
      <c r="G67" s="39">
        <f t="shared" si="20"/>
        <v>46429</v>
      </c>
      <c r="I67" s="40">
        <f t="shared" si="10"/>
        <v>46429</v>
      </c>
    </row>
    <row r="68" spans="2:9" ht="18" x14ac:dyDescent="0.35">
      <c r="B68" s="25" t="str">
        <f t="shared" si="21"/>
        <v xml:space="preserve">Repas statutaire </v>
      </c>
      <c r="C68" s="26">
        <f t="shared" si="22"/>
        <v>46275</v>
      </c>
      <c r="D68" s="27" t="str">
        <f>IF(C68&lt;&gt;"",COUNTIF($C$7:C68,C68)&amp;C68,"")</f>
        <v>146275</v>
      </c>
      <c r="F68" s="38" t="s">
        <v>88</v>
      </c>
      <c r="G68" s="39">
        <f t="shared" si="20"/>
        <v>46436</v>
      </c>
      <c r="I68" s="40">
        <f t="shared" si="10"/>
        <v>46436</v>
      </c>
    </row>
    <row r="69" spans="2:9" ht="18" x14ac:dyDescent="0.35">
      <c r="B69" s="25" t="str">
        <f t="shared" si="21"/>
        <v>Apero</v>
      </c>
      <c r="C69" s="26">
        <f t="shared" si="22"/>
        <v>46282</v>
      </c>
      <c r="D69" s="27" t="str">
        <f>IF(C69&lt;&gt;"",COUNTIF($C$7:C69,C69)&amp;C69,"")</f>
        <v>146282</v>
      </c>
      <c r="F69" s="38" t="s">
        <v>88</v>
      </c>
      <c r="G69" s="39">
        <f t="shared" si="20"/>
        <v>46443</v>
      </c>
      <c r="I69" s="40">
        <f t="shared" si="10"/>
        <v>46443</v>
      </c>
    </row>
    <row r="70" spans="2:9" ht="18" x14ac:dyDescent="0.35">
      <c r="B70" s="25" t="str">
        <f t="shared" si="21"/>
        <v xml:space="preserve">presentation des actions de l'année </v>
      </c>
      <c r="C70" s="26">
        <f t="shared" si="22"/>
        <v>46289</v>
      </c>
      <c r="D70" s="27" t="str">
        <f>IF(C70&lt;&gt;"",COUNTIF($C$7:C70,C70)&amp;C70,"")</f>
        <v>246289</v>
      </c>
      <c r="F70" s="38" t="s">
        <v>106</v>
      </c>
      <c r="G70" s="39">
        <f t="shared" si="20"/>
        <v>46450</v>
      </c>
      <c r="I70" s="40">
        <f t="shared" si="10"/>
        <v>46450</v>
      </c>
    </row>
    <row r="71" spans="2:9" ht="18" x14ac:dyDescent="0.35">
      <c r="B71" s="25" t="str">
        <f t="shared" si="21"/>
        <v>apero local</v>
      </c>
      <c r="C71" s="26">
        <f t="shared" si="22"/>
        <v>46296</v>
      </c>
      <c r="D71" s="27" t="str">
        <f>IF(C71&lt;&gt;"",COUNTIF($C$7:C71,C71)&amp;C71,"")</f>
        <v>146296</v>
      </c>
      <c r="F71" s="38" t="s">
        <v>108</v>
      </c>
      <c r="G71" s="39">
        <f t="shared" si="20"/>
        <v>46457</v>
      </c>
      <c r="I71" s="40">
        <f t="shared" si="10"/>
        <v>46457</v>
      </c>
    </row>
    <row r="72" spans="2:9" ht="18" x14ac:dyDescent="0.35">
      <c r="B72" s="25" t="str">
        <f t="shared" si="21"/>
        <v>Apero</v>
      </c>
      <c r="C72" s="26">
        <f t="shared" si="22"/>
        <v>46303</v>
      </c>
      <c r="D72" s="27" t="str">
        <f>IF(C72&lt;&gt;"",COUNTIF($C$7:C72,C72)&amp;C72,"")</f>
        <v>146303</v>
      </c>
      <c r="F72" s="38" t="s">
        <v>106</v>
      </c>
      <c r="G72" s="39">
        <f t="shared" si="20"/>
        <v>46464</v>
      </c>
      <c r="I72" s="40">
        <f t="shared" si="10"/>
        <v>46464</v>
      </c>
    </row>
    <row r="73" spans="2:9" ht="18" x14ac:dyDescent="0.35">
      <c r="B73" s="25" t="str">
        <f t="shared" si="21"/>
        <v>Apero</v>
      </c>
      <c r="C73" s="26">
        <f t="shared" si="22"/>
        <v>46310</v>
      </c>
      <c r="D73" s="27" t="str">
        <f>IF(C73&lt;&gt;"",COUNTIF($C$7:C73,C73)&amp;C73,"")</f>
        <v>146310</v>
      </c>
      <c r="F73" s="38" t="s">
        <v>109</v>
      </c>
      <c r="G73" s="39">
        <f t="shared" si="20"/>
        <v>46471</v>
      </c>
      <c r="I73" s="40">
        <f t="shared" si="10"/>
        <v>46471</v>
      </c>
    </row>
    <row r="74" spans="2:9" ht="18" x14ac:dyDescent="0.35">
      <c r="B74" s="25" t="str">
        <f t="shared" si="21"/>
        <v>Relâche</v>
      </c>
      <c r="C74" s="26">
        <f t="shared" si="22"/>
        <v>46317</v>
      </c>
      <c r="D74" s="27" t="str">
        <f>IF(C74&lt;&gt;"",COUNTIF($C$7:C74,C74)&amp;C74,"")</f>
        <v>146317</v>
      </c>
      <c r="F74" s="38" t="s">
        <v>110</v>
      </c>
      <c r="G74" s="39">
        <f t="shared" si="20"/>
        <v>46478</v>
      </c>
      <c r="I74" s="40">
        <f t="shared" si="10"/>
        <v>46478</v>
      </c>
    </row>
    <row r="75" spans="2:9" ht="18" x14ac:dyDescent="0.35">
      <c r="B75" s="25" t="str">
        <f t="shared" si="21"/>
        <v>Relâche</v>
      </c>
      <c r="C75" s="26">
        <f t="shared" si="22"/>
        <v>46324</v>
      </c>
      <c r="D75" s="27" t="str">
        <f>IF(C75&lt;&gt;"",COUNTIF($C$7:C75,C75)&amp;C75,"")</f>
        <v>246324</v>
      </c>
      <c r="F75" s="38" t="s">
        <v>106</v>
      </c>
      <c r="G75" s="39">
        <f t="shared" si="20"/>
        <v>46485</v>
      </c>
      <c r="I75" s="40">
        <f t="shared" si="10"/>
        <v>46485</v>
      </c>
    </row>
    <row r="76" spans="2:9" ht="18" x14ac:dyDescent="0.35">
      <c r="B76" s="25" t="str">
        <f t="shared" si="21"/>
        <v>Banque alimentaire</v>
      </c>
      <c r="C76" s="26">
        <f t="shared" si="22"/>
        <v>46331</v>
      </c>
      <c r="D76" s="27" t="str">
        <f>IF(C76&lt;&gt;"",COUNTIF($C$7:C76,C76)&amp;C76,"")</f>
        <v>146331</v>
      </c>
      <c r="F76" s="38" t="s">
        <v>88</v>
      </c>
      <c r="G76" s="39">
        <f t="shared" si="20"/>
        <v>46492</v>
      </c>
      <c r="I76" s="40">
        <f t="shared" si="10"/>
        <v>46492</v>
      </c>
    </row>
    <row r="77" spans="2:9" ht="18" x14ac:dyDescent="0.35">
      <c r="B77" s="25" t="str">
        <f t="shared" si="21"/>
        <v>Collecte banque alimentaire</v>
      </c>
      <c r="C77" s="26">
        <f t="shared" si="22"/>
        <v>46332</v>
      </c>
      <c r="D77" s="27" t="str">
        <f>IF(C77&lt;&gt;"",COUNTIF($C$7:C77,C77)&amp;C77,"")</f>
        <v>246332</v>
      </c>
      <c r="F77" s="38" t="s">
        <v>111</v>
      </c>
      <c r="G77" s="39">
        <f t="shared" si="20"/>
        <v>46499</v>
      </c>
      <c r="I77" s="40">
        <f t="shared" si="10"/>
        <v>46499</v>
      </c>
    </row>
    <row r="78" spans="2:9" ht="18" x14ac:dyDescent="0.35">
      <c r="B78" s="25" t="str">
        <f t="shared" si="21"/>
        <v>Collecte banque alimentaire</v>
      </c>
      <c r="C78" s="26">
        <f t="shared" si="22"/>
        <v>46333</v>
      </c>
      <c r="D78" s="27" t="str">
        <f>IF(C78&lt;&gt;"",COUNTIF($C$7:C78,C78)&amp;C78,"")</f>
        <v>146333</v>
      </c>
      <c r="F78" s="38" t="s">
        <v>112</v>
      </c>
      <c r="G78" s="39">
        <f t="shared" si="20"/>
        <v>46506</v>
      </c>
      <c r="I78" s="40">
        <f t="shared" si="10"/>
        <v>46506</v>
      </c>
    </row>
    <row r="79" spans="2:9" ht="18" x14ac:dyDescent="0.35">
      <c r="B79" s="25" t="str">
        <f t="shared" si="21"/>
        <v>Collecte banque alimentaire</v>
      </c>
      <c r="C79" s="26">
        <f t="shared" si="22"/>
        <v>46334</v>
      </c>
      <c r="D79" s="27" t="str">
        <f>IF(C79&lt;&gt;"",COUNTIF($C$7:C79,C79)&amp;C79,"")</f>
        <v>146334</v>
      </c>
      <c r="F79" s="38" t="s">
        <v>112</v>
      </c>
      <c r="G79" s="39">
        <f t="shared" si="20"/>
        <v>46513</v>
      </c>
      <c r="I79" s="40">
        <f t="shared" si="10"/>
        <v>46513</v>
      </c>
    </row>
    <row r="80" spans="2:9" ht="18" x14ac:dyDescent="0.35">
      <c r="B80" s="25" t="str">
        <f t="shared" si="21"/>
        <v>Exposition</v>
      </c>
      <c r="C80" s="26">
        <f t="shared" si="22"/>
        <v>46338</v>
      </c>
      <c r="D80" s="27" t="str">
        <f>IF(C80&lt;&gt;"",COUNTIF($C$7:C80,C80)&amp;C80,"")</f>
        <v>146338</v>
      </c>
      <c r="F80" s="38" t="s">
        <v>110</v>
      </c>
      <c r="G80" s="39">
        <f t="shared" si="20"/>
        <v>46520</v>
      </c>
      <c r="I80" s="40">
        <f t="shared" si="10"/>
        <v>46520</v>
      </c>
    </row>
    <row r="81" spans="2:9" ht="18" x14ac:dyDescent="0.35">
      <c r="B81" s="25" t="str">
        <f t="shared" si="21"/>
        <v>Soirée Beaujolais Nouveau</v>
      </c>
      <c r="C81" s="26">
        <f t="shared" si="22"/>
        <v>46345</v>
      </c>
      <c r="D81" s="27" t="str">
        <f>IF(C81&lt;&gt;"",COUNTIF($C$7:C81,C81)&amp;C81,"")</f>
        <v>146345</v>
      </c>
      <c r="F81" s="38"/>
      <c r="G81" s="39">
        <f t="shared" si="20"/>
        <v>46527</v>
      </c>
      <c r="I81" s="40">
        <f t="shared" si="10"/>
        <v>46527</v>
      </c>
    </row>
    <row r="82" spans="2:9" ht="18" x14ac:dyDescent="0.35">
      <c r="B82" s="25" t="str">
        <f t="shared" si="21"/>
        <v>AG et repas</v>
      </c>
      <c r="C82" s="26">
        <f t="shared" si="22"/>
        <v>46352</v>
      </c>
      <c r="D82" s="27" t="str">
        <f>IF(C82&lt;&gt;"",COUNTIF($C$7:C82,C82)&amp;C82,"")</f>
        <v>246352</v>
      </c>
      <c r="F82" s="38" t="s">
        <v>111</v>
      </c>
      <c r="G82" s="39">
        <f t="shared" si="20"/>
        <v>46534</v>
      </c>
      <c r="I82" s="40">
        <f t="shared" si="10"/>
        <v>46534</v>
      </c>
    </row>
    <row r="83" spans="2:9" ht="18" x14ac:dyDescent="0.35">
      <c r="B83" s="25">
        <f t="shared" si="21"/>
        <v>0</v>
      </c>
      <c r="C83" s="26">
        <f t="shared" si="22"/>
        <v>46359</v>
      </c>
      <c r="D83" s="27" t="str">
        <f>IF(C83&lt;&gt;"",COUNTIF($C$7:C83,C83)&amp;C83,"")</f>
        <v>246359</v>
      </c>
      <c r="F83" s="38"/>
      <c r="G83" s="39">
        <f t="shared" si="20"/>
        <v>46541</v>
      </c>
      <c r="I83" s="40">
        <f t="shared" si="10"/>
        <v>46541</v>
      </c>
    </row>
    <row r="84" spans="2:9" ht="18" x14ac:dyDescent="0.35">
      <c r="B84" s="25" t="str">
        <f t="shared" si="21"/>
        <v xml:space="preserve">Repas de Noël </v>
      </c>
      <c r="C84" s="26">
        <f t="shared" si="22"/>
        <v>46366</v>
      </c>
      <c r="D84" s="27" t="str">
        <f>IF(C84&lt;&gt;"",COUNTIF($C$7:C84,C84)&amp;C84,"")</f>
        <v>146366</v>
      </c>
      <c r="F84" s="38" t="s">
        <v>106</v>
      </c>
      <c r="G84" s="39">
        <f t="shared" si="20"/>
        <v>46548</v>
      </c>
      <c r="I84" s="40">
        <f t="shared" si="10"/>
        <v>46548</v>
      </c>
    </row>
    <row r="85" spans="2:9" ht="18" x14ac:dyDescent="0.35">
      <c r="B85" s="25" t="str">
        <f t="shared" si="21"/>
        <v>Soirée huîtres</v>
      </c>
      <c r="C85" s="26">
        <f t="shared" si="22"/>
        <v>46373</v>
      </c>
      <c r="D85" s="27" t="str">
        <f>IF(C85&lt;&gt;"",COUNTIF($C$7:C85,C85)&amp;C85,"")</f>
        <v>146373</v>
      </c>
      <c r="F85" s="38"/>
      <c r="G85" s="39">
        <f t="shared" si="20"/>
        <v>46555</v>
      </c>
      <c r="I85" s="40">
        <f t="shared" si="10"/>
        <v>46555</v>
      </c>
    </row>
    <row r="86" spans="2:9" ht="18" x14ac:dyDescent="0.35">
      <c r="B86" s="25" t="str">
        <f t="shared" si="21"/>
        <v>Relâche</v>
      </c>
      <c r="C86" s="26">
        <f t="shared" si="22"/>
        <v>46380</v>
      </c>
      <c r="D86" s="27" t="str">
        <f>IF(C86&lt;&gt;"",COUNTIF($C$7:C86,C86)&amp;C86,"")</f>
        <v>146380</v>
      </c>
      <c r="F86" s="38" t="s">
        <v>47</v>
      </c>
      <c r="G86" s="39">
        <f t="shared" si="20"/>
        <v>46562</v>
      </c>
      <c r="I86" s="40">
        <f t="shared" si="10"/>
        <v>46562</v>
      </c>
    </row>
    <row r="87" spans="2:9" x14ac:dyDescent="0.3">
      <c r="B87" s="25" t="str">
        <f t="shared" si="21"/>
        <v>Relâche</v>
      </c>
      <c r="C87" s="26">
        <f t="shared" si="22"/>
        <v>46387</v>
      </c>
      <c r="D87" s="27" t="str">
        <f>IF(C87&lt;&gt;"",COUNTIF($C$7:C87,C87)&amp;C87,"")</f>
        <v>246387</v>
      </c>
    </row>
    <row r="88" spans="2:9" x14ac:dyDescent="0.3">
      <c r="B88" s="25" t="str">
        <f t="shared" si="21"/>
        <v>Voeux du Président et apéro</v>
      </c>
      <c r="C88" s="26">
        <f t="shared" si="22"/>
        <v>46394</v>
      </c>
      <c r="D88" s="27" t="str">
        <f>IF(C88&lt;&gt;"",COUNTIF($C$7:C88,C88)&amp;C88,"")</f>
        <v>246394</v>
      </c>
    </row>
    <row r="89" spans="2:9" x14ac:dyDescent="0.3">
      <c r="B89" s="25" t="str">
        <f t="shared" si="21"/>
        <v xml:space="preserve">Conférence </v>
      </c>
      <c r="C89" s="26">
        <f t="shared" si="22"/>
        <v>46401</v>
      </c>
      <c r="D89" s="27" t="str">
        <f>IF(C89&lt;&gt;"",COUNTIF($C$7:C89,C89)&amp;C89,"")</f>
        <v>146401</v>
      </c>
    </row>
    <row r="90" spans="2:9" x14ac:dyDescent="0.3">
      <c r="B90" s="25" t="str">
        <f t="shared" si="21"/>
        <v>Soirée crêpes</v>
      </c>
      <c r="C90" s="26">
        <f t="shared" si="22"/>
        <v>46408</v>
      </c>
      <c r="D90" s="27" t="str">
        <f>IF(C90&lt;&gt;"",COUNTIF($C$7:C90,C90)&amp;C90,"")</f>
        <v>146408</v>
      </c>
    </row>
    <row r="91" spans="2:9" x14ac:dyDescent="0.3">
      <c r="B91" s="25" t="str">
        <f t="shared" si="21"/>
        <v>conférence</v>
      </c>
      <c r="C91" s="26">
        <f t="shared" si="22"/>
        <v>46415</v>
      </c>
      <c r="D91" s="27" t="str">
        <f>IF(C91&lt;&gt;"",COUNTIF($C$7:C91,C91)&amp;C91,"")</f>
        <v>246415</v>
      </c>
    </row>
    <row r="92" spans="2:9" x14ac:dyDescent="0.3">
      <c r="B92" s="25">
        <f t="shared" si="21"/>
        <v>0</v>
      </c>
      <c r="C92" s="26">
        <f t="shared" si="22"/>
        <v>46422</v>
      </c>
      <c r="D92" s="27" t="str">
        <f>IF(C92&lt;&gt;"",COUNTIF($C$7:C92,C92)&amp;C92,"")</f>
        <v>246422</v>
      </c>
    </row>
    <row r="93" spans="2:9" x14ac:dyDescent="0.3">
      <c r="B93" s="25" t="str">
        <f t="shared" si="21"/>
        <v>Soirée Ecossaise - ouvert au public</v>
      </c>
      <c r="C93" s="26">
        <f t="shared" si="22"/>
        <v>46429</v>
      </c>
      <c r="D93" s="27" t="str">
        <f>IF(C93&lt;&gt;"",COUNTIF($C$7:C93,C93)&amp;C93,"")</f>
        <v>146429</v>
      </c>
    </row>
    <row r="94" spans="2:9" x14ac:dyDescent="0.3">
      <c r="B94" s="25" t="str">
        <f t="shared" si="21"/>
        <v>Relâche</v>
      </c>
      <c r="C94" s="26">
        <f t="shared" si="22"/>
        <v>46436</v>
      </c>
      <c r="D94" s="27" t="str">
        <f>IF(C94&lt;&gt;"",COUNTIF($C$7:C94,C94)&amp;C94,"")</f>
        <v>146436</v>
      </c>
    </row>
    <row r="95" spans="2:9" x14ac:dyDescent="0.3">
      <c r="B95" s="25" t="str">
        <f t="shared" si="21"/>
        <v>Relâche</v>
      </c>
      <c r="C95" s="26">
        <f t="shared" si="22"/>
        <v>46443</v>
      </c>
      <c r="D95" s="27" t="str">
        <f>IF(C95&lt;&gt;"",COUNTIF($C$7:C95,C95)&amp;C95,"")</f>
        <v>246443</v>
      </c>
    </row>
    <row r="96" spans="2:9" x14ac:dyDescent="0.3">
      <c r="B96" s="25" t="str">
        <f t="shared" si="21"/>
        <v>conférence</v>
      </c>
      <c r="C96" s="26">
        <f t="shared" si="22"/>
        <v>46450</v>
      </c>
      <c r="D96" s="27" t="str">
        <f>IF(C96&lt;&gt;"",COUNTIF($C$7:C96,C96)&amp;C96,"")</f>
        <v>246450</v>
      </c>
    </row>
    <row r="97" spans="2:4" x14ac:dyDescent="0.3">
      <c r="B97" s="25" t="str">
        <f t="shared" si="21"/>
        <v>remise du prix</v>
      </c>
      <c r="C97" s="26">
        <f t="shared" si="22"/>
        <v>46457</v>
      </c>
      <c r="D97" s="27" t="str">
        <f>IF(C97&lt;&gt;"",COUNTIF($C$7:C97,C97)&amp;C97,"")</f>
        <v>146457</v>
      </c>
    </row>
    <row r="98" spans="2:4" x14ac:dyDescent="0.3">
      <c r="B98" s="25" t="str">
        <f t="shared" si="21"/>
        <v>conférence</v>
      </c>
      <c r="C98" s="26">
        <f t="shared" si="22"/>
        <v>46464</v>
      </c>
      <c r="D98" s="27" t="str">
        <f>IF(C98&lt;&gt;"",COUNTIF($C$7:C98,C98)&amp;C98,"")</f>
        <v>146464</v>
      </c>
    </row>
    <row r="99" spans="2:4" x14ac:dyDescent="0.3">
      <c r="B99" s="25" t="str">
        <f t="shared" si="21"/>
        <v>Repas au coin du feu</v>
      </c>
      <c r="C99" s="26">
        <f t="shared" si="22"/>
        <v>46471</v>
      </c>
      <c r="D99" s="27" t="str">
        <f>IF(C99&lt;&gt;"",COUNTIF($C$7:C99,C99)&amp;C99,"")</f>
        <v>346471</v>
      </c>
    </row>
    <row r="100" spans="2:4" x14ac:dyDescent="0.3">
      <c r="B100" s="25" t="str">
        <f t="shared" si="21"/>
        <v>concert</v>
      </c>
      <c r="C100" s="26">
        <f t="shared" si="22"/>
        <v>46478</v>
      </c>
      <c r="D100" s="27" t="str">
        <f>IF(C100&lt;&gt;"",COUNTIF($C$7:C100,C100)&amp;C100,"")</f>
        <v>146478</v>
      </c>
    </row>
    <row r="101" spans="2:4" x14ac:dyDescent="0.3">
      <c r="B101" s="25" t="str">
        <f t="shared" si="21"/>
        <v>conférence</v>
      </c>
      <c r="C101" s="26">
        <f t="shared" si="22"/>
        <v>46485</v>
      </c>
      <c r="D101" s="27" t="str">
        <f>IF(C101&lt;&gt;"",COUNTIF($C$7:C101,C101)&amp;C101,"")</f>
        <v>146485</v>
      </c>
    </row>
    <row r="102" spans="2:4" x14ac:dyDescent="0.3">
      <c r="B102" s="25" t="str">
        <f t="shared" si="21"/>
        <v>Relâche</v>
      </c>
      <c r="C102" s="26">
        <f t="shared" si="22"/>
        <v>46492</v>
      </c>
      <c r="D102" s="27" t="str">
        <f>IF(C102&lt;&gt;"",COUNTIF($C$7:C102,C102)&amp;C102,"")</f>
        <v>146492</v>
      </c>
    </row>
    <row r="103" spans="2:4" x14ac:dyDescent="0.3">
      <c r="B103" s="25" t="str">
        <f t="shared" si="21"/>
        <v>repas</v>
      </c>
      <c r="C103" s="26">
        <f t="shared" si="22"/>
        <v>46499</v>
      </c>
      <c r="D103" s="27" t="str">
        <f>IF(C103&lt;&gt;"",COUNTIF($C$7:C103,C103)&amp;C103,"")</f>
        <v>146499</v>
      </c>
    </row>
    <row r="104" spans="2:4" x14ac:dyDescent="0.3">
      <c r="B104" s="25" t="str">
        <f t="shared" si="21"/>
        <v>Férié - relâche?</v>
      </c>
      <c r="C104" s="26">
        <f t="shared" si="22"/>
        <v>46506</v>
      </c>
      <c r="D104" s="27" t="str">
        <f>IF(C104&lt;&gt;"",COUNTIF($C$7:C104,C104)&amp;C104,"")</f>
        <v>246506</v>
      </c>
    </row>
    <row r="105" spans="2:4" x14ac:dyDescent="0.3">
      <c r="B105" s="25" t="str">
        <f t="shared" si="21"/>
        <v>Férié - relâche?</v>
      </c>
      <c r="C105" s="26">
        <f t="shared" si="22"/>
        <v>46513</v>
      </c>
      <c r="D105" s="27" t="str">
        <f>IF(C105&lt;&gt;"",COUNTIF($C$7:C105,C105)&amp;C105,"")</f>
        <v>246513</v>
      </c>
    </row>
    <row r="106" spans="2:4" x14ac:dyDescent="0.3">
      <c r="B106" s="25" t="str">
        <f t="shared" si="21"/>
        <v>concert</v>
      </c>
      <c r="C106" s="26">
        <f t="shared" si="22"/>
        <v>46520</v>
      </c>
      <c r="D106" s="27" t="str">
        <f>IF(C106&lt;&gt;"",COUNTIF($C$7:C106,C106)&amp;C106,"")</f>
        <v>246520</v>
      </c>
    </row>
    <row r="107" spans="2:4" x14ac:dyDescent="0.3">
      <c r="B107" s="25">
        <f t="shared" si="21"/>
        <v>0</v>
      </c>
      <c r="C107" s="26">
        <f t="shared" si="22"/>
        <v>46527</v>
      </c>
      <c r="D107" s="27" t="str">
        <f>IF(C107&lt;&gt;"",COUNTIF($C$7:C107,C107)&amp;C107,"")</f>
        <v>146527</v>
      </c>
    </row>
    <row r="108" spans="2:4" x14ac:dyDescent="0.3">
      <c r="B108" s="25" t="str">
        <f t="shared" si="21"/>
        <v>repas</v>
      </c>
      <c r="C108" s="26">
        <f t="shared" si="22"/>
        <v>46534</v>
      </c>
      <c r="D108" s="27" t="str">
        <f>IF(C108&lt;&gt;"",COUNTIF($C$7:C108,C108)&amp;C108,"")</f>
        <v>246534</v>
      </c>
    </row>
    <row r="109" spans="2:4" x14ac:dyDescent="0.3">
      <c r="B109" s="25">
        <f t="shared" si="21"/>
        <v>0</v>
      </c>
      <c r="C109" s="26">
        <f t="shared" si="22"/>
        <v>46541</v>
      </c>
      <c r="D109" s="27" t="str">
        <f>IF(C109&lt;&gt;"",COUNTIF($C$7:C109,C109)&amp;C109,"")</f>
        <v>146541</v>
      </c>
    </row>
    <row r="110" spans="2:4" x14ac:dyDescent="0.3">
      <c r="B110" s="25" t="str">
        <f t="shared" si="21"/>
        <v>conférence</v>
      </c>
      <c r="C110" s="26">
        <f t="shared" si="22"/>
        <v>46548</v>
      </c>
      <c r="D110" s="27" t="str">
        <f>IF(C110&lt;&gt;"",COUNTIF($C$7:C110,C110)&amp;C110,"")</f>
        <v>246548</v>
      </c>
    </row>
    <row r="111" spans="2:4" x14ac:dyDescent="0.3">
      <c r="B111" s="25">
        <f t="shared" si="21"/>
        <v>0</v>
      </c>
      <c r="C111" s="26">
        <f t="shared" si="22"/>
        <v>46555</v>
      </c>
      <c r="D111" s="27" t="str">
        <f>IF(C111&lt;&gt;"",COUNTIF($C$7:C111,C111)&amp;C111,"")</f>
        <v>146555</v>
      </c>
    </row>
    <row r="112" spans="2:4" x14ac:dyDescent="0.3">
      <c r="B112" s="25" t="str">
        <f t="shared" si="21"/>
        <v>Passation</v>
      </c>
      <c r="C112" s="26">
        <f t="shared" si="22"/>
        <v>46562</v>
      </c>
      <c r="D112" s="27" t="str">
        <f>IF(C112&lt;&gt;"",COUNTIF($C$7:C112,C112)&amp;C112,"")</f>
        <v>346562</v>
      </c>
    </row>
  </sheetData>
  <mergeCells count="2">
    <mergeCell ref="K7:L7"/>
    <mergeCell ref="O7:P7"/>
  </mergeCells>
  <phoneticPr fontId="1" type="noConversion"/>
  <conditionalFormatting sqref="K10:Q10 K16:Q16 K22:Q22 K28:Q28 K34:Q34 K40:Q40">
    <cfRule type="expression" dxfId="12" priority="7">
      <formula>COUNTIF(Feries,K10)</formula>
    </cfRule>
  </conditionalFormatting>
  <conditionalFormatting sqref="K10:Q10">
    <cfRule type="expression" dxfId="11" priority="13">
      <formula>K10=TODAY()</formula>
    </cfRule>
  </conditionalFormatting>
  <conditionalFormatting sqref="K11:Q15">
    <cfRule type="expression" dxfId="10" priority="6">
      <formula>SUMPRODUCT((K$10&gt;=DebVac)*(K$10&lt;=FinVac-1))&gt;0</formula>
    </cfRule>
  </conditionalFormatting>
  <conditionalFormatting sqref="K16:Q16">
    <cfRule type="expression" dxfId="9" priority="12">
      <formula>K16=TODAY()</formula>
    </cfRule>
  </conditionalFormatting>
  <conditionalFormatting sqref="K17:Q21">
    <cfRule type="expression" dxfId="8" priority="5">
      <formula>SUMPRODUCT((K$16&gt;=DebVac)*(K$16&lt;=FinVac-1))&gt;0</formula>
    </cfRule>
  </conditionalFormatting>
  <conditionalFormatting sqref="K22:Q22">
    <cfRule type="expression" dxfId="7" priority="11">
      <formula>K22=TODAY()</formula>
    </cfRule>
  </conditionalFormatting>
  <conditionalFormatting sqref="K23:Q27">
    <cfRule type="expression" dxfId="6" priority="4">
      <formula>SUMPRODUCT((K$22&gt;=DebVac)*(K$22&lt;=FinVac-1))&gt;0</formula>
    </cfRule>
  </conditionalFormatting>
  <conditionalFormatting sqref="K28:Q28">
    <cfRule type="expression" dxfId="5" priority="10">
      <formula>K28=TODAY()</formula>
    </cfRule>
  </conditionalFormatting>
  <conditionalFormatting sqref="K29:Q33">
    <cfRule type="expression" dxfId="4" priority="3">
      <formula>SUMPRODUCT((K$28&gt;=DebVac)*(K$28&lt;=FinVac-1))&gt;0</formula>
    </cfRule>
  </conditionalFormatting>
  <conditionalFormatting sqref="K34:Q34">
    <cfRule type="expression" dxfId="3" priority="9">
      <formula>K34=TODAY()</formula>
    </cfRule>
  </conditionalFormatting>
  <conditionalFormatting sqref="K35:Q39">
    <cfRule type="expression" dxfId="2" priority="2">
      <formula>SUMPRODUCT((K$34&gt;=DebVac)*(K$34&lt;=FinVac-1))&gt;0</formula>
    </cfRule>
  </conditionalFormatting>
  <conditionalFormatting sqref="K40:Q40">
    <cfRule type="expression" dxfId="1" priority="8">
      <formula>K40=TODAY()</formula>
    </cfRule>
  </conditionalFormatting>
  <conditionalFormatting sqref="K41:Q45">
    <cfRule type="expression" dxfId="0" priority="1">
      <formula>SUMPRODUCT((K$40&gt;=DebVac)*(K$40&lt;=FinVac-1))&gt;0</formula>
    </cfRule>
  </conditionalFormatting>
  <dataValidations count="4">
    <dataValidation type="list" allowBlank="1" showInputMessage="1" showErrorMessage="1" prompt="Sélectionner le mois à afficher dans l'agenda," sqref="C4" xr:uid="{06F4237E-1801-46C4-85C4-88CDE68BF1F8}">
      <formula1>l_Mois</formula1>
    </dataValidation>
    <dataValidation allowBlank="1" showInputMessage="1" showErrorMessage="1" prompt="Saisir la date du 1er juillet correspondant au début de période." sqref="C2" xr:uid="{C382003E-1289-4F84-A5CF-685A21B95CD6}"/>
    <dataValidation allowBlank="1" showInputMessage="1" showErrorMessage="1" prompt="Saisir la zone de vacances souhaitée._x000a_" sqref="C3" xr:uid="{CDE25F3F-B332-43D2-AEC5-7064AD13B876}"/>
    <dataValidation type="custom" allowBlank="1" showInputMessage="1" showErrorMessage="1" sqref="M7 Q7 K9:Q45 B7:D112" xr:uid="{220D01B8-9619-44E3-824D-8AD50BBBD64F}">
      <formula1>"Formule"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746C3-FFFA-4BA7-A0D5-CC3989EB54F1}">
  <dimension ref="B2:I14"/>
  <sheetViews>
    <sheetView showGridLines="0" workbookViewId="0">
      <selection activeCell="E4" sqref="E4"/>
    </sheetView>
  </sheetViews>
  <sheetFormatPr baseColWidth="10" defaultRowHeight="16.8" x14ac:dyDescent="0.4"/>
  <cols>
    <col min="1" max="1" width="2.69921875" customWidth="1"/>
    <col min="2" max="2" width="11.09765625" bestFit="1" customWidth="1"/>
    <col min="3" max="3" width="2.69921875" customWidth="1"/>
    <col min="4" max="4" width="18.09765625" bestFit="1" customWidth="1"/>
    <col min="5" max="5" width="12" bestFit="1" customWidth="1"/>
    <col min="6" max="6" width="2.69921875" customWidth="1"/>
    <col min="7" max="7" width="24.69921875" customWidth="1"/>
    <col min="8" max="9" width="11.69921875" customWidth="1"/>
    <col min="10" max="10" width="2.69921875" customWidth="1"/>
  </cols>
  <sheetData>
    <row r="2" spans="2:9" x14ac:dyDescent="0.4">
      <c r="B2" s="4" t="s">
        <v>59</v>
      </c>
      <c r="D2" s="34" t="s">
        <v>13</v>
      </c>
      <c r="E2" s="5">
        <f>DATEVALUE(Mois&amp;Agenda!M7)</f>
        <v>46235</v>
      </c>
      <c r="G2" s="20" t="s">
        <v>84</v>
      </c>
      <c r="H2" s="3" t="s">
        <v>9</v>
      </c>
      <c r="I2" s="3" t="s">
        <v>10</v>
      </c>
    </row>
    <row r="3" spans="2:9" x14ac:dyDescent="0.4">
      <c r="B3" s="4" t="s">
        <v>60</v>
      </c>
      <c r="D3" s="34" t="s">
        <v>72</v>
      </c>
      <c r="E3" s="6">
        <f>PremJourMois</f>
        <v>46235</v>
      </c>
      <c r="G3" s="20" t="s">
        <v>3</v>
      </c>
      <c r="H3" s="21">
        <v>46207</v>
      </c>
      <c r="I3" s="21">
        <v>46265</v>
      </c>
    </row>
    <row r="4" spans="2:9" x14ac:dyDescent="0.4">
      <c r="B4" s="4" t="s">
        <v>61</v>
      </c>
      <c r="D4" s="34" t="s">
        <v>73</v>
      </c>
      <c r="E4" s="7">
        <f>DAY(EOMONTH(PremJourMois,0))</f>
        <v>31</v>
      </c>
      <c r="G4" s="20" t="s">
        <v>4</v>
      </c>
      <c r="H4" s="21">
        <v>46312</v>
      </c>
      <c r="I4" s="21">
        <v>46328</v>
      </c>
    </row>
    <row r="5" spans="2:9" x14ac:dyDescent="0.4">
      <c r="B5" s="4" t="s">
        <v>62</v>
      </c>
      <c r="G5" s="20" t="s">
        <v>5</v>
      </c>
      <c r="H5" s="21">
        <v>46424</v>
      </c>
      <c r="I5" s="21">
        <v>46440</v>
      </c>
    </row>
    <row r="6" spans="2:9" x14ac:dyDescent="0.4">
      <c r="B6" s="4" t="s">
        <v>63</v>
      </c>
      <c r="G6" s="20" t="s">
        <v>6</v>
      </c>
      <c r="H6" s="21">
        <v>46514</v>
      </c>
      <c r="I6" s="21">
        <v>46514</v>
      </c>
    </row>
    <row r="7" spans="2:9" x14ac:dyDescent="0.4">
      <c r="B7" s="4" t="s">
        <v>64</v>
      </c>
      <c r="G7" s="20" t="s">
        <v>7</v>
      </c>
      <c r="H7" s="21">
        <v>46375</v>
      </c>
      <c r="I7" s="21">
        <v>46391</v>
      </c>
    </row>
    <row r="8" spans="2:9" x14ac:dyDescent="0.4">
      <c r="B8" s="4" t="s">
        <v>65</v>
      </c>
      <c r="G8" s="20" t="s">
        <v>8</v>
      </c>
      <c r="H8" s="21">
        <v>46480</v>
      </c>
      <c r="I8" s="21">
        <v>46496</v>
      </c>
    </row>
    <row r="9" spans="2:9" x14ac:dyDescent="0.4">
      <c r="B9" s="4" t="s">
        <v>66</v>
      </c>
      <c r="G9" s="20" t="s">
        <v>3</v>
      </c>
      <c r="H9" s="21">
        <v>46207</v>
      </c>
      <c r="I9" s="21">
        <v>46266</v>
      </c>
    </row>
    <row r="10" spans="2:9" x14ac:dyDescent="0.4">
      <c r="B10" s="4" t="s">
        <v>67</v>
      </c>
    </row>
    <row r="11" spans="2:9" x14ac:dyDescent="0.4">
      <c r="B11" s="4" t="s">
        <v>68</v>
      </c>
    </row>
    <row r="12" spans="2:9" x14ac:dyDescent="0.4">
      <c r="B12" s="4" t="s">
        <v>69</v>
      </c>
    </row>
    <row r="13" spans="2:9" x14ac:dyDescent="0.4">
      <c r="B13" s="4" t="s">
        <v>70</v>
      </c>
    </row>
    <row r="14" spans="2:9" x14ac:dyDescent="0.4">
      <c r="B14" s="4" t="s">
        <v>71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C5A3B6-9F69-4E5E-B29A-64247E0DFD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Agenda</vt:lpstr>
      <vt:lpstr>Paramètres</vt:lpstr>
      <vt:lpstr>DebPer</vt:lpstr>
      <vt:lpstr>DebVac</vt:lpstr>
      <vt:lpstr>Feries</vt:lpstr>
      <vt:lpstr>FinVac</vt:lpstr>
      <vt:lpstr>l_Evenement</vt:lpstr>
      <vt:lpstr>l_IdDate</vt:lpstr>
      <vt:lpstr>l_Mois</vt:lpstr>
      <vt:lpstr>Mois</vt:lpstr>
      <vt:lpstr>PremJourMois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2026-08-10T17:31:30Z</dcterms:created>
  <dcterms:modified xsi:type="dcterms:W3CDTF">2026-08-11T23:38:53Z</dcterms:modified>
</cp:coreProperties>
</file>