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8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9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trlProps/ctrlProp3.xml" ContentType="application/vnd.ms-excel.controlproperties+xml"/>
  <Override PartName="/xl/tables/table10.xml" ContentType="application/vnd.openxmlformats-officedocument.spreadsheetml.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5.xml" ContentType="application/vnd.openxmlformats-officedocument.drawing+xml"/>
  <Override PartName="/xl/ctrlProps/ctrlProp4.xml" ContentType="application/vnd.ms-excel.controlproperties+xml"/>
  <Override PartName="/xl/tables/table11.xml" ContentType="application/vnd.openxmlformats-officedocument.spreadsheetml.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6.xml" ContentType="application/vnd.openxmlformats-officedocument.drawing+xml"/>
  <Override PartName="/xl/ctrlProps/ctrlProp5.xml" ContentType="application/vnd.ms-excel.controlproperties+xml"/>
  <Override PartName="/xl/tables/table12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drawings/drawing7.xml" ContentType="application/vnd.openxmlformats-officedocument.drawing+xml"/>
  <Override PartName="/xl/ctrlProps/ctrlProp6.xml" ContentType="application/vnd.ms-excel.controlproperties+xml"/>
  <Override PartName="/xl/tables/table13.xml" ContentType="application/vnd.openxmlformats-officedocument.spreadsheetml.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8.xml" ContentType="application/vnd.openxmlformats-officedocument.drawing+xml"/>
  <Override PartName="/xl/ctrlProps/ctrlProp7.xml" ContentType="application/vnd.ms-excel.controlproperties+xml"/>
  <Override PartName="/xl/tables/table14.xml" ContentType="application/vnd.openxmlformats-officedocument.spreadsheetml.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9.xml" ContentType="application/vnd.openxmlformats-officedocument.drawing+xml"/>
  <Override PartName="/xl/ctrlProps/ctrlProp8.xml" ContentType="application/vnd.ms-excel.controlproperties+xml"/>
  <Override PartName="/xl/tables/table15.xml" ContentType="application/vnd.openxmlformats-officedocument.spreadsheetml.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drawings/drawing10.xml" ContentType="application/vnd.openxmlformats-officedocument.drawing+xml"/>
  <Override PartName="/xl/ctrlProps/ctrlProp9.xml" ContentType="application/vnd.ms-excel.controlproperties+xml"/>
  <Override PartName="/xl/tables/table16.xml" ContentType="application/vnd.openxmlformats-officedocument.spreadsheetml.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drawings/drawing11.xml" ContentType="application/vnd.openxmlformats-officedocument.drawing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drawings/drawing12.xml" ContentType="application/vnd.openxmlformats-officedocument.drawing+xml"/>
  <Override PartName="/xl/ctrlProps/ctrlProp11.xml" ContentType="application/vnd.ms-excel.controlproperties+xml"/>
  <Override PartName="/xl/tables/table18.xml" ContentType="application/vnd.openxmlformats-officedocument.spreadsheetml.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drawings/drawing13.xml" ContentType="application/vnd.openxmlformats-officedocument.drawing+xml"/>
  <Override PartName="/xl/ctrlProps/ctrlProp12.xml" ContentType="application/vnd.ms-excel.controlproperties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443622FD-D136-4B04-8CA8-3CD8F333FE8A}" xr6:coauthVersionLast="47" xr6:coauthVersionMax="47" xr10:uidLastSave="{00000000-0000-0000-0000-000000000000}"/>
  <bookViews>
    <workbookView xWindow="-108" yWindow="-108" windowWidth="23256" windowHeight="12576" activeTab="8" xr2:uid="{B5B67D41-37A1-417B-A1DA-A7ACD99D9367}"/>
  </bookViews>
  <sheets>
    <sheet name="Instructions" sheetId="13" r:id="rId1"/>
    <sheet name="Paramètres" sheetId="1" r:id="rId2"/>
    <sheet name="04-2025" sheetId="2" r:id="rId3"/>
    <sheet name="05-2025" sheetId="3" r:id="rId4"/>
    <sheet name="06-2025" sheetId="4" r:id="rId5"/>
    <sheet name="07-2025" sheetId="5" r:id="rId6"/>
    <sheet name="08-2025" sheetId="6" r:id="rId7"/>
    <sheet name="09-2025" sheetId="7" r:id="rId8"/>
    <sheet name="10-2025" sheetId="9" r:id="rId9"/>
    <sheet name="11-2025" sheetId="12" r:id="rId10"/>
    <sheet name="12-2025" sheetId="14" r:id="rId11"/>
    <sheet name="01-2026" sheetId="15" r:id="rId12"/>
    <sheet name="02-2026" sheetId="17" r:id="rId13"/>
    <sheet name="Modèle" sheetId="10" r:id="rId14"/>
  </sheets>
  <definedNames>
    <definedName name="_Annee">'04-2025'!$C$2</definedName>
    <definedName name="_Mois">'04-2025'!$C$3</definedName>
    <definedName name="_TpsPause">Paramètres!$I$4</definedName>
    <definedName name="_TpsTrav">Paramètres!$I$3</definedName>
    <definedName name="DatePaques">Paramètres!$N$4</definedName>
    <definedName name="DonnéesExternes_2" localSheetId="1" hidden="1">Paramètres!$U$2:$Y$58</definedName>
    <definedName name="DonnéesExternes_3" localSheetId="1" hidden="1">Paramètres!$P$2:$S$13</definedName>
    <definedName name="DonnéesExternes_4" localSheetId="1" hidden="1">Paramètres!$AA$2:$AE$4</definedName>
    <definedName name="l_Feries" localSheetId="12">t_Feries[Date]</definedName>
    <definedName name="l_Feries">t_Feries[Date]</definedName>
    <definedName name="l_Mois" localSheetId="12">t_Mois[Mois]</definedName>
    <definedName name="l_Mois">t_Mois[Mois]</definedName>
  </definedNames>
  <calcPr calcId="191029"/>
  <pivotCaches>
    <pivotCache cacheId="0" r:id="rId15"/>
    <pivotCache cacheId="1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9" i="9" l="1"/>
  <c r="C39" i="10"/>
  <c r="D40" i="17"/>
  <c r="C40" i="17"/>
  <c r="D39" i="17"/>
  <c r="D41" i="17" s="1"/>
  <c r="C39" i="17"/>
  <c r="C41" i="17" s="1"/>
  <c r="D40" i="15"/>
  <c r="C40" i="15"/>
  <c r="D39" i="15"/>
  <c r="D41" i="15" s="1"/>
  <c r="C39" i="15"/>
  <c r="C41" i="15" s="1"/>
  <c r="D40" i="14"/>
  <c r="C40" i="14"/>
  <c r="D39" i="14"/>
  <c r="D41" i="14" s="1"/>
  <c r="C39" i="14"/>
  <c r="C41" i="14" s="1"/>
  <c r="D40" i="12"/>
  <c r="C40" i="12"/>
  <c r="D39" i="12"/>
  <c r="D41" i="12" s="1"/>
  <c r="C39" i="12"/>
  <c r="C41" i="12" s="1"/>
  <c r="D40" i="9"/>
  <c r="C40" i="9"/>
  <c r="D39" i="9"/>
  <c r="D41" i="9" s="1"/>
  <c r="C41" i="9"/>
  <c r="D40" i="7"/>
  <c r="C40" i="7"/>
  <c r="D39" i="7"/>
  <c r="D41" i="7" s="1"/>
  <c r="C39" i="7"/>
  <c r="C41" i="7" s="1"/>
  <c r="D40" i="6"/>
  <c r="C40" i="6"/>
  <c r="D39" i="6"/>
  <c r="D41" i="6" s="1"/>
  <c r="C39" i="6"/>
  <c r="C41" i="6" s="1"/>
  <c r="D40" i="5"/>
  <c r="C40" i="5"/>
  <c r="D39" i="5"/>
  <c r="D41" i="5" s="1"/>
  <c r="C39" i="5"/>
  <c r="C41" i="5" s="1"/>
  <c r="C41" i="4"/>
  <c r="D40" i="4"/>
  <c r="C40" i="4"/>
  <c r="D39" i="4"/>
  <c r="D41" i="4" s="1"/>
  <c r="C39" i="4"/>
  <c r="D40" i="3"/>
  <c r="C40" i="3"/>
  <c r="D39" i="3"/>
  <c r="D41" i="3" s="1"/>
  <c r="C39" i="3"/>
  <c r="C41" i="3" s="1"/>
  <c r="E6" i="10"/>
  <c r="J36" i="17"/>
  <c r="I36" i="17"/>
  <c r="J35" i="17"/>
  <c r="I35" i="17"/>
  <c r="D40" i="10"/>
  <c r="C40" i="10"/>
  <c r="D39" i="10"/>
  <c r="D40" i="2"/>
  <c r="D39" i="2"/>
  <c r="C40" i="2"/>
  <c r="C39" i="2"/>
  <c r="F4" i="1"/>
  <c r="F3" i="1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B6" i="17"/>
  <c r="B7" i="17" s="1"/>
  <c r="B8" i="17" s="1"/>
  <c r="B9" i="17" s="1"/>
  <c r="B10" i="17" s="1"/>
  <c r="B11" i="17" s="1"/>
  <c r="B12" i="17" s="1"/>
  <c r="B13" i="17" s="1"/>
  <c r="B14" i="17" s="1"/>
  <c r="B15" i="17" s="1"/>
  <c r="B16" i="17" s="1"/>
  <c r="B17" i="17" s="1"/>
  <c r="B18" i="17" s="1"/>
  <c r="B19" i="17" s="1"/>
  <c r="B20" i="17" s="1"/>
  <c r="B21" i="17" s="1"/>
  <c r="B22" i="17" s="1"/>
  <c r="B23" i="17" s="1"/>
  <c r="B24" i="17" s="1"/>
  <c r="B25" i="17" s="1"/>
  <c r="B26" i="17" s="1"/>
  <c r="B27" i="17" s="1"/>
  <c r="B28" i="17" s="1"/>
  <c r="B29" i="17" s="1"/>
  <c r="B30" i="17" s="1"/>
  <c r="B31" i="17" s="1"/>
  <c r="B32" i="17" s="1"/>
  <c r="B33" i="17" s="1"/>
  <c r="B34" i="17" s="1"/>
  <c r="B35" i="17" s="1"/>
  <c r="B36" i="17" s="1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B6" i="15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E36" i="14"/>
  <c r="E35" i="14"/>
  <c r="E34" i="14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B6" i="14"/>
  <c r="B7" i="14" s="1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6" i="10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B6" i="12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E36" i="10"/>
  <c r="E35" i="10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B6" i="9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B6" i="7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B6" i="4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B6" i="3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C41" i="2" l="1"/>
  <c r="C41" i="10"/>
  <c r="I37" i="17"/>
  <c r="J37" i="17"/>
  <c r="D41" i="10"/>
  <c r="D41" i="2"/>
  <c r="N15" i="1" a="1"/>
  <c r="N15" i="1" s="1"/>
  <c r="N14" i="1" a="1"/>
  <c r="N14" i="1" s="1"/>
  <c r="N13" i="1" a="1"/>
  <c r="N13" i="1" s="1"/>
  <c r="N12" i="1" a="1"/>
  <c r="N12" i="1" s="1"/>
  <c r="N11" i="1" a="1"/>
  <c r="N11" i="1" s="1"/>
  <c r="N7" i="1" a="1"/>
  <c r="N7" i="1" s="1"/>
  <c r="N6" i="1" a="1"/>
  <c r="N6" i="1" s="1"/>
  <c r="N4" i="1" a="1"/>
  <c r="N4" i="1" s="1"/>
  <c r="N5" i="1" s="1"/>
  <c r="N3" i="1" a="1"/>
  <c r="N3" i="1" s="1"/>
  <c r="N10" i="1" l="1"/>
  <c r="N8" i="1"/>
  <c r="N9" i="1"/>
  <c r="E10" i="2"/>
  <c r="E6" i="2"/>
  <c r="E7" i="2"/>
  <c r="E8" i="2"/>
  <c r="E9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B8" i="2"/>
  <c r="B6" i="2"/>
  <c r="B7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B02EBD4-BB42-47F3-8B30-9091DB6CF209}" keepAlive="1" name="Requête - Récap hebdomadaire" description="Connexion à la requête « Récap hebdomadaire » dans le classeur." type="5" refreshedVersion="8" saveData="1">
    <dbPr connection="Provider=Microsoft.Mashup.OleDb.1;Data Source=$Workbook$;Location=&quot;Récap hebdomadaire&quot;;Extended Properties=&quot;&quot;" command="SELECT * FROM [Récap hebdomadaire]"/>
  </connection>
  <connection id="2" xr16:uid="{E4D669C0-301C-4565-9BF0-4D4F554F0BBC}" keepAlive="1" name="Requête - Récap mensuelle" description="Connexion à la requête « Récap mensuelle » dans le classeur." type="5" refreshedVersion="8" background="1" saveData="1">
    <dbPr connection="Provider=Microsoft.Mashup.OleDb.1;Data Source=$Workbook$;Location=&quot;Récap mensuelle&quot;;Extended Properties=&quot;&quot;" command="SELECT * FROM [Récap mensuelle]"/>
  </connection>
  <connection id="3" xr16:uid="{B44A934E-C244-48CD-8F13-6DE181315C4D}" keepAlive="1" name="Requête - Récap tableaux" description="Connexion à la requête « Récap tableaux » dans le classeur." type="5" refreshedVersion="0" saveData="1">
    <dbPr connection="Provider=Microsoft.Mashup.OleDb.1;Data Source=$Workbook$;Location=&quot;Récap tableaux&quot;;Extended Properties=&quot;&quot;" command="SELECT * FROM [Récap tableaux]"/>
  </connection>
  <connection id="4" xr16:uid="{4C4D32AB-580E-4456-AAFC-29A1F70A9282}" keepAlive="1" name="Requête - t_RecupDelta" description="Connexion à la requête « t_RecupDelta » dans le classeur." type="5" refreshedVersion="8" background="1" saveData="1">
    <dbPr connection="Provider=Microsoft.Mashup.OleDb.1;Data Source=$Workbook$;Location=t_RecupDelta;Extended Properties=&quot;&quot;" command="SELECT * FROM [t_RecupDelt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<sst xmlns="http://schemas.openxmlformats.org/spreadsheetml/2006/main" count="579" uniqueCount="85">
  <si>
    <t>Temps</t>
  </si>
  <si>
    <t>Valeur</t>
  </si>
  <si>
    <t>Travail</t>
  </si>
  <si>
    <t>Pause</t>
  </si>
  <si>
    <t>Mois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</si>
  <si>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</si>
  <si>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</si>
  <si>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</si>
  <si>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</si>
  <si>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</si>
  <si>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</si>
  <si>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</si>
  <si>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</si>
  <si>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</si>
  <si>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</si>
  <si>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</si>
  <si>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</si>
  <si>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Arrivée</t>
  </si>
  <si>
    <t>Départ</t>
  </si>
  <si>
    <t>Année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</si>
  <si>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</si>
  <si>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</si>
  <si>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</si>
  <si>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</si>
  <si>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</si>
  <si>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</si>
  <si>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</si>
  <si>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</si>
  <si>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</si>
  <si>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</si>
  <si>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</si>
  <si>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</si>
  <si>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</si>
  <si>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</si>
  <si>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avril</t>
  </si>
  <si>
    <t>N° Semaine</t>
  </si>
  <si>
    <t>Total général</t>
  </si>
  <si>
    <t>Delta (h)</t>
  </si>
  <si>
    <t>Delta (d)</t>
  </si>
  <si>
    <t>Delta (h) Hebdo.</t>
  </si>
  <si>
    <t>Delta (d) Hebdo.</t>
  </si>
  <si>
    <t>Delta (h) Mensuel</t>
  </si>
  <si>
    <t>Delta (d) Mensuel</t>
  </si>
  <si>
    <t>Total 2025</t>
  </si>
  <si>
    <t>mai</t>
  </si>
  <si>
    <t>juin</t>
  </si>
  <si>
    <t>juillet</t>
  </si>
  <si>
    <t>août</t>
  </si>
  <si>
    <t>septembre</t>
  </si>
  <si>
    <t>octobre</t>
  </si>
  <si>
    <t>Pour créer un nouvel onglet</t>
  </si>
  <si>
    <t>Sélectionner l'onglet Modèle, appuyer sur ctrl et faire glisser l'onglet vers la gauche</t>
  </si>
  <si>
    <t>Sur la fenêtre pop up qui s'ouvre, répondre Oui pour tout</t>
  </si>
  <si>
    <t>Onglet Création de tableau, Propriétés, Nom du tableau</t>
  </si>
  <si>
    <t>Sélectionner le mois, saisir les données</t>
  </si>
  <si>
    <t>Onglet Données, Requêtes et connexions, Actualiser tout</t>
  </si>
  <si>
    <t>novembre</t>
  </si>
  <si>
    <t>janvier</t>
  </si>
  <si>
    <t>Modifier le mois filtré pour le TCD hebdomadaire</t>
  </si>
  <si>
    <t>Décocher le mois inscrit, sélectionner le nouveau mois</t>
  </si>
  <si>
    <t>décembre</t>
  </si>
  <si>
    <t>(Tous)</t>
  </si>
  <si>
    <t>Total 2026</t>
  </si>
  <si>
    <t>Renommer l'onglet : n° du mois sur deux position, tiret du 6 et année (04-2025)</t>
  </si>
  <si>
    <t>Repositionner l'onglet, si besoin.</t>
  </si>
  <si>
    <t>Se positionner sur le tableau,</t>
  </si>
  <si>
    <r>
      <t xml:space="preserve">renommer le tableau en rajoutant à la fin du nom : </t>
    </r>
    <r>
      <rPr>
        <i/>
        <sz val="11"/>
        <color theme="1"/>
        <rFont val="Segoe UI"/>
        <family val="2"/>
      </rPr>
      <t xml:space="preserve"> au, le n° du mois, un _ et l'année</t>
    </r>
  </si>
  <si>
    <t>Astuces :</t>
  </si>
  <si>
    <t>Pour se déplacer rapidement sur les onglets : se positionner sur les &lt; &gt; en bas à gauche</t>
  </si>
  <si>
    <t>Clic droit sur l'un des chevrons, sélectionner le feuille voulue</t>
  </si>
  <si>
    <t>Pour accédre aux requêtes : Onglet Données, Requêtes et connexions, Requêtes et connexions</t>
  </si>
  <si>
    <t>Une fenêtre s'ouvre sur la droite de l'écran, contenant les requêtes présentes dans le fichier</t>
  </si>
  <si>
    <t>Pour actualiser les requêtes et TCD : Onglet Données, Requêtes et connexions, Actualiser tout</t>
  </si>
  <si>
    <t>février</t>
  </si>
  <si>
    <t>Une fois les données saisies, Actualiser les données</t>
  </si>
  <si>
    <t>mars</t>
  </si>
  <si>
    <t>Delta (rh)</t>
  </si>
  <si>
    <t>Delta (rd)</t>
  </si>
  <si>
    <t>Delta à récupérer</t>
  </si>
  <si>
    <t>Delta récupéré</t>
  </si>
  <si>
    <t>Solde restant</t>
  </si>
  <si>
    <t>Saisie des récupérations</t>
  </si>
  <si>
    <t>Onglet Paramètres, colonnes B à E</t>
  </si>
  <si>
    <t>Modification de l'onglet</t>
  </si>
  <si>
    <t>Saisie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</si>
</sst>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.0000"/>
    <numFmt numFmtId="166" formatCode="[h]:mm"/>
    <numFmt numFmtId="167" formatCode="[$-F400]h:mm:ss\ AM/PM"/>
  </numFmts>
  <fonts count="5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sz val="8"/>
      <name val="Segoe UI"/>
      <family val="2"/>
    </font>
    <font>
      <b/>
      <sz val="11"/>
      <color theme="1"/>
      <name val="Segoe UI"/>
      <family val="2"/>
    </font>
    <font>
      <i/>
      <sz val="11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right" vertical="center" indent="1"/>
    </xf>
    <xf numFmtId="0" fontId="0" fillId="3" borderId="1" xfId="0" applyFill="1" applyBorder="1" applyAlignment="1">
      <alignment horizontal="left" vertical="center" indent="1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right" inden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3" borderId="0" xfId="0" applyFont="1" applyFill="1"/>
    <xf numFmtId="166" fontId="0" fillId="0" borderId="0" xfId="0" applyNumberFormat="1" applyAlignment="1">
      <alignment horizontal="center"/>
    </xf>
    <xf numFmtId="0" fontId="0" fillId="4" borderId="0" xfId="0" applyFill="1" applyAlignment="1">
      <alignment vertical="center"/>
    </xf>
    <xf numFmtId="0" fontId="3" fillId="4" borderId="0" xfId="0" applyFont="1" applyFill="1" applyAlignment="1">
      <alignment vertical="center"/>
    </xf>
    <xf numFmtId="166" fontId="0" fillId="0" borderId="0" xfId="0" applyNumberFormat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166" fontId="0" fillId="5" borderId="3" xfId="0" applyNumberFormat="1" applyFill="1" applyBorder="1"/>
    <xf numFmtId="165" fontId="0" fillId="5" borderId="4" xfId="0" applyNumberFormat="1" applyFill="1" applyBorder="1"/>
    <xf numFmtId="166" fontId="0" fillId="5" borderId="5" xfId="0" applyNumberFormat="1" applyFill="1" applyBorder="1"/>
    <xf numFmtId="165" fontId="0" fillId="5" borderId="6" xfId="0" applyNumberFormat="1" applyFill="1" applyBorder="1"/>
    <xf numFmtId="166" fontId="0" fillId="5" borderId="7" xfId="0" applyNumberFormat="1" applyFill="1" applyBorder="1" applyAlignment="1">
      <alignment vertical="center"/>
    </xf>
    <xf numFmtId="165" fontId="0" fillId="5" borderId="8" xfId="0" applyNumberFormat="1" applyFill="1" applyBorder="1" applyAlignment="1">
      <alignment vertical="center"/>
    </xf>
    <xf numFmtId="167" fontId="0" fillId="0" borderId="0" xfId="0" applyNumberFormat="1" applyAlignment="1">
      <alignment horizontal="right" indent="1"/>
    </xf>
  </cellXfs>
  <cellStyles count="1">
    <cellStyle name="Normal" xfId="0" builtinId="0"/>
  </cellStyles>
  <dxfs count="202"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font>
        <b/>
        <i val="0"/>
      </font>
    </dxf>
    <dxf>
      <font>
        <b/>
        <i/>
        <color theme="9" tint="-0.499984740745262"/>
      </font>
    </dxf>
    <dxf>
      <numFmt numFmtId="165" formatCode="0.0000"/>
      <alignment horizontal="right" vertical="bottom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5" formatCode="0.0000"/>
      <alignment horizontal="right" vertical="bottom" textRotation="0" wrapText="0" indent="1" justifyLastLine="0" shrinkToFit="0" readingOrder="0"/>
    </dxf>
    <dxf>
      <numFmt numFmtId="165" formatCode="0.0000"/>
      <alignment horizontal="right" vertical="bottom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0.0000"/>
      <alignment horizontal="right" vertical="bottom" textRotation="0" wrapText="0" indent="1" justifyLastLine="0" shrinkToFit="0" readingOrder="0"/>
    </dxf>
    <dxf>
      <numFmt numFmtId="167" formatCode="[$-F400]h:mm:ss\ AM/PM"/>
      <alignment horizontal="right" vertical="bottom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[h]:mm"/>
    </dxf>
    <dxf>
      <numFmt numFmtId="165" formatCode="0.0000"/>
    </dxf>
    <dxf>
      <alignment horizontal="center"/>
    </dxf>
    <dxf>
      <alignment horizontal="center"/>
    </dxf>
    <dxf>
      <numFmt numFmtId="0" formatCode="General"/>
      <alignment horizontal="right" vertical="center" textRotation="0" wrapText="0" relativeIndent="1" justifyLastLine="0" shrinkToFit="0" readingOrder="0"/>
    </dxf>
    <dxf>
      <numFmt numFmtId="166" formatCode="[h]:mm"/>
      <alignment horizontal="righ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vertical="center" textRotation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h:mm;@"/>
      <alignment horizontal="righ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6" fmlaLink="$C$2" max="2050" min="2020" page="10" val="2025"/>
</file>

<file path=xl/ctrlProps/ctrlProp2.xml><?xml version="1.0" encoding="utf-8"?>
<formControlPr xmlns="http://schemas.microsoft.com/office/spreadsheetml/2009/9/main" objectType="Spin" dx="26" fmlaLink="$C$2" max="2050" min="2020" page="10" val="2025"/>
</file>

<file path=xl/ctrlProps/ctrlProp3.xml><?xml version="1.0" encoding="utf-8"?>
<formControlPr xmlns="http://schemas.microsoft.com/office/spreadsheetml/2009/9/main" objectType="Spin" dx="26" fmlaLink="$C$2" max="2050" min="2020" page="10" val="2025"/>
</file>

<file path=xl/ctrlProps/ctrlProp4.xml><?xml version="1.0" encoding="utf-8"?>
<formControlPr xmlns="http://schemas.microsoft.com/office/spreadsheetml/2009/9/main" objectType="Spin" dx="26" fmlaLink="$C$2" max="2050" min="2020" page="10" val="2025"/>
</file>

<file path=xl/ctrlProps/ctrlProp5.xml><?xml version="1.0" encoding="utf-8"?>
<formControlPr xmlns="http://schemas.microsoft.com/office/spreadsheetml/2009/9/main" objectType="Spin" dx="26" fmlaLink="$C$2" max="2050" min="2020" page="10" val="2025"/>
</file>

<file path=xl/ctrlProps/ctrlProp6.xml><?xml version="1.0" encoding="utf-8"?>
<formControlPr xmlns="http://schemas.microsoft.com/office/spreadsheetml/2009/9/main" objectType="Spin" dx="26" fmlaLink="$C$2" max="2050" min="2020" page="10" val="2025"/>
</file>

<file path=xl/ctrlProps/ctrlProp7.xml><?xml version="1.0" encoding="utf-8"?>
<formControlPr xmlns="http://schemas.microsoft.com/office/spreadsheetml/2009/9/main" objectType="Spin" dx="26" fmlaLink="$C$2" max="2050" min="2020" page="10" val="2025"/>
</file>

<file path=xl/ctrlProps/ctrlProp8.xml><?xml version="1.0" encoding="utf-8"?>
<formControlPr xmlns="http://schemas.microsoft.com/office/spreadsheetml/2009/9/main" objectType="Spin" dx="26" fmlaLink="$C$2" max="2050" min="2020" page="10" val="2025"/>
</file>

<file path=xl/ctrlProps/ctrlProp9.xml><?xml version="1.0" encoding="utf-8"?>
<formControlPr xmlns="http://schemas.microsoft.com/office/spreadsheetml/2009/9/main" objectType="Spin" dx="26" fmlaLink="$C$2" max="2050" min="2020" page="10" val="2025"/>
</file>

<file path=xl/ctrlProps/ctrlProp10.xml><?xml version="1.0" encoding="utf-8"?>
<formControlPr xmlns="http://schemas.microsoft.com/office/spreadsheetml/2009/9/main" objectType="Spin" dx="26" fmlaLink="$C$2" max="2050" min="2020" page="10" val="2026"/>
</file>

<file path=xl/ctrlProps/ctrlProp11.xml><?xml version="1.0" encoding="utf-8"?>
<formControlPr xmlns="http://schemas.microsoft.com/office/spreadsheetml/2009/9/main" objectType="Spin" dx="26" fmlaLink="$C$2" max="2050" min="2020" page="10" val="2026"/>
</file>

<file path=xl/ctrlProps/ctrlProp12.xml><?xml version="1.0" encoding="utf-8"?>
<formControlPr xmlns="http://schemas.microsoft.com/office/spreadsheetml/2009/9/main" objectType="Spin" dx="26" fmlaLink="$C$2" max="2050" min="2020" page="10" val="202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53340</xdr:colOff>
      <xdr:row>4</xdr:row>
      <xdr:rowOff>38100</xdr:rowOff>
    </xdr:from>
    <xdr:ext cx="4991100" cy="681844"/>
    <xdr:pic>
      <xdr:nvPicPr>
        <xdr:cNvPr id="6" name="Image 5">
          <a:extLst>
            <a:ext uri="{FF2B5EF4-FFF2-40B4-BE49-F238E27FC236}">
              <a16:creationId xmlns:a16="http://schemas.microsoft.com/office/drawing/2014/main" id="{E56ABB5C-B962-4FAF-80CA-91C54DD72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9080" y="891540"/>
          <a:ext cx="4991100" cy="681844"/>
        </a:xfrm>
        <a:prstGeom prst="rect">
          <a:avLst/>
        </a:prstGeom>
      </xdr:spPr>
    </xdr:pic>
    <xdr:clientData/>
  </xdr:oneCellAnchor>
  <xdr:oneCellAnchor>
    <xdr:from>
      <xdr:col>1</xdr:col>
      <xdr:colOff>2202180</xdr:colOff>
      <xdr:row>15</xdr:row>
      <xdr:rowOff>68580</xdr:rowOff>
    </xdr:from>
    <xdr:ext cx="1859441" cy="952583"/>
    <xdr:pic>
      <xdr:nvPicPr>
        <xdr:cNvPr id="7" name="Image 6">
          <a:extLst>
            <a:ext uri="{FF2B5EF4-FFF2-40B4-BE49-F238E27FC236}">
              <a16:creationId xmlns:a16="http://schemas.microsoft.com/office/drawing/2014/main" id="{90BF6152-01FA-481D-9EDE-9B859F43C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07920" y="2415540"/>
          <a:ext cx="1859441" cy="952583"/>
        </a:xfrm>
        <a:prstGeom prst="rect">
          <a:avLst/>
        </a:prstGeom>
      </xdr:spPr>
    </xdr:pic>
    <xdr:clientData/>
  </xdr:oneCellAnchor>
  <xdr:oneCellAnchor>
    <xdr:from>
      <xdr:col>1</xdr:col>
      <xdr:colOff>15240</xdr:colOff>
      <xdr:row>27</xdr:row>
      <xdr:rowOff>83820</xdr:rowOff>
    </xdr:from>
    <xdr:ext cx="3817951" cy="3177815"/>
    <xdr:pic>
      <xdr:nvPicPr>
        <xdr:cNvPr id="8" name="Image 7">
          <a:extLst>
            <a:ext uri="{FF2B5EF4-FFF2-40B4-BE49-F238E27FC236}">
              <a16:creationId xmlns:a16="http://schemas.microsoft.com/office/drawing/2014/main" id="{FE72D402-07A3-46A1-A96D-9B1C518EE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789920" y="4594860"/>
          <a:ext cx="3817951" cy="3177815"/>
        </a:xfrm>
        <a:prstGeom prst="rect">
          <a:avLst/>
        </a:prstGeom>
      </xdr:spPr>
    </xdr:pic>
    <xdr:clientData/>
  </xdr:oneCellAnchor>
  <xdr:oneCellAnchor>
    <xdr:from>
      <xdr:col>1</xdr:col>
      <xdr:colOff>167640</xdr:colOff>
      <xdr:row>15</xdr:row>
      <xdr:rowOff>45720</xdr:rowOff>
    </xdr:from>
    <xdr:ext cx="1874682" cy="944962"/>
    <xdr:pic>
      <xdr:nvPicPr>
        <xdr:cNvPr id="9" name="Image 8">
          <a:extLst>
            <a:ext uri="{FF2B5EF4-FFF2-40B4-BE49-F238E27FC236}">
              <a16:creationId xmlns:a16="http://schemas.microsoft.com/office/drawing/2014/main" id="{8B50BB69-9750-49AB-BD1A-0293EB802A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73380" y="2392680"/>
          <a:ext cx="1874682" cy="944962"/>
        </a:xfrm>
        <a:prstGeom prst="rect">
          <a:avLst/>
        </a:prstGeom>
      </xdr:spPr>
    </xdr:pic>
    <xdr:clientData/>
  </xdr:oneCellAnchor>
  <xdr:twoCellAnchor editAs="oneCell">
    <xdr:from>
      <xdr:col>1</xdr:col>
      <xdr:colOff>152400</xdr:colOff>
      <xdr:row>49</xdr:row>
      <xdr:rowOff>160020</xdr:rowOff>
    </xdr:from>
    <xdr:to>
      <xdr:col>1</xdr:col>
      <xdr:colOff>2491943</xdr:colOff>
      <xdr:row>56</xdr:row>
      <xdr:rowOff>76322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3B2842A0-519A-C57C-F0B3-FE0B9AFA86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58140" y="9334500"/>
          <a:ext cx="2339543" cy="1409822"/>
        </a:xfrm>
        <a:prstGeom prst="rect">
          <a:avLst/>
        </a:prstGeom>
      </xdr:spPr>
    </xdr:pic>
    <xdr:clientData/>
  </xdr:twoCellAnchor>
  <xdr:twoCellAnchor editAs="oneCell">
    <xdr:from>
      <xdr:col>1</xdr:col>
      <xdr:colOff>91440</xdr:colOff>
      <xdr:row>57</xdr:row>
      <xdr:rowOff>137160</xdr:rowOff>
    </xdr:from>
    <xdr:to>
      <xdr:col>1</xdr:col>
      <xdr:colOff>3368324</xdr:colOff>
      <xdr:row>74</xdr:row>
      <xdr:rowOff>46026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F6672FD0-A004-5EC5-509D-728EAAC5B8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97180" y="11018520"/>
          <a:ext cx="3276884" cy="35359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8193" name="Spinne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9217" name="Spinner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0241" name="Spinner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A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6385" name="Spinner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B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8433" name="Spinner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C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754380</xdr:colOff>
          <xdr:row>1</xdr:row>
          <xdr:rowOff>22860</xdr:rowOff>
        </xdr:from>
        <xdr:to>
          <xdr:col>3</xdr:col>
          <xdr:colOff>0</xdr:colOff>
          <xdr:row>2</xdr:row>
          <xdr:rowOff>15240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D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30.739472337962" createdVersion="8" refreshedVersion="8" minRefreshableVersion="3" recordCount="11" xr:uid="{635F0BF8-F843-4C85-A7AA-7193BA59FFA5}">
  <cacheSource type="worksheet">
    <worksheetSource name="Récap_mensuelle"/>
  </cacheSource>
  <cacheFields count="4">
    <cacheField name="Année" numFmtId="0">
      <sharedItems containsSemiMixedTypes="0" containsString="0" containsNumber="1" containsInteger="1" minValue="2025" maxValue="2026" count="2">
        <n v="2025"/>
        <n v="2026"/>
      </sharedItems>
    </cacheField>
    <cacheField name="Mois" numFmtId="0">
      <sharedItems count="11">
        <s v="avril"/>
        <s v="mai"/>
        <s v="juin"/>
        <s v="juillet"/>
        <s v="août"/>
        <s v="septembre"/>
        <s v="octobre"/>
        <s v="novembre"/>
        <s v="décembre"/>
        <s v="janvier"/>
        <s v="février"/>
      </sharedItems>
    </cacheField>
    <cacheField name="Delta (h)" numFmtId="165">
      <sharedItems containsSemiMixedTypes="0" containsString="0" containsNumber="1" minValue="0" maxValue="0.82916666666666639"/>
    </cacheField>
    <cacheField name="Delta (d)" numFmtId="165">
      <sharedItems containsSemiMixedTypes="0" containsString="0" containsNumber="1" minValue="0" maxValue="19.8999999999999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30.739473379632" createdVersion="8" refreshedVersion="8" minRefreshableVersion="3" recordCount="56" xr:uid="{637530A2-43F6-4BAC-B559-A76F44FAAE3B}">
  <cacheSource type="worksheet">
    <worksheetSource name="Récap_hebdomadaire"/>
  </cacheSource>
  <cacheFields count="5">
    <cacheField name="Année" numFmtId="0">
      <sharedItems containsSemiMixedTypes="0" containsString="0" containsNumber="1" containsInteger="1" minValue="2025" maxValue="2026" count="2">
        <n v="2025"/>
        <n v="2026"/>
      </sharedItems>
    </cacheField>
    <cacheField name="Mois" numFmtId="0">
      <sharedItems count="11">
        <s v="avril"/>
        <s v="mai"/>
        <s v="juin"/>
        <s v="juillet"/>
        <s v="août"/>
        <s v="septembre"/>
        <s v="octobre"/>
        <s v="novembre"/>
        <s v="décembre"/>
        <s v="janvier"/>
        <s v="février"/>
      </sharedItems>
    </cacheField>
    <cacheField name="N° Semaine" numFmtId="0">
      <sharedItems containsSemiMixedTypes="0" containsString="0" containsNumber="1" containsInteger="1" minValue="1" maxValue="53" count="49"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</sharedItems>
    </cacheField>
    <cacheField name="Delta (h)" numFmtId="165">
      <sharedItems containsSemiMixedTypes="0" containsString="0" containsNumber="1" minValue="0" maxValue="0.27013888888888887"/>
    </cacheField>
    <cacheField name="Delta (d)" numFmtId="165">
      <sharedItems containsSemiMixedTypes="0" containsString="0" containsNumber="1" minValue="0" maxValue="6.48333333333333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0.21111111111111064"/>
    <n v="5.0666666666666558"/>
  </r>
  <r>
    <x v="0"/>
    <x v="1"/>
    <n v="0.2770833333333329"/>
    <n v="6.6499999999999888"/>
  </r>
  <r>
    <x v="0"/>
    <x v="2"/>
    <n v="0.33402777777777698"/>
    <n v="8.016666666666648"/>
  </r>
  <r>
    <x v="0"/>
    <x v="3"/>
    <n v="0.68263888888888802"/>
    <n v="16.383333333333312"/>
  </r>
  <r>
    <x v="0"/>
    <x v="4"/>
    <n v="0.63055555555555465"/>
    <n v="15.133333333333312"/>
  </r>
  <r>
    <x v="0"/>
    <x v="5"/>
    <n v="0.55624999999999913"/>
    <n v="13.349999999999984"/>
  </r>
  <r>
    <x v="0"/>
    <x v="6"/>
    <n v="0.82916666666666639"/>
    <n v="19.899999999999991"/>
  </r>
  <r>
    <x v="0"/>
    <x v="7"/>
    <n v="0.43888888888888811"/>
    <n v="10.533333333333315"/>
  </r>
  <r>
    <x v="0"/>
    <x v="8"/>
    <n v="0.37430555555555484"/>
    <n v="8.9833333333333165"/>
  </r>
  <r>
    <x v="1"/>
    <x v="9"/>
    <n v="0"/>
    <n v="0"/>
  </r>
  <r>
    <x v="1"/>
    <x v="1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x v="0"/>
    <x v="0"/>
    <n v="2.0833333333333259E-3"/>
    <n v="4.9999999999999822E-2"/>
  </r>
  <r>
    <x v="0"/>
    <x v="0"/>
    <x v="1"/>
    <n v="5.7638888888888795E-2"/>
    <n v="1.3833333333333311"/>
  </r>
  <r>
    <x v="0"/>
    <x v="0"/>
    <x v="2"/>
    <n v="5.6944444444444353E-2"/>
    <n v="1.3666666666666645"/>
  </r>
  <r>
    <x v="0"/>
    <x v="0"/>
    <x v="3"/>
    <n v="6.7361111111110872E-2"/>
    <n v="1.6166666666666609"/>
  </r>
  <r>
    <x v="0"/>
    <x v="0"/>
    <x v="4"/>
    <n v="2.7083333333333293E-2"/>
    <n v="0.64999999999999902"/>
  </r>
  <r>
    <x v="0"/>
    <x v="1"/>
    <x v="4"/>
    <n v="1.7361111111111049E-2"/>
    <n v="0.41666666666666519"/>
  </r>
  <r>
    <x v="0"/>
    <x v="1"/>
    <x v="5"/>
    <n v="8.74999999999998E-2"/>
    <n v="2.0999999999999952"/>
  </r>
  <r>
    <x v="0"/>
    <x v="1"/>
    <x v="6"/>
    <n v="5.0694444444444431E-2"/>
    <n v="1.2166666666666663"/>
  </r>
  <r>
    <x v="0"/>
    <x v="1"/>
    <x v="7"/>
    <n v="8.6805555555555358E-2"/>
    <n v="2.0833333333333286"/>
  </r>
  <r>
    <x v="0"/>
    <x v="1"/>
    <x v="8"/>
    <n v="3.4722222222222265E-2"/>
    <n v="0.83333333333333437"/>
  </r>
  <r>
    <x v="0"/>
    <x v="2"/>
    <x v="8"/>
    <n v="0"/>
    <n v="0"/>
  </r>
  <r>
    <x v="0"/>
    <x v="2"/>
    <x v="9"/>
    <n v="0.1284722222222221"/>
    <n v="3.0833333333333304"/>
  </r>
  <r>
    <x v="0"/>
    <x v="2"/>
    <x v="10"/>
    <n v="5.62499999999998E-2"/>
    <n v="1.3499999999999952"/>
  </r>
  <r>
    <x v="0"/>
    <x v="2"/>
    <x v="11"/>
    <n v="7.1527777777777635E-2"/>
    <n v="1.7166666666666632"/>
  </r>
  <r>
    <x v="0"/>
    <x v="2"/>
    <x v="12"/>
    <n v="5.5555555555555303E-2"/>
    <n v="1.3333333333333273"/>
  </r>
  <r>
    <x v="0"/>
    <x v="2"/>
    <x v="13"/>
    <n v="2.2222222222222143E-2"/>
    <n v="0.53333333333333144"/>
  </r>
  <r>
    <x v="0"/>
    <x v="3"/>
    <x v="13"/>
    <n v="6.5277777777777657E-2"/>
    <n v="1.5666666666666638"/>
  </r>
  <r>
    <x v="0"/>
    <x v="3"/>
    <x v="14"/>
    <n v="8.6111111111110805E-2"/>
    <n v="2.0666666666666593"/>
  </r>
  <r>
    <x v="0"/>
    <x v="3"/>
    <x v="15"/>
    <n v="0.1999999999999999"/>
    <n v="4.7999999999999972"/>
  </r>
  <r>
    <x v="0"/>
    <x v="3"/>
    <x v="16"/>
    <n v="0.1499999999999998"/>
    <n v="3.5999999999999952"/>
  </r>
  <r>
    <x v="0"/>
    <x v="3"/>
    <x v="17"/>
    <n v="0.1812499999999998"/>
    <n v="4.3499999999999952"/>
  </r>
  <r>
    <x v="0"/>
    <x v="4"/>
    <x v="17"/>
    <n v="0"/>
    <n v="0"/>
  </r>
  <r>
    <x v="0"/>
    <x v="4"/>
    <x v="18"/>
    <n v="0.16805555555555535"/>
    <n v="4.0333333333333279"/>
  </r>
  <r>
    <x v="0"/>
    <x v="4"/>
    <x v="19"/>
    <n v="0.1902777777777776"/>
    <n v="4.5666666666666629"/>
  </r>
  <r>
    <x v="0"/>
    <x v="4"/>
    <x v="20"/>
    <n v="0.16597222222222208"/>
    <n v="3.9833333333333298"/>
  </r>
  <r>
    <x v="0"/>
    <x v="4"/>
    <x v="21"/>
    <n v="0.10624999999999968"/>
    <n v="2.5499999999999923"/>
  </r>
  <r>
    <x v="0"/>
    <x v="5"/>
    <x v="22"/>
    <n v="0.11666666666666653"/>
    <n v="2.7999999999999967"/>
  </r>
  <r>
    <x v="0"/>
    <x v="5"/>
    <x v="23"/>
    <n v="0.13541666666666652"/>
    <n v="3.2499999999999964"/>
  </r>
  <r>
    <x v="0"/>
    <x v="5"/>
    <x v="24"/>
    <n v="0.16458333333333325"/>
    <n v="3.949999999999998"/>
  </r>
  <r>
    <x v="0"/>
    <x v="5"/>
    <x v="25"/>
    <n v="0.11180555555555521"/>
    <n v="2.6833333333333251"/>
  </r>
  <r>
    <x v="0"/>
    <x v="5"/>
    <x v="26"/>
    <n v="2.7777777777777679E-2"/>
    <n v="0.6666666666666643"/>
  </r>
  <r>
    <x v="0"/>
    <x v="6"/>
    <x v="26"/>
    <n v="7.0138888888888751E-2"/>
    <n v="1.68333333333333"/>
  </r>
  <r>
    <x v="0"/>
    <x v="6"/>
    <x v="27"/>
    <n v="5.4166666666666641E-2"/>
    <n v="1.2999999999999994"/>
  </r>
  <r>
    <x v="0"/>
    <x v="6"/>
    <x v="28"/>
    <n v="0.16666666666666652"/>
    <n v="3.9999999999999964"/>
  </r>
  <r>
    <x v="0"/>
    <x v="6"/>
    <x v="29"/>
    <n v="0.26805555555555555"/>
    <n v="6.4333333333333336"/>
  </r>
  <r>
    <x v="0"/>
    <x v="6"/>
    <x v="30"/>
    <n v="0.27013888888888887"/>
    <n v="6.4833333333333325"/>
  </r>
  <r>
    <x v="0"/>
    <x v="7"/>
    <x v="30"/>
    <n v="0"/>
    <n v="0"/>
  </r>
  <r>
    <x v="0"/>
    <x v="7"/>
    <x v="31"/>
    <n v="0.11944444444444424"/>
    <n v="2.8666666666666618"/>
  </r>
  <r>
    <x v="0"/>
    <x v="7"/>
    <x v="32"/>
    <n v="6.2499999999999833E-2"/>
    <n v="1.499999999999996"/>
  </r>
  <r>
    <x v="0"/>
    <x v="7"/>
    <x v="33"/>
    <n v="0.16041666666666649"/>
    <n v="3.8499999999999956"/>
  </r>
  <r>
    <x v="0"/>
    <x v="7"/>
    <x v="34"/>
    <n v="9.6527777777777546E-2"/>
    <n v="2.3166666666666611"/>
  </r>
  <r>
    <x v="0"/>
    <x v="8"/>
    <x v="35"/>
    <n v="2.7083333333333348E-2"/>
    <n v="0.65000000000000036"/>
  </r>
  <r>
    <x v="0"/>
    <x v="8"/>
    <x v="36"/>
    <n v="0.12430555555555534"/>
    <n v="2.9833333333333281"/>
  </r>
  <r>
    <x v="0"/>
    <x v="8"/>
    <x v="37"/>
    <n v="9.7916666666666319E-2"/>
    <n v="2.3499999999999917"/>
  </r>
  <r>
    <x v="0"/>
    <x v="8"/>
    <x v="38"/>
    <n v="0.12499999999999983"/>
    <n v="2.999999999999996"/>
  </r>
  <r>
    <x v="0"/>
    <x v="8"/>
    <x v="39"/>
    <n v="0"/>
    <n v="0"/>
  </r>
  <r>
    <x v="1"/>
    <x v="9"/>
    <x v="40"/>
    <n v="0"/>
    <n v="0"/>
  </r>
  <r>
    <x v="1"/>
    <x v="9"/>
    <x v="41"/>
    <n v="0"/>
    <n v="0"/>
  </r>
  <r>
    <x v="1"/>
    <x v="9"/>
    <x v="42"/>
    <n v="0"/>
    <n v="0"/>
  </r>
  <r>
    <x v="1"/>
    <x v="9"/>
    <x v="43"/>
    <n v="0"/>
    <n v="0"/>
  </r>
  <r>
    <x v="1"/>
    <x v="9"/>
    <x v="44"/>
    <n v="0"/>
    <n v="0"/>
  </r>
  <r>
    <x v="1"/>
    <x v="10"/>
    <x v="44"/>
    <n v="0"/>
    <n v="0"/>
  </r>
  <r>
    <x v="1"/>
    <x v="10"/>
    <x v="45"/>
    <n v="0"/>
    <n v="0"/>
  </r>
  <r>
    <x v="1"/>
    <x v="10"/>
    <x v="46"/>
    <n v="0"/>
    <n v="0"/>
  </r>
  <r>
    <x v="1"/>
    <x v="10"/>
    <x v="47"/>
    <n v="0"/>
    <n v="0"/>
  </r>
  <r>
    <x v="1"/>
    <x v="10"/>
    <x v="48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30C8EB-A025-45B4-ADFB-D271977A26BD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x="0"/>
        <item h="1" x="1"/>
        <item h="1" x="2"/>
        <item h="1" x="3"/>
        <item h="1" x="4"/>
        <item h="1" x="5"/>
        <item h="1"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79">
      <pivotArea dataOnly="0" outline="0" fieldPosition="0">
        <references count="1">
          <reference field="4294967294" count="1">
            <x v="0"/>
          </reference>
        </references>
      </pivotArea>
    </format>
    <format dxfId="178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811291-1811-4805-AA79-8B3593775A7F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183">
      <pivotArea dataOnly="0" outline="0" fieldPosition="0">
        <references count="1">
          <reference field="4294967294" count="1">
            <x v="0"/>
          </reference>
        </references>
      </pivotArea>
    </format>
    <format dxfId="182">
      <pivotArea dataOnly="0" outline="0" fieldPosition="0">
        <references count="1">
          <reference field="4294967294" count="1">
            <x v="1"/>
          </reference>
        </references>
      </pivotArea>
    </format>
    <format dxfId="181">
      <pivotArea outline="0" fieldPosition="0">
        <references count="1">
          <reference field="4294967294" count="1">
            <x v="1"/>
          </reference>
        </references>
      </pivotArea>
    </format>
    <format dxfId="18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9030E6-3026-4E92-9FF5-F6266BC243EE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67">
      <pivotArea dataOnly="0" outline="0" fieldPosition="0">
        <references count="1">
          <reference field="4294967294" count="1">
            <x v="0"/>
          </reference>
        </references>
      </pivotArea>
    </format>
    <format dxfId="166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CF1F06-E78F-4EE2-B4FA-BC93D7373C97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171">
      <pivotArea dataOnly="0" outline="0" fieldPosition="0">
        <references count="1">
          <reference field="4294967294" count="1">
            <x v="0"/>
          </reference>
        </references>
      </pivotArea>
    </format>
    <format dxfId="170">
      <pivotArea dataOnly="0" outline="0" fieldPosition="0">
        <references count="1">
          <reference field="4294967294" count="1">
            <x v="1"/>
          </reference>
        </references>
      </pivotArea>
    </format>
    <format dxfId="169">
      <pivotArea outline="0" fieldPosition="0">
        <references count="1">
          <reference field="4294967294" count="1">
            <x v="1"/>
          </reference>
        </references>
      </pivotArea>
    </format>
    <format dxfId="16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8CFE7F-3BA3-4044-9E78-FF0B58E4BDAC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4" numFmtId="166"/>
    <dataField name="Delta (d) Mensuel" fld="3" baseField="1" baseItem="0" numFmtId="165"/>
  </dataFields>
  <formats count="4">
    <format dxfId="157">
      <pivotArea dataOnly="0" outline="0" fieldPosition="0">
        <references count="1">
          <reference field="4294967294" count="1">
            <x v="0"/>
          </reference>
        </references>
      </pivotArea>
    </format>
    <format dxfId="156">
      <pivotArea dataOnly="0" outline="0" fieldPosition="0">
        <references count="1">
          <reference field="4294967294" count="1">
            <x v="1"/>
          </reference>
        </references>
      </pivotArea>
    </format>
    <format dxfId="155">
      <pivotArea outline="0" fieldPosition="0">
        <references count="1">
          <reference field="4294967294" count="1">
            <x v="1"/>
          </reference>
        </references>
      </pivotArea>
    </format>
    <format dxfId="15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D15282-472B-40D8-9874-CE7FB0ED2829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x="2"/>
        <item h="1" x="3"/>
        <item h="1" x="4"/>
        <item h="1" x="5"/>
        <item h="1"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59">
      <pivotArea dataOnly="0" outline="0" fieldPosition="0">
        <references count="1">
          <reference field="4294967294" count="1">
            <x v="0"/>
          </reference>
        </references>
      </pivotArea>
    </format>
    <format dxfId="158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016992-39F4-4458-8B2A-D8D1F80071AF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1" numFmtId="166"/>
    <dataField name="Delta (d) Mensuel" fld="3" baseField="1" baseItem="0" numFmtId="165"/>
  </dataFields>
  <formats count="4">
    <format dxfId="145">
      <pivotArea dataOnly="0" outline="0" fieldPosition="0">
        <references count="1">
          <reference field="4294967294" count="1">
            <x v="0"/>
          </reference>
        </references>
      </pivotArea>
    </format>
    <format dxfId="144">
      <pivotArea dataOnly="0" outline="0" fieldPosition="0">
        <references count="1">
          <reference field="4294967294" count="1">
            <x v="1"/>
          </reference>
        </references>
      </pivotArea>
    </format>
    <format dxfId="143">
      <pivotArea outline="0" fieldPosition="0">
        <references count="1">
          <reference field="4294967294" count="1">
            <x v="1"/>
          </reference>
        </references>
      </pivotArea>
    </format>
    <format dxfId="14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47697A-61F4-4AE7-80BD-F01E4BC3D5BD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x="3"/>
        <item h="1" x="4"/>
        <item h="1" x="5"/>
        <item h="1"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 v="13"/>
    </i>
    <i>
      <x v="14"/>
    </i>
    <i>
      <x v="15"/>
    </i>
    <i>
      <x v="16"/>
    </i>
    <i>
      <x v="17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47">
      <pivotArea dataOnly="0" outline="0" fieldPosition="0">
        <references count="1">
          <reference field="4294967294" count="1">
            <x v="0"/>
          </reference>
        </references>
      </pivotArea>
    </format>
    <format dxfId="146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19652-8CB1-4016-9931-1E51AB7FEE36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1" numFmtId="166"/>
    <dataField name="Delta (d) Mensuel" fld="3" baseField="1" baseItem="0" numFmtId="165"/>
  </dataFields>
  <formats count="4">
    <format dxfId="133">
      <pivotArea dataOnly="0" outline="0" fieldPosition="0">
        <references count="1">
          <reference field="4294967294" count="1">
            <x v="0"/>
          </reference>
        </references>
      </pivotArea>
    </format>
    <format dxfId="132">
      <pivotArea dataOnly="0" outline="0" fieldPosition="0">
        <references count="1">
          <reference field="4294967294" count="1">
            <x v="1"/>
          </reference>
        </references>
      </pivotArea>
    </format>
    <format dxfId="131">
      <pivotArea outline="0" fieldPosition="0">
        <references count="1">
          <reference field="4294967294" count="1">
            <x v="1"/>
          </reference>
        </references>
      </pivotArea>
    </format>
    <format dxfId="13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DF1970-B10D-4ED8-9471-825AB6ADF492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x="4"/>
        <item h="1" x="5"/>
        <item h="1"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5">
    <i>
      <x v="18"/>
    </i>
    <i>
      <x v="19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35">
      <pivotArea dataOnly="0" outline="0" fieldPosition="0">
        <references count="1">
          <reference field="4294967294" count="1">
            <x v="0"/>
          </reference>
        </references>
      </pivotArea>
    </format>
    <format dxfId="134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505BE2-9390-4E95-8550-5DBD0E7A2955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x="5"/>
        <item h="1"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 v="22"/>
    </i>
    <i>
      <x v="23"/>
    </i>
    <i>
      <x v="24"/>
    </i>
    <i>
      <x v="25"/>
    </i>
    <i>
      <x v="26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19">
      <pivotArea dataOnly="0" outline="0" fieldPosition="0">
        <references count="1">
          <reference field="4294967294" count="1">
            <x v="0"/>
          </reference>
        </references>
      </pivotArea>
    </format>
    <format dxfId="118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BA700F-0CE5-49D8-9F92-3953BA8E97ED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123">
      <pivotArea dataOnly="0" outline="0" fieldPosition="0">
        <references count="1">
          <reference field="4294967294" count="1">
            <x v="0"/>
          </reference>
        </references>
      </pivotArea>
    </format>
    <format dxfId="122">
      <pivotArea dataOnly="0" outline="0" fieldPosition="0">
        <references count="1">
          <reference field="4294967294" count="1">
            <x v="1"/>
          </reference>
        </references>
      </pivotArea>
    </format>
    <format dxfId="121">
      <pivotArea outline="0" fieldPosition="0">
        <references count="1">
          <reference field="4294967294" count="1">
            <x v="1"/>
          </reference>
        </references>
      </pivotArea>
    </format>
    <format dxfId="12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A97445-9357-4891-A74B-FF5A4EB2F70C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109">
      <pivotArea dataOnly="0" outline="0" fieldPosition="0">
        <references count="1">
          <reference field="4294967294" count="1">
            <x v="0"/>
          </reference>
        </references>
      </pivotArea>
    </format>
    <format dxfId="108">
      <pivotArea dataOnly="0" outline="0" fieldPosition="0">
        <references count="1">
          <reference field="4294967294" count="1">
            <x v="1"/>
          </reference>
        </references>
      </pivotArea>
    </format>
    <format dxfId="107">
      <pivotArea outline="0" fieldPosition="0">
        <references count="1">
          <reference field="4294967294" count="1">
            <x v="1"/>
          </reference>
        </references>
      </pivotArea>
    </format>
    <format dxfId="10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845274-9D07-464C-B6EE-BBF700848F30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x="6"/>
        <item h="1"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6">
    <i>
      <x v="26"/>
    </i>
    <i>
      <x v="27"/>
    </i>
    <i>
      <x v="28"/>
    </i>
    <i>
      <x v="29"/>
    </i>
    <i>
      <x v="30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111">
      <pivotArea dataOnly="0" outline="0" fieldPosition="0">
        <references count="1">
          <reference field="4294967294" count="1">
            <x v="0"/>
          </reference>
        </references>
      </pivotArea>
    </format>
    <format dxfId="110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C5FB0A-47FB-4443-833E-3972C994D36A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97">
      <pivotArea dataOnly="0" outline="0" fieldPosition="0">
        <references count="1">
          <reference field="4294967294" count="1">
            <x v="0"/>
          </reference>
        </references>
      </pivotArea>
    </format>
    <format dxfId="96">
      <pivotArea dataOnly="0" outline="0" fieldPosition="0">
        <references count="1">
          <reference field="4294967294" count="1">
            <x v="1"/>
          </reference>
        </references>
      </pivotArea>
    </format>
    <format dxfId="95">
      <pivotArea outline="0" fieldPosition="0">
        <references count="1">
          <reference field="4294967294" count="1">
            <x v="1"/>
          </reference>
        </references>
      </pivotArea>
    </format>
    <format dxfId="9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E125664-2A03-4890-888E-07BB5037F1E1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h="1" x="6"/>
        <item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5">
    <i>
      <x v="31"/>
    </i>
    <i>
      <x v="32"/>
    </i>
    <i>
      <x v="33"/>
    </i>
    <i>
      <x v="3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99">
      <pivotArea dataOnly="0" outline="0" fieldPosition="0">
        <references count="1">
          <reference field="4294967294" count="1">
            <x v="0"/>
          </reference>
        </references>
      </pivotArea>
    </format>
    <format dxfId="98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9B41BE-6B25-4454-8D13-FFB10C80ED12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h="1" x="6"/>
        <item h="1" x="7"/>
        <item h="1" x="9"/>
        <item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5">
    <i>
      <x v="40"/>
    </i>
    <i>
      <x v="41"/>
    </i>
    <i>
      <x v="42"/>
    </i>
    <i>
      <x v="43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83">
      <pivotArea dataOnly="0" outline="0" fieldPosition="0">
        <references count="1">
          <reference field="4294967294" count="1">
            <x v="0"/>
          </reference>
        </references>
      </pivotArea>
    </format>
    <format dxfId="82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5166B3-BF19-4A63-B577-5D30F9D431C4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87">
      <pivotArea dataOnly="0" outline="0" fieldPosition="0">
        <references count="1">
          <reference field="4294967294" count="1">
            <x v="0"/>
          </reference>
        </references>
      </pivotArea>
    </format>
    <format dxfId="86">
      <pivotArea dataOnly="0" outline="0" fieldPosition="0">
        <references count="1">
          <reference field="4294967294" count="1">
            <x v="1"/>
          </reference>
        </references>
      </pivotArea>
    </format>
    <format dxfId="85">
      <pivotArea outline="0" fieldPosition="0">
        <references count="1">
          <reference field="4294967294" count="1">
            <x v="1"/>
          </reference>
        </references>
      </pivotArea>
    </format>
    <format dxfId="8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8C0D08-8BF8-43E6-AD86-548D3A81DCBC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73">
      <pivotArea dataOnly="0" outline="0" fieldPosition="0">
        <references count="1">
          <reference field="4294967294" count="1">
            <x v="0"/>
          </reference>
        </references>
      </pivotArea>
    </format>
    <format dxfId="72">
      <pivotArea dataOnly="0" outline="0" fieldPosition="0">
        <references count="1">
          <reference field="4294967294" count="1">
            <x v="1"/>
          </reference>
        </references>
      </pivotArea>
    </format>
    <format dxfId="71">
      <pivotArea outline="0" fieldPosition="0">
        <references count="1">
          <reference field="4294967294" count="1">
            <x v="1"/>
          </reference>
        </references>
      </pivotArea>
    </format>
    <format dxfId="7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F0573A-22C3-4114-AA46-AAF8035E32ED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6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h="1" x="6"/>
        <item h="1" x="7"/>
        <item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75">
      <pivotArea dataOnly="0" outline="0" fieldPosition="0">
        <references count="1">
          <reference field="4294967294" count="1">
            <x v="0"/>
          </reference>
        </references>
      </pivotArea>
    </format>
    <format dxfId="74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16DEB0-5B3D-4A45-A1F5-4885500C70B0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61">
      <pivotArea dataOnly="0" outline="0" fieldPosition="0">
        <references count="1">
          <reference field="4294967294" count="1">
            <x v="0"/>
          </reference>
        </references>
      </pivotArea>
    </format>
    <format dxfId="60">
      <pivotArea dataOnly="0" outline="0" fieldPosition="0">
        <references count="1">
          <reference field="4294967294" count="1">
            <x v="1"/>
          </reference>
        </references>
      </pivotArea>
    </format>
    <format dxfId="59">
      <pivotArea outline="0" fieldPosition="0">
        <references count="1">
          <reference field="4294967294" count="1">
            <x v="1"/>
          </reference>
        </references>
      </pivotArea>
    </format>
    <format dxfId="5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9717E9-3C3E-489D-BF79-4BBD15CCFE9F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6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h="1" x="6"/>
        <item h="1" x="7"/>
        <item h="1" x="9"/>
        <item h="1" x="8"/>
        <item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63">
      <pivotArea dataOnly="0" outline="0" fieldPosition="0">
        <references count="1">
          <reference field="4294967294" count="1">
            <x v="0"/>
          </reference>
        </references>
      </pivotArea>
    </format>
    <format dxfId="62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78453E-54A7-4457-A845-A8248E2DFBA5}" name="Tableau croisé dynamique2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18:K32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9"/>
        <item x="8"/>
        <item x="10"/>
        <item t="default"/>
      </items>
    </pivotField>
    <pivotField dataField="1" compact="0" numFmtId="165" outline="0" showAll="0"/>
    <pivotField dataField="1" compact="0" numFmtId="165" outline="0" showAll="0"/>
  </pivotFields>
  <rowFields count="2">
    <field x="0"/>
    <field x="1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default">
      <x/>
    </i>
    <i>
      <x v="1"/>
      <x v="8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(h) Mensuel" fld="2" baseField="1" baseItem="2" numFmtId="166"/>
    <dataField name="Delta (d) Mensuel" fld="3" baseField="1" baseItem="0" numFmtId="165"/>
  </dataFields>
  <formats count="4">
    <format dxfId="49">
      <pivotArea dataOnly="0" outline="0" fieldPosition="0">
        <references count="1">
          <reference field="4294967294" count="1">
            <x v="0"/>
          </reference>
        </references>
      </pivotArea>
    </format>
    <format dxfId="48">
      <pivotArea dataOnly="0" outline="0" fieldPosition="0">
        <references count="1">
          <reference field="4294967294" count="1">
            <x v="1"/>
          </reference>
        </references>
      </pivotArea>
    </format>
    <format dxfId="47">
      <pivotArea outline="0" fieldPosition="0">
        <references count="1">
          <reference field="4294967294" count="1">
            <x v="1"/>
          </reference>
        </references>
      </pivotArea>
    </format>
    <format dxfId="4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3080B1-883A-4865-B7E5-0B4AB86B58B5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5:J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x="1"/>
        <item t="default"/>
      </items>
    </pivotField>
    <pivotField axis="axisPage" compact="0" outline="0" multipleItemSelectionAllowed="1" showAll="0">
      <items count="12">
        <item h="1" x="0"/>
        <item h="1" x="1"/>
        <item h="1" x="2"/>
        <item h="1" x="3"/>
        <item h="1" x="4"/>
        <item h="1" x="5"/>
        <item h="1" x="6"/>
        <item x="7"/>
        <item h="1" x="9"/>
        <item h="1" x="8"/>
        <item h="1" x="10"/>
        <item t="default"/>
      </items>
    </pivotField>
    <pivotField axis="axisRow" compact="0" outline="0" showAll="0" measureFilter="1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40"/>
        <item x="41"/>
        <item x="42"/>
        <item x="43"/>
        <item x="44"/>
        <item x="35"/>
        <item x="36"/>
        <item x="37"/>
        <item x="38"/>
        <item x="39"/>
        <item x="45"/>
        <item x="46"/>
        <item x="47"/>
        <item x="48"/>
        <item t="default"/>
      </items>
    </pivotField>
    <pivotField dataField="1" compact="0" numFmtId="165" outline="0" showAll="0"/>
    <pivotField dataField="1" compact="0" numFmtId="165" outline="0" showAll="0"/>
  </pivotFields>
  <rowFields count="1">
    <field x="2"/>
  </rowFields>
  <rowItems count="5">
    <i>
      <x v="31"/>
    </i>
    <i>
      <x v="32"/>
    </i>
    <i>
      <x v="33"/>
    </i>
    <i>
      <x v="3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(h) Hebdo." fld="3" baseField="2" baseItem="1" numFmtId="164"/>
    <dataField name="Delta (d) Hebdo." fld="4" baseField="2" baseItem="1" numFmtId="165"/>
  </dataFields>
  <formats count="2">
    <format dxfId="51">
      <pivotArea dataOnly="0" outline="0" fieldPosition="0">
        <references count="1">
          <reference field="4294967294" count="1">
            <x v="0"/>
          </reference>
        </references>
      </pivotArea>
    </format>
    <format dxfId="50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1" xr16:uid="{2A1974D8-EF30-4819-9DF9-848F387B0B88}" autoFormatId="16" applyNumberFormats="0" applyBorderFormats="0" applyFontFormats="0" applyPatternFormats="0" applyAlignmentFormats="0" applyWidthHeightFormats="0">
  <queryTableRefresh nextId="8">
    <queryTableFields count="5">
      <queryTableField id="1" name="Année" tableColumnId="1"/>
      <queryTableField id="2" name="Mois" tableColumnId="2"/>
      <queryTableField id="3" name="N° Semaine" tableColumnId="3"/>
      <queryTableField id="6" name="Delta (h)" tableColumnId="6"/>
      <queryTableField id="7" name="Delta (d)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2" xr16:uid="{CEF4A167-A8A9-4B7A-BF12-FFF5701EABE5}" autoFormatId="16" applyNumberFormats="0" applyBorderFormats="0" applyFontFormats="0" applyPatternFormats="0" applyAlignmentFormats="0" applyWidthHeightFormats="0">
  <queryTableRefresh nextId="5">
    <queryTableFields count="4">
      <queryTableField id="1" name="Année" tableColumnId="1"/>
      <queryTableField id="2" name="Mois" tableColumnId="2"/>
      <queryTableField id="3" name="Delta (h)" tableColumnId="3"/>
      <queryTableField id="4" name="Delta (d)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AF3E99F6-F4A8-4083-BE61-2F9419148CD9}" autoFormatId="16" applyNumberFormats="0" applyBorderFormats="0" applyFontFormats="0" applyPatternFormats="0" applyAlignmentFormats="0" applyWidthHeightFormats="0">
  <queryTableRefresh nextId="6">
    <queryTableFields count="5">
      <queryTableField id="1" name="Année" tableColumnId="1"/>
      <queryTableField id="2" name="Mois" tableColumnId="2"/>
      <queryTableField id="3" name="N° Semaine" tableColumnId="3"/>
      <queryTableField id="4" name="Delta (rh)" tableColumnId="4"/>
      <queryTableField id="5" name="Delta (rd)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81CB9A-C0D4-44CF-A71E-1389AB6775C7}" name="t_Temps" displayName="t_Temps" ref="H2:I4" totalsRowShown="0" headerRowDxfId="201">
  <autoFilter ref="H2:I4" xr:uid="{5781CB9A-C0D4-44CF-A71E-1389AB6775C7}">
    <filterColumn colId="0" hiddenButton="1"/>
    <filterColumn colId="1" hiddenButton="1"/>
  </autoFilter>
  <tableColumns count="2">
    <tableColumn id="1" xr3:uid="{B476E6F0-FCF2-4195-B18B-E8E511C96C87}" name="Temps" dataDxfId="200"/>
    <tableColumn id="2" xr3:uid="{2F065354-0478-45AD-88C1-0167DBD421B0}" name="Valeur" dataDxfId="19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34C642-7301-4143-A319-80EED7E545F8}" name="t_Mois" displayName="t_Mois" ref="K2:K14" totalsRowShown="0" headerRowDxfId="198" dataDxfId="197">
  <autoFilter ref="K2:K14" xr:uid="{6634C642-7301-4143-A319-80EED7E545F8}">
    <filterColumn colId="0" hiddenButton="1"/>
  </autoFilter>
  <tableColumns count="1">
    <tableColumn id="1" xr3:uid="{C0F89390-9880-4D7F-B5CE-CAC994020A95}" name="Mois" dataDxfId="19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B39F05-ABA8-4972-9554-0B7814985DD4}" name="t_Feries" displayName="t_Feries" ref="M2:N15" totalsRowShown="0" headerRowDxfId="195">
  <autoFilter ref="M2:N15" xr:uid="{42B39F05-ABA8-4972-9554-0B7814985DD4}">
    <filterColumn colId="0" hiddenButton="1"/>
    <filterColumn colId="1" hiddenButton="1"/>
  </autoFilter>
  <tableColumns count="2">
    <tableColumn id="1" xr3:uid="{A4900DE2-F6DD-4742-ADC0-F7DA93305F95}" name="Jour férié" dataDxfId="194"/>
    <tableColumn id="3" xr3:uid="{479C8E68-310C-489A-A8A6-A5F2F0F92243}" name="Date" dataDxfId="19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2926A72-B038-42F7-B69F-B3A3755B5D03}" name="Récap_hebdomadaire" displayName="Récap_hebdomadaire" ref="U2:Y58" tableType="queryTable" totalsRowShown="0" headerRowDxfId="192" dataDxfId="191">
  <autoFilter ref="U2:Y58" xr:uid="{72926A72-B038-42F7-B69F-B3A3755B5D0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094DF95-84F2-40D8-8D5F-70E72D05CD13}" uniqueName="1" name="Année" queryTableFieldId="1" dataDxfId="39"/>
    <tableColumn id="2" xr3:uid="{D8386F1F-1F51-4A8B-AA30-8AB3A2FFBA83}" uniqueName="2" name="Mois" queryTableFieldId="2" dataDxfId="38"/>
    <tableColumn id="3" xr3:uid="{FB996D87-36E9-47D2-B248-C89989CE36FF}" uniqueName="3" name="N° Semaine" queryTableFieldId="3" dataDxfId="37"/>
    <tableColumn id="6" xr3:uid="{95620005-1BE3-48D4-954C-4C0F59123B18}" uniqueName="6" name="Delta (h)" queryTableFieldId="6" dataDxfId="36"/>
    <tableColumn id="7" xr3:uid="{16D809E4-9B7B-4296-B1FD-79056F5EE1E4}" uniqueName="7" name="Delta (d)" queryTableFieldId="7" dataDxfId="35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CE2D24F-48B2-4E37-8442-086D689F7BB8}" name="t_RecupDelta" displayName="t_RecupDelta" ref="B2:F4" totalsRowShown="0" headerRowDxfId="190" dataDxfId="189">
  <autoFilter ref="B2:F4" xr:uid="{2CE2D24F-48B2-4E37-8442-086D689F7BB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1CA68F9-4239-4B52-92D5-750BC638F6D7}" name="Année" dataDxfId="188"/>
    <tableColumn id="2" xr3:uid="{BBFD7C77-68AA-4AEE-8907-D5A83E9940D2}" name="Mois" dataDxfId="187"/>
    <tableColumn id="3" xr3:uid="{6748C29A-0433-4466-9343-EE04515A6E2A}" name="N° Semaine" dataDxfId="186"/>
    <tableColumn id="4" xr3:uid="{D4816B45-F52A-4895-B6B3-F3C5EEB3B5A4}" name="Delta (h)" dataDxfId="185"/>
    <tableColumn id="5" xr3:uid="{C6C2806F-BA54-4BE5-AD0C-57C143D4578A}" name="Delta (d)" dataDxfId="184">
      <calculatedColumnFormula>t_RecupDelta[[#This Row],[Delta (h)]]*24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9605F6C7-6A16-4A5C-8E25-B13A91AEC803}" name="Récap_mensuelle" displayName="Récap_mensuelle" ref="P2:S13" tableType="queryTable" totalsRowShown="0">
  <autoFilter ref="P2:S13" xr:uid="{9605F6C7-6A16-4A5C-8E25-B13A91AEC803}">
    <filterColumn colId="0" hiddenButton="1"/>
    <filterColumn colId="1" hiddenButton="1"/>
    <filterColumn colId="2" hiddenButton="1"/>
    <filterColumn colId="3" hiddenButton="1"/>
  </autoFilter>
  <tableColumns count="4">
    <tableColumn id="1" xr3:uid="{A2DBF1EE-D454-45C5-BBB5-1B114033034C}" uniqueName="1" name="Année" queryTableFieldId="1" dataDxfId="34"/>
    <tableColumn id="2" xr3:uid="{CBD5095F-F65B-4073-9505-F0BFF8FF676B}" uniqueName="2" name="Mois" queryTableFieldId="2" dataDxfId="33"/>
    <tableColumn id="3" xr3:uid="{B9431E72-11E5-4D7C-B4EC-9879D95BB9AE}" uniqueName="3" name="Delta (h)" queryTableFieldId="3" dataDxfId="32"/>
    <tableColumn id="4" xr3:uid="{6CDDE6CD-5825-498E-8F82-2A584C29CA9D}" uniqueName="4" name="Delta (d)" queryTableFieldId="4" dataDxfId="31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F226478A-163F-45E3-A3D2-1F172AA622B2}" name="t_RecupDelta_1" displayName="t_RecupDelta_1" ref="AA2:AE4" tableType="queryTable" totalsRowShown="0" headerRowDxfId="30" dataDxfId="29">
  <autoFilter ref="AA2:AE4" xr:uid="{F226478A-163F-45E3-A3D2-1F172AA622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95C2144-9816-41BB-AC99-87A32544CDDB}" uniqueName="1" name="Année" queryTableFieldId="1" dataDxfId="28"/>
    <tableColumn id="2" xr3:uid="{8AF0A6AC-CE06-4B52-B261-891C94048427}" uniqueName="2" name="Mois" queryTableFieldId="2" dataDxfId="27"/>
    <tableColumn id="3" xr3:uid="{B430E598-6AE4-4811-A675-6D12C9CCB0BB}" uniqueName="3" name="N° Semaine" queryTableFieldId="3" dataDxfId="26"/>
    <tableColumn id="4" xr3:uid="{5BE8F38C-F301-43C3-94FE-FA8A7AB13635}" uniqueName="4" name="Delta (rh)" queryTableFieldId="4" dataDxfId="25"/>
    <tableColumn id="5" xr3:uid="{68764B4B-6E59-412A-B424-01817D095C9A}" uniqueName="5" name="Delta (rd)" queryTableFieldId="5" dataDxfId="24"/>
  </tableColumns>
  <tableStyleInfo name="TableStyleMedium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C862B8-1AC9-49CE-B24B-CFF17CFAC000}" name="Tableau4_2025" displayName="Tableau4_2025" ref="B5:E36" totalsRowShown="0" headerRowDxfId="177" dataDxfId="176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45AB05BF-6BEC-4AE5-82A9-2693F4D2A411}" name="Date" dataDxfId="175">
      <calculatedColumnFormula>DATEVALUE(C3&amp;C2)</calculatedColumnFormula>
    </tableColumn>
    <tableColumn id="2" xr3:uid="{7BCB3F8F-D24C-4C89-8183-38B3B75F8AFA}" name="Arrivée" dataDxfId="174"/>
    <tableColumn id="3" xr3:uid="{C4927353-4FFD-4207-8CEC-2FAC1B11B076}" name="Départ" dataDxfId="173"/>
    <tableColumn id="4" xr3:uid="{9D328088-954A-4009-802D-EA2C049C5543}" name="Pause" dataDxfId="172">
      <calculatedColumnFormula>IF(Tableau4_2025[[#This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07EB977-1AAE-4226-9942-35C34B4C6988}" name="Tableau5_2025" displayName="Tableau5_2025" ref="B5:E36" totalsRowShown="0" headerRowDxfId="165" dataDxfId="164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B51580D6-7A6B-4D88-B489-C02604201B64}" name="Date" dataDxfId="163">
      <calculatedColumnFormula>DATEVALUE(C3&amp;C2)</calculatedColumnFormula>
    </tableColumn>
    <tableColumn id="2" xr3:uid="{7DC5CD5A-B423-4FE2-86D7-E8609E5E46B9}" name="Arrivée" dataDxfId="162"/>
    <tableColumn id="3" xr3:uid="{E56022D3-CDD7-4697-879B-6564D1A78817}" name="Départ" dataDxfId="161"/>
    <tableColumn id="4" xr3:uid="{49C0814A-5416-41DD-8CA7-75E268070BBC}" name="Pause" dataDxfId="160">
      <calculatedColumnFormula>IF(Tableau5_2025[[#This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BC33011-6BFD-48CA-A227-DFC2464F5731}" name="Tableau6_2025" displayName="Tableau6_2025" ref="B5:E36" totalsRowShown="0" headerRowDxfId="153" dataDxfId="152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5ED8636B-A748-4D57-A2EE-373B4A2A7644}" name="Date" dataDxfId="151">
      <calculatedColumnFormula>DATEVALUE(C3&amp;C2)</calculatedColumnFormula>
    </tableColumn>
    <tableColumn id="2" xr3:uid="{60C31032-AC25-45E9-B909-8CA9221F3E95}" name="Arrivée" dataDxfId="150"/>
    <tableColumn id="3" xr3:uid="{6474EFAF-FC70-43A4-9949-FC225DD8608B}" name="Départ" dataDxfId="149"/>
    <tableColumn id="4" xr3:uid="{7E574E57-E98C-462C-A24A-9CC8280D4E99}" name="Pause" dataDxfId="148">
      <calculatedColumnFormula>IF(Tableau6_2025[[#This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80D0B70-4BC0-4034-B2AA-67C76BF39B3C}" name="Tableau7_2025" displayName="Tableau7_2025" ref="B5:E36" totalsRowShown="0" headerRowDxfId="141" dataDxfId="140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0A8D6822-8B69-4BD5-A02C-9D144DA6BF9B}" name="Date" dataDxfId="139">
      <calculatedColumnFormula>DATEVALUE(C3&amp;C2)</calculatedColumnFormula>
    </tableColumn>
    <tableColumn id="2" xr3:uid="{F29B8F36-8B07-4AB8-A81F-60081C7989C0}" name="Arrivée" dataDxfId="138"/>
    <tableColumn id="3" xr3:uid="{58136BA0-4F33-4C75-9EA6-FF0E4C1F8F7F}" name="Départ" dataDxfId="137"/>
    <tableColumn id="4" xr3:uid="{A5F0154C-6648-4B1E-86D8-F974430673C2}" name="Pause" dataDxfId="136">
      <calculatedColumnFormula>IF(Tableau7_2025[[#This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72D6ED5-502E-467B-9B07-C5D1BDCB8079}" name="Tableau8_2025" displayName="Tableau8_2025" ref="B5:E36" totalsRowShown="0" headerRowDxfId="129" dataDxfId="128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46E81618-8CA4-4023-BC4C-6A4B575B33AF}" name="Date" dataDxfId="127">
      <calculatedColumnFormula>DATEVALUE(C3&amp;C2)</calculatedColumnFormula>
    </tableColumn>
    <tableColumn id="2" xr3:uid="{3B61B112-0231-4F3B-9762-01FC66482EDC}" name="Arrivée" dataDxfId="126"/>
    <tableColumn id="3" xr3:uid="{ED35B6C7-7F12-430E-ACD0-675E94A886DA}" name="Départ" dataDxfId="125"/>
    <tableColumn id="4" xr3:uid="{45A25107-6F0A-48B1-B284-095BEEE6738F}" name="Pause" dataDxfId="124">
      <calculatedColumnFormula>IF(Tableau8_2025[[#This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BFB6066-39CD-47DB-8B67-5654029CBBD4}" name="Tableau9_2025" displayName="Tableau9_2025" ref="B5:E36" totalsRowShown="0" headerRowDxfId="117" dataDxfId="116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0F5D8F20-2326-4BD1-8AB0-39E1B8DA6CF9}" name="Date" dataDxfId="115">
      <calculatedColumnFormula>DATEVALUE(C3&amp;C2)</calculatedColumnFormula>
    </tableColumn>
    <tableColumn id="2" xr3:uid="{A4313BC7-EE8D-42D9-BB25-1BEEC47AE533}" name="Arrivée" dataDxfId="114"/>
    <tableColumn id="3" xr3:uid="{48BB34AF-A358-4783-A06C-AC7468548E2E}" name="Départ" dataDxfId="113"/>
    <tableColumn id="4" xr3:uid="{61E67FDD-5A29-4F7A-9249-E6AA240BAF52}" name="Pause" dataDxfId="112">
      <calculatedColumnFormula>IF(Tableau9_2025[[#This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D86DE08-8CDA-42AF-8872-66DBFDFED574}" name="Tableau10_2025" displayName="Tableau10_2025" ref="B5:E36" totalsRowShown="0" headerRowDxfId="105" dataDxfId="104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BADE5746-8EE9-404F-AB45-4FD6850D33B4}" name="Date" dataDxfId="103">
      <calculatedColumnFormula>DATEVALUE(C3&amp;C2)</calculatedColumnFormula>
    </tableColumn>
    <tableColumn id="2" xr3:uid="{AA09E05F-10BC-4F7D-9AB9-44ADE9A073C4}" name="Arrivée" dataDxfId="102"/>
    <tableColumn id="3" xr3:uid="{457B1A28-5FEF-4D47-978F-DCD341DFF91E}" name="Départ" dataDxfId="101"/>
    <tableColumn id="4" xr3:uid="{C33AF1DA-D63F-4FB8-9D57-4B56C1009C1B}" name="Pause" dataDxfId="100">
      <calculatedColumnFormula>IF(Tableau10_2025[[#This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AEC2508-FE96-45A7-88B9-0D00308FE18D}" name="Tableau11_2025" displayName="Tableau11_2025" ref="B5:E36" totalsRowShown="0" headerRowDxfId="93" dataDxfId="92">
  <autoFilter ref="B5:E36" xr:uid="{17C862B8-1AC9-49CE-B24B-CFF17CFAC000}"/>
  <tableColumns count="4">
    <tableColumn id="1" xr3:uid="{72F51E14-8873-4505-83EA-B58744D653C1}" name="Date" dataDxfId="91">
      <calculatedColumnFormula>DATEVALUE(C3&amp;C2)</calculatedColumnFormula>
    </tableColumn>
    <tableColumn id="2" xr3:uid="{2F2AD685-9EA0-4611-A1FE-2AC207E6F0D9}" name="Arrivée" dataDxfId="90"/>
    <tableColumn id="3" xr3:uid="{9D6C71E7-0499-438C-8398-D7B7A7D2AFDE}" name="Départ" dataDxfId="89"/>
    <tableColumn id="4" xr3:uid="{FBEFEC39-042B-490D-9475-D033910342EA}" name="Pause" dataDxfId="88">
      <calculatedColumnFormula>IF(Tableau11_2025[[#This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12F7F79-AEBA-4B97-B230-8D2D7AF24F37}" name="Tableau12_2025" displayName="Tableau12_2025" ref="B5:E36" totalsRowShown="0" headerRowDxfId="81" dataDxfId="80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2FACD571-C541-475B-B941-95C4EFF155D2}" name="Date" dataDxfId="79">
      <calculatedColumnFormula>DATEVALUE(C3&amp;C2)</calculatedColumnFormula>
    </tableColumn>
    <tableColumn id="2" xr3:uid="{F4F81961-5A94-4D3E-AB89-CB29B09C07F4}" name="Arrivée" dataDxfId="78"/>
    <tableColumn id="3" xr3:uid="{DE1F9CC8-B03B-4597-B858-A93E0146A59E}" name="Départ" dataDxfId="77"/>
    <tableColumn id="4" xr3:uid="{4DB0888E-3672-4B44-B3B8-75DABF55F4F4}" name="Pause" dataDxfId="76">
      <calculatedColumnFormula>IF(Tableau12_2025[[#This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CCB2836-91A1-449C-97D2-ED8A105E1E41}" name="Tableau1_2026" displayName="Tableau1_2026" ref="B5:E36" totalsRowShown="0" headerRowDxfId="69" dataDxfId="68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589D7248-8394-4387-9639-DB91C1BB85CA}" name="Date" dataDxfId="67">
      <calculatedColumnFormula>DATEVALUE(C3&amp;C2)</calculatedColumnFormula>
    </tableColumn>
    <tableColumn id="2" xr3:uid="{5D3F1E09-8F98-466E-85CB-73A251E1668A}" name="Arrivée" dataDxfId="66"/>
    <tableColumn id="3" xr3:uid="{93D2B4E7-BF07-4A81-AD83-578A9D732BFF}" name="Départ" dataDxfId="65"/>
    <tableColumn id="4" xr3:uid="{B1D080CD-66CC-41FE-B112-488E90B086E4}" name="Pause" dataDxfId="64">
      <calculatedColumnFormula>IF(Tableau1_2026[[#This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DE46A3C-138F-4263-88FF-7113F1AE508C}" name="Tableau2_2026" displayName="Tableau2_2026" ref="B5:E36" totalsRowShown="0" headerRowDxfId="57" dataDxfId="56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757927C7-F4D4-46E5-A5CC-E9C8A78AB741}" name="Date" dataDxfId="55">
      <calculatedColumnFormula>DATEVALUE(C3&amp;C2)</calculatedColumnFormula>
    </tableColumn>
    <tableColumn id="2" xr3:uid="{D07275F2-67AA-4D43-94AC-A84D08A01801}" name="Arrivée" dataDxfId="54"/>
    <tableColumn id="3" xr3:uid="{5E2A5EAD-9540-47C3-8E18-8B7030F43A6A}" name="Départ" dataDxfId="53"/>
    <tableColumn id="4" xr3:uid="{6D94E3B4-EF4F-4EEB-8448-398EF82CDAFE}" name="Pause" dataDxfId="52">
      <calculatedColumnFormula>IF(Tableau2_2026[[#This Row],[Arrivée]]&lt;&gt;"",_TpsPause,0)</calculatedColumnFormula>
    </tableColumn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144BE39-7F9C-4DF4-B7C0-57EE4ED0683B}" name="Table" displayName="Table" ref="B5:E36" totalsRowShown="0" headerRowDxfId="45" dataDxfId="44">
  <autoFilter ref="B5:E36" xr:uid="{17C862B8-1AC9-49CE-B24B-CFF17CFAC000}">
    <filterColumn colId="0" hiddenButton="1"/>
    <filterColumn colId="1" hiddenButton="1"/>
    <filterColumn colId="2" hiddenButton="1"/>
    <filterColumn colId="3" hiddenButton="1"/>
  </autoFilter>
  <tableColumns count="4">
    <tableColumn id="1" xr3:uid="{30229939-3230-4221-88F0-83A2DB09DA24}" name="Date" dataDxfId="43">
      <calculatedColumnFormula>DATEVALUE(C3&amp;C2)</calculatedColumnFormula>
    </tableColumn>
    <tableColumn id="2" xr3:uid="{1DA4EF74-93B9-4ED9-B78D-FE3D7E9BC704}" name="Arrivée" dataDxfId="42"/>
    <tableColumn id="3" xr3:uid="{2817C443-8CF7-4AD2-9377-210215EE15CF}" name="Départ" dataDxfId="41"/>
    <tableColumn id="4" xr3:uid="{F47DDF6E-B5A3-4A4B-AB93-ABC1F507D2C5}" name="Pause" dataDxfId="40">
      <calculatedColumnFormula>IF(Table[[#This Row],[Arrivée]]&lt;&gt;"",_TpsPause,0)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8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table" Target="../tables/table9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table" Target="../tables/table10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table" Target="../tables/table11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Relationship Id="rId6" Type="http://schemas.openxmlformats.org/officeDocument/2006/relationships/table" Target="../tables/table12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Relationship Id="rId6" Type="http://schemas.openxmlformats.org/officeDocument/2006/relationships/table" Target="../tables/table13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6" Type="http://schemas.openxmlformats.org/officeDocument/2006/relationships/table" Target="../tables/table14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7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ivotTable" Target="../pivotTables/pivotTable16.xml"/><Relationship Id="rId1" Type="http://schemas.openxmlformats.org/officeDocument/2006/relationships/pivotTable" Target="../pivotTables/pivotTable15.xml"/><Relationship Id="rId6" Type="http://schemas.openxmlformats.org/officeDocument/2006/relationships/table" Target="../tables/table15.xml"/><Relationship Id="rId5" Type="http://schemas.openxmlformats.org/officeDocument/2006/relationships/ctrlProp" Target="../ctrlProps/ctrlProp8.xml"/><Relationship Id="rId4" Type="http://schemas.openxmlformats.org/officeDocument/2006/relationships/vmlDrawing" Target="../drawings/vmlDrawing8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6" Type="http://schemas.openxmlformats.org/officeDocument/2006/relationships/table" Target="../tables/table16.xml"/><Relationship Id="rId5" Type="http://schemas.openxmlformats.org/officeDocument/2006/relationships/ctrlProp" Target="../ctrlProps/ctrlProp9.xml"/><Relationship Id="rId4" Type="http://schemas.openxmlformats.org/officeDocument/2006/relationships/vmlDrawing" Target="../drawings/vmlDrawing9.v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ivotTable" Target="../pivotTables/pivotTable20.xml"/><Relationship Id="rId1" Type="http://schemas.openxmlformats.org/officeDocument/2006/relationships/pivotTable" Target="../pivotTables/pivotTable19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vmlDrawing" Target="../drawings/vmlDrawing10.v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Relationship Id="rId6" Type="http://schemas.openxmlformats.org/officeDocument/2006/relationships/table" Target="../tables/table18.xml"/><Relationship Id="rId5" Type="http://schemas.openxmlformats.org/officeDocument/2006/relationships/ctrlProp" Target="../ctrlProps/ctrlProp11.xml"/><Relationship Id="rId4" Type="http://schemas.openxmlformats.org/officeDocument/2006/relationships/vmlDrawing" Target="../drawings/vmlDrawing11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ivotTable" Target="../pivotTables/pivotTable24.xml"/><Relationship Id="rId1" Type="http://schemas.openxmlformats.org/officeDocument/2006/relationships/pivotTable" Target="../pivotTables/pivotTable23.xml"/><Relationship Id="rId6" Type="http://schemas.openxmlformats.org/officeDocument/2006/relationships/table" Target="../tables/table19.xml"/><Relationship Id="rId5" Type="http://schemas.openxmlformats.org/officeDocument/2006/relationships/ctrlProp" Target="../ctrlProps/ctrlProp12.xml"/><Relationship Id="rId4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D5CF3-D4C5-432C-B24D-B1B1AFBBE7E4}">
  <dimension ref="B2:I79"/>
  <sheetViews>
    <sheetView showGridLines="0" workbookViewId="0">
      <selection activeCell="B22" sqref="B22"/>
    </sheetView>
  </sheetViews>
  <sheetFormatPr baseColWidth="10" defaultRowHeight="16.8" x14ac:dyDescent="0.4"/>
  <cols>
    <col min="1" max="1" width="2.69921875" customWidth="1"/>
    <col min="2" max="2" width="90.69921875" style="18" customWidth="1"/>
    <col min="3" max="9" width="11.19921875" style="1"/>
  </cols>
  <sheetData>
    <row r="2" spans="2:2" x14ac:dyDescent="0.4">
      <c r="B2" s="19" t="s">
        <v>50</v>
      </c>
    </row>
    <row r="3" spans="2:2" x14ac:dyDescent="0.4">
      <c r="B3" s="18" t="s">
        <v>51</v>
      </c>
    </row>
    <row r="4" spans="2:2" x14ac:dyDescent="0.4">
      <c r="B4" s="18" t="s">
        <v>52</v>
      </c>
    </row>
    <row r="9" spans="2:2" x14ac:dyDescent="0.4">
      <c r="B9" s="18" t="s">
        <v>63</v>
      </c>
    </row>
    <row r="10" spans="2:2" x14ac:dyDescent="0.4">
      <c r="B10" s="18" t="s">
        <v>64</v>
      </c>
    </row>
    <row r="12" spans="2:2" x14ac:dyDescent="0.4">
      <c r="B12" s="19" t="s">
        <v>83</v>
      </c>
    </row>
    <row r="13" spans="2:2" x14ac:dyDescent="0.4">
      <c r="B13" s="18" t="s">
        <v>65</v>
      </c>
    </row>
    <row r="14" spans="2:2" x14ac:dyDescent="0.4">
      <c r="B14" s="18" t="s">
        <v>53</v>
      </c>
    </row>
    <row r="15" spans="2:2" x14ac:dyDescent="0.4">
      <c r="B15" s="18" t="s">
        <v>66</v>
      </c>
    </row>
    <row r="22" spans="2:2" x14ac:dyDescent="0.4">
      <c r="B22" s="19" t="s">
        <v>84</v>
      </c>
    </row>
    <row r="23" spans="2:2" x14ac:dyDescent="0.4">
      <c r="B23" s="18" t="s">
        <v>54</v>
      </c>
    </row>
    <row r="24" spans="2:2" x14ac:dyDescent="0.4">
      <c r="B24" s="18" t="s">
        <v>74</v>
      </c>
    </row>
    <row r="25" spans="2:2" x14ac:dyDescent="0.4">
      <c r="B25" s="18" t="s">
        <v>55</v>
      </c>
    </row>
    <row r="26" spans="2:2" x14ac:dyDescent="0.4">
      <c r="B26" s="18" t="s">
        <v>58</v>
      </c>
    </row>
    <row r="27" spans="2:2" x14ac:dyDescent="0.4">
      <c r="B27" s="18" t="s">
        <v>59</v>
      </c>
    </row>
    <row r="44" spans="2:2" x14ac:dyDescent="0.4">
      <c r="B44" s="19" t="s">
        <v>81</v>
      </c>
    </row>
    <row r="45" spans="2:2" x14ac:dyDescent="0.4">
      <c r="B45" s="18" t="s">
        <v>82</v>
      </c>
    </row>
    <row r="47" spans="2:2" x14ac:dyDescent="0.4">
      <c r="B47" s="19" t="s">
        <v>67</v>
      </c>
    </row>
    <row r="48" spans="2:2" x14ac:dyDescent="0.4">
      <c r="B48" s="18" t="s">
        <v>68</v>
      </c>
    </row>
    <row r="49" spans="2:2" x14ac:dyDescent="0.4">
      <c r="B49" s="18" t="s">
        <v>69</v>
      </c>
    </row>
    <row r="76" spans="2:2" x14ac:dyDescent="0.4">
      <c r="B76" s="18" t="s">
        <v>70</v>
      </c>
    </row>
    <row r="77" spans="2:2" x14ac:dyDescent="0.4">
      <c r="B77" s="18" t="s">
        <v>71</v>
      </c>
    </row>
    <row r="79" spans="2:2" x14ac:dyDescent="0.4">
      <c r="B79" s="18" t="s">
        <v>72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64C2D-CA16-47A6-971E-E23FEE3EB2E3}">
  <dimension ref="B2:AF58"/>
  <sheetViews>
    <sheetView showGridLines="0" workbookViewId="0">
      <selection activeCell="Q11" sqref="Q11"/>
    </sheetView>
  </sheetViews>
  <sheetFormatPr baseColWidth="10" defaultRowHeight="16.8" x14ac:dyDescent="0.4"/>
  <cols>
    <col min="1" max="1" width="2.69921875" style="1" customWidth="1"/>
    <col min="2" max="2" width="7.69921875" style="1" customWidth="1"/>
    <col min="3" max="3" width="11.69921875" style="1" customWidth="1"/>
    <col min="4" max="4" width="11.796875" style="1" customWidth="1"/>
    <col min="5" max="5" width="13.09765625" style="1" customWidth="1"/>
    <col min="6" max="6" width="9.69921875" style="1" customWidth="1"/>
    <col min="7" max="7" width="2.69921875" style="1" customWidth="1"/>
    <col min="8" max="8" width="9.69921875" style="1" customWidth="1"/>
    <col min="9" max="9" width="7.69921875" style="1" customWidth="1"/>
    <col min="10" max="10" width="2.69921875" style="1" customWidth="1"/>
    <col min="11" max="11" width="12.69921875" style="1" customWidth="1"/>
    <col min="12" max="12" width="2.69921875" style="1" customWidth="1"/>
    <col min="13" max="13" width="18.69921875" style="1" customWidth="1"/>
    <col min="14" max="14" width="11.69921875" style="1" customWidth="1"/>
    <col min="15" max="15" width="2.69921875" style="1" customWidth="1"/>
    <col min="16" max="16" width="7.69921875" style="1" customWidth="1"/>
    <col min="17" max="17" width="11.69921875" style="1" customWidth="1"/>
    <col min="18" max="19" width="9.69921875" style="1" customWidth="1"/>
    <col min="20" max="20" width="2.69921875" style="1" customWidth="1"/>
    <col min="21" max="25" width="9.69921875" style="1" customWidth="1"/>
    <col min="26" max="26" width="2.69921875" style="1" customWidth="1"/>
    <col min="27" max="31" width="9.69921875" style="1" customWidth="1"/>
    <col min="32" max="32" width="2.69921875" style="1" customWidth="1"/>
    <col min="33" max="34" width="9.69921875" style="1" customWidth="1"/>
    <col min="35" max="35" width="2.69921875" style="1" customWidth="1"/>
    <col min="36" max="16384" width="11.19921875" style="1"/>
  </cols>
  <sheetData>
    <row r="2" spans="2:32" ht="33.6" x14ac:dyDescent="0.4">
      <c r="B2" s="3" t="s">
        <v>19</v>
      </c>
      <c r="C2" s="2" t="s">
        <v>4</v>
      </c>
      <c r="D2" s="12" t="s">
        <v>35</v>
      </c>
      <c r="E2" s="3" t="s">
        <v>37</v>
      </c>
      <c r="F2" s="3" t="s">
        <v>38</v>
      </c>
      <c r="H2" s="2" t="s">
        <v>0</v>
      </c>
      <c r="I2" s="3" t="s">
        <v>1</v>
      </c>
      <c r="K2" s="2" t="s">
        <v>4</v>
      </c>
      <c r="M2" s="2" t="s">
        <v>20</v>
      </c>
      <c r="N2" s="3" t="s">
        <v>16</v>
      </c>
      <c r="P2" s="3" t="s">
        <v>19</v>
      </c>
      <c r="Q2" s="2" t="s">
        <v>4</v>
      </c>
      <c r="R2" s="3" t="s">
        <v>37</v>
      </c>
      <c r="S2" s="3" t="s">
        <v>38</v>
      </c>
      <c r="T2" s="3"/>
      <c r="U2" s="3" t="s">
        <v>19</v>
      </c>
      <c r="V2" s="2" t="s">
        <v>4</v>
      </c>
      <c r="W2" s="12" t="s">
        <v>35</v>
      </c>
      <c r="X2" s="3" t="s">
        <v>37</v>
      </c>
      <c r="Y2" s="3" t="s">
        <v>38</v>
      </c>
      <c r="Z2" s="3"/>
      <c r="AA2" s="3" t="s">
        <v>19</v>
      </c>
      <c r="AB2" s="2" t="s">
        <v>4</v>
      </c>
      <c r="AC2" s="12" t="s">
        <v>35</v>
      </c>
      <c r="AD2" s="12" t="s">
        <v>76</v>
      </c>
      <c r="AE2" s="3" t="s">
        <v>77</v>
      </c>
      <c r="AF2" s="3"/>
    </row>
    <row r="3" spans="2:32" x14ac:dyDescent="0.4">
      <c r="B3" s="3">
        <v>2025</v>
      </c>
      <c r="C3" s="2" t="s">
        <v>60</v>
      </c>
      <c r="D3" s="3">
        <v>53</v>
      </c>
      <c r="E3" s="20">
        <v>1.1666666666666667</v>
      </c>
      <c r="F3" s="21">
        <f>t_RecupDelta[[#This Row],[Delta (h)]]*24</f>
        <v>28</v>
      </c>
      <c r="H3" s="2" t="s">
        <v>2</v>
      </c>
      <c r="I3" s="4">
        <v>0.29166666666666669</v>
      </c>
      <c r="K3" s="2" t="s">
        <v>57</v>
      </c>
      <c r="M3" s="10" t="s">
        <v>21</v>
      </c>
      <c r="N3" s="5" cm="1">
        <f t="array" ref="N3">DATE(_Annee,1,1)</f>
        <v>45658</v>
      </c>
      <c r="P3" s="6">
        <v>2025</v>
      </c>
      <c r="Q3" s="2" t="s">
        <v>34</v>
      </c>
      <c r="R3" s="11">
        <v>0.21111111111111064</v>
      </c>
      <c r="S3" s="11">
        <v>5.0666666666666558</v>
      </c>
      <c r="T3" s="11"/>
      <c r="U3" s="6">
        <v>2025</v>
      </c>
      <c r="V3" s="2" t="s">
        <v>34</v>
      </c>
      <c r="W3" s="6">
        <v>14</v>
      </c>
      <c r="X3" s="28">
        <v>2.0833333333333333E-3</v>
      </c>
      <c r="Y3" s="11">
        <v>4.9999999999999822E-2</v>
      </c>
      <c r="Z3" s="11"/>
      <c r="AA3" s="6">
        <v>2025</v>
      </c>
      <c r="AB3" s="2" t="s">
        <v>60</v>
      </c>
      <c r="AC3" s="6">
        <v>53</v>
      </c>
      <c r="AD3" s="6">
        <v>1.1666666666666667</v>
      </c>
      <c r="AE3" s="11">
        <v>28</v>
      </c>
      <c r="AF3" s="11"/>
    </row>
    <row r="4" spans="2:32" x14ac:dyDescent="0.4">
      <c r="B4" s="3">
        <v>2026</v>
      </c>
      <c r="C4" s="2" t="s">
        <v>57</v>
      </c>
      <c r="D4" s="3">
        <v>1</v>
      </c>
      <c r="E4" s="20">
        <v>0.29166666666666669</v>
      </c>
      <c r="F4" s="21">
        <f>t_RecupDelta[[#This Row],[Delta (h)]]*24</f>
        <v>7</v>
      </c>
      <c r="H4" s="2" t="s">
        <v>3</v>
      </c>
      <c r="I4" s="4">
        <v>4.1666666666666664E-2</v>
      </c>
      <c r="K4" s="2" t="s">
        <v>73</v>
      </c>
      <c r="M4" s="10" t="s">
        <v>22</v>
      </c>
      <c r="N4" s="5" cm="1">
        <f t="array" ref="N4">FLOOR(DAY(MINUTE(_Annee/38)/2+56)&amp;"/5/"&amp;_Annee,7)-34</f>
        <v>45767</v>
      </c>
      <c r="P4" s="6">
        <v>2025</v>
      </c>
      <c r="Q4" s="2" t="s">
        <v>44</v>
      </c>
      <c r="R4" s="11">
        <v>0.2770833333333329</v>
      </c>
      <c r="S4" s="11">
        <v>6.6499999999999888</v>
      </c>
      <c r="T4" s="11"/>
      <c r="U4" s="6">
        <v>2025</v>
      </c>
      <c r="V4" s="2" t="s">
        <v>34</v>
      </c>
      <c r="W4" s="6">
        <v>15</v>
      </c>
      <c r="X4" s="28">
        <v>5.7638888888888892E-2</v>
      </c>
      <c r="Y4" s="11">
        <v>1.3833333333333311</v>
      </c>
      <c r="Z4" s="11"/>
      <c r="AA4" s="6">
        <v>2026</v>
      </c>
      <c r="AB4" s="2" t="s">
        <v>57</v>
      </c>
      <c r="AC4" s="6">
        <v>1</v>
      </c>
      <c r="AD4" s="6">
        <v>0.29166666666666669</v>
      </c>
      <c r="AE4" s="11">
        <v>7</v>
      </c>
      <c r="AF4" s="11"/>
    </row>
    <row r="5" spans="2:32" x14ac:dyDescent="0.4">
      <c r="K5" s="2" t="s">
        <v>75</v>
      </c>
      <c r="M5" s="10" t="s">
        <v>23</v>
      </c>
      <c r="N5" s="5">
        <f>DatePaques+1</f>
        <v>45768</v>
      </c>
      <c r="P5" s="6">
        <v>2025</v>
      </c>
      <c r="Q5" s="2" t="s">
        <v>45</v>
      </c>
      <c r="R5" s="11">
        <v>0.33402777777777698</v>
      </c>
      <c r="S5" s="11">
        <v>8.016666666666648</v>
      </c>
      <c r="T5" s="11"/>
      <c r="U5" s="6">
        <v>2025</v>
      </c>
      <c r="V5" s="2" t="s">
        <v>34</v>
      </c>
      <c r="W5" s="6">
        <v>16</v>
      </c>
      <c r="X5" s="28">
        <v>5.6944444444444443E-2</v>
      </c>
      <c r="Y5" s="11">
        <v>1.3666666666666645</v>
      </c>
      <c r="Z5" s="11"/>
      <c r="AA5" s="6"/>
      <c r="AB5" s="2"/>
      <c r="AC5" s="6"/>
      <c r="AD5" s="6"/>
      <c r="AE5" s="11"/>
      <c r="AF5" s="11"/>
    </row>
    <row r="6" spans="2:32" x14ac:dyDescent="0.4">
      <c r="K6" s="2" t="s">
        <v>34</v>
      </c>
      <c r="M6" s="10" t="s">
        <v>24</v>
      </c>
      <c r="N6" s="5" cm="1">
        <f t="array" ref="N6">DATE(_Annee,5,1)</f>
        <v>45778</v>
      </c>
      <c r="P6" s="6">
        <v>2025</v>
      </c>
      <c r="Q6" s="2" t="s">
        <v>46</v>
      </c>
      <c r="R6" s="11">
        <v>0.68263888888888802</v>
      </c>
      <c r="S6" s="11">
        <v>16.383333333333312</v>
      </c>
      <c r="T6" s="11"/>
      <c r="U6" s="6">
        <v>2025</v>
      </c>
      <c r="V6" s="2" t="s">
        <v>34</v>
      </c>
      <c r="W6" s="6">
        <v>17</v>
      </c>
      <c r="X6" s="28">
        <v>6.7361111111111108E-2</v>
      </c>
      <c r="Y6" s="11">
        <v>1.6166666666666609</v>
      </c>
      <c r="Z6" s="11"/>
      <c r="AA6" s="6"/>
      <c r="AB6" s="2"/>
      <c r="AC6" s="6"/>
      <c r="AD6" s="6"/>
      <c r="AE6" s="11"/>
      <c r="AF6" s="11"/>
    </row>
    <row r="7" spans="2:32" x14ac:dyDescent="0.4">
      <c r="K7" s="2" t="s">
        <v>44</v>
      </c>
      <c r="M7" s="10" t="s">
        <v>25</v>
      </c>
      <c r="N7" s="5" cm="1">
        <f t="array" ref="N7">DATE(_Annee,5,8)</f>
        <v>45785</v>
      </c>
      <c r="P7" s="6">
        <v>2025</v>
      </c>
      <c r="Q7" s="2" t="s">
        <v>47</v>
      </c>
      <c r="R7" s="11">
        <v>0.63055555555555465</v>
      </c>
      <c r="S7" s="11">
        <v>15.133333333333312</v>
      </c>
      <c r="T7" s="11"/>
      <c r="U7" s="6">
        <v>2025</v>
      </c>
      <c r="V7" s="2" t="s">
        <v>34</v>
      </c>
      <c r="W7" s="6">
        <v>18</v>
      </c>
      <c r="X7" s="28">
        <v>2.7083333333333334E-2</v>
      </c>
      <c r="Y7" s="11">
        <v>0.64999999999999902</v>
      </c>
      <c r="Z7" s="11"/>
      <c r="AA7" s="6"/>
      <c r="AB7" s="2"/>
      <c r="AC7" s="6"/>
      <c r="AD7" s="6"/>
      <c r="AE7" s="11"/>
      <c r="AF7" s="11"/>
    </row>
    <row r="8" spans="2:32" x14ac:dyDescent="0.4">
      <c r="K8" s="2" t="s">
        <v>45</v>
      </c>
      <c r="M8" s="10" t="s">
        <v>26</v>
      </c>
      <c r="N8" s="5">
        <f>DatePaques+39</f>
        <v>45806</v>
      </c>
      <c r="P8" s="6">
        <v>2025</v>
      </c>
      <c r="Q8" s="2" t="s">
        <v>48</v>
      </c>
      <c r="R8" s="11">
        <v>0.55624999999999913</v>
      </c>
      <c r="S8" s="11">
        <v>13.349999999999984</v>
      </c>
      <c r="T8" s="11"/>
      <c r="U8" s="6">
        <v>2025</v>
      </c>
      <c r="V8" s="2" t="s">
        <v>44</v>
      </c>
      <c r="W8" s="6">
        <v>18</v>
      </c>
      <c r="X8" s="28">
        <v>1.7361111111111112E-2</v>
      </c>
      <c r="Y8" s="11">
        <v>0.41666666666666519</v>
      </c>
      <c r="Z8" s="11"/>
      <c r="AA8" s="6"/>
      <c r="AB8" s="2"/>
      <c r="AC8" s="6"/>
      <c r="AD8" s="6"/>
      <c r="AE8" s="11"/>
      <c r="AF8" s="11"/>
    </row>
    <row r="9" spans="2:32" x14ac:dyDescent="0.4">
      <c r="K9" s="2" t="s">
        <v>46</v>
      </c>
      <c r="M9" s="10" t="s">
        <v>27</v>
      </c>
      <c r="N9" s="5">
        <f>DatePaques+49</f>
        <v>45816</v>
      </c>
      <c r="P9" s="6">
        <v>2025</v>
      </c>
      <c r="Q9" s="2" t="s">
        <v>49</v>
      </c>
      <c r="R9" s="11">
        <v>0.82916666666666639</v>
      </c>
      <c r="S9" s="11">
        <v>19.899999999999991</v>
      </c>
      <c r="T9" s="11"/>
      <c r="U9" s="6">
        <v>2025</v>
      </c>
      <c r="V9" s="2" t="s">
        <v>44</v>
      </c>
      <c r="W9" s="6">
        <v>19</v>
      </c>
      <c r="X9" s="28">
        <v>8.7499999999999994E-2</v>
      </c>
      <c r="Y9" s="11">
        <v>2.0999999999999952</v>
      </c>
      <c r="Z9" s="11"/>
      <c r="AA9" s="6"/>
      <c r="AB9" s="2"/>
      <c r="AC9" s="6"/>
      <c r="AD9" s="6"/>
      <c r="AE9" s="11"/>
      <c r="AF9" s="11"/>
    </row>
    <row r="10" spans="2:32" x14ac:dyDescent="0.4">
      <c r="K10" s="2" t="s">
        <v>47</v>
      </c>
      <c r="M10" s="10" t="s">
        <v>28</v>
      </c>
      <c r="N10" s="5">
        <f>DatePaques+50</f>
        <v>45817</v>
      </c>
      <c r="P10" s="6">
        <v>2025</v>
      </c>
      <c r="Q10" s="2" t="s">
        <v>56</v>
      </c>
      <c r="R10" s="11">
        <v>0.43888888888888811</v>
      </c>
      <c r="S10" s="11">
        <v>10.533333333333315</v>
      </c>
      <c r="T10" s="11"/>
      <c r="U10" s="6">
        <v>2025</v>
      </c>
      <c r="V10" s="2" t="s">
        <v>44</v>
      </c>
      <c r="W10" s="6">
        <v>20</v>
      </c>
      <c r="X10" s="28">
        <v>5.0694444444444445E-2</v>
      </c>
      <c r="Y10" s="11">
        <v>1.2166666666666663</v>
      </c>
      <c r="Z10" s="11"/>
      <c r="AA10" s="6"/>
      <c r="AB10" s="2"/>
      <c r="AC10" s="6"/>
      <c r="AD10" s="6"/>
      <c r="AE10" s="11"/>
      <c r="AF10" s="11"/>
    </row>
    <row r="11" spans="2:32" x14ac:dyDescent="0.4">
      <c r="K11" s="2" t="s">
        <v>48</v>
      </c>
      <c r="M11" s="10" t="s">
        <v>29</v>
      </c>
      <c r="N11" s="5" cm="1">
        <f t="array" ref="N11">DATE(_Annee,7,14)</f>
        <v>45852</v>
      </c>
      <c r="P11" s="6">
        <v>2025</v>
      </c>
      <c r="Q11" s="2" t="s">
        <v>60</v>
      </c>
      <c r="R11" s="11">
        <v>0.37430555555555484</v>
      </c>
      <c r="S11" s="11">
        <v>8.9833333333333165</v>
      </c>
      <c r="T11" s="11"/>
      <c r="U11" s="6">
        <v>2025</v>
      </c>
      <c r="V11" s="2" t="s">
        <v>44</v>
      </c>
      <c r="W11" s="6">
        <v>21</v>
      </c>
      <c r="X11" s="28">
        <v>8.6805555555555552E-2</v>
      </c>
      <c r="Y11" s="11">
        <v>2.0833333333333286</v>
      </c>
      <c r="Z11" s="11"/>
      <c r="AA11" s="6"/>
      <c r="AB11" s="2"/>
      <c r="AC11" s="6"/>
      <c r="AD11" s="6"/>
      <c r="AE11" s="11"/>
      <c r="AF11" s="11"/>
    </row>
    <row r="12" spans="2:32" x14ac:dyDescent="0.4">
      <c r="K12" s="2" t="s">
        <v>49</v>
      </c>
      <c r="M12" s="10" t="s">
        <v>30</v>
      </c>
      <c r="N12" s="5" cm="1">
        <f t="array" ref="N12">DATE(_Annee,8,15)</f>
        <v>45884</v>
      </c>
      <c r="P12" s="6">
        <v>2026</v>
      </c>
      <c r="Q12" s="2" t="s">
        <v>57</v>
      </c>
      <c r="R12" s="11">
        <v>0</v>
      </c>
      <c r="S12" s="11">
        <v>0</v>
      </c>
      <c r="T12" s="11"/>
      <c r="U12" s="6">
        <v>2025</v>
      </c>
      <c r="V12" s="2" t="s">
        <v>44</v>
      </c>
      <c r="W12" s="6">
        <v>22</v>
      </c>
      <c r="X12" s="28">
        <v>3.4722222222222224E-2</v>
      </c>
      <c r="Y12" s="11">
        <v>0.83333333333333437</v>
      </c>
      <c r="Z12" s="11"/>
      <c r="AA12" s="6"/>
      <c r="AB12" s="2"/>
      <c r="AC12" s="6"/>
      <c r="AD12" s="6"/>
      <c r="AE12" s="11"/>
      <c r="AF12" s="11"/>
    </row>
    <row r="13" spans="2:32" x14ac:dyDescent="0.4">
      <c r="K13" s="2" t="s">
        <v>56</v>
      </c>
      <c r="M13" s="10" t="s">
        <v>31</v>
      </c>
      <c r="N13" s="5" cm="1">
        <f t="array" ref="N13">DATE(_Annee,11,1)</f>
        <v>45962</v>
      </c>
      <c r="P13" s="6">
        <v>2026</v>
      </c>
      <c r="Q13" s="2" t="s">
        <v>73</v>
      </c>
      <c r="R13" s="11">
        <v>0</v>
      </c>
      <c r="S13" s="11">
        <v>0</v>
      </c>
      <c r="T13" s="11"/>
      <c r="U13" s="6">
        <v>2025</v>
      </c>
      <c r="V13" s="2" t="s">
        <v>45</v>
      </c>
      <c r="W13" s="6">
        <v>22</v>
      </c>
      <c r="X13" s="28">
        <v>0</v>
      </c>
      <c r="Y13" s="11">
        <v>0</v>
      </c>
      <c r="Z13" s="11"/>
      <c r="AA13" s="6"/>
      <c r="AB13" s="2"/>
      <c r="AC13" s="6"/>
      <c r="AD13" s="6"/>
      <c r="AE13" s="11"/>
      <c r="AF13" s="11"/>
    </row>
    <row r="14" spans="2:32" x14ac:dyDescent="0.4">
      <c r="K14" s="2" t="s">
        <v>60</v>
      </c>
      <c r="M14" s="10" t="s">
        <v>32</v>
      </c>
      <c r="N14" s="5" cm="1">
        <f t="array" ref="N14">DATE(_Annee,11,11)</f>
        <v>45972</v>
      </c>
      <c r="P14" s="6"/>
      <c r="Q14" s="2"/>
      <c r="R14" s="11"/>
      <c r="S14" s="11"/>
      <c r="T14" s="11"/>
      <c r="U14" s="6">
        <v>2025</v>
      </c>
      <c r="V14" s="2" t="s">
        <v>45</v>
      </c>
      <c r="W14" s="6">
        <v>23</v>
      </c>
      <c r="X14" s="28">
        <v>0.12847222222222221</v>
      </c>
      <c r="Y14" s="11">
        <v>3.0833333333333304</v>
      </c>
      <c r="Z14" s="11"/>
      <c r="AA14" s="6"/>
      <c r="AB14" s="2"/>
      <c r="AC14" s="6"/>
      <c r="AD14" s="6"/>
      <c r="AE14" s="11"/>
      <c r="AF14" s="11"/>
    </row>
    <row r="15" spans="2:32" x14ac:dyDescent="0.4">
      <c r="M15" s="10" t="s">
        <v>33</v>
      </c>
      <c r="N15" s="5" cm="1">
        <f t="array" ref="N15">DATE(_Annee,12,25)</f>
        <v>46016</v>
      </c>
      <c r="P15" s="6"/>
      <c r="Q15" s="2"/>
      <c r="R15" s="11"/>
      <c r="S15" s="11"/>
      <c r="T15" s="11"/>
      <c r="U15" s="6">
        <v>2025</v>
      </c>
      <c r="V15" s="2" t="s">
        <v>45</v>
      </c>
      <c r="W15" s="6">
        <v>24</v>
      </c>
      <c r="X15" s="28">
        <v>5.6250000000000001E-2</v>
      </c>
      <c r="Y15" s="11">
        <v>1.3499999999999952</v>
      </c>
      <c r="Z15" s="11"/>
      <c r="AA15" s="6"/>
      <c r="AB15" s="2"/>
      <c r="AC15" s="6"/>
      <c r="AD15" s="6"/>
      <c r="AE15" s="11"/>
      <c r="AF15" s="11"/>
    </row>
    <row r="16" spans="2:32" x14ac:dyDescent="0.4">
      <c r="P16" s="6"/>
      <c r="Q16" s="2"/>
      <c r="R16" s="11"/>
      <c r="S16" s="11"/>
      <c r="T16" s="11"/>
      <c r="U16" s="6">
        <v>2025</v>
      </c>
      <c r="V16" s="2" t="s">
        <v>45</v>
      </c>
      <c r="W16" s="6">
        <v>25</v>
      </c>
      <c r="X16" s="28">
        <v>7.1527777777777773E-2</v>
      </c>
      <c r="Y16" s="11">
        <v>1.7166666666666632</v>
      </c>
      <c r="Z16" s="11"/>
      <c r="AA16" s="6"/>
      <c r="AB16" s="2"/>
      <c r="AC16" s="6"/>
      <c r="AD16" s="6"/>
      <c r="AE16" s="11"/>
      <c r="AF16" s="11"/>
    </row>
    <row r="17" spans="16:32" x14ac:dyDescent="0.4">
      <c r="P17" s="6"/>
      <c r="Q17" s="2"/>
      <c r="R17" s="11"/>
      <c r="S17" s="11"/>
      <c r="T17" s="11"/>
      <c r="U17" s="6">
        <v>2025</v>
      </c>
      <c r="V17" s="2" t="s">
        <v>45</v>
      </c>
      <c r="W17" s="6">
        <v>26</v>
      </c>
      <c r="X17" s="28">
        <v>5.5555555555555552E-2</v>
      </c>
      <c r="Y17" s="11">
        <v>1.3333333333333273</v>
      </c>
      <c r="Z17" s="11"/>
      <c r="AA17" s="6"/>
      <c r="AB17" s="2"/>
      <c r="AC17" s="6"/>
      <c r="AD17" s="6"/>
      <c r="AE17" s="11"/>
      <c r="AF17" s="11"/>
    </row>
    <row r="18" spans="16:32" x14ac:dyDescent="0.4">
      <c r="P18" s="6"/>
      <c r="Q18" s="2"/>
      <c r="R18" s="11"/>
      <c r="S18" s="11"/>
      <c r="T18" s="11"/>
      <c r="U18" s="6">
        <v>2025</v>
      </c>
      <c r="V18" s="2" t="s">
        <v>45</v>
      </c>
      <c r="W18" s="6">
        <v>27</v>
      </c>
      <c r="X18" s="28">
        <v>2.2222222222222223E-2</v>
      </c>
      <c r="Y18" s="11">
        <v>0.53333333333333144</v>
      </c>
      <c r="Z18" s="11"/>
      <c r="AA18" s="6"/>
      <c r="AB18" s="2"/>
      <c r="AC18" s="6"/>
      <c r="AD18" s="6"/>
      <c r="AE18" s="11"/>
      <c r="AF18" s="11"/>
    </row>
    <row r="19" spans="16:32" x14ac:dyDescent="0.4">
      <c r="U19" s="6">
        <v>2025</v>
      </c>
      <c r="V19" s="2" t="s">
        <v>46</v>
      </c>
      <c r="W19" s="6">
        <v>27</v>
      </c>
      <c r="X19" s="28">
        <v>6.5277777777777782E-2</v>
      </c>
      <c r="Y19" s="11">
        <v>1.5666666666666638</v>
      </c>
      <c r="AA19" s="6"/>
      <c r="AB19" s="2"/>
      <c r="AC19" s="6"/>
      <c r="AD19" s="6"/>
      <c r="AE19" s="11"/>
    </row>
    <row r="20" spans="16:32" x14ac:dyDescent="0.4">
      <c r="U20" s="6">
        <v>2025</v>
      </c>
      <c r="V20" s="2" t="s">
        <v>46</v>
      </c>
      <c r="W20" s="6">
        <v>28</v>
      </c>
      <c r="X20" s="28">
        <v>8.611111111111111E-2</v>
      </c>
      <c r="Y20" s="11">
        <v>2.0666666666666593</v>
      </c>
      <c r="AA20" s="6"/>
      <c r="AB20" s="2"/>
      <c r="AC20" s="6"/>
      <c r="AD20" s="6"/>
      <c r="AE20" s="11"/>
    </row>
    <row r="21" spans="16:32" x14ac:dyDescent="0.4">
      <c r="U21" s="6">
        <v>2025</v>
      </c>
      <c r="V21" s="2" t="s">
        <v>46</v>
      </c>
      <c r="W21" s="6">
        <v>29</v>
      </c>
      <c r="X21" s="28">
        <v>0.2</v>
      </c>
      <c r="Y21" s="11">
        <v>4.7999999999999972</v>
      </c>
      <c r="AA21" s="6"/>
      <c r="AB21" s="2"/>
      <c r="AC21" s="6"/>
      <c r="AD21" s="6"/>
      <c r="AE21" s="11"/>
    </row>
    <row r="22" spans="16:32" x14ac:dyDescent="0.4">
      <c r="U22" s="6">
        <v>2025</v>
      </c>
      <c r="V22" s="2" t="s">
        <v>46</v>
      </c>
      <c r="W22" s="6">
        <v>30</v>
      </c>
      <c r="X22" s="28">
        <v>0.15</v>
      </c>
      <c r="Y22" s="11">
        <v>3.5999999999999952</v>
      </c>
      <c r="AA22" s="6"/>
      <c r="AB22" s="2"/>
      <c r="AC22" s="6"/>
      <c r="AD22" s="6"/>
      <c r="AE22" s="11"/>
    </row>
    <row r="23" spans="16:32" x14ac:dyDescent="0.4">
      <c r="U23" s="6">
        <v>2025</v>
      </c>
      <c r="V23" s="2" t="s">
        <v>46</v>
      </c>
      <c r="W23" s="6">
        <v>31</v>
      </c>
      <c r="X23" s="28">
        <v>0.18124999999999999</v>
      </c>
      <c r="Y23" s="11">
        <v>4.3499999999999952</v>
      </c>
      <c r="AA23" s="6"/>
      <c r="AB23" s="2"/>
      <c r="AC23" s="6"/>
      <c r="AD23" s="6"/>
      <c r="AE23" s="11"/>
    </row>
    <row r="24" spans="16:32" x14ac:dyDescent="0.4">
      <c r="U24" s="6">
        <v>2025</v>
      </c>
      <c r="V24" s="2" t="s">
        <v>47</v>
      </c>
      <c r="W24" s="6">
        <v>31</v>
      </c>
      <c r="X24" s="28">
        <v>0</v>
      </c>
      <c r="Y24" s="11">
        <v>0</v>
      </c>
      <c r="AA24" s="6"/>
      <c r="AB24" s="2"/>
      <c r="AC24" s="6"/>
      <c r="AD24" s="6"/>
      <c r="AE24" s="11"/>
    </row>
    <row r="25" spans="16:32" x14ac:dyDescent="0.4">
      <c r="U25" s="6">
        <v>2025</v>
      </c>
      <c r="V25" s="2" t="s">
        <v>47</v>
      </c>
      <c r="W25" s="6">
        <v>32</v>
      </c>
      <c r="X25" s="28">
        <v>0.16805555555555557</v>
      </c>
      <c r="Y25" s="11">
        <v>4.0333333333333279</v>
      </c>
      <c r="AA25" s="6"/>
      <c r="AB25" s="2"/>
      <c r="AC25" s="6"/>
      <c r="AD25" s="6"/>
      <c r="AE25" s="11"/>
    </row>
    <row r="26" spans="16:32" x14ac:dyDescent="0.4">
      <c r="U26" s="6">
        <v>2025</v>
      </c>
      <c r="V26" s="2" t="s">
        <v>47</v>
      </c>
      <c r="W26" s="6">
        <v>33</v>
      </c>
      <c r="X26" s="28">
        <v>0.19027777777777777</v>
      </c>
      <c r="Y26" s="11">
        <v>4.5666666666666629</v>
      </c>
      <c r="AA26" s="6"/>
      <c r="AB26" s="2"/>
      <c r="AC26" s="6"/>
      <c r="AD26" s="6"/>
      <c r="AE26" s="11"/>
    </row>
    <row r="27" spans="16:32" x14ac:dyDescent="0.4">
      <c r="U27" s="6">
        <v>2025</v>
      </c>
      <c r="V27" s="2" t="s">
        <v>47</v>
      </c>
      <c r="W27" s="6">
        <v>34</v>
      </c>
      <c r="X27" s="28">
        <v>0.16597222222222222</v>
      </c>
      <c r="Y27" s="11">
        <v>3.9833333333333298</v>
      </c>
      <c r="AA27" s="6"/>
      <c r="AB27" s="2"/>
      <c r="AC27" s="6"/>
      <c r="AD27" s="6"/>
      <c r="AE27" s="11"/>
    </row>
    <row r="28" spans="16:32" x14ac:dyDescent="0.4">
      <c r="U28" s="6">
        <v>2025</v>
      </c>
      <c r="V28" s="2" t="s">
        <v>47</v>
      </c>
      <c r="W28" s="6">
        <v>35</v>
      </c>
      <c r="X28" s="28">
        <v>0.10625</v>
      </c>
      <c r="Y28" s="11">
        <v>2.5499999999999923</v>
      </c>
      <c r="AA28" s="6"/>
      <c r="AB28" s="2"/>
      <c r="AC28" s="6"/>
      <c r="AD28" s="6"/>
      <c r="AE28" s="11"/>
    </row>
    <row r="29" spans="16:32" x14ac:dyDescent="0.4">
      <c r="U29" s="6">
        <v>2025</v>
      </c>
      <c r="V29" s="2" t="s">
        <v>48</v>
      </c>
      <c r="W29" s="6">
        <v>36</v>
      </c>
      <c r="X29" s="28">
        <v>0.11666666666666667</v>
      </c>
      <c r="Y29" s="11">
        <v>2.7999999999999967</v>
      </c>
      <c r="AA29" s="6"/>
      <c r="AB29" s="2"/>
      <c r="AC29" s="6"/>
      <c r="AD29" s="6"/>
      <c r="AE29" s="11"/>
    </row>
    <row r="30" spans="16:32" x14ac:dyDescent="0.4">
      <c r="U30" s="6">
        <v>2025</v>
      </c>
      <c r="V30" s="2" t="s">
        <v>48</v>
      </c>
      <c r="W30" s="6">
        <v>37</v>
      </c>
      <c r="X30" s="28">
        <v>0.13541666666666666</v>
      </c>
      <c r="Y30" s="11">
        <v>3.2499999999999964</v>
      </c>
      <c r="AA30" s="6"/>
      <c r="AB30" s="2"/>
      <c r="AC30" s="6"/>
      <c r="AD30" s="6"/>
      <c r="AE30" s="11"/>
    </row>
    <row r="31" spans="16:32" x14ac:dyDescent="0.4">
      <c r="U31" s="6">
        <v>2025</v>
      </c>
      <c r="V31" s="2" t="s">
        <v>48</v>
      </c>
      <c r="W31" s="6">
        <v>38</v>
      </c>
      <c r="X31" s="28">
        <v>0.16458333333333333</v>
      </c>
      <c r="Y31" s="11">
        <v>3.949999999999998</v>
      </c>
      <c r="AA31" s="6"/>
      <c r="AB31" s="2"/>
      <c r="AC31" s="6"/>
      <c r="AD31" s="6"/>
      <c r="AE31" s="11"/>
    </row>
    <row r="32" spans="16:32" x14ac:dyDescent="0.4">
      <c r="U32" s="6">
        <v>2025</v>
      </c>
      <c r="V32" s="2" t="s">
        <v>48</v>
      </c>
      <c r="W32" s="6">
        <v>39</v>
      </c>
      <c r="X32" s="28">
        <v>0.11180555555555556</v>
      </c>
      <c r="Y32" s="11">
        <v>2.6833333333333251</v>
      </c>
      <c r="AA32" s="6"/>
      <c r="AB32" s="2"/>
      <c r="AC32" s="6"/>
      <c r="AD32" s="6"/>
      <c r="AE32" s="11"/>
    </row>
    <row r="33" spans="21:31" x14ac:dyDescent="0.4">
      <c r="U33" s="6">
        <v>2025</v>
      </c>
      <c r="V33" s="2" t="s">
        <v>48</v>
      </c>
      <c r="W33" s="6">
        <v>40</v>
      </c>
      <c r="X33" s="28">
        <v>2.7777777777777776E-2</v>
      </c>
      <c r="Y33" s="11">
        <v>0.6666666666666643</v>
      </c>
      <c r="AA33" s="6"/>
      <c r="AB33" s="2"/>
      <c r="AC33" s="6"/>
      <c r="AD33" s="6"/>
      <c r="AE33" s="11"/>
    </row>
    <row r="34" spans="21:31" x14ac:dyDescent="0.4">
      <c r="U34" s="6">
        <v>2025</v>
      </c>
      <c r="V34" s="2" t="s">
        <v>49</v>
      </c>
      <c r="W34" s="6">
        <v>40</v>
      </c>
      <c r="X34" s="28">
        <v>7.013888888888889E-2</v>
      </c>
      <c r="Y34" s="11">
        <v>1.68333333333333</v>
      </c>
      <c r="AA34" s="6"/>
      <c r="AB34" s="2"/>
      <c r="AC34" s="6"/>
      <c r="AD34" s="6"/>
      <c r="AE34" s="11"/>
    </row>
    <row r="35" spans="21:31" x14ac:dyDescent="0.4">
      <c r="U35" s="6">
        <v>2025</v>
      </c>
      <c r="V35" s="2" t="s">
        <v>49</v>
      </c>
      <c r="W35" s="6">
        <v>41</v>
      </c>
      <c r="X35" s="28">
        <v>5.4166666666666669E-2</v>
      </c>
      <c r="Y35" s="11">
        <v>1.2999999999999994</v>
      </c>
      <c r="AA35" s="6"/>
      <c r="AB35" s="2"/>
      <c r="AC35" s="6"/>
      <c r="AD35" s="6"/>
      <c r="AE35" s="11"/>
    </row>
    <row r="36" spans="21:31" x14ac:dyDescent="0.4">
      <c r="U36" s="6">
        <v>2025</v>
      </c>
      <c r="V36" s="2" t="s">
        <v>49</v>
      </c>
      <c r="W36" s="6">
        <v>42</v>
      </c>
      <c r="X36" s="28">
        <v>0.16666666666666666</v>
      </c>
      <c r="Y36" s="11">
        <v>3.9999999999999964</v>
      </c>
      <c r="AA36" s="6"/>
      <c r="AB36" s="2"/>
      <c r="AC36" s="6"/>
      <c r="AD36" s="6"/>
      <c r="AE36" s="11"/>
    </row>
    <row r="37" spans="21:31" x14ac:dyDescent="0.4">
      <c r="U37" s="6">
        <v>2025</v>
      </c>
      <c r="V37" s="2" t="s">
        <v>49</v>
      </c>
      <c r="W37" s="6">
        <v>43</v>
      </c>
      <c r="X37" s="28">
        <v>0.26805555555555555</v>
      </c>
      <c r="Y37" s="11">
        <v>6.4333333333333336</v>
      </c>
      <c r="AA37" s="6"/>
      <c r="AB37" s="2"/>
      <c r="AC37" s="6"/>
      <c r="AD37" s="6"/>
      <c r="AE37" s="11"/>
    </row>
    <row r="38" spans="21:31" x14ac:dyDescent="0.4">
      <c r="U38" s="6">
        <v>2025</v>
      </c>
      <c r="V38" s="2" t="s">
        <v>49</v>
      </c>
      <c r="W38" s="6">
        <v>44</v>
      </c>
      <c r="X38" s="28">
        <v>0.27013888888888887</v>
      </c>
      <c r="Y38" s="11">
        <v>6.4833333333333325</v>
      </c>
      <c r="AA38" s="6"/>
      <c r="AB38" s="2"/>
      <c r="AC38" s="6"/>
      <c r="AD38" s="6"/>
      <c r="AE38" s="11"/>
    </row>
    <row r="39" spans="21:31" x14ac:dyDescent="0.4">
      <c r="U39" s="6">
        <v>2025</v>
      </c>
      <c r="V39" s="2" t="s">
        <v>56</v>
      </c>
      <c r="W39" s="6">
        <v>44</v>
      </c>
      <c r="X39" s="28">
        <v>0</v>
      </c>
      <c r="Y39" s="11">
        <v>0</v>
      </c>
      <c r="AA39" s="6"/>
      <c r="AB39" s="2"/>
      <c r="AC39" s="6"/>
      <c r="AD39" s="6"/>
      <c r="AE39" s="11"/>
    </row>
    <row r="40" spans="21:31" x14ac:dyDescent="0.4">
      <c r="U40" s="6">
        <v>2025</v>
      </c>
      <c r="V40" s="2" t="s">
        <v>56</v>
      </c>
      <c r="W40" s="6">
        <v>45</v>
      </c>
      <c r="X40" s="28">
        <v>0.11944444444444445</v>
      </c>
      <c r="Y40" s="11">
        <v>2.8666666666666618</v>
      </c>
      <c r="AA40" s="6"/>
      <c r="AB40" s="2"/>
      <c r="AC40" s="6"/>
      <c r="AD40" s="6"/>
      <c r="AE40" s="11"/>
    </row>
    <row r="41" spans="21:31" x14ac:dyDescent="0.4">
      <c r="U41" s="6">
        <v>2025</v>
      </c>
      <c r="V41" s="2" t="s">
        <v>56</v>
      </c>
      <c r="W41" s="6">
        <v>46</v>
      </c>
      <c r="X41" s="28">
        <v>6.25E-2</v>
      </c>
      <c r="Y41" s="11">
        <v>1.499999999999996</v>
      </c>
      <c r="AA41" s="6"/>
      <c r="AB41" s="2"/>
      <c r="AC41" s="6"/>
      <c r="AD41" s="6"/>
      <c r="AE41" s="11"/>
    </row>
    <row r="42" spans="21:31" x14ac:dyDescent="0.4">
      <c r="U42" s="6">
        <v>2025</v>
      </c>
      <c r="V42" s="2" t="s">
        <v>56</v>
      </c>
      <c r="W42" s="6">
        <v>47</v>
      </c>
      <c r="X42" s="28">
        <v>0.16041666666666668</v>
      </c>
      <c r="Y42" s="11">
        <v>3.8499999999999956</v>
      </c>
      <c r="AA42" s="6"/>
      <c r="AB42" s="2"/>
      <c r="AC42" s="6"/>
      <c r="AD42" s="6"/>
      <c r="AE42" s="11"/>
    </row>
    <row r="43" spans="21:31" x14ac:dyDescent="0.4">
      <c r="U43" s="6">
        <v>2025</v>
      </c>
      <c r="V43" s="2" t="s">
        <v>56</v>
      </c>
      <c r="W43" s="6">
        <v>48</v>
      </c>
      <c r="X43" s="28">
        <v>9.6527777777777782E-2</v>
      </c>
      <c r="Y43" s="11">
        <v>2.3166666666666611</v>
      </c>
      <c r="AA43" s="6"/>
      <c r="AB43" s="2"/>
      <c r="AC43" s="6"/>
      <c r="AD43" s="6"/>
      <c r="AE43" s="11"/>
    </row>
    <row r="44" spans="21:31" x14ac:dyDescent="0.4">
      <c r="U44" s="6">
        <v>2025</v>
      </c>
      <c r="V44" s="2" t="s">
        <v>60</v>
      </c>
      <c r="W44" s="6">
        <v>49</v>
      </c>
      <c r="X44" s="28">
        <v>2.7083333333333334E-2</v>
      </c>
      <c r="Y44" s="11">
        <v>0.65000000000000036</v>
      </c>
      <c r="AA44" s="6"/>
      <c r="AB44" s="2"/>
      <c r="AC44" s="6"/>
      <c r="AD44" s="6"/>
      <c r="AE44" s="11"/>
    </row>
    <row r="45" spans="21:31" x14ac:dyDescent="0.4">
      <c r="U45" s="6">
        <v>2025</v>
      </c>
      <c r="V45" s="2" t="s">
        <v>60</v>
      </c>
      <c r="W45" s="6">
        <v>50</v>
      </c>
      <c r="X45" s="28">
        <v>0.12430555555555556</v>
      </c>
      <c r="Y45" s="11">
        <v>2.9833333333333281</v>
      </c>
      <c r="AA45" s="6"/>
      <c r="AB45" s="2"/>
      <c r="AC45" s="6"/>
      <c r="AD45" s="6"/>
      <c r="AE45" s="11"/>
    </row>
    <row r="46" spans="21:31" x14ac:dyDescent="0.4">
      <c r="U46" s="6">
        <v>2025</v>
      </c>
      <c r="V46" s="2" t="s">
        <v>60</v>
      </c>
      <c r="W46" s="6">
        <v>51</v>
      </c>
      <c r="X46" s="28">
        <v>9.7916666666666666E-2</v>
      </c>
      <c r="Y46" s="11">
        <v>2.3499999999999917</v>
      </c>
      <c r="AA46" s="6"/>
      <c r="AB46" s="2"/>
      <c r="AC46" s="6"/>
      <c r="AD46" s="6"/>
      <c r="AE46" s="11"/>
    </row>
    <row r="47" spans="21:31" x14ac:dyDescent="0.4">
      <c r="U47" s="6">
        <v>2025</v>
      </c>
      <c r="V47" s="2" t="s">
        <v>60</v>
      </c>
      <c r="W47" s="6">
        <v>52</v>
      </c>
      <c r="X47" s="28">
        <v>0.125</v>
      </c>
      <c r="Y47" s="11">
        <v>2.999999999999996</v>
      </c>
      <c r="AA47" s="6"/>
      <c r="AB47" s="2"/>
      <c r="AC47" s="6"/>
      <c r="AD47" s="6"/>
      <c r="AE47" s="11"/>
    </row>
    <row r="48" spans="21:31" x14ac:dyDescent="0.4">
      <c r="U48" s="6">
        <v>2025</v>
      </c>
      <c r="V48" s="2" t="s">
        <v>60</v>
      </c>
      <c r="W48" s="6">
        <v>53</v>
      </c>
      <c r="X48" s="28">
        <v>0</v>
      </c>
      <c r="Y48" s="11">
        <v>0</v>
      </c>
      <c r="AA48" s="6"/>
      <c r="AB48" s="2"/>
      <c r="AC48" s="6"/>
      <c r="AD48" s="6"/>
      <c r="AE48" s="11"/>
    </row>
    <row r="49" spans="21:31" x14ac:dyDescent="0.4">
      <c r="U49" s="6">
        <v>2026</v>
      </c>
      <c r="V49" s="2" t="s">
        <v>57</v>
      </c>
      <c r="W49" s="6">
        <v>1</v>
      </c>
      <c r="X49" s="28">
        <v>0</v>
      </c>
      <c r="Y49" s="11">
        <v>0</v>
      </c>
      <c r="AA49" s="6"/>
      <c r="AB49" s="2"/>
      <c r="AC49" s="6"/>
      <c r="AD49" s="6"/>
      <c r="AE49" s="11"/>
    </row>
    <row r="50" spans="21:31" x14ac:dyDescent="0.4">
      <c r="U50" s="6">
        <v>2026</v>
      </c>
      <c r="V50" s="2" t="s">
        <v>57</v>
      </c>
      <c r="W50" s="6">
        <v>2</v>
      </c>
      <c r="X50" s="28">
        <v>0</v>
      </c>
      <c r="Y50" s="11">
        <v>0</v>
      </c>
      <c r="AA50" s="6"/>
      <c r="AB50" s="2"/>
      <c r="AC50" s="6"/>
      <c r="AD50" s="6"/>
      <c r="AE50" s="11"/>
    </row>
    <row r="51" spans="21:31" x14ac:dyDescent="0.4">
      <c r="U51" s="6">
        <v>2026</v>
      </c>
      <c r="V51" s="2" t="s">
        <v>57</v>
      </c>
      <c r="W51" s="6">
        <v>3</v>
      </c>
      <c r="X51" s="28">
        <v>0</v>
      </c>
      <c r="Y51" s="11">
        <v>0</v>
      </c>
      <c r="AA51" s="6"/>
      <c r="AB51" s="2"/>
      <c r="AC51" s="6"/>
      <c r="AD51" s="6"/>
      <c r="AE51" s="11"/>
    </row>
    <row r="52" spans="21:31" x14ac:dyDescent="0.4">
      <c r="U52" s="6">
        <v>2026</v>
      </c>
      <c r="V52" s="2" t="s">
        <v>57</v>
      </c>
      <c r="W52" s="6">
        <v>4</v>
      </c>
      <c r="X52" s="28">
        <v>0</v>
      </c>
      <c r="Y52" s="11">
        <v>0</v>
      </c>
      <c r="AA52" s="6"/>
      <c r="AB52" s="2"/>
      <c r="AC52" s="6"/>
      <c r="AD52" s="6"/>
      <c r="AE52" s="11"/>
    </row>
    <row r="53" spans="21:31" x14ac:dyDescent="0.4">
      <c r="U53" s="6">
        <v>2026</v>
      </c>
      <c r="V53" s="2" t="s">
        <v>57</v>
      </c>
      <c r="W53" s="6">
        <v>5</v>
      </c>
      <c r="X53" s="28">
        <v>0</v>
      </c>
      <c r="Y53" s="11">
        <v>0</v>
      </c>
      <c r="AA53" s="6"/>
      <c r="AB53" s="2"/>
      <c r="AC53" s="6"/>
      <c r="AD53" s="6"/>
      <c r="AE53" s="11"/>
    </row>
    <row r="54" spans="21:31" x14ac:dyDescent="0.4">
      <c r="U54" s="6">
        <v>2026</v>
      </c>
      <c r="V54" s="2" t="s">
        <v>73</v>
      </c>
      <c r="W54" s="6">
        <v>5</v>
      </c>
      <c r="X54" s="28">
        <v>0</v>
      </c>
      <c r="Y54" s="11">
        <v>0</v>
      </c>
      <c r="AA54" s="6"/>
      <c r="AB54" s="2"/>
      <c r="AC54" s="6"/>
      <c r="AD54" s="6"/>
      <c r="AE54" s="11"/>
    </row>
    <row r="55" spans="21:31" x14ac:dyDescent="0.4">
      <c r="U55" s="6">
        <v>2026</v>
      </c>
      <c r="V55" s="2" t="s">
        <v>73</v>
      </c>
      <c r="W55" s="6">
        <v>6</v>
      </c>
      <c r="X55" s="28">
        <v>0</v>
      </c>
      <c r="Y55" s="11">
        <v>0</v>
      </c>
      <c r="AA55" s="6"/>
      <c r="AB55" s="2"/>
      <c r="AC55" s="6"/>
      <c r="AD55" s="6"/>
      <c r="AE55" s="11"/>
    </row>
    <row r="56" spans="21:31" x14ac:dyDescent="0.4">
      <c r="U56" s="6">
        <v>2026</v>
      </c>
      <c r="V56" s="2" t="s">
        <v>73</v>
      </c>
      <c r="W56" s="6">
        <v>7</v>
      </c>
      <c r="X56" s="28">
        <v>0</v>
      </c>
      <c r="Y56" s="11">
        <v>0</v>
      </c>
      <c r="AA56" s="6"/>
      <c r="AB56" s="2"/>
      <c r="AC56" s="6"/>
      <c r="AD56" s="6"/>
      <c r="AE56" s="11"/>
    </row>
    <row r="57" spans="21:31" x14ac:dyDescent="0.4">
      <c r="U57" s="6">
        <v>2026</v>
      </c>
      <c r="V57" s="2" t="s">
        <v>73</v>
      </c>
      <c r="W57" s="6">
        <v>8</v>
      </c>
      <c r="X57" s="28">
        <v>0</v>
      </c>
      <c r="Y57" s="11">
        <v>0</v>
      </c>
      <c r="AA57" s="6"/>
      <c r="AB57" s="2"/>
      <c r="AC57" s="6"/>
      <c r="AD57" s="6"/>
      <c r="AE57" s="11"/>
    </row>
    <row r="58" spans="21:31" x14ac:dyDescent="0.4">
      <c r="U58" s="6">
        <v>2026</v>
      </c>
      <c r="V58" s="2" t="s">
        <v>73</v>
      </c>
      <c r="W58" s="6">
        <v>9</v>
      </c>
      <c r="X58" s="28">
        <v>0</v>
      </c>
      <c r="Y58" s="11">
        <v>0</v>
      </c>
      <c r="AA58" s="6"/>
      <c r="AB58" s="2"/>
      <c r="AC58" s="6"/>
      <c r="AD58" s="6"/>
      <c r="AE58" s="11"/>
    </row>
  </sheetData>
  <phoneticPr fontId="2" type="noConversion"/>
  <dataValidations count="2">
    <dataValidation type="list" allowBlank="1" showInputMessage="1" showErrorMessage="1" sqref="C3:C4" xr:uid="{EAFC9DA5-1E27-4EFF-A3B3-EA43C4EC8E73}">
      <formula1>l_Mois</formula1>
    </dataValidation>
    <dataValidation type="custom" allowBlank="1" showInputMessage="1" showErrorMessage="1" error="Cette cellule contient une formule." sqref="F3:F4 N3:N15" xr:uid="{8556A3F7-8639-45AA-9671-82935162F480}">
      <formula1>"Formule"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2C4AA-2B62-4528-8AE1-4F215032C971}">
  <dimension ref="B2:K41"/>
  <sheetViews>
    <sheetView showGridLines="0" showZeros="0" topLeftCell="A28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5.5976562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7</v>
      </c>
      <c r="H3" s="13" t="s">
        <v>4</v>
      </c>
      <c r="I3" t="s">
        <v>34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45748</v>
      </c>
      <c r="C6" s="4">
        <v>0.375</v>
      </c>
      <c r="D6" s="4">
        <v>0.70833333333333337</v>
      </c>
      <c r="E6" s="4">
        <f>IF(Tableau4_2025[[#This Row],[Arrivée]]&lt;&gt;"",_TpsPause,0)</f>
        <v>4.1666666666666664E-2</v>
      </c>
      <c r="H6">
        <v>14</v>
      </c>
      <c r="I6" s="14">
        <v>2.0833333333333259E-3</v>
      </c>
      <c r="J6" s="15">
        <v>4.9999999999999822E-2</v>
      </c>
      <c r="K6"/>
    </row>
    <row r="7" spans="2:11" x14ac:dyDescent="0.4">
      <c r="B7" s="7">
        <f>B6+1</f>
        <v>45749</v>
      </c>
      <c r="C7" s="4">
        <v>0.375</v>
      </c>
      <c r="D7" s="4">
        <v>0.70833333333333337</v>
      </c>
      <c r="E7" s="4">
        <f>IF(Tableau4_2025[[#This Row],[Arrivée]]&lt;&gt;"",_TpsPause,0)</f>
        <v>4.1666666666666664E-2</v>
      </c>
      <c r="H7">
        <v>15</v>
      </c>
      <c r="I7" s="14">
        <v>5.7638888888888795E-2</v>
      </c>
      <c r="J7" s="15">
        <v>1.3833333333333311</v>
      </c>
      <c r="K7"/>
    </row>
    <row r="8" spans="2:11" x14ac:dyDescent="0.4">
      <c r="B8" s="7">
        <f t="shared" ref="B8:B33" si="0">B7+1</f>
        <v>45750</v>
      </c>
      <c r="C8" s="4">
        <v>0.375</v>
      </c>
      <c r="D8" s="4">
        <v>0.70833333333333337</v>
      </c>
      <c r="E8" s="4">
        <f>IF(Tableau4_2025[[#This Row],[Arrivée]]&lt;&gt;"",_TpsPause,0)</f>
        <v>4.1666666666666664E-2</v>
      </c>
      <c r="H8">
        <v>16</v>
      </c>
      <c r="I8" s="14">
        <v>5.6944444444444353E-2</v>
      </c>
      <c r="J8" s="15">
        <v>1.3666666666666645</v>
      </c>
      <c r="K8"/>
    </row>
    <row r="9" spans="2:11" x14ac:dyDescent="0.4">
      <c r="B9" s="7">
        <f t="shared" si="0"/>
        <v>45751</v>
      </c>
      <c r="C9" s="4">
        <v>0.37916666666666665</v>
      </c>
      <c r="D9" s="4">
        <v>0.71458333333333335</v>
      </c>
      <c r="E9" s="4">
        <f>IF(Tableau4_2025[[#This Row],[Arrivée]]&lt;&gt;"",_TpsPause,0)</f>
        <v>4.1666666666666664E-2</v>
      </c>
      <c r="H9">
        <v>17</v>
      </c>
      <c r="I9" s="14">
        <v>6.7361111111110872E-2</v>
      </c>
      <c r="J9" s="15">
        <v>1.6166666666666609</v>
      </c>
      <c r="K9"/>
    </row>
    <row r="10" spans="2:11" x14ac:dyDescent="0.4">
      <c r="B10" s="7">
        <f t="shared" si="0"/>
        <v>45752</v>
      </c>
      <c r="C10" s="4"/>
      <c r="D10" s="4"/>
      <c r="E10" s="4">
        <f>IF(Tableau4_2025[[#This Row],[Arrivée]]&lt;&gt;"",_TpsPause,0)</f>
        <v>0</v>
      </c>
      <c r="H10">
        <v>18</v>
      </c>
      <c r="I10" s="14">
        <v>2.7083333333333293E-2</v>
      </c>
      <c r="J10" s="15">
        <v>0.64999999999999902</v>
      </c>
      <c r="K10"/>
    </row>
    <row r="11" spans="2:11" x14ac:dyDescent="0.4">
      <c r="B11" s="7">
        <f t="shared" si="0"/>
        <v>45753</v>
      </c>
      <c r="C11" s="4"/>
      <c r="D11" s="4"/>
      <c r="E11" s="4">
        <f>IF(Tableau4_2025[[#This Row],[Arrivée]]&lt;&gt;"",_TpsPause,0)</f>
        <v>0</v>
      </c>
      <c r="H11" t="s">
        <v>36</v>
      </c>
      <c r="I11" s="14">
        <v>0.21111111111111064</v>
      </c>
      <c r="J11" s="15">
        <v>5.0666666666666558</v>
      </c>
      <c r="K11"/>
    </row>
    <row r="12" spans="2:11" x14ac:dyDescent="0.4">
      <c r="B12" s="7">
        <f t="shared" si="0"/>
        <v>45754</v>
      </c>
      <c r="C12" s="4">
        <v>0.33888888888888891</v>
      </c>
      <c r="D12" s="4">
        <v>0.67638888888888893</v>
      </c>
      <c r="E12" s="4">
        <f>IF(Tableau4_2025[[#This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45755</v>
      </c>
      <c r="C13" s="4">
        <v>0.33541666666666664</v>
      </c>
      <c r="D13" s="4">
        <v>0.67847222222222225</v>
      </c>
      <c r="E13" s="4">
        <f>IF(Tableau4_2025[[#This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45756</v>
      </c>
      <c r="C14" s="4">
        <v>0.33402777777777776</v>
      </c>
      <c r="D14" s="4">
        <v>0.67361111111111116</v>
      </c>
      <c r="E14" s="4">
        <f>IF(Tableau4_2025[[#This Row],[Arrivée]]&lt;&gt;"",_TpsPause,0)</f>
        <v>4.1666666666666664E-2</v>
      </c>
      <c r="H14"/>
      <c r="I14"/>
      <c r="J14"/>
    </row>
    <row r="15" spans="2:11" x14ac:dyDescent="0.4">
      <c r="B15" s="7">
        <f t="shared" si="0"/>
        <v>45757</v>
      </c>
      <c r="C15" s="4">
        <v>0.33888888888888891</v>
      </c>
      <c r="D15" s="4">
        <v>0.68819444444444444</v>
      </c>
      <c r="E15" s="4">
        <f>IF(Tableau4_2025[[#This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45758</v>
      </c>
      <c r="C16" s="4">
        <v>0.34513888888888888</v>
      </c>
      <c r="D16" s="4">
        <v>0.7</v>
      </c>
      <c r="E16" s="4">
        <f>IF(Tableau4_2025[[#This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45759</v>
      </c>
      <c r="C17" s="4"/>
      <c r="D17" s="4"/>
      <c r="E17" s="4">
        <f>IF(Tableau4_2025[[#This Row],[Arrivée]]&lt;&gt;"",_TpsPause,0)</f>
        <v>0</v>
      </c>
      <c r="H17"/>
      <c r="I17"/>
      <c r="J17"/>
    </row>
    <row r="18" spans="2:11" x14ac:dyDescent="0.4">
      <c r="B18" s="7">
        <f t="shared" si="0"/>
        <v>45760</v>
      </c>
      <c r="C18" s="4"/>
      <c r="D18" s="4"/>
      <c r="E18" s="4">
        <f>IF(Tableau4_2025[[#This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45761</v>
      </c>
      <c r="C19" s="4">
        <v>0.33958333333333335</v>
      </c>
      <c r="D19" s="4">
        <v>0.67638888888888893</v>
      </c>
      <c r="E19" s="4">
        <f>IF(Tableau4_2025[[#This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45762</v>
      </c>
      <c r="C20" s="4">
        <v>0.33680555555555558</v>
      </c>
      <c r="D20" s="4">
        <v>0.70902777777777781</v>
      </c>
      <c r="E20" s="4">
        <f>IF(Tableau4_2025[[#This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45763</v>
      </c>
      <c r="C21" s="4">
        <v>0.34166666666666667</v>
      </c>
      <c r="D21" s="4">
        <v>0.68541666666666667</v>
      </c>
      <c r="E21" s="4">
        <f>IF(Tableau4_2025[[#This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45764</v>
      </c>
      <c r="C22" s="4">
        <v>0.34097222222222223</v>
      </c>
      <c r="D22" s="4">
        <v>0.67847222222222225</v>
      </c>
      <c r="E22" s="4">
        <f>IF(Tableau4_2025[[#This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45765</v>
      </c>
      <c r="C23" s="4">
        <v>0.33263888888888887</v>
      </c>
      <c r="D23" s="4">
        <v>0.6645833333333333</v>
      </c>
      <c r="E23" s="4">
        <f>IF(Tableau4_2025[[#This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45766</v>
      </c>
      <c r="C24" s="4"/>
      <c r="D24" s="4"/>
      <c r="E24" s="4">
        <f>IF(Tableau4_2025[[#This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45767</v>
      </c>
      <c r="C25" s="4"/>
      <c r="D25" s="4"/>
      <c r="E25" s="4">
        <f>IF(Tableau4_2025[[#This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45768</v>
      </c>
      <c r="C26" s="4"/>
      <c r="D26" s="4"/>
      <c r="E26" s="4">
        <f>IF(Tableau4_2025[[#This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45769</v>
      </c>
      <c r="C27" s="4">
        <v>0.34375</v>
      </c>
      <c r="D27" s="4">
        <v>0.69236111111111109</v>
      </c>
      <c r="E27" s="4">
        <f>IF(Tableau4_2025[[#This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45770</v>
      </c>
      <c r="C28" s="4">
        <v>0.34027777777777779</v>
      </c>
      <c r="D28" s="4">
        <v>0.7</v>
      </c>
      <c r="E28" s="4">
        <f>IF(Tableau4_2025[[#This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45771</v>
      </c>
      <c r="C29" s="4">
        <v>0.34305555555555556</v>
      </c>
      <c r="D29" s="4">
        <v>0.69305555555555554</v>
      </c>
      <c r="E29" s="4">
        <f>IF(Tableau4_2025[[#This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45772</v>
      </c>
      <c r="C30" s="4">
        <v>0.33819444444444446</v>
      </c>
      <c r="D30" s="4">
        <v>0.68055555555555558</v>
      </c>
      <c r="E30" s="4">
        <f>IF(Tableau4_2025[[#This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45773</v>
      </c>
      <c r="C31" s="4"/>
      <c r="D31" s="4"/>
      <c r="E31" s="4">
        <f>IF(Tableau4_2025[[#This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45774</v>
      </c>
      <c r="C32" s="4"/>
      <c r="D32" s="4"/>
      <c r="E32" s="4">
        <f>IF(Tableau4_2025[[#This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45775</v>
      </c>
      <c r="C33" s="4">
        <v>0.33611111111111114</v>
      </c>
      <c r="D33" s="4">
        <v>0.66666666666666663</v>
      </c>
      <c r="E33" s="4">
        <f>IF(Tableau4_2025[[#This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45776</v>
      </c>
      <c r="C34" s="4">
        <v>0.33750000000000002</v>
      </c>
      <c r="D34" s="4">
        <v>0.67708333333333337</v>
      </c>
      <c r="E34" s="4">
        <f>IF(Tableau4_2025[[#This Row],[Arrivée]]&lt;&gt;"",_TpsPause,0)</f>
        <v>4.1666666666666664E-2</v>
      </c>
      <c r="H34"/>
      <c r="I34"/>
      <c r="J34"/>
    </row>
    <row r="35" spans="2:10" x14ac:dyDescent="0.4">
      <c r="B35" s="7">
        <f t="shared" ref="B35:B36" si="1">IFERROR(IF(MONTH(B34+1)=MONTH($B$6),B34+1,""),"")</f>
        <v>45777</v>
      </c>
      <c r="C35" s="4">
        <v>0.3347222222222222</v>
      </c>
      <c r="D35" s="4">
        <v>0.68888888888888888</v>
      </c>
      <c r="E35" s="4">
        <f>IF(Tableau4_2025[[#This Row],[Arrivée]]&lt;&gt;"",_TpsPause,0)</f>
        <v>4.1666666666666664E-2</v>
      </c>
    </row>
    <row r="36" spans="2:10" x14ac:dyDescent="0.4">
      <c r="B36" s="7" t="str">
        <f t="shared" si="1"/>
        <v/>
      </c>
      <c r="C36" s="4"/>
      <c r="D36" s="4"/>
      <c r="E36" s="4">
        <f>IF(Tableau4_2025[[#This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23" priority="1">
      <formula>COUNTIF(l_Feries,$B6)</formula>
    </cfRule>
    <cfRule type="expression" dxfId="22" priority="2">
      <formula>WEEKDAY($B6,2)&gt;5</formula>
    </cfRule>
  </conditionalFormatting>
  <dataValidations disablePrompts="1" count="4">
    <dataValidation type="list" allowBlank="1" showInputMessage="1" showErrorMessage="1" prompt="Sélectionner un mois à l'aide de la liste déroulante." sqref="C3" xr:uid="{416883C6-B375-429D-B428-1950EFEE44A9}">
      <formula1>l_Mois</formula1>
    </dataValidation>
    <dataValidation allowBlank="1" showInputMessage="1" showErrorMessage="1" prompt="Sélectionner une année à l'aide de la toupie, ci-contre." sqref="C2" xr:uid="{8C0C3849-5A94-467C-9D15-430BA7478668}"/>
    <dataValidation type="custom" allowBlank="1" showInputMessage="1" showErrorMessage="1" error="Cette cellule contient une formule de calcul." sqref="B6:B36" xr:uid="{A1FA31CA-C2DD-4CC6-9B19-CE66D3368086}">
      <formula1>"formule"</formula1>
    </dataValidation>
    <dataValidation type="custom" allowBlank="1" showInputMessage="1" showErrorMessage="1" error="Cette cellule contient une formule de calcul." sqref="E6:E36" xr:uid="{E7AEAB37-7B6A-41F3-AF7D-7E2A6F026E86}">
      <formula1>"Formule"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29E09-A0EF-43A8-B21B-9F94E3548DD8}">
  <dimension ref="B2:K41"/>
  <sheetViews>
    <sheetView showGridLines="0" showZeros="0" topLeftCell="A25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6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8</v>
      </c>
      <c r="H3" s="13" t="s">
        <v>4</v>
      </c>
      <c r="I3" t="s">
        <v>44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45778</v>
      </c>
      <c r="C6" s="4"/>
      <c r="D6" s="4"/>
      <c r="E6" s="4">
        <f>IF(Tableau5_2025[[#This Row],[Arrivée]]&lt;&gt;"",_TpsPause,0)</f>
        <v>0</v>
      </c>
      <c r="H6">
        <v>18</v>
      </c>
      <c r="I6" s="14">
        <v>1.7361111111111049E-2</v>
      </c>
      <c r="J6" s="15">
        <v>0.41666666666666519</v>
      </c>
      <c r="K6"/>
    </row>
    <row r="7" spans="2:11" x14ac:dyDescent="0.4">
      <c r="B7" s="7">
        <f>B6+1</f>
        <v>45779</v>
      </c>
      <c r="C7" s="4">
        <v>0.34305555555555556</v>
      </c>
      <c r="D7" s="4">
        <v>0.69374999999999998</v>
      </c>
      <c r="E7" s="4">
        <f>IF(Tableau5_2025[[#This Row],[Arrivée]]&lt;&gt;"",_TpsPause,0)</f>
        <v>4.1666666666666664E-2</v>
      </c>
      <c r="H7">
        <v>19</v>
      </c>
      <c r="I7" s="14">
        <v>8.74999999999998E-2</v>
      </c>
      <c r="J7" s="15">
        <v>2.0999999999999952</v>
      </c>
      <c r="K7"/>
    </row>
    <row r="8" spans="2:11" x14ac:dyDescent="0.4">
      <c r="B8" s="7">
        <f t="shared" ref="B8:B33" si="0">B7+1</f>
        <v>45780</v>
      </c>
      <c r="C8" s="4"/>
      <c r="D8" s="4"/>
      <c r="E8" s="4">
        <f>IF(Tableau5_2025[[#This Row],[Arrivée]]&lt;&gt;"",_TpsPause,0)</f>
        <v>0</v>
      </c>
      <c r="H8">
        <v>20</v>
      </c>
      <c r="I8" s="14">
        <v>5.0694444444444431E-2</v>
      </c>
      <c r="J8" s="15">
        <v>1.2166666666666663</v>
      </c>
      <c r="K8"/>
    </row>
    <row r="9" spans="2:11" x14ac:dyDescent="0.4">
      <c r="B9" s="7">
        <f t="shared" si="0"/>
        <v>45781</v>
      </c>
      <c r="C9" s="4"/>
      <c r="D9" s="4"/>
      <c r="E9" s="4">
        <f>IF(Tableau5_2025[[#This Row],[Arrivée]]&lt;&gt;"",_TpsPause,0)</f>
        <v>0</v>
      </c>
      <c r="H9">
        <v>21</v>
      </c>
      <c r="I9" s="14">
        <v>8.6805555555555358E-2</v>
      </c>
      <c r="J9" s="15">
        <v>2.0833333333333286</v>
      </c>
      <c r="K9"/>
    </row>
    <row r="10" spans="2:11" x14ac:dyDescent="0.4">
      <c r="B10" s="7">
        <f t="shared" si="0"/>
        <v>45782</v>
      </c>
      <c r="C10" s="4"/>
      <c r="D10" s="4"/>
      <c r="E10" s="4">
        <f>IF(Tableau5_2025[[#This Row],[Arrivée]]&lt;&gt;"",_TpsPause,0)</f>
        <v>0</v>
      </c>
      <c r="H10">
        <v>22</v>
      </c>
      <c r="I10" s="14">
        <v>3.4722222222222265E-2</v>
      </c>
      <c r="J10" s="15">
        <v>0.83333333333333437</v>
      </c>
      <c r="K10"/>
    </row>
    <row r="11" spans="2:11" x14ac:dyDescent="0.4">
      <c r="B11" s="7">
        <f t="shared" si="0"/>
        <v>45783</v>
      </c>
      <c r="C11" s="4">
        <v>0.34027777777777779</v>
      </c>
      <c r="D11" s="4">
        <v>0.70972222222222225</v>
      </c>
      <c r="E11" s="4">
        <f>IF(Tableau5_2025[[#This Row],[Arrivée]]&lt;&gt;"",_TpsPause,0)</f>
        <v>4.1666666666666664E-2</v>
      </c>
      <c r="H11" t="s">
        <v>36</v>
      </c>
      <c r="I11" s="14">
        <v>0.2770833333333329</v>
      </c>
      <c r="J11" s="15">
        <v>6.6499999999999897</v>
      </c>
      <c r="K11"/>
    </row>
    <row r="12" spans="2:11" x14ac:dyDescent="0.4">
      <c r="B12" s="7">
        <f t="shared" si="0"/>
        <v>45784</v>
      </c>
      <c r="C12" s="4">
        <v>0.34027777777777779</v>
      </c>
      <c r="D12" s="4">
        <v>0.68819444444444444</v>
      </c>
      <c r="E12" s="4">
        <f>IF(Tableau5_2025[[#This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45785</v>
      </c>
      <c r="C13" s="4">
        <v>0.33680555555555558</v>
      </c>
      <c r="D13" s="4">
        <v>0.67152777777777772</v>
      </c>
      <c r="E13" s="4">
        <f>IF(Tableau5_2025[[#This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45786</v>
      </c>
      <c r="C14" s="4"/>
      <c r="D14" s="4"/>
      <c r="E14" s="4">
        <f>IF(Tableau5_2025[[#This Row],[Arrivée]]&lt;&gt;"",_TpsPause,0)</f>
        <v>0</v>
      </c>
      <c r="H14"/>
      <c r="I14"/>
      <c r="J14"/>
    </row>
    <row r="15" spans="2:11" x14ac:dyDescent="0.4">
      <c r="B15" s="7">
        <f t="shared" si="0"/>
        <v>45787</v>
      </c>
      <c r="C15" s="4">
        <v>0.33888888888888891</v>
      </c>
      <c r="D15" s="4">
        <v>0.70763888888888893</v>
      </c>
      <c r="E15" s="4">
        <f>IF(Tableau5_2025[[#This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45788</v>
      </c>
      <c r="C16" s="4"/>
      <c r="D16" s="4"/>
      <c r="E16" s="4">
        <f>IF(Tableau5_2025[[#This Row],[Arrivée]]&lt;&gt;"",_TpsPause,0)</f>
        <v>0</v>
      </c>
      <c r="H16"/>
      <c r="I16"/>
      <c r="J16"/>
    </row>
    <row r="17" spans="2:11" x14ac:dyDescent="0.4">
      <c r="B17" s="7">
        <f t="shared" si="0"/>
        <v>45789</v>
      </c>
      <c r="C17" s="4"/>
      <c r="D17" s="4"/>
      <c r="E17" s="4">
        <f>IF(Tableau5_2025[[#This Row],[Arrivée]]&lt;&gt;"",_TpsPause,0)</f>
        <v>0</v>
      </c>
      <c r="H17"/>
      <c r="I17"/>
      <c r="J17"/>
    </row>
    <row r="18" spans="2:11" x14ac:dyDescent="0.4">
      <c r="B18" s="7">
        <f t="shared" si="0"/>
        <v>45790</v>
      </c>
      <c r="C18" s="4">
        <v>0.33402777777777776</v>
      </c>
      <c r="D18" s="4">
        <v>0.67222222222222228</v>
      </c>
      <c r="E18" s="4">
        <f>IF(Tableau5_2025[[#This Row],[Arrivée]]&lt;&gt;"",_TpsPause,0)</f>
        <v>4.1666666666666664E-2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45791</v>
      </c>
      <c r="C19" s="4">
        <v>0.34652777777777777</v>
      </c>
      <c r="D19" s="4">
        <v>0.69166666666666665</v>
      </c>
      <c r="E19" s="4">
        <f>IF(Tableau5_2025[[#This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45792</v>
      </c>
      <c r="C20" s="4">
        <v>0.34652777777777777</v>
      </c>
      <c r="D20" s="4">
        <v>0.7055555555555556</v>
      </c>
      <c r="E20" s="4">
        <f>IF(Tableau5_2025[[#This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45793</v>
      </c>
      <c r="C21" s="4">
        <v>0.34861111111111109</v>
      </c>
      <c r="D21" s="4">
        <v>0.67013888888888884</v>
      </c>
      <c r="E21" s="4">
        <f>IF(Tableau5_2025[[#This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45794</v>
      </c>
      <c r="C22" s="4">
        <v>0.33958333333333335</v>
      </c>
      <c r="D22" s="4">
        <v>0.68125000000000002</v>
      </c>
      <c r="E22" s="4">
        <f>IF(Tableau5_2025[[#This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45795</v>
      </c>
      <c r="C23" s="4"/>
      <c r="D23" s="4"/>
      <c r="E23" s="4">
        <f>IF(Tableau5_2025[[#This Row],[Arrivée]]&lt;&gt;"",_TpsPause,0)</f>
        <v>0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45796</v>
      </c>
      <c r="C24" s="4">
        <v>0.33333333333333331</v>
      </c>
      <c r="D24" s="4">
        <v>0.72013888888888888</v>
      </c>
      <c r="E24" s="4">
        <f>IF(Tableau5_2025[[#This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45797</v>
      </c>
      <c r="C25" s="4">
        <v>0.33680555555555558</v>
      </c>
      <c r="D25" s="4">
        <v>0.69513888888888886</v>
      </c>
      <c r="E25" s="4">
        <f>IF(Tableau5_2025[[#This Row],[Arrivée]]&lt;&gt;"",_TpsPause,0)</f>
        <v>4.1666666666666664E-2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45798</v>
      </c>
      <c r="C26" s="4">
        <v>0.34513888888888888</v>
      </c>
      <c r="D26" s="4">
        <v>0.67847222222222225</v>
      </c>
      <c r="E26" s="4">
        <f>IF(Tableau5_2025[[#This Row],[Arrivée]]&lt;&gt;"",_TpsPause,0)</f>
        <v>4.1666666666666664E-2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45799</v>
      </c>
      <c r="C27" s="4">
        <v>0.33263888888888887</v>
      </c>
      <c r="D27" s="4">
        <v>0.6694444444444444</v>
      </c>
      <c r="E27" s="4">
        <f>IF(Tableau5_2025[[#This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45800</v>
      </c>
      <c r="C28" s="4">
        <v>0.33611111111111114</v>
      </c>
      <c r="D28" s="4">
        <v>0.6743055555555556</v>
      </c>
      <c r="E28" s="4">
        <f>IF(Tableau5_2025[[#This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45801</v>
      </c>
      <c r="C29" s="4"/>
      <c r="D29" s="4"/>
      <c r="E29" s="4">
        <f>IF(Tableau5_2025[[#This Row],[Arrivée]]&lt;&gt;"",_TpsPause,0)</f>
        <v>0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45802</v>
      </c>
      <c r="C30" s="4"/>
      <c r="D30" s="4"/>
      <c r="E30" s="4">
        <f>IF(Tableau5_2025[[#This Row],[Arrivée]]&lt;&gt;"",_TpsPause,0)</f>
        <v>0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45803</v>
      </c>
      <c r="C31" s="4">
        <v>0.33541666666666664</v>
      </c>
      <c r="D31" s="4">
        <v>0.67569444444444449</v>
      </c>
      <c r="E31" s="4">
        <f>IF(Tableau5_2025[[#This Row],[Arrivée]]&lt;&gt;"",_TpsPause,0)</f>
        <v>4.1666666666666664E-2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45804</v>
      </c>
      <c r="C32" s="4">
        <v>0.33958333333333335</v>
      </c>
      <c r="D32" s="4">
        <v>0.65208333333333335</v>
      </c>
      <c r="E32" s="4">
        <f>IF(Tableau5_2025[[#This Row],[Arrivée]]&lt;&gt;"",_TpsPause,0)</f>
        <v>4.1666666666666664E-2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45805</v>
      </c>
      <c r="C33" s="4">
        <v>0.33680555555555558</v>
      </c>
      <c r="D33" s="4">
        <v>0.67638888888888893</v>
      </c>
      <c r="E33" s="4">
        <f>IF(Tableau5_2025[[#This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45806</v>
      </c>
      <c r="C34" s="4"/>
      <c r="D34" s="4"/>
      <c r="E34" s="4">
        <f>IF(Tableau5_2025[[#This Row],[Arrivée]]&lt;&gt;"",_TpsPause,0)</f>
        <v>0</v>
      </c>
      <c r="H34"/>
      <c r="I34"/>
      <c r="J34"/>
    </row>
    <row r="35" spans="2:10" x14ac:dyDescent="0.4">
      <c r="B35" s="7">
        <f t="shared" ref="B35:B36" si="1">IFERROR(IF(MONTH(B34+1)=MONTH($B$6),B34+1,""),"")</f>
        <v>45807</v>
      </c>
      <c r="C35" s="4">
        <v>0.31805555555555554</v>
      </c>
      <c r="D35" s="4">
        <v>0.67291666666666672</v>
      </c>
      <c r="E35" s="4">
        <f>IF(Tableau5_2025[[#This Row],[Arrivée]]&lt;&gt;"",_TpsPause,0)</f>
        <v>4.1666666666666664E-2</v>
      </c>
      <c r="H35"/>
      <c r="I35"/>
      <c r="J35"/>
    </row>
    <row r="36" spans="2:10" x14ac:dyDescent="0.4">
      <c r="B36" s="7">
        <f t="shared" si="1"/>
        <v>45808</v>
      </c>
      <c r="C36" s="4"/>
      <c r="D36" s="4"/>
      <c r="E36" s="4">
        <f>IF(Tableau5_2025[[#This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21" priority="1">
      <formula>COUNTIF(l_Feries,$B6)</formula>
    </cfRule>
    <cfRule type="expression" dxfId="20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408F99DC-E70A-448B-82BA-31D1D1CFC5DD}">
      <formula1>"Formule"</formula1>
    </dataValidation>
    <dataValidation type="custom" allowBlank="1" showInputMessage="1" showErrorMessage="1" error="Cette cellule contient une formule de calcul." sqref="B6:B36" xr:uid="{B4477E4A-5B8A-4033-8AFB-07219A1586FA}">
      <formula1>"formule"</formula1>
    </dataValidation>
    <dataValidation allowBlank="1" showInputMessage="1" showErrorMessage="1" prompt="Sélectionner une année à l'aide de la toupie, ci-contre." sqref="C2" xr:uid="{CA729166-4374-4BCA-B31C-01AB5A24A4E8}"/>
    <dataValidation type="list" allowBlank="1" showInputMessage="1" showErrorMessage="1" prompt="Sélectionner un mois à l'aide de la liste déroulante." sqref="C3" xr:uid="{1858C3C7-F572-4F27-BD63-3248B74066A6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620C0-A3F5-4C97-B45E-F0311F813365}">
  <dimension ref="B2:K41"/>
  <sheetViews>
    <sheetView showGridLines="0" showZeros="0" topLeftCell="A25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6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9</v>
      </c>
      <c r="H3" s="13" t="s">
        <v>4</v>
      </c>
      <c r="I3" t="s">
        <v>45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45809</v>
      </c>
      <c r="C6" s="4"/>
      <c r="D6" s="4"/>
      <c r="E6" s="4">
        <f>IF(Tableau6_2025[[#This Row],[Arrivée]]&lt;&gt;"",_TpsPause,0)</f>
        <v>0</v>
      </c>
      <c r="H6">
        <v>23</v>
      </c>
      <c r="I6" s="14">
        <v>0.1284722222222221</v>
      </c>
      <c r="J6" s="15">
        <v>3.0833333333333304</v>
      </c>
      <c r="K6"/>
    </row>
    <row r="7" spans="2:11" x14ac:dyDescent="0.4">
      <c r="B7" s="7">
        <f>B6+1</f>
        <v>45810</v>
      </c>
      <c r="C7" s="4">
        <v>0.34583333333333333</v>
      </c>
      <c r="D7" s="4">
        <v>0.71319444444444446</v>
      </c>
      <c r="E7" s="4">
        <f>IF(Tableau6_2025[[#This Row],[Arrivée]]&lt;&gt;"",_TpsPause,0)</f>
        <v>4.1666666666666664E-2</v>
      </c>
      <c r="H7">
        <v>24</v>
      </c>
      <c r="I7" s="14">
        <v>5.62499999999998E-2</v>
      </c>
      <c r="J7" s="15">
        <v>1.3499999999999952</v>
      </c>
      <c r="K7"/>
    </row>
    <row r="8" spans="2:11" x14ac:dyDescent="0.4">
      <c r="B8" s="7">
        <f t="shared" ref="B8:B33" si="0">B7+1</f>
        <v>45811</v>
      </c>
      <c r="C8" s="4">
        <v>0.34236111111111112</v>
      </c>
      <c r="D8" s="4">
        <v>0.7583333333333333</v>
      </c>
      <c r="E8" s="4">
        <f>IF(Tableau6_2025[[#This Row],[Arrivée]]&lt;&gt;"",_TpsPause,0)</f>
        <v>4.1666666666666664E-2</v>
      </c>
      <c r="H8">
        <v>25</v>
      </c>
      <c r="I8" s="14">
        <v>7.1527777777777635E-2</v>
      </c>
      <c r="J8" s="15">
        <v>1.7166666666666632</v>
      </c>
      <c r="K8"/>
    </row>
    <row r="9" spans="2:11" x14ac:dyDescent="0.4">
      <c r="B9" s="7">
        <f t="shared" si="0"/>
        <v>45812</v>
      </c>
      <c r="C9" s="4">
        <v>0.34027777777777779</v>
      </c>
      <c r="D9" s="4">
        <v>0.68125000000000002</v>
      </c>
      <c r="E9" s="4">
        <f>IF(Tableau6_2025[[#This Row],[Arrivée]]&lt;&gt;"",_TpsPause,0)</f>
        <v>4.1666666666666664E-2</v>
      </c>
      <c r="H9">
        <v>26</v>
      </c>
      <c r="I9" s="14">
        <v>5.5555555555555303E-2</v>
      </c>
      <c r="J9" s="15">
        <v>1.3333333333333273</v>
      </c>
      <c r="K9"/>
    </row>
    <row r="10" spans="2:11" x14ac:dyDescent="0.4">
      <c r="B10" s="7">
        <f t="shared" si="0"/>
        <v>45813</v>
      </c>
      <c r="C10" s="4">
        <v>0.34236111111111112</v>
      </c>
      <c r="D10" s="4">
        <v>0.67986111111111114</v>
      </c>
      <c r="E10" s="4">
        <f>IF(Tableau6_2025[[#This Row],[Arrivée]]&lt;&gt;"",_TpsPause,0)</f>
        <v>4.1666666666666664E-2</v>
      </c>
      <c r="H10">
        <v>27</v>
      </c>
      <c r="I10" s="14">
        <v>2.2222222222222143E-2</v>
      </c>
      <c r="J10" s="15">
        <v>0.53333333333333144</v>
      </c>
      <c r="K10"/>
    </row>
    <row r="11" spans="2:11" x14ac:dyDescent="0.4">
      <c r="B11" s="7">
        <f t="shared" si="0"/>
        <v>45814</v>
      </c>
      <c r="C11" s="4">
        <v>0.34861111111111109</v>
      </c>
      <c r="D11" s="4">
        <v>0.67777777777777781</v>
      </c>
      <c r="E11" s="4">
        <f>IF(Tableau6_2025[[#This Row],[Arrivée]]&lt;&gt;"",_TpsPause,0)</f>
        <v>4.1666666666666664E-2</v>
      </c>
      <c r="H11" t="s">
        <v>36</v>
      </c>
      <c r="I11" s="14">
        <v>0.33402777777777698</v>
      </c>
      <c r="J11" s="15">
        <v>8.016666666666648</v>
      </c>
      <c r="K11"/>
    </row>
    <row r="12" spans="2:11" x14ac:dyDescent="0.4">
      <c r="B12" s="7">
        <f t="shared" si="0"/>
        <v>45815</v>
      </c>
      <c r="C12" s="4"/>
      <c r="D12" s="4"/>
      <c r="E12" s="4">
        <f>IF(Tableau6_2025[[#This Row],[Arrivée]]&lt;&gt;"",_TpsPause,0)</f>
        <v>0</v>
      </c>
      <c r="H12"/>
      <c r="I12"/>
      <c r="J12"/>
    </row>
    <row r="13" spans="2:11" x14ac:dyDescent="0.4">
      <c r="B13" s="7">
        <f t="shared" si="0"/>
        <v>45816</v>
      </c>
      <c r="C13" s="4"/>
      <c r="D13" s="4"/>
      <c r="E13" s="4">
        <f>IF(Tableau6_2025[[#This Row],[Arrivée]]&lt;&gt;"",_TpsPause,0)</f>
        <v>0</v>
      </c>
      <c r="H13"/>
      <c r="I13"/>
      <c r="J13"/>
    </row>
    <row r="14" spans="2:11" x14ac:dyDescent="0.4">
      <c r="B14" s="7">
        <f t="shared" si="0"/>
        <v>45817</v>
      </c>
      <c r="C14" s="4">
        <v>0.35416666666666669</v>
      </c>
      <c r="D14" s="4">
        <v>0.69236111111111109</v>
      </c>
      <c r="E14" s="4">
        <f>IF(Tableau6_2025[[#This Row],[Arrivée]]&lt;&gt;"",_TpsPause,0)</f>
        <v>4.1666666666666664E-2</v>
      </c>
      <c r="H14"/>
      <c r="I14"/>
      <c r="J14"/>
    </row>
    <row r="15" spans="2:11" x14ac:dyDescent="0.4">
      <c r="B15" s="7">
        <f t="shared" si="0"/>
        <v>45818</v>
      </c>
      <c r="C15" s="4">
        <v>0.35347222222222224</v>
      </c>
      <c r="D15" s="4">
        <v>0.69305555555555554</v>
      </c>
      <c r="E15" s="4">
        <f>IF(Tableau6_2025[[#This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45819</v>
      </c>
      <c r="C16" s="4">
        <v>0.34791666666666665</v>
      </c>
      <c r="D16" s="4">
        <v>0.71319444444444446</v>
      </c>
      <c r="E16" s="4">
        <f>IF(Tableau6_2025[[#This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45820</v>
      </c>
      <c r="C17" s="4">
        <v>0.34513888888888888</v>
      </c>
      <c r="D17" s="4">
        <v>0.68958333333333333</v>
      </c>
      <c r="E17" s="4">
        <f>IF(Tableau6_2025[[#This Row],[Arrivée]]&lt;&gt;"",_TpsPause,0)</f>
        <v>4.1666666666666664E-2</v>
      </c>
      <c r="H17"/>
      <c r="I17"/>
      <c r="J17"/>
    </row>
    <row r="18" spans="2:11" x14ac:dyDescent="0.4">
      <c r="B18" s="7">
        <f t="shared" si="0"/>
        <v>45821</v>
      </c>
      <c r="C18" s="4">
        <v>0.34722222222222221</v>
      </c>
      <c r="D18" s="4">
        <v>0.68263888888888891</v>
      </c>
      <c r="E18" s="4">
        <f>IF(Tableau6_2025[[#This Row],[Arrivée]]&lt;&gt;"",_TpsPause,0)</f>
        <v>4.1666666666666664E-2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45822</v>
      </c>
      <c r="C19" s="4"/>
      <c r="D19" s="4"/>
      <c r="E19" s="4">
        <f>IF(Tableau6_2025[[#This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45823</v>
      </c>
      <c r="C20" s="4"/>
      <c r="D20" s="4"/>
      <c r="E20" s="4">
        <f>IF(Tableau6_2025[[#This Row],[Arrivée]]&lt;&gt;"",_TpsPause,0)</f>
        <v>0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45824</v>
      </c>
      <c r="C21" s="4">
        <v>0</v>
      </c>
      <c r="D21" s="4">
        <v>4.1666666666666664E-2</v>
      </c>
      <c r="E21" s="4">
        <f>IF(Tableau6_2025[[#This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45825</v>
      </c>
      <c r="C22" s="4">
        <v>0.34513888888888888</v>
      </c>
      <c r="D22" s="4">
        <v>0.69513888888888886</v>
      </c>
      <c r="E22" s="4">
        <f>IF(Tableau6_2025[[#This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45826</v>
      </c>
      <c r="C23" s="4">
        <v>0.33819444444444446</v>
      </c>
      <c r="D23" s="4">
        <v>0.7104166666666667</v>
      </c>
      <c r="E23" s="4">
        <f>IF(Tableau6_2025[[#This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45827</v>
      </c>
      <c r="C24" s="4">
        <v>0.37291666666666667</v>
      </c>
      <c r="D24" s="4">
        <v>0.7104166666666667</v>
      </c>
      <c r="E24" s="4">
        <f>IF(Tableau6_2025[[#This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45828</v>
      </c>
      <c r="C25" s="4">
        <v>0.34166666666666667</v>
      </c>
      <c r="D25" s="4">
        <v>0.68680555555555556</v>
      </c>
      <c r="E25" s="4">
        <f>IF(Tableau6_2025[[#This Row],[Arrivée]]&lt;&gt;"",_TpsPause,0)</f>
        <v>4.1666666666666664E-2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45829</v>
      </c>
      <c r="C26" s="4"/>
      <c r="D26" s="4"/>
      <c r="E26" s="4">
        <f>IF(Tableau6_2025[[#This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45830</v>
      </c>
      <c r="C27" s="4"/>
      <c r="D27" s="4"/>
      <c r="E27" s="4">
        <f>IF(Tableau6_2025[[#This Row],[Arrivée]]&lt;&gt;"",_TpsPause,0)</f>
        <v>0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45831</v>
      </c>
      <c r="C28" s="4">
        <v>0</v>
      </c>
      <c r="D28" s="4">
        <v>4.1666666666666664E-2</v>
      </c>
      <c r="E28" s="4">
        <f>IF(Tableau6_2025[[#This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45832</v>
      </c>
      <c r="C29" s="4">
        <v>0.34513888888888888</v>
      </c>
      <c r="D29" s="4">
        <v>0.69305555555555554</v>
      </c>
      <c r="E29" s="4">
        <f>IF(Tableau6_2025[[#This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45833</v>
      </c>
      <c r="C30" s="4">
        <v>0.34930555555555554</v>
      </c>
      <c r="D30" s="4">
        <v>0.69652777777777775</v>
      </c>
      <c r="E30" s="4">
        <f>IF(Tableau6_2025[[#This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45834</v>
      </c>
      <c r="C31" s="4">
        <v>0.34513888888888888</v>
      </c>
      <c r="D31" s="4">
        <v>0.69652777777777775</v>
      </c>
      <c r="E31" s="4">
        <f>IF(Tableau6_2025[[#This Row],[Arrivée]]&lt;&gt;"",_TpsPause,0)</f>
        <v>4.1666666666666664E-2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45835</v>
      </c>
      <c r="C32" s="4">
        <v>0.3576388888888889</v>
      </c>
      <c r="D32" s="4">
        <v>0.7</v>
      </c>
      <c r="E32" s="4">
        <f>IF(Tableau6_2025[[#This Row],[Arrivée]]&lt;&gt;"",_TpsPause,0)</f>
        <v>4.1666666666666664E-2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45836</v>
      </c>
      <c r="C33" s="4"/>
      <c r="D33" s="4"/>
      <c r="E33" s="4">
        <f>IF(Tableau6_2025[[#This Row],[Arrivée]]&lt;&gt;"",_TpsPause,0)</f>
        <v>0</v>
      </c>
      <c r="H33"/>
      <c r="I33"/>
      <c r="J33"/>
    </row>
    <row r="34" spans="2:10" x14ac:dyDescent="0.4">
      <c r="B34" s="7">
        <f>IFERROR(IF(MONTH(B33+1)=MONTH($B$6),B33+1,""),"")</f>
        <v>45837</v>
      </c>
      <c r="C34" s="4"/>
      <c r="D34" s="4"/>
      <c r="E34" s="4">
        <f>IF(Tableau6_2025[[#This Row],[Arrivée]]&lt;&gt;"",_TpsPause,0)</f>
        <v>0</v>
      </c>
      <c r="H34"/>
      <c r="I34"/>
      <c r="J34"/>
    </row>
    <row r="35" spans="2:10" x14ac:dyDescent="0.4">
      <c r="B35" s="7">
        <f t="shared" ref="B35:B36" si="1">IFERROR(IF(MONTH(B34+1)=MONTH($B$6),B34+1,""),"")</f>
        <v>45838</v>
      </c>
      <c r="C35" s="4">
        <v>0.34583333333333333</v>
      </c>
      <c r="D35" s="4">
        <v>0.70138888888888884</v>
      </c>
      <c r="E35" s="4">
        <f>IF(Tableau6_2025[[#This Row],[Arrivée]]&lt;&gt;"",_TpsPause,0)</f>
        <v>4.1666666666666664E-2</v>
      </c>
      <c r="H35"/>
      <c r="I35"/>
      <c r="J35"/>
    </row>
    <row r="36" spans="2:10" x14ac:dyDescent="0.4">
      <c r="B36" s="7" t="str">
        <f t="shared" si="1"/>
        <v/>
      </c>
      <c r="C36" s="4"/>
      <c r="D36" s="4"/>
      <c r="E36" s="4">
        <f>IF(Tableau6_2025[[#This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9" priority="1">
      <formula>COUNTIF(l_Feries,$B6)</formula>
    </cfRule>
    <cfRule type="expression" dxfId="18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E90BEFA1-C132-4136-BF82-1197AE51D54C}">
      <formula1>"Formule"</formula1>
    </dataValidation>
    <dataValidation type="custom" allowBlank="1" showInputMessage="1" showErrorMessage="1" error="Cette cellule contient une formule de calcul." sqref="B6:B36" xr:uid="{B08FFA3E-DBAA-462B-A498-24E47D6CAFB5}">
      <formula1>"formule"</formula1>
    </dataValidation>
    <dataValidation allowBlank="1" showInputMessage="1" showErrorMessage="1" prompt="Sélectionner une année à l'aide de la toupie, ci-contre." sqref="C2" xr:uid="{D6D014AA-F90D-456E-B471-03A442123D1D}"/>
    <dataValidation type="list" allowBlank="1" showInputMessage="1" showErrorMessage="1" prompt="Sélectionner un mois à l'aide de la liste déroulante." sqref="C3" xr:uid="{A888E05D-87D8-4BE9-9526-2ED7E7C0ECD3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A9660-A34E-459A-850A-6A1184D3D169}">
  <dimension ref="B2:K41"/>
  <sheetViews>
    <sheetView showGridLines="0" showZeros="0" topLeftCell="A25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10</v>
      </c>
      <c r="H3" s="13" t="s">
        <v>4</v>
      </c>
      <c r="I3" t="s">
        <v>46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45839</v>
      </c>
      <c r="C6" s="4">
        <v>0.34305555555555556</v>
      </c>
      <c r="D6" s="4">
        <v>0.69305555555555554</v>
      </c>
      <c r="E6" s="4">
        <f>IF(Tableau7_2025[[#This Row],[Arrivée]]&lt;&gt;"",_TpsPause,0)</f>
        <v>4.1666666666666664E-2</v>
      </c>
      <c r="H6">
        <v>27</v>
      </c>
      <c r="I6" s="14">
        <v>6.5277777777777657E-2</v>
      </c>
      <c r="J6" s="15">
        <v>1.5666666666666638</v>
      </c>
      <c r="K6"/>
    </row>
    <row r="7" spans="2:11" x14ac:dyDescent="0.4">
      <c r="B7" s="7">
        <f>B6+1</f>
        <v>45840</v>
      </c>
      <c r="C7" s="4">
        <v>0.33333333333333331</v>
      </c>
      <c r="D7" s="4">
        <v>0.6958333333333333</v>
      </c>
      <c r="E7" s="4">
        <f>IF(Tableau7_2025[[#This Row],[Arrivée]]&lt;&gt;"",_TpsPause,0)</f>
        <v>4.1666666666666664E-2</v>
      </c>
      <c r="H7">
        <v>28</v>
      </c>
      <c r="I7" s="14">
        <v>8.6111111111110805E-2</v>
      </c>
      <c r="J7" s="15">
        <v>2.0666666666666593</v>
      </c>
      <c r="K7"/>
    </row>
    <row r="8" spans="2:11" x14ac:dyDescent="0.4">
      <c r="B8" s="7">
        <f t="shared" ref="B8:B33" si="0">B7+1</f>
        <v>45841</v>
      </c>
      <c r="C8" s="4">
        <v>0.34444444444444444</v>
      </c>
      <c r="D8" s="4">
        <v>0.68888888888888888</v>
      </c>
      <c r="E8" s="4">
        <f>IF(Tableau7_2025[[#This Row],[Arrivée]]&lt;&gt;"",_TpsPause,0)</f>
        <v>4.1666666666666664E-2</v>
      </c>
      <c r="H8">
        <v>29</v>
      </c>
      <c r="I8" s="14">
        <v>0.1999999999999999</v>
      </c>
      <c r="J8" s="15">
        <v>4.7999999999999972</v>
      </c>
      <c r="K8"/>
    </row>
    <row r="9" spans="2:11" x14ac:dyDescent="0.4">
      <c r="B9" s="7">
        <f t="shared" si="0"/>
        <v>45842</v>
      </c>
      <c r="C9" s="4">
        <v>0.33541666666666664</v>
      </c>
      <c r="D9" s="4">
        <v>0.67708333333333337</v>
      </c>
      <c r="E9" s="4">
        <f>IF(Tableau7_2025[[#This Row],[Arrivée]]&lt;&gt;"",_TpsPause,0)</f>
        <v>4.1666666666666664E-2</v>
      </c>
      <c r="H9">
        <v>30</v>
      </c>
      <c r="I9" s="14">
        <v>0.1499999999999998</v>
      </c>
      <c r="J9" s="15">
        <v>3.5999999999999952</v>
      </c>
      <c r="K9"/>
    </row>
    <row r="10" spans="2:11" x14ac:dyDescent="0.4">
      <c r="B10" s="7">
        <f t="shared" si="0"/>
        <v>45843</v>
      </c>
      <c r="C10" s="4"/>
      <c r="D10" s="4"/>
      <c r="E10" s="4">
        <f>IF(Tableau7_2025[[#This Row],[Arrivée]]&lt;&gt;"",_TpsPause,0)</f>
        <v>0</v>
      </c>
      <c r="H10">
        <v>31</v>
      </c>
      <c r="I10" s="14">
        <v>0.1812499999999998</v>
      </c>
      <c r="J10" s="15">
        <v>4.3499999999999952</v>
      </c>
      <c r="K10"/>
    </row>
    <row r="11" spans="2:11" x14ac:dyDescent="0.4">
      <c r="B11" s="7">
        <f t="shared" si="0"/>
        <v>45844</v>
      </c>
      <c r="C11" s="4"/>
      <c r="D11" s="4"/>
      <c r="E11" s="4">
        <f>IF(Tableau7_2025[[#This Row],[Arrivée]]&lt;&gt;"",_TpsPause,0)</f>
        <v>0</v>
      </c>
      <c r="H11" t="s">
        <v>36</v>
      </c>
      <c r="I11" s="14">
        <v>0.68263888888888802</v>
      </c>
      <c r="J11" s="15">
        <v>16.383333333333308</v>
      </c>
      <c r="K11"/>
    </row>
    <row r="12" spans="2:11" x14ac:dyDescent="0.4">
      <c r="B12" s="7">
        <f t="shared" si="0"/>
        <v>45845</v>
      </c>
      <c r="C12" s="4">
        <v>0.34375</v>
      </c>
      <c r="D12" s="4">
        <v>0.69305555555555554</v>
      </c>
      <c r="E12" s="4">
        <f>IF(Tableau7_2025[[#This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45846</v>
      </c>
      <c r="C13" s="4">
        <v>0.34236111111111112</v>
      </c>
      <c r="D13" s="4">
        <v>0.68611111111111112</v>
      </c>
      <c r="E13" s="4">
        <f>IF(Tableau7_2025[[#This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45847</v>
      </c>
      <c r="C14" s="4">
        <v>0.34166666666666667</v>
      </c>
      <c r="D14" s="4">
        <v>0.70277777777777772</v>
      </c>
      <c r="E14" s="4">
        <f>IF(Tableau7_2025[[#This Row],[Arrivée]]&lt;&gt;"",_TpsPause,0)</f>
        <v>4.1666666666666664E-2</v>
      </c>
      <c r="H14"/>
      <c r="I14"/>
      <c r="J14"/>
    </row>
    <row r="15" spans="2:11" x14ac:dyDescent="0.4">
      <c r="B15" s="7">
        <f t="shared" si="0"/>
        <v>45848</v>
      </c>
      <c r="C15" s="4">
        <v>0.34236111111111112</v>
      </c>
      <c r="D15" s="4">
        <v>0.69722222222222219</v>
      </c>
      <c r="E15" s="4">
        <f>IF(Tableau7_2025[[#This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45849</v>
      </c>
      <c r="C16" s="4">
        <v>0.33680555555555558</v>
      </c>
      <c r="D16" s="4">
        <v>0.68055555555555558</v>
      </c>
      <c r="E16" s="4">
        <f>IF(Tableau7_2025[[#This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45850</v>
      </c>
      <c r="C17" s="4"/>
      <c r="D17" s="4"/>
      <c r="E17" s="4">
        <f>IF(Tableau7_2025[[#This Row],[Arrivée]]&lt;&gt;"",_TpsPause,0)</f>
        <v>0</v>
      </c>
      <c r="H17"/>
      <c r="I17"/>
      <c r="J17"/>
    </row>
    <row r="18" spans="2:11" x14ac:dyDescent="0.4">
      <c r="B18" s="7">
        <f t="shared" si="0"/>
        <v>45851</v>
      </c>
      <c r="C18" s="4"/>
      <c r="D18" s="4"/>
      <c r="E18" s="4">
        <f>IF(Tableau7_2025[[#This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45852</v>
      </c>
      <c r="C19" s="4">
        <v>0.33333333333333331</v>
      </c>
      <c r="D19" s="4">
        <v>0.6875</v>
      </c>
      <c r="E19" s="4">
        <f>IF(Tableau7_2025[[#This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45853</v>
      </c>
      <c r="C20" s="4">
        <v>0.34305555555555556</v>
      </c>
      <c r="D20" s="4">
        <v>0.7270833333333333</v>
      </c>
      <c r="E20" s="4">
        <f>IF(Tableau7_2025[[#This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45854</v>
      </c>
      <c r="C21" s="4">
        <v>0.33263888888888887</v>
      </c>
      <c r="D21" s="4">
        <v>0.75763888888888886</v>
      </c>
      <c r="E21" s="4">
        <f>IF(Tableau7_2025[[#This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45855</v>
      </c>
      <c r="C22" s="4">
        <v>0.33541666666666664</v>
      </c>
      <c r="D22" s="4">
        <v>0.7055555555555556</v>
      </c>
      <c r="E22" s="4">
        <f>IF(Tableau7_2025[[#This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45856</v>
      </c>
      <c r="C23" s="4">
        <v>0.33611111111111114</v>
      </c>
      <c r="D23" s="4">
        <v>0.57152777777777775</v>
      </c>
      <c r="E23" s="4">
        <f>IF(Tableau7_2025[[#This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45857</v>
      </c>
      <c r="C24" s="4"/>
      <c r="D24" s="4"/>
      <c r="E24" s="4">
        <f>IF(Tableau7_2025[[#This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45858</v>
      </c>
      <c r="C25" s="4"/>
      <c r="D25" s="4"/>
      <c r="E25" s="4">
        <f>IF(Tableau7_2025[[#This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45859</v>
      </c>
      <c r="C26" s="4">
        <v>0.33888888888888891</v>
      </c>
      <c r="D26" s="4">
        <v>0.70277777777777772</v>
      </c>
      <c r="E26" s="4">
        <f>IF(Tableau7_2025[[#This Row],[Arrivée]]&lt;&gt;"",_TpsPause,0)</f>
        <v>4.1666666666666664E-2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45860</v>
      </c>
      <c r="C27" s="4">
        <v>0.33888888888888891</v>
      </c>
      <c r="D27" s="4">
        <v>0.70902777777777781</v>
      </c>
      <c r="E27" s="4">
        <f>IF(Tableau7_2025[[#This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45861</v>
      </c>
      <c r="C28" s="4">
        <v>0.33611111111111114</v>
      </c>
      <c r="D28" s="4">
        <v>0.71666666666666667</v>
      </c>
      <c r="E28" s="4">
        <f>IF(Tableau7_2025[[#This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45862</v>
      </c>
      <c r="C29" s="4">
        <v>0.34444444444444444</v>
      </c>
      <c r="D29" s="4">
        <v>0.71319444444444446</v>
      </c>
      <c r="E29" s="4">
        <f>IF(Tableau7_2025[[#This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45863</v>
      </c>
      <c r="C30" s="4">
        <v>0.3347222222222222</v>
      </c>
      <c r="D30" s="4">
        <v>0.57013888888888886</v>
      </c>
      <c r="E30" s="4">
        <f>IF(Tableau7_2025[[#This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45864</v>
      </c>
      <c r="C31" s="4"/>
      <c r="D31" s="4"/>
      <c r="E31" s="4">
        <f>IF(Tableau7_2025[[#This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45865</v>
      </c>
      <c r="C32" s="4"/>
      <c r="D32" s="4"/>
      <c r="E32" s="4">
        <f>IF(Tableau7_2025[[#This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45866</v>
      </c>
      <c r="C33" s="4">
        <v>0.34097222222222223</v>
      </c>
      <c r="D33" s="4">
        <v>0.69930555555555551</v>
      </c>
      <c r="E33" s="4">
        <f>IF(Tableau7_2025[[#This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45867</v>
      </c>
      <c r="C34" s="4">
        <v>0.34097222222222223</v>
      </c>
      <c r="D34" s="4">
        <v>0.71458333333333335</v>
      </c>
      <c r="E34" s="4">
        <f>IF(Tableau7_2025[[#This Row],[Arrivée]]&lt;&gt;"",_TpsPause,0)</f>
        <v>4.1666666666666664E-2</v>
      </c>
      <c r="H34"/>
      <c r="I34"/>
      <c r="J34"/>
    </row>
    <row r="35" spans="2:10" x14ac:dyDescent="0.4">
      <c r="B35" s="7">
        <f t="shared" ref="B35:B36" si="1">IFERROR(IF(MONTH(B34+1)=MONTH($B$6),B34+1,""),"")</f>
        <v>45868</v>
      </c>
      <c r="C35" s="4">
        <v>0.34305555555555556</v>
      </c>
      <c r="D35" s="4">
        <v>0.73124999999999996</v>
      </c>
      <c r="E35" s="4">
        <f>IF(Tableau7_2025[[#This Row],[Arrivée]]&lt;&gt;"",_TpsPause,0)</f>
        <v>4.1666666666666664E-2</v>
      </c>
      <c r="H35"/>
      <c r="I35"/>
      <c r="J35"/>
    </row>
    <row r="36" spans="2:10" x14ac:dyDescent="0.4">
      <c r="B36" s="7">
        <f t="shared" si="1"/>
        <v>45869</v>
      </c>
      <c r="C36" s="4">
        <v>0.34513888888888888</v>
      </c>
      <c r="D36" s="4">
        <v>0.73958333333333337</v>
      </c>
      <c r="E36" s="4">
        <f>IF(Tableau7_2025[[#This Row],[Arrivée]]&lt;&gt;"",_TpsPause,0)</f>
        <v>4.1666666666666664E-2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7" priority="1">
      <formula>COUNTIF(l_Feries,$B6)</formula>
    </cfRule>
    <cfRule type="expression" dxfId="16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EC9E144B-5CE1-479F-A8D8-1CD432924DF8}">
      <formula1>"Formule"</formula1>
    </dataValidation>
    <dataValidation type="custom" allowBlank="1" showInputMessage="1" showErrorMessage="1" error="Cette cellule contient une formule de calcul." sqref="B6:B36" xr:uid="{A453E3A2-FF4D-472D-865C-7ED9702AE14D}">
      <formula1>"formule"</formula1>
    </dataValidation>
    <dataValidation allowBlank="1" showInputMessage="1" showErrorMessage="1" prompt="Sélectionner une année à l'aide de la toupie, ci-contre." sqref="C2" xr:uid="{7613EC6F-75E7-4DCD-BC7B-11A818F657AF}"/>
    <dataValidation type="list" allowBlank="1" showInputMessage="1" showErrorMessage="1" prompt="Sélectionner un mois à l'aide de la liste déroulante." sqref="C3" xr:uid="{5AD88EA4-2559-4337-BC77-1154BCC97E93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F9521-F271-4FB3-9762-5913A51D32C5}">
  <dimension ref="B2:K41"/>
  <sheetViews>
    <sheetView showGridLines="0" showZeros="0" topLeftCell="A22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11</v>
      </c>
      <c r="H3" s="13" t="s">
        <v>4</v>
      </c>
      <c r="I3" t="s">
        <v>47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45870</v>
      </c>
      <c r="C6" s="4">
        <v>0.33888888888888891</v>
      </c>
      <c r="D6" s="4">
        <v>0.59513888888888888</v>
      </c>
      <c r="E6" s="4">
        <f>IF(Tableau8_2025[[#This Row],[Arrivée]]&lt;&gt;"",_TpsPause,0)</f>
        <v>4.1666666666666664E-2</v>
      </c>
      <c r="H6">
        <v>32</v>
      </c>
      <c r="I6" s="14">
        <v>0.16805555555555535</v>
      </c>
      <c r="J6" s="15">
        <v>4.0333333333333279</v>
      </c>
      <c r="K6"/>
    </row>
    <row r="7" spans="2:11" x14ac:dyDescent="0.4">
      <c r="B7" s="7">
        <f>B6+1</f>
        <v>45871</v>
      </c>
      <c r="C7" s="4"/>
      <c r="D7" s="4"/>
      <c r="E7" s="4">
        <f>IF(Tableau8_2025[[#This Row],[Arrivée]]&lt;&gt;"",_TpsPause,0)</f>
        <v>0</v>
      </c>
      <c r="H7">
        <v>33</v>
      </c>
      <c r="I7" s="14">
        <v>0.1902777777777776</v>
      </c>
      <c r="J7" s="15">
        <v>4.5666666666666629</v>
      </c>
      <c r="K7"/>
    </row>
    <row r="8" spans="2:11" x14ac:dyDescent="0.4">
      <c r="B8" s="7">
        <f t="shared" ref="B8:B33" si="0">B7+1</f>
        <v>45872</v>
      </c>
      <c r="C8" s="4"/>
      <c r="D8" s="4"/>
      <c r="E8" s="4">
        <f>IF(Tableau8_2025[[#This Row],[Arrivée]]&lt;&gt;"",_TpsPause,0)</f>
        <v>0</v>
      </c>
      <c r="H8">
        <v>34</v>
      </c>
      <c r="I8" s="14">
        <v>0.16597222222222208</v>
      </c>
      <c r="J8" s="15">
        <v>3.9833333333333298</v>
      </c>
      <c r="K8"/>
    </row>
    <row r="9" spans="2:11" x14ac:dyDescent="0.4">
      <c r="B9" s="7">
        <f t="shared" si="0"/>
        <v>45873</v>
      </c>
      <c r="C9" s="4">
        <v>0.33750000000000002</v>
      </c>
      <c r="D9" s="4">
        <v>0.69652777777777775</v>
      </c>
      <c r="E9" s="4">
        <f>IF(Tableau8_2025[[#This Row],[Arrivée]]&lt;&gt;"",_TpsPause,0)</f>
        <v>4.1666666666666664E-2</v>
      </c>
      <c r="H9">
        <v>35</v>
      </c>
      <c r="I9" s="14">
        <v>0.10624999999999968</v>
      </c>
      <c r="J9" s="15">
        <v>2.5499999999999923</v>
      </c>
      <c r="K9"/>
    </row>
    <row r="10" spans="2:11" x14ac:dyDescent="0.4">
      <c r="B10" s="7">
        <f t="shared" si="0"/>
        <v>45874</v>
      </c>
      <c r="C10" s="4">
        <v>0.3347222222222222</v>
      </c>
      <c r="D10" s="4">
        <v>0.72291666666666665</v>
      </c>
      <c r="E10" s="4">
        <f>IF(Tableau8_2025[[#This Row],[Arrivée]]&lt;&gt;"",_TpsPause,0)</f>
        <v>4.1666666666666664E-2</v>
      </c>
      <c r="H10" t="s">
        <v>36</v>
      </c>
      <c r="I10" s="14">
        <v>0.63055555555555465</v>
      </c>
      <c r="J10" s="15">
        <v>15.133333333333313</v>
      </c>
      <c r="K10"/>
    </row>
    <row r="11" spans="2:11" x14ac:dyDescent="0.4">
      <c r="B11" s="7">
        <f t="shared" si="0"/>
        <v>45875</v>
      </c>
      <c r="C11" s="4">
        <v>0.33819444444444446</v>
      </c>
      <c r="D11" s="4">
        <v>0.72083333333333333</v>
      </c>
      <c r="E11" s="4">
        <f>IF(Tableau8_2025[[#This Row],[Arrivée]]&lt;&gt;"",_TpsPause,0)</f>
        <v>4.1666666666666664E-2</v>
      </c>
      <c r="H11"/>
      <c r="I11"/>
      <c r="J11"/>
      <c r="K11"/>
    </row>
    <row r="12" spans="2:11" x14ac:dyDescent="0.4">
      <c r="B12" s="7">
        <f t="shared" si="0"/>
        <v>45876</v>
      </c>
      <c r="C12" s="4">
        <v>0.33680555555555558</v>
      </c>
      <c r="D12" s="4">
        <v>0.70833333333333337</v>
      </c>
      <c r="E12" s="4">
        <f>IF(Tableau8_2025[[#This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45877</v>
      </c>
      <c r="C13" s="4">
        <v>0.33541666666666664</v>
      </c>
      <c r="D13" s="4">
        <v>0.58611111111111114</v>
      </c>
      <c r="E13" s="4">
        <f>IF(Tableau8_2025[[#This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45878</v>
      </c>
      <c r="C14" s="4"/>
      <c r="D14" s="4"/>
      <c r="E14" s="4">
        <f>IF(Tableau8_2025[[#This Row],[Arrivée]]&lt;&gt;"",_TpsPause,0)</f>
        <v>0</v>
      </c>
      <c r="H14"/>
      <c r="I14"/>
      <c r="J14"/>
    </row>
    <row r="15" spans="2:11" x14ac:dyDescent="0.4">
      <c r="B15" s="7">
        <f t="shared" si="0"/>
        <v>45879</v>
      </c>
      <c r="C15" s="4"/>
      <c r="D15" s="4"/>
      <c r="E15" s="4">
        <f>IF(Tableau8_2025[[#This Row],[Arrivée]]&lt;&gt;"",_TpsPause,0)</f>
        <v>0</v>
      </c>
      <c r="H15"/>
      <c r="I15"/>
      <c r="J15"/>
    </row>
    <row r="16" spans="2:11" x14ac:dyDescent="0.4">
      <c r="B16" s="7">
        <f t="shared" si="0"/>
        <v>45880</v>
      </c>
      <c r="C16" s="4">
        <v>0.33958333333333335</v>
      </c>
      <c r="D16" s="4">
        <v>0.70138888888888884</v>
      </c>
      <c r="E16" s="4">
        <f>IF(Tableau8_2025[[#This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45881</v>
      </c>
      <c r="C17" s="4">
        <v>0.34236111111111112</v>
      </c>
      <c r="D17" s="4">
        <v>0.71180555555555558</v>
      </c>
      <c r="E17" s="4">
        <f>IF(Tableau8_2025[[#This Row],[Arrivée]]&lt;&gt;"",_TpsPause,0)</f>
        <v>4.1666666666666664E-2</v>
      </c>
      <c r="H17"/>
      <c r="I17"/>
      <c r="J17"/>
    </row>
    <row r="18" spans="2:11" x14ac:dyDescent="0.4">
      <c r="B18" s="7">
        <f t="shared" si="0"/>
        <v>45882</v>
      </c>
      <c r="C18" s="4">
        <v>0.33958333333333335</v>
      </c>
      <c r="D18" s="4">
        <v>0.71805555555555556</v>
      </c>
      <c r="E18" s="4">
        <f>IF(Tableau8_2025[[#This Row],[Arrivée]]&lt;&gt;"",_TpsPause,0)</f>
        <v>4.1666666666666664E-2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45883</v>
      </c>
      <c r="C19" s="4">
        <v>0.35694444444444445</v>
      </c>
      <c r="D19" s="4">
        <v>0.77083333333333337</v>
      </c>
      <c r="E19" s="4">
        <f>IF(Tableau8_2025[[#This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45884</v>
      </c>
      <c r="C20" s="4">
        <v>0.33333333333333331</v>
      </c>
      <c r="D20" s="4">
        <v>0.58333333333333337</v>
      </c>
      <c r="E20" s="4">
        <f>IF(Tableau8_2025[[#This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45885</v>
      </c>
      <c r="C21" s="4"/>
      <c r="D21" s="4"/>
      <c r="E21" s="4">
        <f>IF(Tableau8_2025[[#This Row],[Arrivée]]&lt;&gt;"",_TpsPause,0)</f>
        <v>0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45886</v>
      </c>
      <c r="C22" s="4"/>
      <c r="D22" s="4"/>
      <c r="E22" s="4">
        <f>IF(Tableau8_2025[[#This Row],[Arrivée]]&lt;&gt;"",_TpsPause,0)</f>
        <v>0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45887</v>
      </c>
      <c r="C23" s="4">
        <v>0.34027777777777779</v>
      </c>
      <c r="D23" s="4">
        <v>0.72222222222222221</v>
      </c>
      <c r="E23" s="4">
        <f>IF(Tableau8_2025[[#This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45888</v>
      </c>
      <c r="C24" s="4">
        <v>0.33541666666666664</v>
      </c>
      <c r="D24" s="4">
        <v>0.71180555555555558</v>
      </c>
      <c r="E24" s="4">
        <f>IF(Tableau8_2025[[#This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45889</v>
      </c>
      <c r="C25" s="4">
        <v>0.33263888888888887</v>
      </c>
      <c r="D25" s="4">
        <v>0.71597222222222223</v>
      </c>
      <c r="E25" s="4">
        <f>IF(Tableau8_2025[[#This Row],[Arrivée]]&lt;&gt;"",_TpsPause,0)</f>
        <v>4.1666666666666664E-2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45890</v>
      </c>
      <c r="C26" s="4">
        <v>0.33819444444444446</v>
      </c>
      <c r="D26" s="4">
        <v>0.6958333333333333</v>
      </c>
      <c r="E26" s="4">
        <f>IF(Tableau8_2025[[#This Row],[Arrivée]]&lt;&gt;"",_TpsPause,0)</f>
        <v>4.1666666666666664E-2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45891</v>
      </c>
      <c r="C27" s="4">
        <v>0.33194444444444443</v>
      </c>
      <c r="D27" s="4">
        <v>0.58750000000000002</v>
      </c>
      <c r="E27" s="4">
        <f>IF(Tableau8_2025[[#This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45892</v>
      </c>
      <c r="C28" s="4"/>
      <c r="D28" s="4"/>
      <c r="E28" s="4">
        <f>IF(Tableau8_2025[[#This Row],[Arrivée]]&lt;&gt;"",_TpsPause,0)</f>
        <v>0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45893</v>
      </c>
      <c r="C29" s="4"/>
      <c r="D29" s="4"/>
      <c r="E29" s="4">
        <f>IF(Tableau8_2025[[#This Row],[Arrivée]]&lt;&gt;"",_TpsPause,0)</f>
        <v>0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45894</v>
      </c>
      <c r="C30" s="4">
        <v>0.34027777777777779</v>
      </c>
      <c r="D30" s="4">
        <v>0.70138888888888884</v>
      </c>
      <c r="E30" s="4">
        <f>IF(Tableau8_2025[[#This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45895</v>
      </c>
      <c r="C31" s="4">
        <v>0.33750000000000002</v>
      </c>
      <c r="D31" s="4">
        <v>0.69236111111111109</v>
      </c>
      <c r="E31" s="4">
        <f>IF(Tableau8_2025[[#This Row],[Arrivée]]&lt;&gt;"",_TpsPause,0)</f>
        <v>4.1666666666666664E-2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45896</v>
      </c>
      <c r="C32" s="4">
        <v>0.33819444444444446</v>
      </c>
      <c r="D32" s="4">
        <v>0.70694444444444449</v>
      </c>
      <c r="E32" s="4">
        <f>IF(Tableau8_2025[[#This Row],[Arrivée]]&lt;&gt;"",_TpsPause,0)</f>
        <v>4.1666666666666664E-2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45897</v>
      </c>
      <c r="C33" s="4">
        <v>0.33680555555555558</v>
      </c>
      <c r="D33" s="4">
        <v>0.68819444444444444</v>
      </c>
      <c r="E33" s="4">
        <f>IF(Tableau8_2025[[#This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45898</v>
      </c>
      <c r="C34" s="4">
        <v>0.35347222222222224</v>
      </c>
      <c r="D34" s="4">
        <v>0.69027777777777777</v>
      </c>
      <c r="E34" s="4">
        <f>IF(Tableau8_2025[[#This Row],[Arrivée]]&lt;&gt;"",_TpsPause,0)</f>
        <v>4.1666666666666664E-2</v>
      </c>
      <c r="H34"/>
      <c r="I34"/>
      <c r="J34"/>
    </row>
    <row r="35" spans="2:10" x14ac:dyDescent="0.4">
      <c r="B35" s="7">
        <f t="shared" ref="B35:B36" si="1">IFERROR(IF(MONTH(B34+1)=MONTH($B$6),B34+1,""),"")</f>
        <v>45899</v>
      </c>
      <c r="C35" s="4"/>
      <c r="D35" s="4"/>
      <c r="E35" s="4">
        <f>IF(Tableau8_2025[[#This Row],[Arrivée]]&lt;&gt;"",_TpsPause,0)</f>
        <v>0</v>
      </c>
      <c r="H35"/>
      <c r="I35"/>
      <c r="J35"/>
    </row>
    <row r="36" spans="2:10" x14ac:dyDescent="0.4">
      <c r="B36" s="7">
        <f t="shared" si="1"/>
        <v>45900</v>
      </c>
      <c r="C36" s="4"/>
      <c r="D36" s="4"/>
      <c r="E36" s="4">
        <f>IF(Tableau8_2025[[#This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5" priority="1">
      <formula>COUNTIF(l_Feries,$B6)</formula>
    </cfRule>
    <cfRule type="expression" dxfId="14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1E9C8C9C-BD3C-453E-8B8A-B8D3F1163FC2}">
      <formula1>"Formule"</formula1>
    </dataValidation>
    <dataValidation type="custom" allowBlank="1" showInputMessage="1" showErrorMessage="1" error="Cette cellule contient une formule de calcul." sqref="B6:B36" xr:uid="{88AE582F-BE24-418A-8CE7-24BE0B668D52}">
      <formula1>"formule"</formula1>
    </dataValidation>
    <dataValidation allowBlank="1" showInputMessage="1" showErrorMessage="1" prompt="Sélectionner une année à l'aide de la toupie, ci-contre." sqref="C2" xr:uid="{BD9F9D82-A5EE-4C88-BD34-4E0050BF7F70}"/>
    <dataValidation type="list" allowBlank="1" showInputMessage="1" showErrorMessage="1" prompt="Sélectionner un mois à l'aide de la liste déroulante." sqref="C3" xr:uid="{F1553D77-2073-4DB7-81A3-8CD3DA24CFDF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BD6EC5-5347-4E51-BB23-A64F1FF8614B}">
  <dimension ref="B2:K41"/>
  <sheetViews>
    <sheetView showGridLines="0" showZeros="0" topLeftCell="A22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12</v>
      </c>
      <c r="H3" s="13" t="s">
        <v>4</v>
      </c>
      <c r="I3" t="s">
        <v>48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45901</v>
      </c>
      <c r="C6" s="4">
        <v>0.34444444444444444</v>
      </c>
      <c r="D6" s="4">
        <v>0.71597222222222223</v>
      </c>
      <c r="E6" s="4">
        <f>IF(Tableau9_2025[[#This Row],[Arrivée]]&lt;&gt;"",_TpsPause,0)</f>
        <v>4.1666666666666664E-2</v>
      </c>
      <c r="H6">
        <v>36</v>
      </c>
      <c r="I6" s="14">
        <v>0.11666666666666653</v>
      </c>
      <c r="J6" s="15">
        <v>2.7999999999999967</v>
      </c>
      <c r="K6"/>
    </row>
    <row r="7" spans="2:11" x14ac:dyDescent="0.4">
      <c r="B7" s="7">
        <f>B6+1</f>
        <v>45902</v>
      </c>
      <c r="C7" s="4">
        <v>0.34444444444444444</v>
      </c>
      <c r="D7" s="4">
        <v>0.68611111111111112</v>
      </c>
      <c r="E7" s="4">
        <f>IF(Tableau9_2025[[#This Row],[Arrivée]]&lt;&gt;"",_TpsPause,0)</f>
        <v>4.1666666666666664E-2</v>
      </c>
      <c r="H7">
        <v>37</v>
      </c>
      <c r="I7" s="14">
        <v>0.13541666666666652</v>
      </c>
      <c r="J7" s="15">
        <v>3.2499999999999964</v>
      </c>
      <c r="K7"/>
    </row>
    <row r="8" spans="2:11" x14ac:dyDescent="0.4">
      <c r="B8" s="7">
        <f t="shared" ref="B8:B33" si="0">B7+1</f>
        <v>45903</v>
      </c>
      <c r="C8" s="4">
        <v>0.3347222222222222</v>
      </c>
      <c r="D8" s="4">
        <v>0.71319444444444446</v>
      </c>
      <c r="E8" s="4">
        <f>IF(Tableau9_2025[[#This Row],[Arrivée]]&lt;&gt;"",_TpsPause,0)</f>
        <v>4.1666666666666664E-2</v>
      </c>
      <c r="H8">
        <v>38</v>
      </c>
      <c r="I8" s="14">
        <v>0.16458333333333325</v>
      </c>
      <c r="J8" s="15">
        <v>3.949999999999998</v>
      </c>
      <c r="K8"/>
    </row>
    <row r="9" spans="2:11" x14ac:dyDescent="0.4">
      <c r="B9" s="7">
        <f t="shared" si="0"/>
        <v>45904</v>
      </c>
      <c r="C9" s="4">
        <v>0.34375</v>
      </c>
      <c r="D9" s="4">
        <v>0.70208333333333328</v>
      </c>
      <c r="E9" s="4">
        <f>IF(Tableau9_2025[[#This Row],[Arrivée]]&lt;&gt;"",_TpsPause,0)</f>
        <v>4.1666666666666664E-2</v>
      </c>
      <c r="H9">
        <v>39</v>
      </c>
      <c r="I9" s="14">
        <v>0.11180555555555521</v>
      </c>
      <c r="J9" s="15">
        <v>2.6833333333333251</v>
      </c>
      <c r="K9"/>
    </row>
    <row r="10" spans="2:11" x14ac:dyDescent="0.4">
      <c r="B10" s="7">
        <f t="shared" si="0"/>
        <v>45905</v>
      </c>
      <c r="C10" s="4">
        <v>0.34305555555555556</v>
      </c>
      <c r="D10" s="4">
        <v>0.62847222222222221</v>
      </c>
      <c r="E10" s="4">
        <f>IF(Tableau9_2025[[#This Row],[Arrivée]]&lt;&gt;"",_TpsPause,0)</f>
        <v>4.1666666666666664E-2</v>
      </c>
      <c r="H10">
        <v>40</v>
      </c>
      <c r="I10" s="14">
        <v>2.7777777777777679E-2</v>
      </c>
      <c r="J10" s="15">
        <v>0.6666666666666643</v>
      </c>
      <c r="K10"/>
    </row>
    <row r="11" spans="2:11" x14ac:dyDescent="0.4">
      <c r="B11" s="7">
        <f t="shared" si="0"/>
        <v>45906</v>
      </c>
      <c r="C11" s="4"/>
      <c r="D11" s="4"/>
      <c r="E11" s="4">
        <f>IF(Tableau9_2025[[#This Row],[Arrivée]]&lt;&gt;"",_TpsPause,0)</f>
        <v>0</v>
      </c>
      <c r="H11" t="s">
        <v>36</v>
      </c>
      <c r="I11" s="14">
        <v>0.55624999999999925</v>
      </c>
      <c r="J11" s="15">
        <v>13.34999999999998</v>
      </c>
      <c r="K11"/>
    </row>
    <row r="12" spans="2:11" x14ac:dyDescent="0.4">
      <c r="B12" s="7">
        <f t="shared" si="0"/>
        <v>45907</v>
      </c>
      <c r="C12" s="4"/>
      <c r="D12" s="4"/>
      <c r="E12" s="4">
        <f>IF(Tableau9_2025[[#This Row],[Arrivée]]&lt;&gt;"",_TpsPause,0)</f>
        <v>0</v>
      </c>
      <c r="H12"/>
      <c r="I12"/>
      <c r="J12"/>
    </row>
    <row r="13" spans="2:11" x14ac:dyDescent="0.4">
      <c r="B13" s="7">
        <f t="shared" si="0"/>
        <v>45908</v>
      </c>
      <c r="C13" s="4">
        <v>0.33541666666666664</v>
      </c>
      <c r="D13" s="4">
        <v>0.69305555555555554</v>
      </c>
      <c r="E13" s="4">
        <f>IF(Tableau9_2025[[#This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45909</v>
      </c>
      <c r="C14" s="4">
        <v>0.33333333333333331</v>
      </c>
      <c r="D14" s="4">
        <v>0.69444444444444442</v>
      </c>
      <c r="E14" s="4">
        <f>IF(Tableau9_2025[[#This Row],[Arrivée]]&lt;&gt;"",_TpsPause,0)</f>
        <v>4.1666666666666664E-2</v>
      </c>
      <c r="H14"/>
      <c r="I14"/>
      <c r="J14"/>
    </row>
    <row r="15" spans="2:11" x14ac:dyDescent="0.4">
      <c r="B15" s="7">
        <f t="shared" si="0"/>
        <v>45910</v>
      </c>
      <c r="C15" s="4">
        <v>0.32361111111111113</v>
      </c>
      <c r="D15" s="4">
        <v>0.69305555555555554</v>
      </c>
      <c r="E15" s="4">
        <f>IF(Tableau9_2025[[#This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45911</v>
      </c>
      <c r="C16" s="4">
        <v>0.33263888888888887</v>
      </c>
      <c r="D16" s="4">
        <v>0.71319444444444446</v>
      </c>
      <c r="E16" s="4">
        <f>IF(Tableau9_2025[[#This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45912</v>
      </c>
      <c r="C17" s="4">
        <v>0.33055555555555555</v>
      </c>
      <c r="D17" s="4">
        <v>0.58333333333333337</v>
      </c>
      <c r="E17" s="4">
        <f>IF(Tableau9_2025[[#This Row],[Arrivée]]&lt;&gt;"",_TpsPause,0)</f>
        <v>4.1666666666666664E-2</v>
      </c>
      <c r="H17"/>
      <c r="I17"/>
      <c r="J17"/>
    </row>
    <row r="18" spans="2:11" x14ac:dyDescent="0.4">
      <c r="B18" s="7">
        <f t="shared" si="0"/>
        <v>45913</v>
      </c>
      <c r="C18" s="4"/>
      <c r="D18" s="4"/>
      <c r="E18" s="4">
        <f>IF(Tableau9_2025[[#This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45914</v>
      </c>
      <c r="C19" s="4"/>
      <c r="D19" s="4"/>
      <c r="E19" s="4">
        <f>IF(Tableau9_2025[[#This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45915</v>
      </c>
      <c r="C20" s="4">
        <v>0.33750000000000002</v>
      </c>
      <c r="D20" s="4">
        <v>0.70486111111111116</v>
      </c>
      <c r="E20" s="4">
        <f>IF(Tableau9_2025[[#This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45916</v>
      </c>
      <c r="C21" s="4">
        <v>0.33680555555555558</v>
      </c>
      <c r="D21" s="4">
        <v>0.70972222222222225</v>
      </c>
      <c r="E21" s="4">
        <f>IF(Tableau9_2025[[#This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45917</v>
      </c>
      <c r="C22" s="4">
        <v>0.33958333333333335</v>
      </c>
      <c r="D22" s="4">
        <v>0.68611111111111112</v>
      </c>
      <c r="E22" s="4">
        <f>IF(Tableau9_2025[[#This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45918</v>
      </c>
      <c r="C23" s="4">
        <v>0.33541666666666664</v>
      </c>
      <c r="D23" s="4">
        <v>0.74652777777777779</v>
      </c>
      <c r="E23" s="4">
        <f>IF(Tableau9_2025[[#This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45919</v>
      </c>
      <c r="C24" s="4">
        <v>0.32083333333333336</v>
      </c>
      <c r="D24" s="4">
        <v>0.57499999999999996</v>
      </c>
      <c r="E24" s="4">
        <f>IF(Tableau9_2025[[#This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45920</v>
      </c>
      <c r="C25" s="4"/>
      <c r="D25" s="4"/>
      <c r="E25" s="4">
        <f>IF(Tableau9_2025[[#This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45921</v>
      </c>
      <c r="C26" s="4"/>
      <c r="D26" s="4"/>
      <c r="E26" s="4">
        <f>IF(Tableau9_2025[[#This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45922</v>
      </c>
      <c r="C27" s="4">
        <v>0.33611111111111114</v>
      </c>
      <c r="D27" s="4">
        <v>0.69930555555555551</v>
      </c>
      <c r="E27" s="4">
        <f>IF(Tableau9_2025[[#This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45923</v>
      </c>
      <c r="C28" s="4">
        <v>0.33263888888888887</v>
      </c>
      <c r="D28" s="4">
        <v>0.69097222222222221</v>
      </c>
      <c r="E28" s="4">
        <f>IF(Tableau9_2025[[#This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45924</v>
      </c>
      <c r="C29" s="4">
        <v>0.33888888888888891</v>
      </c>
      <c r="D29" s="4">
        <v>0.70208333333333328</v>
      </c>
      <c r="E29" s="4">
        <f>IF(Tableau9_2025[[#This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45925</v>
      </c>
      <c r="C30" s="4">
        <v>0.33819444444444446</v>
      </c>
      <c r="D30" s="4">
        <v>0.69861111111111107</v>
      </c>
      <c r="E30" s="4">
        <f>IF(Tableau9_2025[[#This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45926</v>
      </c>
      <c r="C31" s="4">
        <v>0.32222222222222224</v>
      </c>
      <c r="D31" s="4">
        <v>0.57916666666666672</v>
      </c>
      <c r="E31" s="4">
        <f>IF(Tableau9_2025[[#This Row],[Arrivée]]&lt;&gt;"",_TpsPause,0)</f>
        <v>4.1666666666666664E-2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45927</v>
      </c>
      <c r="C32" s="4"/>
      <c r="D32" s="4"/>
      <c r="E32" s="4">
        <f>IF(Tableau9_2025[[#This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45928</v>
      </c>
      <c r="C33" s="4"/>
      <c r="D33" s="4"/>
      <c r="E33" s="4">
        <f>IF(Tableau9_2025[[#This Row],[Arrivée]]&lt;&gt;"",_TpsPause,0)</f>
        <v>0</v>
      </c>
      <c r="H33"/>
      <c r="I33"/>
      <c r="J33"/>
    </row>
    <row r="34" spans="2:10" x14ac:dyDescent="0.4">
      <c r="B34" s="7">
        <f>IFERROR(IF(MONTH(B33+1)=MONTH($B$6),B33+1,""),"")</f>
        <v>45929</v>
      </c>
      <c r="C34" s="4">
        <v>0.34166666666666667</v>
      </c>
      <c r="D34" s="4">
        <v>0.70277777777777772</v>
      </c>
      <c r="E34" s="4">
        <f>IF(Tableau9_2025[[#This Row],[Arrivée]]&lt;&gt;"",_TpsPause,0)</f>
        <v>4.1666666666666664E-2</v>
      </c>
      <c r="H34"/>
      <c r="I34"/>
      <c r="J34"/>
    </row>
    <row r="35" spans="2:10" x14ac:dyDescent="0.4">
      <c r="B35" s="7">
        <f t="shared" ref="B35:B36" si="1">IFERROR(IF(MONTH(B34+1)=MONTH($B$6),B34+1,""),"")</f>
        <v>45930</v>
      </c>
      <c r="C35" s="4">
        <v>0.33333333333333331</v>
      </c>
      <c r="D35" s="4">
        <v>0.66666666666666663</v>
      </c>
      <c r="E35" s="4">
        <f>IF(Tableau9_2025[[#This Row],[Arrivée]]&lt;&gt;"",_TpsPause,0)</f>
        <v>4.1666666666666664E-2</v>
      </c>
      <c r="H35"/>
      <c r="I35"/>
      <c r="J35"/>
    </row>
    <row r="36" spans="2:10" x14ac:dyDescent="0.4">
      <c r="B36" s="7" t="str">
        <f t="shared" si="1"/>
        <v/>
      </c>
      <c r="C36" s="4"/>
      <c r="D36" s="4"/>
      <c r="E36" s="4">
        <f>IF(Tableau9_2025[[#This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3" priority="1">
      <formula>COUNTIF(l_Feries,$B6)</formula>
    </cfRule>
    <cfRule type="expression" dxfId="12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5D9D320D-7183-4207-96AC-B011227DCBCF}">
      <formula1>"Formule"</formula1>
    </dataValidation>
    <dataValidation type="custom" allowBlank="1" showInputMessage="1" showErrorMessage="1" error="Cette cellule contient une formule de calcul." sqref="B6:B36" xr:uid="{80FB68A2-2384-4EA8-9E35-0E668A105305}">
      <formula1>"formule"</formula1>
    </dataValidation>
    <dataValidation allowBlank="1" showInputMessage="1" showErrorMessage="1" prompt="Sélectionner une année à l'aide de la toupie, ci-contre." sqref="C2" xr:uid="{12F4581C-1E62-4739-9568-D7736674262A}"/>
    <dataValidation type="list" allowBlank="1" showInputMessage="1" showErrorMessage="1" prompt="Sélectionner un mois à l'aide de la liste déroulante." sqref="C3" xr:uid="{B89233DC-BB3F-4D9F-8049-E8DB02320B08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AF62-9F4B-4D1B-9C2A-6E6FE258467C}">
  <dimension ref="B2:K41"/>
  <sheetViews>
    <sheetView showGridLines="0" showZeros="0" tabSelected="1" workbookViewId="0">
      <selection activeCell="G39" sqref="G39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13</v>
      </c>
      <c r="H3" s="13" t="s">
        <v>4</v>
      </c>
      <c r="I3" t="s">
        <v>49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45931</v>
      </c>
      <c r="C6" s="4">
        <v>0.33263888888888887</v>
      </c>
      <c r="D6" s="4">
        <v>0.70277777777777772</v>
      </c>
      <c r="E6" s="4">
        <f>IF(Tableau10_2025[[#This Row],[Arrivée]]&lt;&gt;"",_TpsPause,0)</f>
        <v>4.1666666666666664E-2</v>
      </c>
      <c r="H6">
        <v>40</v>
      </c>
      <c r="I6" s="14">
        <v>7.0138888888888751E-2</v>
      </c>
      <c r="J6" s="15">
        <v>1.68333333333333</v>
      </c>
      <c r="K6"/>
    </row>
    <row r="7" spans="2:11" x14ac:dyDescent="0.4">
      <c r="B7" s="7">
        <f>B6+1</f>
        <v>45932</v>
      </c>
      <c r="C7" s="4">
        <v>0.32916666666666666</v>
      </c>
      <c r="D7" s="4">
        <v>0.6958333333333333</v>
      </c>
      <c r="E7" s="4">
        <f>IF(Tableau10_2025[[#This Row],[Arrivée]]&lt;&gt;"",_TpsPause,0)</f>
        <v>4.1666666666666664E-2</v>
      </c>
      <c r="H7">
        <v>41</v>
      </c>
      <c r="I7" s="14">
        <v>5.4166666666666641E-2</v>
      </c>
      <c r="J7" s="15">
        <v>1.2999999999999994</v>
      </c>
      <c r="K7"/>
    </row>
    <row r="8" spans="2:11" x14ac:dyDescent="0.4">
      <c r="B8" s="7">
        <f t="shared" ref="B8:B33" si="0">B7+1</f>
        <v>45933</v>
      </c>
      <c r="C8" s="4">
        <v>0.33333333333333331</v>
      </c>
      <c r="D8" s="4">
        <v>0.66666666666666663</v>
      </c>
      <c r="E8" s="4">
        <f>IF(Tableau10_2025[[#This Row],[Arrivée]]&lt;&gt;"",_TpsPause,0)</f>
        <v>4.1666666666666664E-2</v>
      </c>
      <c r="H8">
        <v>42</v>
      </c>
      <c r="I8" s="14">
        <v>0.16666666666666652</v>
      </c>
      <c r="J8" s="15">
        <v>3.9999999999999964</v>
      </c>
      <c r="K8"/>
    </row>
    <row r="9" spans="2:11" x14ac:dyDescent="0.4">
      <c r="B9" s="7">
        <f t="shared" si="0"/>
        <v>45934</v>
      </c>
      <c r="C9" s="4"/>
      <c r="D9" s="4"/>
      <c r="E9" s="4">
        <f>IF(Tableau10_2025[[#This Row],[Arrivée]]&lt;&gt;"",_TpsPause,0)</f>
        <v>0</v>
      </c>
      <c r="H9">
        <v>43</v>
      </c>
      <c r="I9" s="14">
        <v>0.26805555555555555</v>
      </c>
      <c r="J9" s="15">
        <v>6.4333333333333336</v>
      </c>
      <c r="K9"/>
    </row>
    <row r="10" spans="2:11" x14ac:dyDescent="0.4">
      <c r="B10" s="7">
        <f t="shared" si="0"/>
        <v>45935</v>
      </c>
      <c r="C10" s="4"/>
      <c r="D10" s="4"/>
      <c r="E10" s="4">
        <f>IF(Tableau10_2025[[#This Row],[Arrivée]]&lt;&gt;"",_TpsPause,0)</f>
        <v>0</v>
      </c>
      <c r="H10">
        <v>44</v>
      </c>
      <c r="I10" s="14">
        <v>0.27013888888888887</v>
      </c>
      <c r="J10" s="15">
        <v>6.4833333333333325</v>
      </c>
      <c r="K10"/>
    </row>
    <row r="11" spans="2:11" x14ac:dyDescent="0.4">
      <c r="B11" s="7">
        <f t="shared" si="0"/>
        <v>45936</v>
      </c>
      <c r="C11" s="4">
        <v>0.33750000000000002</v>
      </c>
      <c r="D11" s="4">
        <v>0.70902777777777781</v>
      </c>
      <c r="E11" s="4">
        <f>IF(Tableau10_2025[[#This Row],[Arrivée]]&lt;&gt;"",_TpsPause,0)</f>
        <v>4.1666666666666664E-2</v>
      </c>
      <c r="H11" t="s">
        <v>36</v>
      </c>
      <c r="I11" s="14">
        <v>0.82916666666666639</v>
      </c>
      <c r="J11" s="15">
        <v>19.899999999999991</v>
      </c>
      <c r="K11"/>
    </row>
    <row r="12" spans="2:11" x14ac:dyDescent="0.4">
      <c r="B12" s="7">
        <f t="shared" si="0"/>
        <v>45937</v>
      </c>
      <c r="C12" s="4">
        <v>0.33333333333333331</v>
      </c>
      <c r="D12" s="4">
        <v>0.66666666666666663</v>
      </c>
      <c r="E12" s="4">
        <f>IF(Tableau10_2025[[#This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45938</v>
      </c>
      <c r="C13" s="4">
        <v>0.52083333333333337</v>
      </c>
      <c r="D13" s="4">
        <v>0.75347222222222221</v>
      </c>
      <c r="E13" s="4">
        <f>IF(Tableau10_2025[[#This Row],[Arrivée]]&lt;&gt;"",_TpsPause,0)</f>
        <v>4.1666666666666664E-2</v>
      </c>
      <c r="H13"/>
      <c r="I13"/>
      <c r="J13"/>
    </row>
    <row r="14" spans="2:11" x14ac:dyDescent="0.4">
      <c r="B14" s="7">
        <f t="shared" si="0"/>
        <v>45939</v>
      </c>
      <c r="C14" s="4">
        <v>0.33333333333333331</v>
      </c>
      <c r="D14" s="4">
        <v>0.68263888888888891</v>
      </c>
      <c r="E14" s="4">
        <f>IF(Tableau10_2025[[#This Row],[Arrivée]]&lt;&gt;"",_TpsPause,0)</f>
        <v>4.1666666666666664E-2</v>
      </c>
      <c r="H14"/>
      <c r="I14"/>
      <c r="J14"/>
    </row>
    <row r="15" spans="2:11" x14ac:dyDescent="0.4">
      <c r="B15" s="7">
        <f t="shared" si="0"/>
        <v>45940</v>
      </c>
      <c r="C15" s="4">
        <v>0.35069444444444442</v>
      </c>
      <c r="D15" s="4">
        <v>0.58888888888888891</v>
      </c>
      <c r="E15" s="4">
        <f>IF(Tableau10_2025[[#This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45941</v>
      </c>
      <c r="C16" s="4"/>
      <c r="D16" s="4"/>
      <c r="E16" s="4">
        <f>IF(Tableau10_2025[[#This Row],[Arrivée]]&lt;&gt;"",_TpsPause,0)</f>
        <v>0</v>
      </c>
      <c r="H16"/>
      <c r="I16"/>
      <c r="J16"/>
    </row>
    <row r="17" spans="2:11" x14ac:dyDescent="0.4">
      <c r="B17" s="7">
        <f t="shared" si="0"/>
        <v>45942</v>
      </c>
      <c r="C17" s="4"/>
      <c r="D17" s="4"/>
      <c r="E17" s="4">
        <f>IF(Tableau10_2025[[#This Row],[Arrivée]]&lt;&gt;"",_TpsPause,0)</f>
        <v>0</v>
      </c>
      <c r="H17"/>
      <c r="I17"/>
      <c r="J17"/>
    </row>
    <row r="18" spans="2:11" x14ac:dyDescent="0.4">
      <c r="B18" s="7">
        <f t="shared" si="0"/>
        <v>45943</v>
      </c>
      <c r="C18" s="4">
        <v>0.3298611111111111</v>
      </c>
      <c r="D18" s="4">
        <v>0.71319444444444446</v>
      </c>
      <c r="E18" s="4">
        <f>IF(Tableau10_2025[[#This Row],[Arrivée]]&lt;&gt;"",_TpsPause,0)</f>
        <v>4.1666666666666664E-2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45944</v>
      </c>
      <c r="C19" s="4">
        <v>0.3263888888888889</v>
      </c>
      <c r="D19" s="4">
        <v>0.71180555555555558</v>
      </c>
      <c r="E19" s="4">
        <f>IF(Tableau10_2025[[#This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45945</v>
      </c>
      <c r="C20" s="4">
        <v>0.33263888888888887</v>
      </c>
      <c r="D20" s="4">
        <v>0.7006944444444444</v>
      </c>
      <c r="E20" s="4">
        <f>IF(Tableau10_2025[[#This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45946</v>
      </c>
      <c r="C21" s="4">
        <v>0.33333333333333331</v>
      </c>
      <c r="D21" s="4">
        <v>0.69652777777777775</v>
      </c>
      <c r="E21" s="4">
        <f>IF(Tableau10_2025[[#This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45947</v>
      </c>
      <c r="C22" s="4">
        <v>0.33263888888888887</v>
      </c>
      <c r="D22" s="4">
        <v>0.59513888888888888</v>
      </c>
      <c r="E22" s="4">
        <f>IF(Tableau10_2025[[#This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45948</v>
      </c>
      <c r="C23" s="4"/>
      <c r="D23" s="4"/>
      <c r="E23" s="4">
        <f>IF(Tableau10_2025[[#This Row],[Arrivée]]&lt;&gt;"",_TpsPause,0)</f>
        <v>0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45949</v>
      </c>
      <c r="C24" s="4"/>
      <c r="D24" s="4"/>
      <c r="E24" s="4">
        <f>IF(Tableau10_2025[[#This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45950</v>
      </c>
      <c r="C25" s="4">
        <v>0.33402777777777776</v>
      </c>
      <c r="D25" s="4">
        <v>0.71458333333333335</v>
      </c>
      <c r="E25" s="4">
        <f>IF(Tableau10_2025[[#This Row],[Arrivée]]&lt;&gt;"",_TpsPause,0)</f>
        <v>4.1666666666666664E-2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45951</v>
      </c>
      <c r="C26" s="4">
        <v>0.32777777777777778</v>
      </c>
      <c r="D26" s="4">
        <v>0.7368055555555556</v>
      </c>
      <c r="E26" s="4">
        <f>IF(Tableau10_2025[[#This Row],[Arrivée]]&lt;&gt;"",_TpsPause,0)</f>
        <v>4.1666666666666664E-2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45952</v>
      </c>
      <c r="C27" s="4">
        <v>0.33750000000000002</v>
      </c>
      <c r="D27" s="4">
        <v>0.74027777777777781</v>
      </c>
      <c r="E27" s="4">
        <f>IF(Tableau10_2025[[#This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45953</v>
      </c>
      <c r="C28" s="4">
        <v>0.33402777777777776</v>
      </c>
      <c r="D28" s="4">
        <v>0.74305555555555558</v>
      </c>
      <c r="E28" s="4">
        <f>IF(Tableau10_2025[[#This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45954</v>
      </c>
      <c r="C29" s="4">
        <v>0.30069444444444443</v>
      </c>
      <c r="D29" s="4">
        <v>0.59097222222222223</v>
      </c>
      <c r="E29" s="4">
        <f>IF(Tableau10_2025[[#This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45955</v>
      </c>
      <c r="C30" s="4"/>
      <c r="D30" s="4"/>
      <c r="E30" s="4">
        <f>IF(Tableau10_2025[[#This Row],[Arrivée]]&lt;&gt;"",_TpsPause,0)</f>
        <v>0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45956</v>
      </c>
      <c r="C31" s="4"/>
      <c r="D31" s="4"/>
      <c r="E31" s="4">
        <f>IF(Tableau10_2025[[#This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45957</v>
      </c>
      <c r="C32" s="4">
        <v>0.33124999999999999</v>
      </c>
      <c r="D32" s="4">
        <v>0.71111111111111114</v>
      </c>
      <c r="E32" s="4">
        <f>IF(Tableau10_2025[[#This Row],[Arrivée]]&lt;&gt;"",_TpsPause,0)</f>
        <v>4.1666666666666664E-2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45958</v>
      </c>
      <c r="C33" s="4">
        <v>0.34652777777777777</v>
      </c>
      <c r="D33" s="4">
        <v>0.72222222222222221</v>
      </c>
      <c r="E33" s="4">
        <f>IF(Tableau10_2025[[#This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45959</v>
      </c>
      <c r="C34" s="4">
        <v>0.33402777777777776</v>
      </c>
      <c r="D34" s="4">
        <v>0.71736111111111112</v>
      </c>
      <c r="E34" s="4">
        <f>IF(Tableau10_2025[[#This Row],[Arrivée]]&lt;&gt;"",_TpsPause,0)</f>
        <v>4.1666666666666664E-2</v>
      </c>
      <c r="H34"/>
      <c r="I34"/>
      <c r="J34"/>
    </row>
    <row r="35" spans="2:10" x14ac:dyDescent="0.4">
      <c r="B35" s="7">
        <f t="shared" ref="B35:B36" si="1">IFERROR(IF(MONTH(B34+1)=MONTH($B$6),B34+1,""),"")</f>
        <v>45960</v>
      </c>
      <c r="C35" s="4">
        <v>0.3347222222222222</v>
      </c>
      <c r="D35" s="4">
        <v>0.7993055555555556</v>
      </c>
      <c r="E35" s="4">
        <f>IF(Tableau10_2025[[#This Row],[Arrivée]]&lt;&gt;"",_TpsPause,0)</f>
        <v>4.1666666666666664E-2</v>
      </c>
      <c r="H35"/>
      <c r="I35"/>
      <c r="J35"/>
    </row>
    <row r="36" spans="2:10" x14ac:dyDescent="0.4">
      <c r="B36" s="7">
        <f t="shared" si="1"/>
        <v>45961</v>
      </c>
      <c r="C36" s="4">
        <v>0.32500000000000001</v>
      </c>
      <c r="D36" s="4">
        <v>0.54236111111111107</v>
      </c>
      <c r="E36" s="4">
        <f>IF(Tableau10_2025[[#This Row],[Arrivée]]&lt;&gt;"",_TpsPause,0)</f>
        <v>4.1666666666666664E-2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1" priority="1">
      <formula>COUNTIF(l_Feries,$B6)</formula>
    </cfRule>
    <cfRule type="expression" dxfId="10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7801D47D-A45B-4820-A1B9-656F35D7F730}">
      <formula1>"Formule"</formula1>
    </dataValidation>
    <dataValidation type="custom" allowBlank="1" showInputMessage="1" showErrorMessage="1" error="Cette cellule contient une formule de calcul." sqref="B6:B36" xr:uid="{49F74D71-456E-4FEF-AACE-2E34EA5C3702}">
      <formula1>"formule"</formula1>
    </dataValidation>
    <dataValidation allowBlank="1" showInputMessage="1" showErrorMessage="1" prompt="Sélectionner une année à l'aide de la toupie, ci-contre." sqref="C2" xr:uid="{AEAA1E18-9FD6-4EF9-93B4-F77D1FAC9C57}"/>
    <dataValidation type="list" allowBlank="1" showInputMessage="1" showErrorMessage="1" prompt="Sélectionner un mois à l'aide de la liste déroulante." sqref="C3" xr:uid="{DFBCFBA6-EA8E-4753-A970-A004FA82E0AC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40EB7-B279-4502-ACF1-59392B20348F}">
  <dimension ref="B2:K41"/>
  <sheetViews>
    <sheetView showGridLines="0" showZeros="0" topLeftCell="A25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1" width="16.69921875" style="1" customWidth="1"/>
    <col min="12" max="16384" width="11.19921875" style="1"/>
  </cols>
  <sheetData>
    <row r="2" spans="2:11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1" ht="18" thickTop="1" thickBot="1" x14ac:dyDescent="0.45">
      <c r="B3" s="8" t="s">
        <v>4</v>
      </c>
      <c r="C3" s="9" t="s">
        <v>14</v>
      </c>
      <c r="H3" s="13" t="s">
        <v>4</v>
      </c>
      <c r="I3" t="s">
        <v>56</v>
      </c>
    </row>
    <row r="4" spans="2:11" ht="17.399999999999999" thickTop="1" x14ac:dyDescent="0.4"/>
    <row r="5" spans="2:11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</row>
    <row r="6" spans="2:11" x14ac:dyDescent="0.4">
      <c r="B6" s="7">
        <f>DATEVALUE(C3&amp;C2)</f>
        <v>45962</v>
      </c>
      <c r="C6" s="4"/>
      <c r="D6" s="4"/>
      <c r="E6" s="4">
        <f>IF(Tableau11_2025[[#This Row],[Arrivée]]&lt;&gt;"",_TpsPause,0)</f>
        <v>0</v>
      </c>
      <c r="H6">
        <v>45</v>
      </c>
      <c r="I6" s="14">
        <v>0.11944444444444424</v>
      </c>
      <c r="J6" s="15">
        <v>2.8666666666666618</v>
      </c>
      <c r="K6"/>
    </row>
    <row r="7" spans="2:11" x14ac:dyDescent="0.4">
      <c r="B7" s="7">
        <f>B6+1</f>
        <v>45963</v>
      </c>
      <c r="C7" s="4"/>
      <c r="D7" s="4"/>
      <c r="E7" s="4">
        <f>IF(Tableau11_2025[[#This Row],[Arrivée]]&lt;&gt;"",_TpsPause,0)</f>
        <v>0</v>
      </c>
      <c r="H7">
        <v>46</v>
      </c>
      <c r="I7" s="14">
        <v>6.2499999999999833E-2</v>
      </c>
      <c r="J7" s="15">
        <v>1.499999999999996</v>
      </c>
      <c r="K7"/>
    </row>
    <row r="8" spans="2:11" x14ac:dyDescent="0.4">
      <c r="B8" s="7">
        <f t="shared" ref="B8:B33" si="0">B7+1</f>
        <v>45964</v>
      </c>
      <c r="C8" s="4">
        <v>0.33958333333333335</v>
      </c>
      <c r="D8" s="4">
        <v>0.69444444444444442</v>
      </c>
      <c r="E8" s="4">
        <f>IF(Tableau11_2025[[#This Row],[Arrivée]]&lt;&gt;"",_TpsPause,0)</f>
        <v>4.1666666666666664E-2</v>
      </c>
      <c r="H8">
        <v>47</v>
      </c>
      <c r="I8" s="14">
        <v>0.16041666666666649</v>
      </c>
      <c r="J8" s="15">
        <v>3.8499999999999956</v>
      </c>
      <c r="K8"/>
    </row>
    <row r="9" spans="2:11" x14ac:dyDescent="0.4">
      <c r="B9" s="7">
        <f t="shared" si="0"/>
        <v>45965</v>
      </c>
      <c r="C9" s="4">
        <v>0.34513888888888888</v>
      </c>
      <c r="D9" s="4">
        <v>0.69791666666666663</v>
      </c>
      <c r="E9" s="4">
        <f>IF(Tableau11_2025[[#This Row],[Arrivée]]&lt;&gt;"",_TpsPause,0)</f>
        <v>4.1666666666666664E-2</v>
      </c>
      <c r="H9">
        <v>48</v>
      </c>
      <c r="I9" s="14">
        <v>9.6527777777777546E-2</v>
      </c>
      <c r="J9" s="15">
        <v>2.3166666666666611</v>
      </c>
      <c r="K9"/>
    </row>
    <row r="10" spans="2:11" x14ac:dyDescent="0.4">
      <c r="B10" s="7">
        <f t="shared" si="0"/>
        <v>45966</v>
      </c>
      <c r="C10" s="4">
        <v>0.33611111111111114</v>
      </c>
      <c r="D10" s="4">
        <v>0.70833333333333337</v>
      </c>
      <c r="E10" s="4">
        <f>IF(Tableau11_2025[[#This Row],[Arrivée]]&lt;&gt;"",_TpsPause,0)</f>
        <v>4.1666666666666664E-2</v>
      </c>
      <c r="H10" t="s">
        <v>36</v>
      </c>
      <c r="I10" s="14">
        <v>0.43888888888888811</v>
      </c>
      <c r="J10" s="15">
        <v>10.533333333333315</v>
      </c>
      <c r="K10"/>
    </row>
    <row r="11" spans="2:11" x14ac:dyDescent="0.4">
      <c r="B11" s="7">
        <f t="shared" si="0"/>
        <v>45967</v>
      </c>
      <c r="C11" s="4">
        <v>0.34166666666666667</v>
      </c>
      <c r="D11" s="4">
        <v>0.71458333333333335</v>
      </c>
      <c r="E11" s="4">
        <f>IF(Tableau11_2025[[#This Row],[Arrivée]]&lt;&gt;"",_TpsPause,0)</f>
        <v>4.1666666666666664E-2</v>
      </c>
      <c r="H11"/>
      <c r="I11"/>
      <c r="J11"/>
      <c r="K11"/>
    </row>
    <row r="12" spans="2:11" x14ac:dyDescent="0.4">
      <c r="B12" s="7">
        <f t="shared" si="0"/>
        <v>45968</v>
      </c>
      <c r="C12" s="4">
        <v>0.34027777777777779</v>
      </c>
      <c r="D12" s="4">
        <v>0.57916666666666672</v>
      </c>
      <c r="E12" s="4">
        <f>IF(Tableau11_2025[[#This Row],[Arrivée]]&lt;&gt;"",_TpsPause,0)</f>
        <v>4.1666666666666664E-2</v>
      </c>
      <c r="H12"/>
      <c r="I12"/>
      <c r="J12"/>
    </row>
    <row r="13" spans="2:11" x14ac:dyDescent="0.4">
      <c r="B13" s="7">
        <f t="shared" si="0"/>
        <v>45969</v>
      </c>
      <c r="C13" s="4"/>
      <c r="D13" s="4"/>
      <c r="E13" s="4">
        <f>IF(Tableau11_2025[[#This Row],[Arrivée]]&lt;&gt;"",_TpsPause,0)</f>
        <v>0</v>
      </c>
      <c r="H13"/>
      <c r="I13"/>
      <c r="J13"/>
    </row>
    <row r="14" spans="2:11" x14ac:dyDescent="0.4">
      <c r="B14" s="7">
        <f t="shared" si="0"/>
        <v>45970</v>
      </c>
      <c r="C14" s="4"/>
      <c r="D14" s="4"/>
      <c r="E14" s="4">
        <f>IF(Tableau11_2025[[#This Row],[Arrivée]]&lt;&gt;"",_TpsPause,0)</f>
        <v>0</v>
      </c>
      <c r="H14"/>
      <c r="I14"/>
      <c r="J14"/>
    </row>
    <row r="15" spans="2:11" x14ac:dyDescent="0.4">
      <c r="B15" s="7">
        <f t="shared" si="0"/>
        <v>45971</v>
      </c>
      <c r="C15" s="4">
        <v>0.33333333333333331</v>
      </c>
      <c r="D15" s="4">
        <v>0.6875</v>
      </c>
      <c r="E15" s="4">
        <f>IF(Tableau11_2025[[#This Row],[Arrivée]]&lt;&gt;"",_TpsPause,0)</f>
        <v>4.1666666666666664E-2</v>
      </c>
      <c r="H15"/>
      <c r="I15"/>
      <c r="J15"/>
    </row>
    <row r="16" spans="2:11" x14ac:dyDescent="0.4">
      <c r="B16" s="7">
        <f t="shared" si="0"/>
        <v>45972</v>
      </c>
      <c r="C16" s="4">
        <v>0.33333333333333331</v>
      </c>
      <c r="D16" s="4">
        <v>0.6875</v>
      </c>
      <c r="E16" s="4">
        <f>IF(Tableau11_2025[[#This Row],[Arrivée]]&lt;&gt;"",_TpsPause,0)</f>
        <v>4.1666666666666664E-2</v>
      </c>
      <c r="H16"/>
      <c r="I16"/>
      <c r="J16"/>
    </row>
    <row r="17" spans="2:11" x14ac:dyDescent="0.4">
      <c r="B17" s="7">
        <f t="shared" si="0"/>
        <v>45973</v>
      </c>
      <c r="C17" s="4">
        <v>0.34166666666666667</v>
      </c>
      <c r="D17" s="4">
        <v>0.68541666666666667</v>
      </c>
      <c r="E17" s="4">
        <f>IF(Tableau11_2025[[#This Row],[Arrivée]]&lt;&gt;"",_TpsPause,0)</f>
        <v>4.1666666666666664E-2</v>
      </c>
      <c r="H17"/>
      <c r="I17"/>
      <c r="J17"/>
    </row>
    <row r="18" spans="2:11" x14ac:dyDescent="0.4">
      <c r="B18" s="7">
        <f t="shared" si="0"/>
        <v>45974</v>
      </c>
      <c r="C18" s="4">
        <v>0.35347222222222224</v>
      </c>
      <c r="D18" s="4">
        <v>0.69722222222222219</v>
      </c>
      <c r="E18" s="4">
        <f>IF(Tableau11_2025[[#This Row],[Arrivée]]&lt;&gt;"",_TpsPause,0)</f>
        <v>4.1666666666666664E-2</v>
      </c>
      <c r="H18" s="13" t="s">
        <v>19</v>
      </c>
      <c r="I18" s="13" t="s">
        <v>4</v>
      </c>
      <c r="J18" s="6" t="s">
        <v>41</v>
      </c>
      <c r="K18" s="6" t="s">
        <v>42</v>
      </c>
    </row>
    <row r="19" spans="2:11" x14ac:dyDescent="0.4">
      <c r="B19" s="7">
        <f t="shared" si="0"/>
        <v>45975</v>
      </c>
      <c r="C19" s="4">
        <v>0.34027777777777779</v>
      </c>
      <c r="D19" s="4">
        <v>0.58958333333333335</v>
      </c>
      <c r="E19" s="4">
        <f>IF(Tableau11_2025[[#This Row],[Arrivée]]&lt;&gt;"",_TpsPause,0)</f>
        <v>4.1666666666666664E-2</v>
      </c>
      <c r="H19">
        <v>2025</v>
      </c>
      <c r="I19" t="s">
        <v>34</v>
      </c>
      <c r="J19" s="17">
        <v>0.21111111111111064</v>
      </c>
      <c r="K19" s="15">
        <v>5.0666666666666558</v>
      </c>
    </row>
    <row r="20" spans="2:11" x14ac:dyDescent="0.4">
      <c r="B20" s="7">
        <f t="shared" si="0"/>
        <v>45976</v>
      </c>
      <c r="C20" s="4"/>
      <c r="D20" s="4"/>
      <c r="E20" s="4">
        <f>IF(Tableau11_2025[[#This Row],[Arrivée]]&lt;&gt;"",_TpsPause,0)</f>
        <v>0</v>
      </c>
      <c r="H20"/>
      <c r="I20" t="s">
        <v>44</v>
      </c>
      <c r="J20" s="17">
        <v>0.2770833333333329</v>
      </c>
      <c r="K20" s="15">
        <v>6.6499999999999888</v>
      </c>
    </row>
    <row r="21" spans="2:11" x14ac:dyDescent="0.4">
      <c r="B21" s="7">
        <f t="shared" si="0"/>
        <v>45977</v>
      </c>
      <c r="C21" s="4"/>
      <c r="D21" s="4"/>
      <c r="E21" s="4">
        <f>IF(Tableau11_2025[[#This Row],[Arrivée]]&lt;&gt;"",_TpsPause,0)</f>
        <v>0</v>
      </c>
      <c r="H21"/>
      <c r="I21" t="s">
        <v>45</v>
      </c>
      <c r="J21" s="17">
        <v>0.33402777777777698</v>
      </c>
      <c r="K21" s="15">
        <v>8.016666666666648</v>
      </c>
    </row>
    <row r="22" spans="2:11" x14ac:dyDescent="0.4">
      <c r="B22" s="7">
        <f t="shared" si="0"/>
        <v>45978</v>
      </c>
      <c r="C22" s="4">
        <v>0.34027777777777779</v>
      </c>
      <c r="D22" s="4">
        <v>0.69930555555555551</v>
      </c>
      <c r="E22" s="4">
        <f>IF(Tableau11_2025[[#This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</row>
    <row r="23" spans="2:11" x14ac:dyDescent="0.4">
      <c r="B23" s="7">
        <f t="shared" si="0"/>
        <v>45979</v>
      </c>
      <c r="C23" s="4">
        <v>0.34305555555555556</v>
      </c>
      <c r="D23" s="4">
        <v>0.72569444444444442</v>
      </c>
      <c r="E23" s="4">
        <f>IF(Tableau11_2025[[#This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</row>
    <row r="24" spans="2:11" x14ac:dyDescent="0.4">
      <c r="B24" s="7">
        <f t="shared" si="0"/>
        <v>45980</v>
      </c>
      <c r="C24" s="4">
        <v>0.34166666666666667</v>
      </c>
      <c r="D24" s="4">
        <v>0.7104166666666667</v>
      </c>
      <c r="E24" s="4">
        <f>IF(Tableau11_2025[[#This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</row>
    <row r="25" spans="2:11" x14ac:dyDescent="0.4">
      <c r="B25" s="7">
        <f t="shared" si="0"/>
        <v>45981</v>
      </c>
      <c r="C25" s="4">
        <v>0.33402777777777776</v>
      </c>
      <c r="D25" s="4">
        <v>0.71736111111111112</v>
      </c>
      <c r="E25" s="4">
        <f>IF(Tableau11_2025[[#This Row],[Arrivée]]&lt;&gt;"",_TpsPause,0)</f>
        <v>4.1666666666666664E-2</v>
      </c>
      <c r="H25"/>
      <c r="I25" t="s">
        <v>49</v>
      </c>
      <c r="J25" s="17">
        <v>0.82916666666666639</v>
      </c>
      <c r="K25" s="15">
        <v>19.899999999999991</v>
      </c>
    </row>
    <row r="26" spans="2:11" x14ac:dyDescent="0.4">
      <c r="B26" s="7">
        <f t="shared" si="0"/>
        <v>45982</v>
      </c>
      <c r="C26" s="4">
        <v>0.33888888888888891</v>
      </c>
      <c r="D26" s="4">
        <v>0.59375</v>
      </c>
      <c r="E26" s="4">
        <f>IF(Tableau11_2025[[#This Row],[Arrivée]]&lt;&gt;"",_TpsPause,0)</f>
        <v>4.1666666666666664E-2</v>
      </c>
      <c r="H26"/>
      <c r="I26" t="s">
        <v>56</v>
      </c>
      <c r="J26" s="17">
        <v>0.43888888888888811</v>
      </c>
      <c r="K26" s="15">
        <v>10.533333333333315</v>
      </c>
    </row>
    <row r="27" spans="2:11" x14ac:dyDescent="0.4">
      <c r="B27" s="7">
        <f t="shared" si="0"/>
        <v>45983</v>
      </c>
      <c r="C27" s="4"/>
      <c r="D27" s="4"/>
      <c r="E27" s="4">
        <f>IF(Tableau11_2025[[#This Row],[Arrivée]]&lt;&gt;"",_TpsPause,0)</f>
        <v>0</v>
      </c>
      <c r="H27"/>
      <c r="I27" t="s">
        <v>60</v>
      </c>
      <c r="J27" s="17">
        <v>0.37430555555555484</v>
      </c>
      <c r="K27" s="15">
        <v>8.9833333333333165</v>
      </c>
    </row>
    <row r="28" spans="2:11" x14ac:dyDescent="0.4">
      <c r="B28" s="7">
        <f t="shared" si="0"/>
        <v>45984</v>
      </c>
      <c r="C28" s="4"/>
      <c r="D28" s="4"/>
      <c r="E28" s="4">
        <f>IF(Tableau11_2025[[#This Row],[Arrivée]]&lt;&gt;"",_TpsPause,0)</f>
        <v>0</v>
      </c>
      <c r="H28" t="s">
        <v>43</v>
      </c>
      <c r="I28"/>
      <c r="J28" s="17">
        <v>4.3340277777777718</v>
      </c>
      <c r="K28" s="15">
        <v>104.01666666666652</v>
      </c>
    </row>
    <row r="29" spans="2:11" x14ac:dyDescent="0.4">
      <c r="B29" s="7">
        <f t="shared" si="0"/>
        <v>45985</v>
      </c>
      <c r="C29" s="4">
        <v>0.34444444444444444</v>
      </c>
      <c r="D29" s="4">
        <v>0.72152777777777777</v>
      </c>
      <c r="E29" s="4">
        <f>IF(Tableau11_2025[[#This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1" x14ac:dyDescent="0.4">
      <c r="B30" s="7">
        <f t="shared" si="0"/>
        <v>45986</v>
      </c>
      <c r="C30" s="4">
        <v>0.33333333333333331</v>
      </c>
      <c r="D30" s="4">
        <v>0.66666666666666663</v>
      </c>
      <c r="E30" s="4">
        <f>IF(Tableau11_2025[[#This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1" x14ac:dyDescent="0.4">
      <c r="B31" s="7">
        <f t="shared" si="0"/>
        <v>45987</v>
      </c>
      <c r="C31" s="4">
        <v>0.33680555555555558</v>
      </c>
      <c r="D31" s="4">
        <v>0.69374999999999998</v>
      </c>
      <c r="E31" s="4">
        <f>IF(Tableau11_2025[[#This Row],[Arrivée]]&lt;&gt;"",_TpsPause,0)</f>
        <v>4.1666666666666664E-2</v>
      </c>
      <c r="H31" t="s">
        <v>62</v>
      </c>
      <c r="I31"/>
      <c r="J31" s="17">
        <v>0</v>
      </c>
      <c r="K31" s="15">
        <v>0</v>
      </c>
    </row>
    <row r="32" spans="2:11" x14ac:dyDescent="0.4">
      <c r="B32" s="7">
        <f t="shared" si="0"/>
        <v>45988</v>
      </c>
      <c r="C32" s="4">
        <v>0.34027777777777779</v>
      </c>
      <c r="D32" s="4">
        <v>0.70277777777777772</v>
      </c>
      <c r="E32" s="4">
        <f>IF(Tableau11_2025[[#This Row],[Arrivée]]&lt;&gt;"",_TpsPause,0)</f>
        <v>4.1666666666666664E-2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45989</v>
      </c>
      <c r="C33" s="4">
        <v>0.33958333333333335</v>
      </c>
      <c r="D33" s="4">
        <v>0.59027777777777779</v>
      </c>
      <c r="E33" s="4">
        <f>IF(Tableau11_2025[[#This Row],[Arrivée]]&lt;&gt;"",_TpsPause,0)</f>
        <v>4.1666666666666664E-2</v>
      </c>
      <c r="H33"/>
      <c r="I33"/>
      <c r="J33"/>
    </row>
    <row r="34" spans="2:10" x14ac:dyDescent="0.4">
      <c r="B34" s="7">
        <f>IFERROR(IF(MONTH(B33+1)=MONTH($B$6),B33+1,""),"")</f>
        <v>45990</v>
      </c>
      <c r="C34" s="4"/>
      <c r="D34" s="4"/>
      <c r="E34" s="4">
        <f>IF(Tableau11_2025[[#This Row],[Arrivée]]&lt;&gt;"",_TpsPause,0)</f>
        <v>0</v>
      </c>
      <c r="H34"/>
      <c r="I34"/>
      <c r="J34"/>
    </row>
    <row r="35" spans="2:10" x14ac:dyDescent="0.4">
      <c r="B35" s="7">
        <f t="shared" ref="B35:B36" si="1">IFERROR(IF(MONTH(B34+1)=MONTH($B$6),B34+1,""),"")</f>
        <v>45991</v>
      </c>
      <c r="C35" s="4"/>
      <c r="D35" s="4"/>
      <c r="E35" s="4">
        <f>IF(Tableau11_2025[[#This Row],[Arrivée]]&lt;&gt;"",_TpsPause,0)</f>
        <v>0</v>
      </c>
      <c r="H35"/>
      <c r="I35"/>
      <c r="J35"/>
    </row>
    <row r="36" spans="2:10" x14ac:dyDescent="0.4">
      <c r="B36" s="7" t="str">
        <f t="shared" si="1"/>
        <v/>
      </c>
      <c r="C36" s="4"/>
      <c r="D36" s="4"/>
      <c r="E36" s="4">
        <f>IF(Tableau11_2025[[#This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9" priority="1">
      <formula>COUNTIF(l_Feries,$B6)</formula>
    </cfRule>
    <cfRule type="expression" dxfId="8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03B2F39A-1F66-418E-9186-BA0CE63EF349}">
      <formula1>"Formule"</formula1>
    </dataValidation>
    <dataValidation type="custom" allowBlank="1" showInputMessage="1" showErrorMessage="1" error="Cette cellule contient une formule de calcul." sqref="B6:B36" xr:uid="{63E47ADF-D543-413C-B84A-B141D12F0984}">
      <formula1>"formule"</formula1>
    </dataValidation>
    <dataValidation allowBlank="1" showInputMessage="1" showErrorMessage="1" prompt="Sélectionner une année à l'aide de la toupie, ci-contre." sqref="C2" xr:uid="{64690516-F80D-4B42-B181-25195D8687B6}"/>
    <dataValidation type="list" allowBlank="1" showInputMessage="1" showErrorMessage="1" prompt="Sélectionner un mois à l'aide de la liste déroulante." sqref="C3" xr:uid="{020D79D9-0050-409F-BBA1-900CBCE9F50C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1485B-91AB-4460-966E-ABB3E038E0DA}">
  <dimension ref="B2:T41"/>
  <sheetViews>
    <sheetView showGridLines="0" showZeros="0" topLeftCell="A25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2" width="16.69921875" style="1" customWidth="1"/>
    <col min="21" max="16384" width="11.19921875" style="1"/>
  </cols>
  <sheetData>
    <row r="2" spans="2:12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2" ht="18" thickTop="1" thickBot="1" x14ac:dyDescent="0.45">
      <c r="B3" s="8" t="s">
        <v>4</v>
      </c>
      <c r="C3" s="9" t="s">
        <v>15</v>
      </c>
      <c r="H3" s="13" t="s">
        <v>4</v>
      </c>
      <c r="I3" t="s">
        <v>60</v>
      </c>
    </row>
    <row r="4" spans="2:12" ht="17.399999999999999" thickTop="1" x14ac:dyDescent="0.4"/>
    <row r="5" spans="2:12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  <c r="L5"/>
    </row>
    <row r="6" spans="2:12" x14ac:dyDescent="0.4">
      <c r="B6" s="7">
        <f>DATEVALUE(C3&amp;C2)</f>
        <v>45992</v>
      </c>
      <c r="C6" s="4">
        <v>0.34375</v>
      </c>
      <c r="D6" s="4">
        <v>0.70416666666666672</v>
      </c>
      <c r="E6" s="4">
        <f>IF(Tableau12_2025[[#This Row],[Arrivée]]&lt;&gt;"",_TpsPause,0)</f>
        <v>4.1666666666666664E-2</v>
      </c>
      <c r="H6">
        <v>49</v>
      </c>
      <c r="I6" s="14">
        <v>2.7083333333333348E-2</v>
      </c>
      <c r="J6" s="15">
        <v>0.65000000000000036</v>
      </c>
      <c r="K6"/>
      <c r="L6"/>
    </row>
    <row r="7" spans="2:12" x14ac:dyDescent="0.4">
      <c r="B7" s="7">
        <f t="shared" ref="B7:B33" si="0">B6+1</f>
        <v>45993</v>
      </c>
      <c r="C7" s="4">
        <v>0.33333333333333331</v>
      </c>
      <c r="D7" s="4">
        <v>0.66666666666666663</v>
      </c>
      <c r="E7" s="4">
        <f>IF(Tableau12_2025[[#This Row],[Arrivée]]&lt;&gt;"",_TpsPause,0)</f>
        <v>4.1666666666666664E-2</v>
      </c>
      <c r="H7">
        <v>50</v>
      </c>
      <c r="I7" s="14">
        <v>0.12430555555555534</v>
      </c>
      <c r="J7" s="15">
        <v>2.9833333333333281</v>
      </c>
      <c r="K7"/>
      <c r="L7"/>
    </row>
    <row r="8" spans="2:12" x14ac:dyDescent="0.4">
      <c r="B8" s="7">
        <f t="shared" si="0"/>
        <v>45994</v>
      </c>
      <c r="C8" s="4">
        <v>0.33333333333333331</v>
      </c>
      <c r="D8" s="4">
        <v>0.66666666666666663</v>
      </c>
      <c r="E8" s="4">
        <f>IF(Tableau12_2025[[#This Row],[Arrivée]]&lt;&gt;"",_TpsPause,0)</f>
        <v>4.1666666666666664E-2</v>
      </c>
      <c r="H8">
        <v>51</v>
      </c>
      <c r="I8" s="14">
        <v>9.7916666666666319E-2</v>
      </c>
      <c r="J8" s="15">
        <v>2.3499999999999917</v>
      </c>
      <c r="K8"/>
      <c r="L8"/>
    </row>
    <row r="9" spans="2:12" x14ac:dyDescent="0.4">
      <c r="B9" s="7">
        <f t="shared" si="0"/>
        <v>45995</v>
      </c>
      <c r="C9" s="4">
        <v>0.33333333333333331</v>
      </c>
      <c r="D9" s="4">
        <v>0.66666666666666663</v>
      </c>
      <c r="E9" s="4">
        <f>IF(Tableau12_2025[[#This Row],[Arrivée]]&lt;&gt;"",_TpsPause,0)</f>
        <v>4.1666666666666664E-2</v>
      </c>
      <c r="H9">
        <v>52</v>
      </c>
      <c r="I9" s="14">
        <v>0.12499999999999983</v>
      </c>
      <c r="J9" s="15">
        <v>2.999999999999996</v>
      </c>
      <c r="K9"/>
      <c r="L9"/>
    </row>
    <row r="10" spans="2:12" x14ac:dyDescent="0.4">
      <c r="B10" s="7">
        <f t="shared" si="0"/>
        <v>45996</v>
      </c>
      <c r="C10" s="4">
        <v>0.33333333333333331</v>
      </c>
      <c r="D10" s="4">
        <v>0.66666666666666663</v>
      </c>
      <c r="E10" s="4">
        <f>IF(Tableau12_2025[[#This Row],[Arrivée]]&lt;&gt;"",_TpsPause,0)</f>
        <v>4.1666666666666664E-2</v>
      </c>
      <c r="H10" t="s">
        <v>36</v>
      </c>
      <c r="I10" s="14">
        <v>0.37430555555555484</v>
      </c>
      <c r="J10" s="15">
        <v>8.9833333333333165</v>
      </c>
      <c r="K10"/>
      <c r="L10"/>
    </row>
    <row r="11" spans="2:12" x14ac:dyDescent="0.4">
      <c r="B11" s="7">
        <f t="shared" si="0"/>
        <v>45997</v>
      </c>
      <c r="C11" s="4"/>
      <c r="D11" s="4"/>
      <c r="E11" s="4">
        <f>IF(Tableau12_2025[[#This Row],[Arrivée]]&lt;&gt;"",_TpsPause,0)</f>
        <v>0</v>
      </c>
      <c r="H11"/>
      <c r="I11"/>
      <c r="J11"/>
      <c r="K11"/>
      <c r="L11"/>
    </row>
    <row r="12" spans="2:12" x14ac:dyDescent="0.4">
      <c r="B12" s="7">
        <f t="shared" si="0"/>
        <v>45998</v>
      </c>
      <c r="C12" s="4"/>
      <c r="D12" s="4"/>
      <c r="E12" s="4">
        <f>IF(Tableau12_2025[[#This Row],[Arrivée]]&lt;&gt;"",_TpsPause,0)</f>
        <v>0</v>
      </c>
      <c r="H12"/>
      <c r="I12"/>
      <c r="J12"/>
    </row>
    <row r="13" spans="2:12" x14ac:dyDescent="0.4">
      <c r="B13" s="7">
        <f t="shared" si="0"/>
        <v>45999</v>
      </c>
      <c r="C13" s="4">
        <v>0.33819444444444446</v>
      </c>
      <c r="D13" s="4">
        <v>0.6958333333333333</v>
      </c>
      <c r="E13" s="4">
        <f>IF(Tableau12_2025[[#This Row],[Arrivée]]&lt;&gt;"",_TpsPause,0)</f>
        <v>4.1666666666666664E-2</v>
      </c>
      <c r="H13"/>
      <c r="I13"/>
      <c r="J13"/>
    </row>
    <row r="14" spans="2:12" x14ac:dyDescent="0.4">
      <c r="B14" s="7">
        <f t="shared" si="0"/>
        <v>46000</v>
      </c>
      <c r="C14" s="4">
        <v>0.33263888888888887</v>
      </c>
      <c r="D14" s="4">
        <v>0.69513888888888886</v>
      </c>
      <c r="E14" s="4">
        <f>IF(Tableau12_2025[[#This Row],[Arrivée]]&lt;&gt;"",_TpsPause,0)</f>
        <v>4.1666666666666664E-2</v>
      </c>
      <c r="H14"/>
      <c r="I14"/>
      <c r="J14"/>
    </row>
    <row r="15" spans="2:12" x14ac:dyDescent="0.4">
      <c r="B15" s="7">
        <f t="shared" si="0"/>
        <v>46001</v>
      </c>
      <c r="C15" s="4">
        <v>0.3298611111111111</v>
      </c>
      <c r="D15" s="4">
        <v>0.70763888888888893</v>
      </c>
      <c r="E15" s="4">
        <f>IF(Tableau12_2025[[#This Row],[Arrivée]]&lt;&gt;"",_TpsPause,0)</f>
        <v>4.1666666666666664E-2</v>
      </c>
      <c r="H15"/>
      <c r="I15"/>
      <c r="J15"/>
    </row>
    <row r="16" spans="2:12" x14ac:dyDescent="0.4">
      <c r="B16" s="7">
        <f t="shared" si="0"/>
        <v>46002</v>
      </c>
      <c r="C16" s="4">
        <v>0.33888888888888891</v>
      </c>
      <c r="D16" s="4">
        <v>0.69861111111111107</v>
      </c>
      <c r="E16" s="4">
        <f>IF(Tableau12_2025[[#This Row],[Arrivée]]&lt;&gt;"",_TpsPause,0)</f>
        <v>4.1666666666666664E-2</v>
      </c>
      <c r="H16"/>
      <c r="I16"/>
      <c r="J16"/>
    </row>
    <row r="17" spans="2:12" x14ac:dyDescent="0.4">
      <c r="B17" s="7">
        <f t="shared" si="0"/>
        <v>46003</v>
      </c>
      <c r="C17" s="4">
        <v>0.33819444444444446</v>
      </c>
      <c r="D17" s="4">
        <v>0.54861111111111116</v>
      </c>
      <c r="E17" s="4">
        <f>IF(Tableau12_2025[[#This Row],[Arrivée]]&lt;&gt;"",_TpsPause,0)</f>
        <v>4.1666666666666664E-2</v>
      </c>
      <c r="H17"/>
      <c r="I17"/>
      <c r="J17"/>
    </row>
    <row r="18" spans="2:12" x14ac:dyDescent="0.4">
      <c r="B18" s="7">
        <f t="shared" si="0"/>
        <v>46004</v>
      </c>
      <c r="C18" s="4"/>
      <c r="D18" s="4"/>
      <c r="E18" s="4">
        <f>IF(Tableau12_2025[[#This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  <c r="L18" s="6"/>
    </row>
    <row r="19" spans="2:12" x14ac:dyDescent="0.4">
      <c r="B19" s="7">
        <f t="shared" si="0"/>
        <v>46005</v>
      </c>
      <c r="C19" s="4"/>
      <c r="D19" s="4"/>
      <c r="E19" s="4">
        <f>IF(Tableau12_2025[[#This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  <c r="L19" s="15"/>
    </row>
    <row r="20" spans="2:12" x14ac:dyDescent="0.4">
      <c r="B20" s="7">
        <f t="shared" si="0"/>
        <v>46006</v>
      </c>
      <c r="C20" s="4">
        <v>0.34236111111111112</v>
      </c>
      <c r="D20" s="4">
        <v>0.69513888888888886</v>
      </c>
      <c r="E20" s="4">
        <f>IF(Tableau12_2025[[#This Row],[Arrivée]]&lt;&gt;"",_TpsPause,0)</f>
        <v>4.1666666666666664E-2</v>
      </c>
      <c r="H20"/>
      <c r="I20" t="s">
        <v>44</v>
      </c>
      <c r="J20" s="17">
        <v>0.2770833333333329</v>
      </c>
      <c r="K20" s="15">
        <v>6.6499999999999888</v>
      </c>
      <c r="L20" s="15"/>
    </row>
    <row r="21" spans="2:12" x14ac:dyDescent="0.4">
      <c r="B21" s="7">
        <f t="shared" si="0"/>
        <v>46007</v>
      </c>
      <c r="C21" s="4">
        <v>0.34097222222222223</v>
      </c>
      <c r="D21" s="4">
        <v>0.69861111111111107</v>
      </c>
      <c r="E21" s="4">
        <f>IF(Tableau12_2025[[#This Row],[Arrivée]]&lt;&gt;"",_TpsPause,0)</f>
        <v>4.1666666666666664E-2</v>
      </c>
      <c r="H21"/>
      <c r="I21" t="s">
        <v>45</v>
      </c>
      <c r="J21" s="17">
        <v>0.33402777777777698</v>
      </c>
      <c r="K21" s="15">
        <v>8.016666666666648</v>
      </c>
      <c r="L21" s="15"/>
    </row>
    <row r="22" spans="2:12" x14ac:dyDescent="0.4">
      <c r="B22" s="7">
        <f t="shared" si="0"/>
        <v>46008</v>
      </c>
      <c r="C22" s="4">
        <v>0.33611111111111114</v>
      </c>
      <c r="D22" s="4">
        <v>0.69722222222222219</v>
      </c>
      <c r="E22" s="4">
        <f>IF(Tableau12_2025[[#This Row],[Arrivée]]&lt;&gt;"",_TpsPause,0)</f>
        <v>4.1666666666666664E-2</v>
      </c>
      <c r="H22"/>
      <c r="I22" t="s">
        <v>46</v>
      </c>
      <c r="J22" s="17">
        <v>0.68263888888888802</v>
      </c>
      <c r="K22" s="15">
        <v>16.383333333333312</v>
      </c>
      <c r="L22" s="15"/>
    </row>
    <row r="23" spans="2:12" x14ac:dyDescent="0.4">
      <c r="B23" s="7">
        <f t="shared" si="0"/>
        <v>46009</v>
      </c>
      <c r="C23" s="4">
        <v>0.33958333333333335</v>
      </c>
      <c r="D23" s="4">
        <v>0.69930555555555551</v>
      </c>
      <c r="E23" s="4">
        <f>IF(Tableau12_2025[[#This Row],[Arrivée]]&lt;&gt;"",_TpsPause,0)</f>
        <v>4.1666666666666664E-2</v>
      </c>
      <c r="H23"/>
      <c r="I23" t="s">
        <v>47</v>
      </c>
      <c r="J23" s="17">
        <v>0.63055555555555465</v>
      </c>
      <c r="K23" s="15">
        <v>15.133333333333312</v>
      </c>
      <c r="L23" s="15"/>
    </row>
    <row r="24" spans="2:12" x14ac:dyDescent="0.4">
      <c r="B24" s="7">
        <f t="shared" si="0"/>
        <v>46010</v>
      </c>
      <c r="C24" s="4">
        <v>0.33958333333333335</v>
      </c>
      <c r="D24" s="4">
        <v>0.59861111111111109</v>
      </c>
      <c r="E24" s="4">
        <f>IF(Tableau12_2025[[#This Row],[Arrivée]]&lt;&gt;"",_TpsPause,0)</f>
        <v>4.1666666666666664E-2</v>
      </c>
      <c r="H24"/>
      <c r="I24" t="s">
        <v>48</v>
      </c>
      <c r="J24" s="17">
        <v>0.55624999999999913</v>
      </c>
      <c r="K24" s="15">
        <v>13.349999999999984</v>
      </c>
      <c r="L24" s="15"/>
    </row>
    <row r="25" spans="2:12" x14ac:dyDescent="0.4">
      <c r="B25" s="7">
        <f t="shared" si="0"/>
        <v>46011</v>
      </c>
      <c r="C25" s="4"/>
      <c r="D25" s="4"/>
      <c r="E25" s="4">
        <f>IF(Tableau12_2025[[#This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  <c r="L25" s="15"/>
    </row>
    <row r="26" spans="2:12" x14ac:dyDescent="0.4">
      <c r="B26" s="7">
        <f t="shared" si="0"/>
        <v>46012</v>
      </c>
      <c r="C26" s="4"/>
      <c r="D26" s="4"/>
      <c r="E26" s="4">
        <f>IF(Tableau12_2025[[#This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  <c r="L26" s="15"/>
    </row>
    <row r="27" spans="2:12" x14ac:dyDescent="0.4">
      <c r="B27" s="7">
        <f t="shared" si="0"/>
        <v>46013</v>
      </c>
      <c r="C27" s="4">
        <v>0.33611111111111114</v>
      </c>
      <c r="D27" s="4">
        <v>0.70625000000000004</v>
      </c>
      <c r="E27" s="4">
        <f>IF(Tableau12_2025[[#This Row],[Arrivée]]&lt;&gt;"",_TpsPause,0)</f>
        <v>4.1666666666666664E-2</v>
      </c>
      <c r="H27"/>
      <c r="I27" t="s">
        <v>60</v>
      </c>
      <c r="J27" s="17">
        <v>0.37430555555555484</v>
      </c>
      <c r="K27" s="15">
        <v>8.9833333333333165</v>
      </c>
      <c r="L27" s="15"/>
    </row>
    <row r="28" spans="2:12" x14ac:dyDescent="0.4">
      <c r="B28" s="7">
        <f t="shared" si="0"/>
        <v>46014</v>
      </c>
      <c r="C28" s="4">
        <v>0.33333333333333331</v>
      </c>
      <c r="D28" s="4">
        <v>0.69097222222222221</v>
      </c>
      <c r="E28" s="4">
        <f>IF(Tableau12_2025[[#This Row],[Arrivée]]&lt;&gt;"",_TpsPause,0)</f>
        <v>4.1666666666666664E-2</v>
      </c>
      <c r="H28" t="s">
        <v>43</v>
      </c>
      <c r="I28"/>
      <c r="J28" s="17">
        <v>4.3340277777777718</v>
      </c>
      <c r="K28" s="15">
        <v>104.01666666666652</v>
      </c>
    </row>
    <row r="29" spans="2:12" x14ac:dyDescent="0.4">
      <c r="B29" s="7">
        <f t="shared" si="0"/>
        <v>46015</v>
      </c>
      <c r="C29" s="4">
        <v>0.3215277777777778</v>
      </c>
      <c r="D29" s="4">
        <v>0.69791666666666663</v>
      </c>
      <c r="E29" s="4">
        <f>IF(Tableau12_2025[[#This Row],[Arrivée]]&lt;&gt;"",_TpsPause,0)</f>
        <v>4.1666666666666664E-2</v>
      </c>
      <c r="H29">
        <v>2026</v>
      </c>
      <c r="I29" t="s">
        <v>57</v>
      </c>
      <c r="J29" s="17">
        <v>0</v>
      </c>
      <c r="K29" s="15">
        <v>0</v>
      </c>
    </row>
    <row r="30" spans="2:12" x14ac:dyDescent="0.4">
      <c r="B30" s="7">
        <f t="shared" si="0"/>
        <v>46016</v>
      </c>
      <c r="C30" s="4">
        <v>0.33333333333333331</v>
      </c>
      <c r="D30" s="4">
        <v>0.6875</v>
      </c>
      <c r="E30" s="4">
        <f>IF(Tableau12_2025[[#This Row],[Arrivée]]&lt;&gt;"",_TpsPause,0)</f>
        <v>4.1666666666666664E-2</v>
      </c>
      <c r="H30"/>
      <c r="I30" t="s">
        <v>73</v>
      </c>
      <c r="J30" s="17">
        <v>0</v>
      </c>
      <c r="K30" s="15">
        <v>0</v>
      </c>
    </row>
    <row r="31" spans="2:12" x14ac:dyDescent="0.4">
      <c r="B31" s="7">
        <f t="shared" si="0"/>
        <v>46017</v>
      </c>
      <c r="C31" s="4"/>
      <c r="D31" s="4"/>
      <c r="E31" s="4">
        <f>IF(Tableau12_2025[[#This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2" x14ac:dyDescent="0.4">
      <c r="B32" s="7">
        <f t="shared" si="0"/>
        <v>46018</v>
      </c>
      <c r="C32" s="4"/>
      <c r="D32" s="4"/>
      <c r="E32" s="4">
        <f>IF(Tableau12_2025[[#This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46019</v>
      </c>
      <c r="C33" s="4"/>
      <c r="D33" s="4"/>
      <c r="E33" s="4">
        <f>IF(Tableau12_2025[[#This Row],[Arrivée]]&lt;&gt;"",_TpsPause,0)</f>
        <v>0</v>
      </c>
      <c r="H33"/>
      <c r="I33"/>
      <c r="J33"/>
    </row>
    <row r="34" spans="2:10" x14ac:dyDescent="0.4">
      <c r="B34" s="7">
        <f>IFERROR(IF(MONTH(B33+1)=MONTH($B$6),B33+1,""),"")</f>
        <v>46020</v>
      </c>
      <c r="C34" s="4"/>
      <c r="D34" s="4"/>
      <c r="E34" s="4">
        <f>IF(Tableau12_2025[[#This Row],[Arrivée]]&lt;&gt;"",_TpsPause,0)</f>
        <v>0</v>
      </c>
      <c r="H34"/>
      <c r="I34"/>
      <c r="J34"/>
    </row>
    <row r="35" spans="2:10" x14ac:dyDescent="0.4">
      <c r="B35" s="7">
        <f>IFERROR(IF(MONTH(B34+1)=MONTH($B$6),B34+1,""),"")</f>
        <v>46021</v>
      </c>
      <c r="C35" s="4"/>
      <c r="D35" s="4"/>
      <c r="E35" s="4">
        <f>IF(Tableau12_2025[[#This Row],[Arrivée]]&lt;&gt;"",_TpsPause,0)</f>
        <v>0</v>
      </c>
      <c r="H35"/>
      <c r="I35"/>
      <c r="J35"/>
    </row>
    <row r="36" spans="2:10" x14ac:dyDescent="0.4">
      <c r="B36" s="7">
        <f>IFERROR(IF(MONTH(B35+1)=MONTH($B$6),B35+1,""),"")</f>
        <v>46022</v>
      </c>
      <c r="C36" s="4"/>
      <c r="D36" s="4"/>
      <c r="E36" s="4">
        <f>IF(Tableau12_2025[[#This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7" priority="1">
      <formula>COUNTIF(l_Feries,$B6)</formula>
    </cfRule>
    <cfRule type="expression" dxfId="6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E4394675-4D7F-4E97-8ABE-465536D297DD}">
      <formula1>"Formule"</formula1>
    </dataValidation>
    <dataValidation type="custom" allowBlank="1" showInputMessage="1" showErrorMessage="1" error="Cette cellule contient une formule de calcul." sqref="B6:B36" xr:uid="{1B6FC049-C321-4546-828C-6C5BD984E3DC}">
      <formula1>"formule"</formula1>
    </dataValidation>
    <dataValidation allowBlank="1" showInputMessage="1" showErrorMessage="1" prompt="Sélectionner une année à l'aide de la toupie, ci-contre." sqref="C2" xr:uid="{951F38C3-3F16-40B4-8FFB-A581EC3ACEA2}"/>
    <dataValidation type="list" allowBlank="1" showInputMessage="1" showErrorMessage="1" prompt="Sélectionner un mois à l'aide de la liste déroulante." sqref="C3" xr:uid="{9023B669-B992-4682-B5BB-C39F416760D7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4FBBA-711C-4051-BE58-A956A514295B}">
  <dimension ref="B2:T41"/>
  <sheetViews>
    <sheetView showGridLines="0" showZeros="0" topLeftCell="A28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2.19921875" style="1" bestFit="1" customWidth="1"/>
    <col min="9" max="12" width="16.69921875" style="1" customWidth="1"/>
    <col min="21" max="16384" width="11.19921875" style="1"/>
  </cols>
  <sheetData>
    <row r="2" spans="2:12" ht="17.399999999999999" thickBot="1" x14ac:dyDescent="0.45">
      <c r="B2" s="8" t="s">
        <v>19</v>
      </c>
      <c r="C2" s="9">
        <v>2026</v>
      </c>
      <c r="H2" s="13" t="s">
        <v>19</v>
      </c>
      <c r="I2" t="s">
        <v>61</v>
      </c>
    </row>
    <row r="3" spans="2:12" ht="18" thickTop="1" thickBot="1" x14ac:dyDescent="0.45">
      <c r="B3" s="8" t="s">
        <v>4</v>
      </c>
      <c r="C3" s="9" t="s">
        <v>5</v>
      </c>
      <c r="H3" s="13" t="s">
        <v>4</v>
      </c>
      <c r="I3" t="s">
        <v>57</v>
      </c>
    </row>
    <row r="4" spans="2:12" ht="17.399999999999999" thickTop="1" x14ac:dyDescent="0.4"/>
    <row r="5" spans="2:12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  <c r="L5"/>
    </row>
    <row r="6" spans="2:12" x14ac:dyDescent="0.4">
      <c r="B6" s="7">
        <f>DATEVALUE(C3&amp;C2)</f>
        <v>46023</v>
      </c>
      <c r="C6" s="4"/>
      <c r="D6" s="4"/>
      <c r="E6" s="4">
        <f>IF(Tableau1_2026[[#This Row],[Arrivée]]&lt;&gt;"",_TpsPause,0)</f>
        <v>0</v>
      </c>
      <c r="H6" t="s">
        <v>36</v>
      </c>
      <c r="I6" s="14"/>
      <c r="J6" s="15"/>
      <c r="K6"/>
      <c r="L6"/>
    </row>
    <row r="7" spans="2:12" x14ac:dyDescent="0.4">
      <c r="B7" s="7">
        <f t="shared" ref="B7:B33" si="0">B6+1</f>
        <v>46024</v>
      </c>
      <c r="C7" s="4"/>
      <c r="D7" s="4"/>
      <c r="E7" s="4">
        <f>IF(Tableau1_2026[[#This Row],[Arrivée]]&lt;&gt;"",_TpsPause,0)</f>
        <v>0</v>
      </c>
      <c r="H7"/>
      <c r="I7"/>
      <c r="J7"/>
      <c r="K7"/>
      <c r="L7"/>
    </row>
    <row r="8" spans="2:12" x14ac:dyDescent="0.4">
      <c r="B8" s="7">
        <f t="shared" si="0"/>
        <v>46025</v>
      </c>
      <c r="C8" s="4"/>
      <c r="D8" s="4"/>
      <c r="E8" s="4">
        <f>IF(Tableau1_2026[[#This Row],[Arrivée]]&lt;&gt;"",_TpsPause,0)</f>
        <v>0</v>
      </c>
      <c r="H8"/>
      <c r="I8"/>
      <c r="J8"/>
      <c r="K8"/>
      <c r="L8"/>
    </row>
    <row r="9" spans="2:12" x14ac:dyDescent="0.4">
      <c r="B9" s="7">
        <f t="shared" si="0"/>
        <v>46026</v>
      </c>
      <c r="C9" s="4"/>
      <c r="D9" s="4"/>
      <c r="E9" s="4">
        <f>IF(Tableau1_2026[[#This Row],[Arrivée]]&lt;&gt;"",_TpsPause,0)</f>
        <v>0</v>
      </c>
      <c r="H9"/>
      <c r="I9"/>
      <c r="J9"/>
      <c r="K9"/>
      <c r="L9"/>
    </row>
    <row r="10" spans="2:12" x14ac:dyDescent="0.4">
      <c r="B10" s="7">
        <f t="shared" si="0"/>
        <v>46027</v>
      </c>
      <c r="C10" s="4"/>
      <c r="D10" s="4"/>
      <c r="E10" s="4">
        <f>IF(Tableau1_2026[[#This Row],[Arrivée]]&lt;&gt;"",_TpsPause,0)</f>
        <v>0</v>
      </c>
      <c r="H10"/>
      <c r="I10"/>
      <c r="J10"/>
      <c r="K10"/>
      <c r="L10"/>
    </row>
    <row r="11" spans="2:12" x14ac:dyDescent="0.4">
      <c r="B11" s="7">
        <f t="shared" si="0"/>
        <v>46028</v>
      </c>
      <c r="C11" s="4"/>
      <c r="D11" s="4"/>
      <c r="E11" s="4">
        <f>IF(Tableau1_2026[[#This Row],[Arrivée]]&lt;&gt;"",_TpsPause,0)</f>
        <v>0</v>
      </c>
      <c r="H11"/>
      <c r="I11"/>
      <c r="J11"/>
      <c r="K11"/>
      <c r="L11"/>
    </row>
    <row r="12" spans="2:12" x14ac:dyDescent="0.4">
      <c r="B12" s="7">
        <f t="shared" si="0"/>
        <v>46029</v>
      </c>
      <c r="C12" s="4"/>
      <c r="D12" s="4"/>
      <c r="E12" s="4">
        <f>IF(Tableau1_2026[[#This Row],[Arrivée]]&lt;&gt;"",_TpsPause,0)</f>
        <v>0</v>
      </c>
      <c r="H12"/>
      <c r="I12"/>
      <c r="J12"/>
    </row>
    <row r="13" spans="2:12" x14ac:dyDescent="0.4">
      <c r="B13" s="7">
        <f t="shared" si="0"/>
        <v>46030</v>
      </c>
      <c r="C13" s="4"/>
      <c r="D13" s="4"/>
      <c r="E13" s="4">
        <f>IF(Tableau1_2026[[#This Row],[Arrivée]]&lt;&gt;"",_TpsPause,0)</f>
        <v>0</v>
      </c>
      <c r="H13"/>
      <c r="I13"/>
      <c r="J13"/>
    </row>
    <row r="14" spans="2:12" x14ac:dyDescent="0.4">
      <c r="B14" s="7">
        <f t="shared" si="0"/>
        <v>46031</v>
      </c>
      <c r="C14" s="4"/>
      <c r="D14" s="4"/>
      <c r="E14" s="4">
        <f>IF(Tableau1_2026[[#This Row],[Arrivée]]&lt;&gt;"",_TpsPause,0)</f>
        <v>0</v>
      </c>
      <c r="H14"/>
      <c r="I14"/>
      <c r="J14"/>
    </row>
    <row r="15" spans="2:12" x14ac:dyDescent="0.4">
      <c r="B15" s="7">
        <f t="shared" si="0"/>
        <v>46032</v>
      </c>
      <c r="C15" s="4"/>
      <c r="D15" s="4"/>
      <c r="E15" s="4">
        <f>IF(Tableau1_2026[[#This Row],[Arrivée]]&lt;&gt;"",_TpsPause,0)</f>
        <v>0</v>
      </c>
      <c r="H15"/>
      <c r="I15"/>
      <c r="J15"/>
    </row>
    <row r="16" spans="2:12" x14ac:dyDescent="0.4">
      <c r="B16" s="7">
        <f t="shared" si="0"/>
        <v>46033</v>
      </c>
      <c r="C16" s="4"/>
      <c r="D16" s="4"/>
      <c r="E16" s="4">
        <f>IF(Tableau1_2026[[#This Row],[Arrivée]]&lt;&gt;"",_TpsPause,0)</f>
        <v>0</v>
      </c>
      <c r="H16"/>
      <c r="I16"/>
      <c r="J16"/>
    </row>
    <row r="17" spans="2:12" x14ac:dyDescent="0.4">
      <c r="B17" s="7">
        <f t="shared" si="0"/>
        <v>46034</v>
      </c>
      <c r="C17" s="4"/>
      <c r="D17" s="4"/>
      <c r="E17" s="4">
        <f>IF(Tableau1_2026[[#This Row],[Arrivée]]&lt;&gt;"",_TpsPause,0)</f>
        <v>0</v>
      </c>
      <c r="H17"/>
      <c r="I17"/>
      <c r="J17"/>
    </row>
    <row r="18" spans="2:12" x14ac:dyDescent="0.4">
      <c r="B18" s="7">
        <f t="shared" si="0"/>
        <v>46035</v>
      </c>
      <c r="C18" s="4"/>
      <c r="D18" s="4"/>
      <c r="E18" s="4">
        <f>IF(Tableau1_2026[[#This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  <c r="L18" s="6"/>
    </row>
    <row r="19" spans="2:12" x14ac:dyDescent="0.4">
      <c r="B19" s="7">
        <f t="shared" si="0"/>
        <v>46036</v>
      </c>
      <c r="C19" s="4"/>
      <c r="D19" s="4"/>
      <c r="E19" s="4">
        <f>IF(Tableau1_2026[[#This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  <c r="L19" s="15"/>
    </row>
    <row r="20" spans="2:12" x14ac:dyDescent="0.4">
      <c r="B20" s="7">
        <f t="shared" si="0"/>
        <v>46037</v>
      </c>
      <c r="C20" s="4"/>
      <c r="D20" s="4"/>
      <c r="E20" s="4">
        <f>IF(Tableau1_2026[[#This Row],[Arrivée]]&lt;&gt;"",_TpsPause,0)</f>
        <v>0</v>
      </c>
      <c r="H20"/>
      <c r="I20" t="s">
        <v>44</v>
      </c>
      <c r="J20" s="17">
        <v>0.2770833333333329</v>
      </c>
      <c r="K20" s="15">
        <v>6.6499999999999888</v>
      </c>
      <c r="L20" s="15"/>
    </row>
    <row r="21" spans="2:12" x14ac:dyDescent="0.4">
      <c r="B21" s="7">
        <f t="shared" si="0"/>
        <v>46038</v>
      </c>
      <c r="C21" s="4"/>
      <c r="D21" s="4"/>
      <c r="E21" s="4">
        <f>IF(Tableau1_2026[[#This Row],[Arrivée]]&lt;&gt;"",_TpsPause,0)</f>
        <v>0</v>
      </c>
      <c r="H21"/>
      <c r="I21" t="s">
        <v>45</v>
      </c>
      <c r="J21" s="17">
        <v>0.33402777777777698</v>
      </c>
      <c r="K21" s="15">
        <v>8.016666666666648</v>
      </c>
      <c r="L21" s="15"/>
    </row>
    <row r="22" spans="2:12" x14ac:dyDescent="0.4">
      <c r="B22" s="7">
        <f t="shared" si="0"/>
        <v>46039</v>
      </c>
      <c r="C22" s="4"/>
      <c r="D22" s="4"/>
      <c r="E22" s="4">
        <f>IF(Tableau1_2026[[#This Row],[Arrivée]]&lt;&gt;"",_TpsPause,0)</f>
        <v>0</v>
      </c>
      <c r="H22"/>
      <c r="I22" t="s">
        <v>46</v>
      </c>
      <c r="J22" s="17">
        <v>0.68263888888888802</v>
      </c>
      <c r="K22" s="15">
        <v>16.383333333333312</v>
      </c>
      <c r="L22" s="15"/>
    </row>
    <row r="23" spans="2:12" x14ac:dyDescent="0.4">
      <c r="B23" s="7">
        <f t="shared" si="0"/>
        <v>46040</v>
      </c>
      <c r="C23" s="4"/>
      <c r="D23" s="4"/>
      <c r="E23" s="4">
        <f>IF(Tableau1_2026[[#This Row],[Arrivée]]&lt;&gt;"",_TpsPause,0)</f>
        <v>0</v>
      </c>
      <c r="H23"/>
      <c r="I23" t="s">
        <v>47</v>
      </c>
      <c r="J23" s="17">
        <v>0.63055555555555465</v>
      </c>
      <c r="K23" s="15">
        <v>15.133333333333312</v>
      </c>
      <c r="L23" s="15"/>
    </row>
    <row r="24" spans="2:12" x14ac:dyDescent="0.4">
      <c r="B24" s="7">
        <f t="shared" si="0"/>
        <v>46041</v>
      </c>
      <c r="C24" s="4"/>
      <c r="D24" s="4"/>
      <c r="E24" s="4">
        <f>IF(Tableau1_2026[[#This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  <c r="L24" s="15"/>
    </row>
    <row r="25" spans="2:12" x14ac:dyDescent="0.4">
      <c r="B25" s="7">
        <f t="shared" si="0"/>
        <v>46042</v>
      </c>
      <c r="C25" s="4"/>
      <c r="D25" s="4"/>
      <c r="E25" s="4">
        <f>IF(Tableau1_2026[[#This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  <c r="L25" s="15"/>
    </row>
    <row r="26" spans="2:12" x14ac:dyDescent="0.4">
      <c r="B26" s="7">
        <f t="shared" si="0"/>
        <v>46043</v>
      </c>
      <c r="C26" s="4"/>
      <c r="D26" s="4"/>
      <c r="E26" s="4">
        <f>IF(Tableau1_2026[[#This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  <c r="L26" s="15"/>
    </row>
    <row r="27" spans="2:12" x14ac:dyDescent="0.4">
      <c r="B27" s="7">
        <f t="shared" si="0"/>
        <v>46044</v>
      </c>
      <c r="C27" s="4"/>
      <c r="D27" s="4"/>
      <c r="E27" s="4">
        <f>IF(Tableau1_2026[[#This Row],[Arrivée]]&lt;&gt;"",_TpsPause,0)</f>
        <v>0</v>
      </c>
      <c r="H27"/>
      <c r="I27" t="s">
        <v>60</v>
      </c>
      <c r="J27" s="17">
        <v>0.37430555555555484</v>
      </c>
      <c r="K27" s="15">
        <v>8.9833333333333165</v>
      </c>
      <c r="L27" s="15"/>
    </row>
    <row r="28" spans="2:12" x14ac:dyDescent="0.4">
      <c r="B28" s="7">
        <f t="shared" si="0"/>
        <v>46045</v>
      </c>
      <c r="C28" s="4"/>
      <c r="D28" s="4"/>
      <c r="E28" s="4">
        <f>IF(Tableau1_2026[[#This Row],[Arrivée]]&lt;&gt;"",_TpsPause,0)</f>
        <v>0</v>
      </c>
      <c r="H28" t="s">
        <v>43</v>
      </c>
      <c r="I28"/>
      <c r="J28" s="17">
        <v>4.3340277777777718</v>
      </c>
      <c r="K28" s="15">
        <v>104.01666666666652</v>
      </c>
    </row>
    <row r="29" spans="2:12" x14ac:dyDescent="0.4">
      <c r="B29" s="7">
        <f t="shared" si="0"/>
        <v>46046</v>
      </c>
      <c r="C29" s="4"/>
      <c r="D29" s="4"/>
      <c r="E29" s="4">
        <f>IF(Tableau1_2026[[#This Row],[Arrivée]]&lt;&gt;"",_TpsPause,0)</f>
        <v>0</v>
      </c>
      <c r="H29">
        <v>2026</v>
      </c>
      <c r="I29" t="s">
        <v>57</v>
      </c>
      <c r="J29" s="17">
        <v>0</v>
      </c>
      <c r="K29" s="15">
        <v>0</v>
      </c>
    </row>
    <row r="30" spans="2:12" x14ac:dyDescent="0.4">
      <c r="B30" s="7">
        <f t="shared" si="0"/>
        <v>46047</v>
      </c>
      <c r="C30" s="4"/>
      <c r="D30" s="4"/>
      <c r="E30" s="4">
        <f>IF(Tableau1_2026[[#This Row],[Arrivée]]&lt;&gt;"",_TpsPause,0)</f>
        <v>0</v>
      </c>
      <c r="H30"/>
      <c r="I30" t="s">
        <v>73</v>
      </c>
      <c r="J30" s="17">
        <v>0</v>
      </c>
      <c r="K30" s="15">
        <v>0</v>
      </c>
    </row>
    <row r="31" spans="2:12" x14ac:dyDescent="0.4">
      <c r="B31" s="7">
        <f t="shared" si="0"/>
        <v>46048</v>
      </c>
      <c r="C31" s="4"/>
      <c r="D31" s="4"/>
      <c r="E31" s="4">
        <f>IF(Tableau1_2026[[#This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2" x14ac:dyDescent="0.4">
      <c r="B32" s="7">
        <f t="shared" si="0"/>
        <v>46049</v>
      </c>
      <c r="C32" s="4"/>
      <c r="D32" s="4"/>
      <c r="E32" s="4">
        <f>IF(Tableau1_2026[[#This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46050</v>
      </c>
      <c r="C33" s="4"/>
      <c r="D33" s="4"/>
      <c r="E33" s="4">
        <f>IF(Tableau1_2026[[#This Row],[Arrivée]]&lt;&gt;"",_TpsPause,0)</f>
        <v>0</v>
      </c>
      <c r="H33"/>
      <c r="I33"/>
      <c r="J33"/>
    </row>
    <row r="34" spans="2:10" x14ac:dyDescent="0.4">
      <c r="B34" s="7">
        <f>IFERROR(IF(MONTH(B33+1)=MONTH($B$6),B33+1,""),"")</f>
        <v>46051</v>
      </c>
      <c r="C34" s="4"/>
      <c r="D34" s="4"/>
      <c r="E34" s="4">
        <f>IF(Tableau1_2026[[#This Row],[Arrivée]]&lt;&gt;"",_TpsPause,0)</f>
        <v>0</v>
      </c>
      <c r="H34"/>
      <c r="I34"/>
      <c r="J34"/>
    </row>
    <row r="35" spans="2:10" x14ac:dyDescent="0.4">
      <c r="B35" s="7">
        <f>IFERROR(IF(MONTH(B34+1)=MONTH($B$6),B34+1,""),"")</f>
        <v>46052</v>
      </c>
      <c r="C35" s="4"/>
      <c r="D35" s="4"/>
      <c r="E35" s="4">
        <f>IF(Tableau1_2026[[#This Row],[Arrivée]]&lt;&gt;"",_TpsPause,0)</f>
        <v>0</v>
      </c>
      <c r="H35"/>
      <c r="I35"/>
      <c r="J35"/>
    </row>
    <row r="36" spans="2:10" x14ac:dyDescent="0.4">
      <c r="B36" s="7">
        <f>IFERROR(IF(MONTH(B35+1)=MONTH($B$6),B35+1,""),"")</f>
        <v>46053</v>
      </c>
      <c r="C36" s="4"/>
      <c r="D36" s="4"/>
      <c r="E36" s="4">
        <f>IF(Tableau1_2026[[#This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5" priority="1">
      <formula>COUNTIF(l_Feries,$B6)</formula>
    </cfRule>
    <cfRule type="expression" dxfId="4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AD96723D-6933-4D22-9FB7-FACE1DCB46B7}">
      <formula1>"Formule"</formula1>
    </dataValidation>
    <dataValidation type="custom" allowBlank="1" showInputMessage="1" showErrorMessage="1" error="Cette cellule contient une formule de calcul." sqref="B6:B36" xr:uid="{5A527F69-97BF-4A68-A45A-0A152D6417A5}">
      <formula1>"formule"</formula1>
    </dataValidation>
    <dataValidation allowBlank="1" showInputMessage="1" showErrorMessage="1" prompt="Sélectionner une année à l'aide de la toupie, ci-contre." sqref="C2" xr:uid="{A5D49A29-0AD9-4C34-ABAB-69188EE24EAA}"/>
    <dataValidation type="list" allowBlank="1" showInputMessage="1" showErrorMessage="1" prompt="Sélectionner un mois à l'aide de la liste déroulante." sqref="C3" xr:uid="{C9A12873-2ECC-4830-811F-0ACD5F963C50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C5BA9-1314-4A5E-9F08-934AA735F053}">
  <dimension ref="B2:T41"/>
  <sheetViews>
    <sheetView showGridLines="0" showZeros="0" topLeftCell="A28" workbookViewId="0">
      <selection activeCell="B39" sqref="B39:D41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5.59765625" style="1" bestFit="1" customWidth="1"/>
    <col min="9" max="12" width="16.69921875" style="1" customWidth="1"/>
    <col min="21" max="16384" width="11.19921875" style="1"/>
  </cols>
  <sheetData>
    <row r="2" spans="2:12" ht="17.399999999999999" thickBot="1" x14ac:dyDescent="0.45">
      <c r="B2" s="8" t="s">
        <v>19</v>
      </c>
      <c r="C2" s="9">
        <v>2026</v>
      </c>
      <c r="H2" s="13" t="s">
        <v>19</v>
      </c>
      <c r="I2" t="s">
        <v>61</v>
      </c>
    </row>
    <row r="3" spans="2:12" ht="18" thickTop="1" thickBot="1" x14ac:dyDescent="0.45">
      <c r="B3" s="8" t="s">
        <v>4</v>
      </c>
      <c r="C3" s="9" t="s">
        <v>6</v>
      </c>
      <c r="H3" s="13" t="s">
        <v>4</v>
      </c>
      <c r="I3" t="s">
        <v>73</v>
      </c>
    </row>
    <row r="4" spans="2:12" ht="17.399999999999999" thickTop="1" x14ac:dyDescent="0.4"/>
    <row r="5" spans="2:12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  <c r="L5"/>
    </row>
    <row r="6" spans="2:12" x14ac:dyDescent="0.4">
      <c r="B6" s="7">
        <f>DATEVALUE(C3&amp;C2)</f>
        <v>46054</v>
      </c>
      <c r="C6" s="4"/>
      <c r="D6" s="4"/>
      <c r="E6" s="4">
        <f>IF(Tableau2_2026[[#This Row],[Arrivée]]&lt;&gt;"",_TpsPause,0)</f>
        <v>0</v>
      </c>
      <c r="H6" t="s">
        <v>36</v>
      </c>
      <c r="I6" s="14"/>
      <c r="J6" s="15"/>
      <c r="K6"/>
      <c r="L6"/>
    </row>
    <row r="7" spans="2:12" x14ac:dyDescent="0.4">
      <c r="B7" s="7">
        <f t="shared" ref="B7:B33" si="0">B6+1</f>
        <v>46055</v>
      </c>
      <c r="C7" s="4"/>
      <c r="D7" s="4"/>
      <c r="E7" s="4">
        <f>IF(Tableau2_2026[[#This Row],[Arrivée]]&lt;&gt;"",_TpsPause,0)</f>
        <v>0</v>
      </c>
      <c r="H7"/>
      <c r="I7"/>
      <c r="J7"/>
      <c r="K7"/>
      <c r="L7"/>
    </row>
    <row r="8" spans="2:12" x14ac:dyDescent="0.4">
      <c r="B8" s="7">
        <f t="shared" si="0"/>
        <v>46056</v>
      </c>
      <c r="C8" s="4"/>
      <c r="D8" s="4"/>
      <c r="E8" s="4">
        <f>IF(Tableau2_2026[[#This Row],[Arrivée]]&lt;&gt;"",_TpsPause,0)</f>
        <v>0</v>
      </c>
      <c r="H8"/>
      <c r="I8"/>
      <c r="J8"/>
      <c r="K8"/>
      <c r="L8"/>
    </row>
    <row r="9" spans="2:12" x14ac:dyDescent="0.4">
      <c r="B9" s="7">
        <f t="shared" si="0"/>
        <v>46057</v>
      </c>
      <c r="C9" s="4"/>
      <c r="D9" s="4"/>
      <c r="E9" s="4">
        <f>IF(Tableau2_2026[[#This Row],[Arrivée]]&lt;&gt;"",_TpsPause,0)</f>
        <v>0</v>
      </c>
      <c r="H9"/>
      <c r="I9"/>
      <c r="J9"/>
      <c r="K9"/>
      <c r="L9"/>
    </row>
    <row r="10" spans="2:12" x14ac:dyDescent="0.4">
      <c r="B10" s="7">
        <f t="shared" si="0"/>
        <v>46058</v>
      </c>
      <c r="C10" s="4"/>
      <c r="D10" s="4"/>
      <c r="E10" s="4">
        <f>IF(Tableau2_2026[[#This Row],[Arrivée]]&lt;&gt;"",_TpsPause,0)</f>
        <v>0</v>
      </c>
      <c r="H10"/>
      <c r="I10"/>
      <c r="J10"/>
      <c r="K10"/>
      <c r="L10"/>
    </row>
    <row r="11" spans="2:12" x14ac:dyDescent="0.4">
      <c r="B11" s="7">
        <f t="shared" si="0"/>
        <v>46059</v>
      </c>
      <c r="C11" s="4"/>
      <c r="D11" s="4"/>
      <c r="E11" s="4">
        <f>IF(Tableau2_2026[[#This Row],[Arrivée]]&lt;&gt;"",_TpsPause,0)</f>
        <v>0</v>
      </c>
      <c r="H11"/>
      <c r="I11"/>
      <c r="J11"/>
      <c r="K11"/>
      <c r="L11"/>
    </row>
    <row r="12" spans="2:12" x14ac:dyDescent="0.4">
      <c r="B12" s="7">
        <f t="shared" si="0"/>
        <v>46060</v>
      </c>
      <c r="C12" s="4"/>
      <c r="D12" s="4"/>
      <c r="E12" s="4">
        <f>IF(Tableau2_2026[[#This Row],[Arrivée]]&lt;&gt;"",_TpsPause,0)</f>
        <v>0</v>
      </c>
      <c r="H12"/>
      <c r="I12"/>
      <c r="J12"/>
    </row>
    <row r="13" spans="2:12" x14ac:dyDescent="0.4">
      <c r="B13" s="7">
        <f t="shared" si="0"/>
        <v>46061</v>
      </c>
      <c r="C13" s="4"/>
      <c r="D13" s="4"/>
      <c r="E13" s="4">
        <f>IF(Tableau2_2026[[#This Row],[Arrivée]]&lt;&gt;"",_TpsPause,0)</f>
        <v>0</v>
      </c>
      <c r="H13"/>
      <c r="I13"/>
      <c r="J13"/>
    </row>
    <row r="14" spans="2:12" x14ac:dyDescent="0.4">
      <c r="B14" s="7">
        <f t="shared" si="0"/>
        <v>46062</v>
      </c>
      <c r="C14" s="4"/>
      <c r="D14" s="4"/>
      <c r="E14" s="4">
        <f>IF(Tableau2_2026[[#This Row],[Arrivée]]&lt;&gt;"",_TpsPause,0)</f>
        <v>0</v>
      </c>
      <c r="H14"/>
      <c r="I14"/>
      <c r="J14"/>
    </row>
    <row r="15" spans="2:12" x14ac:dyDescent="0.4">
      <c r="B15" s="7">
        <f t="shared" si="0"/>
        <v>46063</v>
      </c>
      <c r="C15" s="4"/>
      <c r="D15" s="4"/>
      <c r="E15" s="4">
        <f>IF(Tableau2_2026[[#This Row],[Arrivée]]&lt;&gt;"",_TpsPause,0)</f>
        <v>0</v>
      </c>
      <c r="H15"/>
      <c r="I15"/>
      <c r="J15"/>
    </row>
    <row r="16" spans="2:12" x14ac:dyDescent="0.4">
      <c r="B16" s="7">
        <f t="shared" si="0"/>
        <v>46064</v>
      </c>
      <c r="C16" s="4"/>
      <c r="D16" s="4"/>
      <c r="E16" s="4">
        <f>IF(Tableau2_2026[[#This Row],[Arrivée]]&lt;&gt;"",_TpsPause,0)</f>
        <v>0</v>
      </c>
      <c r="H16"/>
      <c r="I16"/>
      <c r="J16"/>
    </row>
    <row r="17" spans="2:12" x14ac:dyDescent="0.4">
      <c r="B17" s="7">
        <f t="shared" si="0"/>
        <v>46065</v>
      </c>
      <c r="C17" s="4"/>
      <c r="D17" s="4"/>
      <c r="E17" s="4">
        <f>IF(Tableau2_2026[[#This Row],[Arrivée]]&lt;&gt;"",_TpsPause,0)</f>
        <v>0</v>
      </c>
      <c r="H17"/>
      <c r="I17"/>
      <c r="J17"/>
    </row>
    <row r="18" spans="2:12" x14ac:dyDescent="0.4">
      <c r="B18" s="7">
        <f t="shared" si="0"/>
        <v>46066</v>
      </c>
      <c r="C18" s="4"/>
      <c r="D18" s="4"/>
      <c r="E18" s="4">
        <f>IF(Tableau2_2026[[#This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  <c r="L18" s="6"/>
    </row>
    <row r="19" spans="2:12" x14ac:dyDescent="0.4">
      <c r="B19" s="7">
        <f t="shared" si="0"/>
        <v>46067</v>
      </c>
      <c r="C19" s="4"/>
      <c r="D19" s="4"/>
      <c r="E19" s="4">
        <f>IF(Tableau2_2026[[#This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  <c r="L19" s="15"/>
    </row>
    <row r="20" spans="2:12" x14ac:dyDescent="0.4">
      <c r="B20" s="7">
        <f t="shared" si="0"/>
        <v>46068</v>
      </c>
      <c r="C20" s="4"/>
      <c r="D20" s="4"/>
      <c r="E20" s="4">
        <f>IF(Tableau2_2026[[#This Row],[Arrivée]]&lt;&gt;"",_TpsPause,0)</f>
        <v>0</v>
      </c>
      <c r="H20"/>
      <c r="I20" t="s">
        <v>44</v>
      </c>
      <c r="J20" s="17">
        <v>0.2770833333333329</v>
      </c>
      <c r="K20" s="15">
        <v>6.6499999999999888</v>
      </c>
      <c r="L20" s="15"/>
    </row>
    <row r="21" spans="2:12" x14ac:dyDescent="0.4">
      <c r="B21" s="7">
        <f t="shared" si="0"/>
        <v>46069</v>
      </c>
      <c r="C21" s="4"/>
      <c r="D21" s="4"/>
      <c r="E21" s="4">
        <f>IF(Tableau2_2026[[#This Row],[Arrivée]]&lt;&gt;"",_TpsPause,0)</f>
        <v>0</v>
      </c>
      <c r="H21"/>
      <c r="I21" t="s">
        <v>45</v>
      </c>
      <c r="J21" s="17">
        <v>0.33402777777777698</v>
      </c>
      <c r="K21" s="15">
        <v>8.016666666666648</v>
      </c>
      <c r="L21" s="15"/>
    </row>
    <row r="22" spans="2:12" x14ac:dyDescent="0.4">
      <c r="B22" s="7">
        <f t="shared" si="0"/>
        <v>46070</v>
      </c>
      <c r="C22" s="4"/>
      <c r="D22" s="4"/>
      <c r="E22" s="4">
        <f>IF(Tableau2_2026[[#This Row],[Arrivée]]&lt;&gt;"",_TpsPause,0)</f>
        <v>0</v>
      </c>
      <c r="H22"/>
      <c r="I22" t="s">
        <v>46</v>
      </c>
      <c r="J22" s="17">
        <v>0.68263888888888802</v>
      </c>
      <c r="K22" s="15">
        <v>16.383333333333312</v>
      </c>
      <c r="L22" s="15"/>
    </row>
    <row r="23" spans="2:12" x14ac:dyDescent="0.4">
      <c r="B23" s="7">
        <f t="shared" si="0"/>
        <v>46071</v>
      </c>
      <c r="C23" s="4"/>
      <c r="D23" s="4"/>
      <c r="E23" s="4">
        <f>IF(Tableau2_2026[[#This Row],[Arrivée]]&lt;&gt;"",_TpsPause,0)</f>
        <v>0</v>
      </c>
      <c r="H23"/>
      <c r="I23" t="s">
        <v>47</v>
      </c>
      <c r="J23" s="17">
        <v>0.63055555555555465</v>
      </c>
      <c r="K23" s="15">
        <v>15.133333333333312</v>
      </c>
      <c r="L23" s="15"/>
    </row>
    <row r="24" spans="2:12" x14ac:dyDescent="0.4">
      <c r="B24" s="7">
        <f t="shared" si="0"/>
        <v>46072</v>
      </c>
      <c r="C24" s="4"/>
      <c r="D24" s="4"/>
      <c r="E24" s="4">
        <f>IF(Tableau2_2026[[#This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  <c r="L24" s="15"/>
    </row>
    <row r="25" spans="2:12" x14ac:dyDescent="0.4">
      <c r="B25" s="7">
        <f t="shared" si="0"/>
        <v>46073</v>
      </c>
      <c r="C25" s="4"/>
      <c r="D25" s="4"/>
      <c r="E25" s="4">
        <f>IF(Tableau2_2026[[#This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  <c r="L25" s="15"/>
    </row>
    <row r="26" spans="2:12" x14ac:dyDescent="0.4">
      <c r="B26" s="7">
        <f t="shared" si="0"/>
        <v>46074</v>
      </c>
      <c r="C26" s="4"/>
      <c r="D26" s="4"/>
      <c r="E26" s="4">
        <f>IF(Tableau2_2026[[#This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  <c r="L26" s="15"/>
    </row>
    <row r="27" spans="2:12" x14ac:dyDescent="0.4">
      <c r="B27" s="7">
        <f t="shared" si="0"/>
        <v>46075</v>
      </c>
      <c r="C27" s="4"/>
      <c r="D27" s="4"/>
      <c r="E27" s="4">
        <f>IF(Tableau2_2026[[#This Row],[Arrivée]]&lt;&gt;"",_TpsPause,0)</f>
        <v>0</v>
      </c>
      <c r="H27"/>
      <c r="I27" t="s">
        <v>60</v>
      </c>
      <c r="J27" s="17">
        <v>0.37430555555555484</v>
      </c>
      <c r="K27" s="15">
        <v>8.9833333333333165</v>
      </c>
      <c r="L27" s="15"/>
    </row>
    <row r="28" spans="2:12" x14ac:dyDescent="0.4">
      <c r="B28" s="7">
        <f t="shared" si="0"/>
        <v>46076</v>
      </c>
      <c r="C28" s="4"/>
      <c r="D28" s="4"/>
      <c r="E28" s="4">
        <f>IF(Tableau2_2026[[#This Row],[Arrivée]]&lt;&gt;"",_TpsPause,0)</f>
        <v>0</v>
      </c>
      <c r="H28" t="s">
        <v>43</v>
      </c>
      <c r="I28"/>
      <c r="J28" s="17">
        <v>4.3340277777777718</v>
      </c>
      <c r="K28" s="15">
        <v>104.01666666666652</v>
      </c>
    </row>
    <row r="29" spans="2:12" x14ac:dyDescent="0.4">
      <c r="B29" s="7">
        <f t="shared" si="0"/>
        <v>46077</v>
      </c>
      <c r="C29" s="4"/>
      <c r="D29" s="4"/>
      <c r="E29" s="4">
        <f>IF(Tableau2_2026[[#This Row],[Arrivée]]&lt;&gt;"",_TpsPause,0)</f>
        <v>0</v>
      </c>
      <c r="H29">
        <v>2026</v>
      </c>
      <c r="I29" t="s">
        <v>57</v>
      </c>
      <c r="J29" s="17">
        <v>0</v>
      </c>
      <c r="K29" s="15">
        <v>0</v>
      </c>
    </row>
    <row r="30" spans="2:12" x14ac:dyDescent="0.4">
      <c r="B30" s="7">
        <f t="shared" si="0"/>
        <v>46078</v>
      </c>
      <c r="C30" s="4"/>
      <c r="D30" s="4"/>
      <c r="E30" s="4">
        <f>IF(Tableau2_2026[[#This Row],[Arrivée]]&lt;&gt;"",_TpsPause,0)</f>
        <v>0</v>
      </c>
      <c r="H30"/>
      <c r="I30" t="s">
        <v>73</v>
      </c>
      <c r="J30" s="17">
        <v>0</v>
      </c>
      <c r="K30" s="15">
        <v>0</v>
      </c>
    </row>
    <row r="31" spans="2:12" x14ac:dyDescent="0.4">
      <c r="B31" s="7">
        <f t="shared" si="0"/>
        <v>46079</v>
      </c>
      <c r="C31" s="4"/>
      <c r="D31" s="4"/>
      <c r="E31" s="4">
        <f>IF(Tableau2_2026[[#This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2" x14ac:dyDescent="0.4">
      <c r="B32" s="7">
        <f t="shared" si="0"/>
        <v>46080</v>
      </c>
      <c r="C32" s="4"/>
      <c r="D32" s="4"/>
      <c r="E32" s="4">
        <f>IF(Tableau2_2026[[#This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>
        <f t="shared" si="0"/>
        <v>46081</v>
      </c>
      <c r="C33" s="4"/>
      <c r="D33" s="4"/>
      <c r="E33" s="4">
        <f>IF(Tableau2_2026[[#This Row],[Arrivée]]&lt;&gt;"",_TpsPause,0)</f>
        <v>0</v>
      </c>
      <c r="H33"/>
      <c r="I33"/>
      <c r="J33"/>
    </row>
    <row r="34" spans="2:10" x14ac:dyDescent="0.4">
      <c r="B34" s="7" t="str">
        <f>IFERROR(IF(MONTH(B33+1)=MONTH($B$6),B33+1,""),"")</f>
        <v/>
      </c>
      <c r="C34" s="4"/>
      <c r="D34" s="4"/>
      <c r="E34" s="4">
        <f>IF(Tableau2_2026[[#This Row],[Arrivée]]&lt;&gt;"",_TpsPause,0)</f>
        <v>0</v>
      </c>
      <c r="H34"/>
      <c r="I34"/>
      <c r="J34"/>
    </row>
    <row r="35" spans="2:10" x14ac:dyDescent="0.4">
      <c r="B35" s="7" t="str">
        <f>IFERROR(IF(MONTH(B34+1)=MONTH($B$6),B34+1,""),"")</f>
        <v/>
      </c>
      <c r="C35" s="4"/>
      <c r="D35" s="4"/>
      <c r="E35" s="4">
        <f>IF(Tableau2_2026[[#This Row],[Arrivée]]&lt;&gt;"",_TpsPause,0)</f>
        <v>0</v>
      </c>
      <c r="H35" s="16" t="s">
        <v>78</v>
      </c>
      <c r="I35" s="22">
        <f>SUM(Récap_hebdomadaire[Delta (h)])</f>
        <v>4.334027777777778</v>
      </c>
      <c r="J35" s="23">
        <f>SUM(Récap_hebdomadaire[Delta (d)])</f>
        <v>104.01666666666654</v>
      </c>
    </row>
    <row r="36" spans="2:10" x14ac:dyDescent="0.4">
      <c r="B36" s="7" t="str">
        <f>IFERROR(IF(MONTH(B35+1)=MONTH($B$6),B35+1,""),"")</f>
        <v/>
      </c>
      <c r="C36" s="4"/>
      <c r="D36" s="4"/>
      <c r="E36" s="4">
        <f>IF(Tableau2_2026[[#This Row],[Arrivée]]&lt;&gt;"",_TpsPause,0)</f>
        <v>0</v>
      </c>
      <c r="H36" s="16" t="s">
        <v>79</v>
      </c>
      <c r="I36" s="24">
        <f>SUM(t_RecupDelta_1[Delta (rh)])</f>
        <v>1.4583333333333335</v>
      </c>
      <c r="J36" s="25">
        <f>SUM(t_RecupDelta_1[Delta (rd)])</f>
        <v>35</v>
      </c>
    </row>
    <row r="37" spans="2:10" x14ac:dyDescent="0.4">
      <c r="H37" s="16" t="s">
        <v>80</v>
      </c>
      <c r="I37" s="26">
        <f>I35-I36</f>
        <v>2.8756944444444446</v>
      </c>
      <c r="J37" s="27">
        <f>J35-J36</f>
        <v>69.016666666666538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3" priority="1">
      <formula>COUNTIF(l_Feries,$B6)</formula>
    </cfRule>
    <cfRule type="expression" dxfId="2" priority="2">
      <formula>WEEKDAY($B6,2)&gt;5</formula>
    </cfRule>
  </conditionalFormatting>
  <dataValidations count="4">
    <dataValidation type="custom" allowBlank="1" showInputMessage="1" showErrorMessage="1" error="Cette cellule contient une formule de calcul." sqref="E6:E36" xr:uid="{D2F8B75B-0266-424A-AF4E-DD0EFF9D79B7}">
      <formula1>"Formule"</formula1>
    </dataValidation>
    <dataValidation type="custom" allowBlank="1" showInputMessage="1" showErrorMessage="1" error="Cette cellule contient une formule de calcul." sqref="B6:B36" xr:uid="{8E7DCAB1-783E-4410-BF66-0820460422E7}">
      <formula1>"formule"</formula1>
    </dataValidation>
    <dataValidation allowBlank="1" showInputMessage="1" showErrorMessage="1" prompt="Sélectionner une année à l'aide de la toupie, ci-contre." sqref="C2" xr:uid="{CC0E744F-59AB-4825-B02E-A0A63D8FFD6D}"/>
    <dataValidation type="list" allowBlank="1" showInputMessage="1" showErrorMessage="1" prompt="Sélectionner un mois à l'aide de la liste déroulante." sqref="C3" xr:uid="{09A097F7-4D46-41C3-98A2-FAFC87AAFAB6}">
      <formula1>l_Mois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A87A7-74B0-4131-9B40-F8C9CF69E3D5}">
  <dimension ref="B2:T41"/>
  <sheetViews>
    <sheetView showGridLines="0" showZeros="0" workbookViewId="0">
      <selection activeCell="C39" sqref="C39"/>
    </sheetView>
  </sheetViews>
  <sheetFormatPr baseColWidth="10" defaultRowHeight="16.8" x14ac:dyDescent="0.4"/>
  <cols>
    <col min="1" max="1" width="2.69921875" style="1" customWidth="1"/>
    <col min="2" max="2" width="15.59765625" style="1" bestFit="1" customWidth="1"/>
    <col min="3" max="5" width="12.69921875" style="1" customWidth="1"/>
    <col min="6" max="6" width="2.69921875" style="1" customWidth="1"/>
    <col min="7" max="7" width="4.69921875" style="1" customWidth="1"/>
    <col min="8" max="8" width="15.59765625" style="1" bestFit="1" customWidth="1"/>
    <col min="9" max="12" width="16.69921875" style="1" customWidth="1"/>
    <col min="21" max="16384" width="11.19921875" style="1"/>
  </cols>
  <sheetData>
    <row r="2" spans="2:12" ht="17.399999999999999" thickBot="1" x14ac:dyDescent="0.45">
      <c r="B2" s="8" t="s">
        <v>19</v>
      </c>
      <c r="C2" s="9">
        <v>2025</v>
      </c>
      <c r="H2" s="13" t="s">
        <v>19</v>
      </c>
      <c r="I2" t="s">
        <v>61</v>
      </c>
    </row>
    <row r="3" spans="2:12" ht="18" thickTop="1" thickBot="1" x14ac:dyDescent="0.45">
      <c r="B3" s="8" t="s">
        <v>4</v>
      </c>
      <c r="C3" s="9"/>
      <c r="H3" s="13" t="s">
        <v>4</v>
      </c>
      <c r="I3" t="s">
        <v>56</v>
      </c>
    </row>
    <row r="4" spans="2:12" ht="17.399999999999999" thickTop="1" x14ac:dyDescent="0.4"/>
    <row r="5" spans="2:12" x14ac:dyDescent="0.4">
      <c r="B5" s="3" t="s">
        <v>16</v>
      </c>
      <c r="C5" s="3" t="s">
        <v>17</v>
      </c>
      <c r="D5" s="3" t="s">
        <v>18</v>
      </c>
      <c r="E5" s="3" t="s">
        <v>3</v>
      </c>
      <c r="H5" s="13" t="s">
        <v>35</v>
      </c>
      <c r="I5" s="6" t="s">
        <v>39</v>
      </c>
      <c r="J5" s="6" t="s">
        <v>40</v>
      </c>
      <c r="K5"/>
      <c r="L5"/>
    </row>
    <row r="6" spans="2:12" x14ac:dyDescent="0.4">
      <c r="B6" s="7" t="e">
        <f>DATEVALUE(C3&amp;C2)</f>
        <v>#VALUE!</v>
      </c>
      <c r="C6" s="4"/>
      <c r="D6" s="4"/>
      <c r="E6" s="4">
        <f>IF(Table[[#This Row],[Arrivée]]&lt;&gt;"",_TpsPause,0)</f>
        <v>0</v>
      </c>
      <c r="H6">
        <v>45</v>
      </c>
      <c r="I6" s="14">
        <v>0.11944444444444424</v>
      </c>
      <c r="J6" s="15">
        <v>2.8666666666666618</v>
      </c>
      <c r="K6"/>
      <c r="L6"/>
    </row>
    <row r="7" spans="2:12" x14ac:dyDescent="0.4">
      <c r="B7" s="7" t="e">
        <f t="shared" ref="B7:B33" si="0">B6+1</f>
        <v>#VALUE!</v>
      </c>
      <c r="C7" s="4"/>
      <c r="D7" s="4"/>
      <c r="E7" s="4">
        <f>IF(Table[[#This Row],[Arrivée]]&lt;&gt;"",_TpsPause,0)</f>
        <v>0</v>
      </c>
      <c r="H7">
        <v>46</v>
      </c>
      <c r="I7" s="14">
        <v>6.2499999999999833E-2</v>
      </c>
      <c r="J7" s="15">
        <v>1.499999999999996</v>
      </c>
      <c r="K7"/>
      <c r="L7"/>
    </row>
    <row r="8" spans="2:12" x14ac:dyDescent="0.4">
      <c r="B8" s="7" t="e">
        <f t="shared" si="0"/>
        <v>#VALUE!</v>
      </c>
      <c r="C8" s="4"/>
      <c r="D8" s="4"/>
      <c r="E8" s="4">
        <f>IF(Table[[#This Row],[Arrivée]]&lt;&gt;"",_TpsPause,0)</f>
        <v>0</v>
      </c>
      <c r="H8">
        <v>47</v>
      </c>
      <c r="I8" s="14">
        <v>0.16041666666666649</v>
      </c>
      <c r="J8" s="15">
        <v>3.8499999999999956</v>
      </c>
      <c r="K8"/>
      <c r="L8"/>
    </row>
    <row r="9" spans="2:12" x14ac:dyDescent="0.4">
      <c r="B9" s="7" t="e">
        <f t="shared" si="0"/>
        <v>#VALUE!</v>
      </c>
      <c r="C9" s="4"/>
      <c r="D9" s="4"/>
      <c r="E9" s="4">
        <f>IF(Table[[#This Row],[Arrivée]]&lt;&gt;"",_TpsPause,0)</f>
        <v>0</v>
      </c>
      <c r="H9">
        <v>48</v>
      </c>
      <c r="I9" s="14">
        <v>9.6527777777777546E-2</v>
      </c>
      <c r="J9" s="15">
        <v>2.3166666666666611</v>
      </c>
      <c r="K9"/>
      <c r="L9"/>
    </row>
    <row r="10" spans="2:12" x14ac:dyDescent="0.4">
      <c r="B10" s="7" t="e">
        <f t="shared" si="0"/>
        <v>#VALUE!</v>
      </c>
      <c r="C10" s="4"/>
      <c r="D10" s="4"/>
      <c r="E10" s="4">
        <f>IF(Table[[#This Row],[Arrivée]]&lt;&gt;"",_TpsPause,0)</f>
        <v>0</v>
      </c>
      <c r="H10" t="s">
        <v>36</v>
      </c>
      <c r="I10" s="14">
        <v>0.43888888888888811</v>
      </c>
      <c r="J10" s="15">
        <v>10.533333333333315</v>
      </c>
      <c r="K10"/>
      <c r="L10"/>
    </row>
    <row r="11" spans="2:12" x14ac:dyDescent="0.4">
      <c r="B11" s="7" t="e">
        <f t="shared" si="0"/>
        <v>#VALUE!</v>
      </c>
      <c r="C11" s="4"/>
      <c r="D11" s="4"/>
      <c r="E11" s="4">
        <f>IF(Table[[#This Row],[Arrivée]]&lt;&gt;"",_TpsPause,0)</f>
        <v>0</v>
      </c>
      <c r="H11"/>
      <c r="I11"/>
      <c r="J11"/>
      <c r="K11"/>
      <c r="L11"/>
    </row>
    <row r="12" spans="2:12" x14ac:dyDescent="0.4">
      <c r="B12" s="7" t="e">
        <f t="shared" si="0"/>
        <v>#VALUE!</v>
      </c>
      <c r="C12" s="4"/>
      <c r="D12" s="4"/>
      <c r="E12" s="4">
        <f>IF(Table[[#This Row],[Arrivée]]&lt;&gt;"",_TpsPause,0)</f>
        <v>0</v>
      </c>
      <c r="H12"/>
      <c r="I12"/>
      <c r="J12"/>
    </row>
    <row r="13" spans="2:12" x14ac:dyDescent="0.4">
      <c r="B13" s="7" t="e">
        <f t="shared" si="0"/>
        <v>#VALUE!</v>
      </c>
      <c r="C13" s="4"/>
      <c r="D13" s="4"/>
      <c r="E13" s="4">
        <f>IF(Table[[#This Row],[Arrivée]]&lt;&gt;"",_TpsPause,0)</f>
        <v>0</v>
      </c>
      <c r="H13"/>
      <c r="I13"/>
      <c r="J13"/>
    </row>
    <row r="14" spans="2:12" x14ac:dyDescent="0.4">
      <c r="B14" s="7" t="e">
        <f t="shared" si="0"/>
        <v>#VALUE!</v>
      </c>
      <c r="C14" s="4"/>
      <c r="D14" s="4"/>
      <c r="E14" s="4">
        <f>IF(Table[[#This Row],[Arrivée]]&lt;&gt;"",_TpsPause,0)</f>
        <v>0</v>
      </c>
      <c r="H14"/>
      <c r="I14"/>
      <c r="J14"/>
    </row>
    <row r="15" spans="2:12" x14ac:dyDescent="0.4">
      <c r="B15" s="7" t="e">
        <f t="shared" si="0"/>
        <v>#VALUE!</v>
      </c>
      <c r="C15" s="4"/>
      <c r="D15" s="4"/>
      <c r="E15" s="4">
        <f>IF(Table[[#This Row],[Arrivée]]&lt;&gt;"",_TpsPause,0)</f>
        <v>0</v>
      </c>
      <c r="H15"/>
      <c r="I15"/>
      <c r="J15"/>
    </row>
    <row r="16" spans="2:12" x14ac:dyDescent="0.4">
      <c r="B16" s="7" t="e">
        <f t="shared" si="0"/>
        <v>#VALUE!</v>
      </c>
      <c r="C16" s="4"/>
      <c r="D16" s="4"/>
      <c r="E16" s="4">
        <f>IF(Table[[#This Row],[Arrivée]]&lt;&gt;"",_TpsPause,0)</f>
        <v>0</v>
      </c>
      <c r="H16"/>
      <c r="I16"/>
      <c r="J16"/>
    </row>
    <row r="17" spans="2:12" x14ac:dyDescent="0.4">
      <c r="B17" s="7" t="e">
        <f t="shared" si="0"/>
        <v>#VALUE!</v>
      </c>
      <c r="C17" s="4"/>
      <c r="D17" s="4"/>
      <c r="E17" s="4">
        <f>IF(Table[[#This Row],[Arrivée]]&lt;&gt;"",_TpsPause,0)</f>
        <v>0</v>
      </c>
      <c r="H17"/>
      <c r="I17"/>
      <c r="J17"/>
    </row>
    <row r="18" spans="2:12" x14ac:dyDescent="0.4">
      <c r="B18" s="7" t="e">
        <f t="shared" si="0"/>
        <v>#VALUE!</v>
      </c>
      <c r="C18" s="4"/>
      <c r="D18" s="4"/>
      <c r="E18" s="4">
        <f>IF(Table[[#This Row],[Arrivée]]&lt;&gt;"",_TpsPause,0)</f>
        <v>0</v>
      </c>
      <c r="H18" s="13" t="s">
        <v>19</v>
      </c>
      <c r="I18" s="13" t="s">
        <v>4</v>
      </c>
      <c r="J18" s="6" t="s">
        <v>41</v>
      </c>
      <c r="K18" s="6" t="s">
        <v>42</v>
      </c>
      <c r="L18" s="6"/>
    </row>
    <row r="19" spans="2:12" x14ac:dyDescent="0.4">
      <c r="B19" s="7" t="e">
        <f t="shared" si="0"/>
        <v>#VALUE!</v>
      </c>
      <c r="C19" s="4"/>
      <c r="D19" s="4"/>
      <c r="E19" s="4">
        <f>IF(Table[[#This Row],[Arrivée]]&lt;&gt;"",_TpsPause,0)</f>
        <v>0</v>
      </c>
      <c r="H19">
        <v>2025</v>
      </c>
      <c r="I19" t="s">
        <v>34</v>
      </c>
      <c r="J19" s="17">
        <v>0.21111111111111064</v>
      </c>
      <c r="K19" s="15">
        <v>5.0666666666666558</v>
      </c>
      <c r="L19" s="15"/>
    </row>
    <row r="20" spans="2:12" x14ac:dyDescent="0.4">
      <c r="B20" s="7" t="e">
        <f t="shared" si="0"/>
        <v>#VALUE!</v>
      </c>
      <c r="C20" s="4"/>
      <c r="D20" s="4"/>
      <c r="E20" s="4">
        <f>IF(Table[[#This Row],[Arrivée]]&lt;&gt;"",_TpsPause,0)</f>
        <v>0</v>
      </c>
      <c r="H20"/>
      <c r="I20" t="s">
        <v>44</v>
      </c>
      <c r="J20" s="17">
        <v>0.2770833333333329</v>
      </c>
      <c r="K20" s="15">
        <v>6.6499999999999888</v>
      </c>
      <c r="L20" s="15"/>
    </row>
    <row r="21" spans="2:12" x14ac:dyDescent="0.4">
      <c r="B21" s="7" t="e">
        <f t="shared" si="0"/>
        <v>#VALUE!</v>
      </c>
      <c r="C21" s="4"/>
      <c r="D21" s="4"/>
      <c r="E21" s="4">
        <f>IF(Table[[#This Row],[Arrivée]]&lt;&gt;"",_TpsPause,0)</f>
        <v>0</v>
      </c>
      <c r="H21"/>
      <c r="I21" t="s">
        <v>45</v>
      </c>
      <c r="J21" s="17">
        <v>0.33402777777777698</v>
      </c>
      <c r="K21" s="15">
        <v>8.016666666666648</v>
      </c>
      <c r="L21" s="15"/>
    </row>
    <row r="22" spans="2:12" x14ac:dyDescent="0.4">
      <c r="B22" s="7" t="e">
        <f t="shared" si="0"/>
        <v>#VALUE!</v>
      </c>
      <c r="C22" s="4"/>
      <c r="D22" s="4"/>
      <c r="E22" s="4">
        <f>IF(Table[[#This Row],[Arrivée]]&lt;&gt;"",_TpsPause,0)</f>
        <v>0</v>
      </c>
      <c r="H22"/>
      <c r="I22" t="s">
        <v>46</v>
      </c>
      <c r="J22" s="17">
        <v>0.68263888888888802</v>
      </c>
      <c r="K22" s="15">
        <v>16.383333333333312</v>
      </c>
      <c r="L22" s="15"/>
    </row>
    <row r="23" spans="2:12" x14ac:dyDescent="0.4">
      <c r="B23" s="7" t="e">
        <f t="shared" si="0"/>
        <v>#VALUE!</v>
      </c>
      <c r="C23" s="4"/>
      <c r="D23" s="4"/>
      <c r="E23" s="4">
        <f>IF(Table[[#This Row],[Arrivée]]&lt;&gt;"",_TpsPause,0)</f>
        <v>0</v>
      </c>
      <c r="H23"/>
      <c r="I23" t="s">
        <v>47</v>
      </c>
      <c r="J23" s="17">
        <v>0.63055555555555465</v>
      </c>
      <c r="K23" s="15">
        <v>15.133333333333312</v>
      </c>
      <c r="L23" s="15"/>
    </row>
    <row r="24" spans="2:12" x14ac:dyDescent="0.4">
      <c r="B24" s="7" t="e">
        <f t="shared" si="0"/>
        <v>#VALUE!</v>
      </c>
      <c r="C24" s="4"/>
      <c r="D24" s="4"/>
      <c r="E24" s="4">
        <f>IF(Table[[#This Row],[Arrivée]]&lt;&gt;"",_TpsPause,0)</f>
        <v>0</v>
      </c>
      <c r="H24"/>
      <c r="I24" t="s">
        <v>48</v>
      </c>
      <c r="J24" s="17">
        <v>0.55624999999999913</v>
      </c>
      <c r="K24" s="15">
        <v>13.349999999999984</v>
      </c>
      <c r="L24" s="15"/>
    </row>
    <row r="25" spans="2:12" x14ac:dyDescent="0.4">
      <c r="B25" s="7" t="e">
        <f t="shared" si="0"/>
        <v>#VALUE!</v>
      </c>
      <c r="C25" s="4"/>
      <c r="D25" s="4"/>
      <c r="E25" s="4">
        <f>IF(Table[[#This Row],[Arrivée]]&lt;&gt;"",_TpsPause,0)</f>
        <v>0</v>
      </c>
      <c r="H25"/>
      <c r="I25" t="s">
        <v>49</v>
      </c>
      <c r="J25" s="17">
        <v>0.82916666666666639</v>
      </c>
      <c r="K25" s="15">
        <v>19.899999999999991</v>
      </c>
      <c r="L25" s="15"/>
    </row>
    <row r="26" spans="2:12" x14ac:dyDescent="0.4">
      <c r="B26" s="7" t="e">
        <f t="shared" si="0"/>
        <v>#VALUE!</v>
      </c>
      <c r="C26" s="4"/>
      <c r="D26" s="4"/>
      <c r="E26" s="4">
        <f>IF(Table[[#This Row],[Arrivée]]&lt;&gt;"",_TpsPause,0)</f>
        <v>0</v>
      </c>
      <c r="H26"/>
      <c r="I26" t="s">
        <v>56</v>
      </c>
      <c r="J26" s="17">
        <v>0.43888888888888811</v>
      </c>
      <c r="K26" s="15">
        <v>10.533333333333315</v>
      </c>
      <c r="L26" s="15"/>
    </row>
    <row r="27" spans="2:12" x14ac:dyDescent="0.4">
      <c r="B27" s="7" t="e">
        <f t="shared" si="0"/>
        <v>#VALUE!</v>
      </c>
      <c r="C27" s="4"/>
      <c r="D27" s="4"/>
      <c r="E27" s="4">
        <f>IF(Table[[#This Row],[Arrivée]]&lt;&gt;"",_TpsPause,0)</f>
        <v>0</v>
      </c>
      <c r="H27"/>
      <c r="I27" t="s">
        <v>60</v>
      </c>
      <c r="J27" s="17">
        <v>0.37430555555555484</v>
      </c>
      <c r="K27" s="15">
        <v>8.9833333333333165</v>
      </c>
      <c r="L27" s="15"/>
    </row>
    <row r="28" spans="2:12" x14ac:dyDescent="0.4">
      <c r="B28" s="7" t="e">
        <f t="shared" si="0"/>
        <v>#VALUE!</v>
      </c>
      <c r="C28" s="4"/>
      <c r="D28" s="4"/>
      <c r="E28" s="4">
        <f>IF(Table[[#This Row],[Arrivée]]&lt;&gt;"",_TpsPause,0)</f>
        <v>0</v>
      </c>
      <c r="H28" t="s">
        <v>43</v>
      </c>
      <c r="I28"/>
      <c r="J28" s="17">
        <v>4.3340277777777718</v>
      </c>
      <c r="K28" s="15">
        <v>104.01666666666652</v>
      </c>
    </row>
    <row r="29" spans="2:12" x14ac:dyDescent="0.4">
      <c r="B29" s="7" t="e">
        <f t="shared" si="0"/>
        <v>#VALUE!</v>
      </c>
      <c r="C29" s="4"/>
      <c r="D29" s="4"/>
      <c r="E29" s="4">
        <f>IF(Table[[#This Row],[Arrivée]]&lt;&gt;"",_TpsPause,0)</f>
        <v>0</v>
      </c>
      <c r="H29">
        <v>2026</v>
      </c>
      <c r="I29" t="s">
        <v>57</v>
      </c>
      <c r="J29" s="17">
        <v>0</v>
      </c>
      <c r="K29" s="15">
        <v>0</v>
      </c>
    </row>
    <row r="30" spans="2:12" x14ac:dyDescent="0.4">
      <c r="B30" s="7" t="e">
        <f t="shared" si="0"/>
        <v>#VALUE!</v>
      </c>
      <c r="C30" s="4"/>
      <c r="D30" s="4"/>
      <c r="E30" s="4">
        <f>IF(Table[[#This Row],[Arrivée]]&lt;&gt;"",_TpsPause,0)</f>
        <v>0</v>
      </c>
      <c r="H30"/>
      <c r="I30" t="s">
        <v>73</v>
      </c>
      <c r="J30" s="17">
        <v>0</v>
      </c>
      <c r="K30" s="15">
        <v>0</v>
      </c>
    </row>
    <row r="31" spans="2:12" x14ac:dyDescent="0.4">
      <c r="B31" s="7" t="e">
        <f t="shared" si="0"/>
        <v>#VALUE!</v>
      </c>
      <c r="C31" s="4"/>
      <c r="D31" s="4"/>
      <c r="E31" s="4">
        <f>IF(Table[[#This Row],[Arrivée]]&lt;&gt;"",_TpsPause,0)</f>
        <v>0</v>
      </c>
      <c r="H31" t="s">
        <v>62</v>
      </c>
      <c r="I31"/>
      <c r="J31" s="17">
        <v>0</v>
      </c>
      <c r="K31" s="15">
        <v>0</v>
      </c>
    </row>
    <row r="32" spans="2:12" x14ac:dyDescent="0.4">
      <c r="B32" s="7" t="e">
        <f t="shared" si="0"/>
        <v>#VALUE!</v>
      </c>
      <c r="C32" s="4"/>
      <c r="D32" s="4"/>
      <c r="E32" s="4">
        <f>IF(Table[[#This Row],[Arrivée]]&lt;&gt;"",_TpsPause,0)</f>
        <v>0</v>
      </c>
      <c r="H32" t="s">
        <v>36</v>
      </c>
      <c r="I32"/>
      <c r="J32" s="17">
        <v>4.3340277777777718</v>
      </c>
      <c r="K32" s="15">
        <v>104.01666666666652</v>
      </c>
    </row>
    <row r="33" spans="2:10" x14ac:dyDescent="0.4">
      <c r="B33" s="7" t="e">
        <f t="shared" si="0"/>
        <v>#VALUE!</v>
      </c>
      <c r="C33" s="4"/>
      <c r="D33" s="4"/>
      <c r="E33" s="4">
        <f>IF(Table[[#This Row],[Arrivée]]&lt;&gt;"",_TpsPause,0)</f>
        <v>0</v>
      </c>
      <c r="H33"/>
      <c r="I33"/>
      <c r="J33"/>
    </row>
    <row r="34" spans="2:10" x14ac:dyDescent="0.4">
      <c r="B34" s="7" t="str">
        <f>IFERROR(IF(MONTH(B33+1)=MONTH($B$6),B33+1,""),"")</f>
        <v/>
      </c>
      <c r="C34" s="4"/>
      <c r="D34" s="4"/>
      <c r="E34" s="4">
        <f>IF(Table[[#This Row],[Arrivée]]&lt;&gt;"",_TpsPause,0)</f>
        <v>0</v>
      </c>
      <c r="H34"/>
      <c r="I34"/>
      <c r="J34"/>
    </row>
    <row r="35" spans="2:10" x14ac:dyDescent="0.4">
      <c r="B35" s="7" t="str">
        <f>IFERROR(IF(MONTH(B34+1)=MONTH($B$6),B34+1,""),"")</f>
        <v/>
      </c>
      <c r="C35" s="4"/>
      <c r="D35" s="4"/>
      <c r="E35" s="4">
        <f>IF(Table[[#This Row],[Arrivée]]&lt;&gt;"",_TpsPause,0)</f>
        <v>0</v>
      </c>
    </row>
    <row r="36" spans="2:10" x14ac:dyDescent="0.4">
      <c r="B36" s="7" t="str">
        <f>IFERROR(IF(MONTH(B35+1)=MONTH($B$6),B35+1,""),"")</f>
        <v/>
      </c>
      <c r="C36" s="4"/>
      <c r="D36" s="4"/>
      <c r="E36" s="4">
        <f>IF(Table[[#This Row],[Arrivée]]&lt;&gt;"",_TpsPause,0)</f>
        <v>0</v>
      </c>
    </row>
    <row r="39" spans="2:10" x14ac:dyDescent="0.4">
      <c r="B39" s="16" t="s">
        <v>78</v>
      </c>
      <c r="C39" s="22">
        <f>SUM(Récap_hebdomadaire[Delta (h)])</f>
        <v>4.334027777777778</v>
      </c>
      <c r="D39" s="23">
        <f>SUM(Récap_hebdomadaire[Delta (d)])</f>
        <v>104.01666666666654</v>
      </c>
    </row>
    <row r="40" spans="2:10" x14ac:dyDescent="0.4">
      <c r="B40" s="16" t="s">
        <v>79</v>
      </c>
      <c r="C40" s="24">
        <f>SUM(t_RecupDelta_1[Delta (rh)])</f>
        <v>1.4583333333333335</v>
      </c>
      <c r="D40" s="25">
        <f>SUM(t_RecupDelta_1[Delta (rd)])</f>
        <v>35</v>
      </c>
    </row>
    <row r="41" spans="2:10" x14ac:dyDescent="0.4">
      <c r="B41" s="16" t="s">
        <v>80</v>
      </c>
      <c r="C41" s="26">
        <f>C39-C40</f>
        <v>2.8756944444444446</v>
      </c>
      <c r="D41" s="27">
        <f>D39-D40</f>
        <v>69.016666666666538</v>
      </c>
    </row>
  </sheetData>
  <conditionalFormatting sqref="B6:E36">
    <cfRule type="expression" dxfId="1" priority="1">
      <formula>COUNTIF(l_Feries,$B6)</formula>
    </cfRule>
    <cfRule type="expression" dxfId="0" priority="2">
      <formula>WEEKDAY($B6,2)&gt;5</formula>
    </cfRule>
  </conditionalFormatting>
  <dataValidations count="5">
    <dataValidation type="list" allowBlank="1" showInputMessage="1" showErrorMessage="1" prompt="Sélectionner un mois à l'aide de la liste déroulante." sqref="C3" xr:uid="{318C25C3-3C9B-4033-8D0F-EABF6A419CB8}">
      <formula1>l_Mois</formula1>
    </dataValidation>
    <dataValidation allowBlank="1" showInputMessage="1" showErrorMessage="1" prompt="Sélectionner une année à l'aide de la toupie, ci-contre." sqref="C2" xr:uid="{E5687557-9476-40A6-A5AB-90C0CFF5330B}"/>
    <dataValidation type="custom" allowBlank="1" showInputMessage="1" showErrorMessage="1" error="Cette cellule contient une formule de calcul." sqref="B6:B36" xr:uid="{2B5D6D40-EE32-4E3D-8285-65D89EF0F5D3}">
      <formula1>"formule"</formula1>
    </dataValidation>
    <dataValidation type="custom" allowBlank="1" showInputMessage="1" showErrorMessage="1" error="Cette cellule contient une formule de calcul." sqref="E6:E36" xr:uid="{1DB08964-87D4-4E80-A860-DF4F1E44D959}">
      <formula1>"Formule"</formula1>
    </dataValidation>
    <dataValidation type="custom" allowBlank="1" showInputMessage="1" showErrorMessage="1" error="Cette cellule contient une formule." sqref="C39:D41" xr:uid="{92FDEED9-47E8-4F9C-8BE3-E7B94F3EA8F5}">
      <formula1>"Formule"</formula1>
    </dataValidation>
  </dataValidation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5" name="Spinner 1">
              <controlPr defaultSize="0" print="0" autoPict="0">
                <anchor>
                  <from>
                    <xdr:col>2</xdr:col>
                    <xdr:colOff>754380</xdr:colOff>
                    <xdr:row>1</xdr:row>
                    <xdr:rowOff>22860</xdr:rowOff>
                  </from>
                  <to>
                    <xdr:col>3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666640-1563-4750-8510-F79CB6747E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Instructions</vt:lpstr>
      <vt:lpstr>Paramètres</vt:lpstr>
      <vt:lpstr>04-2025</vt:lpstr>
      <vt:lpstr>05-2025</vt:lpstr>
      <vt:lpstr>06-2025</vt:lpstr>
      <vt:lpstr>07-2025</vt:lpstr>
      <vt:lpstr>08-2025</vt:lpstr>
      <vt:lpstr>09-2025</vt:lpstr>
      <vt:lpstr>10-2025</vt:lpstr>
      <vt:lpstr>11-2025</vt:lpstr>
      <vt:lpstr>12-2025</vt:lpstr>
      <vt:lpstr>01-2026</vt:lpstr>
      <vt:lpstr>02-2026</vt:lpstr>
      <vt:lpstr>Modèle</vt:lpstr>
      <vt:lpstr>_Annee</vt:lpstr>
      <vt:lpstr>_Mois</vt:lpstr>
      <vt:lpstr>_TpsPause</vt:lpstr>
      <vt:lpstr>_TpsTrav</vt:lpstr>
      <vt:lpstr>DatePaques</vt:lpstr>
      <vt:lpstr>'02-2026'!l_Feries</vt:lpstr>
      <vt:lpstr>l_Feries</vt:lpstr>
      <vt:lpstr>'02-2026'!l_Mois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2026-01-08T11:12:37Z</dcterms:created>
  <dcterms:modified xsi:type="dcterms:W3CDTF">2026-01-09T00:47:23Z</dcterms:modified>
</cp:coreProperties>
</file>