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5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6.xml" ContentType="application/vnd.openxmlformats-officedocument.spreadsheetml.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7.xml" ContentType="application/vnd.openxmlformats-officedocument.spreadsheetml.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tables/table8.xml" ContentType="application/vnd.openxmlformats-officedocument.spreadsheetml.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tables/table9.xml" ContentType="application/vnd.openxmlformats-officedocument.spreadsheetml.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tables/table10.xml" ContentType="application/vnd.openxmlformats-officedocument.spreadsheetml.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tables/table11.xml" ContentType="application/vnd.openxmlformats-officedocument.spreadsheetml.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tables/table12.xml" ContentType="application/vnd.openxmlformats-officedocument.spreadsheetml.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tables/table13.xml" ContentType="application/vnd.openxmlformats-officedocument.spreadsheetml.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tables/table14.xml" ContentType="application/vnd.openxmlformats-officedocument.spreadsheetml.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updateLinks="always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2530EDE-FE9D-49A0-AFA2-D4616BF229C6}" xr6:coauthVersionLast="47" xr6:coauthVersionMax="47" xr10:uidLastSave="{00000000-0000-0000-0000-000000000000}"/>
  <bookViews>
    <workbookView xWindow="-108" yWindow="-108" windowWidth="23256" windowHeight="12576" firstSheet="4" activeTab="9" xr2:uid="{00000000-000D-0000-FFFF-FFFF00000000}"/>
  </bookViews>
  <sheets>
    <sheet name="Tableaux" sheetId="12" r:id="rId1"/>
    <sheet name="04-2025" sheetId="1" r:id="rId2"/>
    <sheet name="05-2025" sheetId="2" r:id="rId3"/>
    <sheet name="06-2025" sheetId="3" r:id="rId4"/>
    <sheet name="07-2025" sheetId="9" r:id="rId5"/>
    <sheet name="08-2025" sheetId="8" r:id="rId6"/>
    <sheet name="09-2025" sheetId="7" r:id="rId7"/>
    <sheet name="10-2025" sheetId="6" r:id="rId8"/>
    <sheet name="11-2025" sheetId="5" r:id="rId9"/>
    <sheet name="12-2025" sheetId="4" r:id="rId10"/>
    <sheet name="01-2026" sheetId="14" r:id="rId11"/>
    <sheet name="02-2026" sheetId="15" r:id="rId12"/>
  </sheets>
  <definedNames>
    <definedName name="DonnéesExternes_3" localSheetId="0" hidden="1">Tableaux!$P$2:$S$13</definedName>
    <definedName name="DonnéesExternes_4" localSheetId="0" hidden="1">Tableaux!$U$2:$Y$58</definedName>
    <definedName name="DonnéesExternes_5" localSheetId="0" hidden="1">Tableaux!$AA$2:$AE$58</definedName>
    <definedName name="Pause">Tableaux!$C$3</definedName>
    <definedName name="TempsTravail">Tableaux!$C$2</definedName>
  </definedNames>
  <calcPr calcId="191028"/>
  <pivotCaches>
    <pivotCache cacheId="30" r:id="rId13"/>
    <pivotCache cacheId="36" r:id="rId14"/>
    <pivotCache cacheId="46" r:id="rId1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2" l="1" a="1"/>
  <c r="M3" i="12" s="1"/>
  <c r="K3" i="12" a="1"/>
  <c r="K3" i="12" s="1"/>
  <c r="I3" i="12"/>
  <c r="I30" i="15"/>
  <c r="F30" i="15"/>
  <c r="H30" i="15" s="1"/>
  <c r="I29" i="15"/>
  <c r="F29" i="15"/>
  <c r="H29" i="15" s="1"/>
  <c r="I28" i="15"/>
  <c r="F28" i="15"/>
  <c r="H28" i="15" s="1"/>
  <c r="I27" i="15"/>
  <c r="F27" i="15"/>
  <c r="H27" i="15" s="1"/>
  <c r="I26" i="15"/>
  <c r="F26" i="15"/>
  <c r="H26" i="15" s="1"/>
  <c r="I25" i="15"/>
  <c r="F25" i="15"/>
  <c r="H25" i="15" s="1"/>
  <c r="I24" i="15"/>
  <c r="F24" i="15"/>
  <c r="H24" i="15" s="1"/>
  <c r="I23" i="15"/>
  <c r="F23" i="15"/>
  <c r="H23" i="15" s="1"/>
  <c r="I22" i="15"/>
  <c r="F22" i="15"/>
  <c r="H22" i="15" s="1"/>
  <c r="I21" i="15"/>
  <c r="F21" i="15"/>
  <c r="H21" i="15" s="1"/>
  <c r="I20" i="15"/>
  <c r="F20" i="15"/>
  <c r="H20" i="15" s="1"/>
  <c r="I19" i="15"/>
  <c r="F19" i="15"/>
  <c r="H19" i="15" s="1"/>
  <c r="I18" i="15"/>
  <c r="F18" i="15"/>
  <c r="H18" i="15" s="1"/>
  <c r="I17" i="15"/>
  <c r="F17" i="15"/>
  <c r="H17" i="15" s="1"/>
  <c r="I16" i="15"/>
  <c r="F16" i="15"/>
  <c r="H16" i="15" s="1"/>
  <c r="I15" i="15"/>
  <c r="F15" i="15"/>
  <c r="H15" i="15" s="1"/>
  <c r="I14" i="15"/>
  <c r="F14" i="15"/>
  <c r="H14" i="15" s="1"/>
  <c r="I13" i="15"/>
  <c r="F13" i="15"/>
  <c r="H13" i="15" s="1"/>
  <c r="I12" i="15"/>
  <c r="F12" i="15"/>
  <c r="H12" i="15" s="1"/>
  <c r="I11" i="15"/>
  <c r="F11" i="15"/>
  <c r="H11" i="15" s="1"/>
  <c r="I10" i="15"/>
  <c r="F10" i="15"/>
  <c r="H10" i="15" s="1"/>
  <c r="I9" i="15"/>
  <c r="F9" i="15"/>
  <c r="H9" i="15" s="1"/>
  <c r="I8" i="15"/>
  <c r="F8" i="15"/>
  <c r="H8" i="15" s="1"/>
  <c r="I7" i="15"/>
  <c r="F7" i="15"/>
  <c r="H7" i="15" s="1"/>
  <c r="I6" i="15"/>
  <c r="F6" i="15"/>
  <c r="H6" i="15" s="1"/>
  <c r="I5" i="15"/>
  <c r="F5" i="15"/>
  <c r="H5" i="15" s="1"/>
  <c r="I4" i="15"/>
  <c r="F4" i="15"/>
  <c r="H4" i="15" s="1"/>
  <c r="I3" i="15"/>
  <c r="F3" i="15"/>
  <c r="H3" i="15" s="1"/>
  <c r="I32" i="14"/>
  <c r="F32" i="14"/>
  <c r="H32" i="14" s="1"/>
  <c r="I31" i="14"/>
  <c r="F31" i="14"/>
  <c r="H31" i="14" s="1"/>
  <c r="I30" i="14"/>
  <c r="F30" i="14"/>
  <c r="H30" i="14" s="1"/>
  <c r="I29" i="14"/>
  <c r="F29" i="14"/>
  <c r="H29" i="14" s="1"/>
  <c r="I28" i="14"/>
  <c r="F28" i="14"/>
  <c r="H28" i="14" s="1"/>
  <c r="I27" i="14"/>
  <c r="F27" i="14"/>
  <c r="H27" i="14" s="1"/>
  <c r="I26" i="14"/>
  <c r="F26" i="14"/>
  <c r="H26" i="14" s="1"/>
  <c r="I25" i="14"/>
  <c r="F25" i="14"/>
  <c r="H25" i="14" s="1"/>
  <c r="I24" i="14"/>
  <c r="F24" i="14"/>
  <c r="H24" i="14" s="1"/>
  <c r="I23" i="14"/>
  <c r="F23" i="14"/>
  <c r="H23" i="14" s="1"/>
  <c r="I22" i="14"/>
  <c r="F22" i="14"/>
  <c r="H22" i="14" s="1"/>
  <c r="I21" i="14"/>
  <c r="F21" i="14"/>
  <c r="H21" i="14" s="1"/>
  <c r="I20" i="14"/>
  <c r="F20" i="14"/>
  <c r="H20" i="14" s="1"/>
  <c r="I19" i="14"/>
  <c r="F19" i="14"/>
  <c r="H19" i="14" s="1"/>
  <c r="I18" i="14"/>
  <c r="F18" i="14"/>
  <c r="H18" i="14" s="1"/>
  <c r="I17" i="14"/>
  <c r="F17" i="14"/>
  <c r="H17" i="14" s="1"/>
  <c r="I16" i="14"/>
  <c r="F16" i="14"/>
  <c r="H16" i="14" s="1"/>
  <c r="I15" i="14"/>
  <c r="F15" i="14"/>
  <c r="H15" i="14" s="1"/>
  <c r="I14" i="14"/>
  <c r="F14" i="14"/>
  <c r="H14" i="14" s="1"/>
  <c r="I13" i="14"/>
  <c r="F13" i="14"/>
  <c r="H13" i="14" s="1"/>
  <c r="I12" i="14"/>
  <c r="F12" i="14"/>
  <c r="H12" i="14" s="1"/>
  <c r="I11" i="14"/>
  <c r="F11" i="14"/>
  <c r="H11" i="14" s="1"/>
  <c r="I10" i="14"/>
  <c r="F10" i="14"/>
  <c r="H10" i="14" s="1"/>
  <c r="I9" i="14"/>
  <c r="F9" i="14"/>
  <c r="H9" i="14" s="1"/>
  <c r="I8" i="14"/>
  <c r="F8" i="14"/>
  <c r="H8" i="14" s="1"/>
  <c r="I7" i="14"/>
  <c r="F7" i="14"/>
  <c r="H7" i="14" s="1"/>
  <c r="I6" i="14"/>
  <c r="F6" i="14"/>
  <c r="H6" i="14" s="1"/>
  <c r="I5" i="14"/>
  <c r="F5" i="14"/>
  <c r="H5" i="14" s="1"/>
  <c r="I4" i="14"/>
  <c r="F4" i="14"/>
  <c r="H4" i="14" s="1"/>
  <c r="I3" i="14"/>
  <c r="F3" i="14"/>
  <c r="H3" i="14" s="1"/>
  <c r="E32" i="4"/>
  <c r="F32" i="4" s="1"/>
  <c r="E31" i="4"/>
  <c r="F31" i="4" s="1"/>
  <c r="E30" i="4"/>
  <c r="G30" i="4" s="1"/>
  <c r="E29" i="4"/>
  <c r="G29" i="4" s="1"/>
  <c r="E28" i="4"/>
  <c r="F28" i="4" s="1"/>
  <c r="E27" i="4"/>
  <c r="F27" i="4" s="1"/>
  <c r="E26" i="4"/>
  <c r="G26" i="4" s="1"/>
  <c r="E25" i="4"/>
  <c r="G25" i="4" s="1"/>
  <c r="E24" i="4"/>
  <c r="G24" i="4" s="1"/>
  <c r="E23" i="4"/>
  <c r="F23" i="4" s="1"/>
  <c r="E22" i="4"/>
  <c r="G22" i="4" s="1"/>
  <c r="E21" i="4"/>
  <c r="G21" i="4" s="1"/>
  <c r="E20" i="4"/>
  <c r="G20" i="4" s="1"/>
  <c r="E19" i="4"/>
  <c r="F19" i="4" s="1"/>
  <c r="E18" i="4"/>
  <c r="G18" i="4" s="1"/>
  <c r="E17" i="4"/>
  <c r="G17" i="4" s="1"/>
  <c r="E16" i="4"/>
  <c r="G16" i="4" s="1"/>
  <c r="E15" i="4"/>
  <c r="G15" i="4" s="1"/>
  <c r="F14" i="4"/>
  <c r="E14" i="4"/>
  <c r="G14" i="4" s="1"/>
  <c r="E13" i="4"/>
  <c r="G13" i="4" s="1"/>
  <c r="G12" i="4"/>
  <c r="F12" i="4"/>
  <c r="E12" i="4"/>
  <c r="E11" i="4"/>
  <c r="F11" i="4" s="1"/>
  <c r="F10" i="4"/>
  <c r="E10" i="4"/>
  <c r="G10" i="4" s="1"/>
  <c r="E9" i="4"/>
  <c r="G9" i="4" s="1"/>
  <c r="G8" i="4"/>
  <c r="F8" i="4"/>
  <c r="E8" i="4"/>
  <c r="E7" i="4"/>
  <c r="F7" i="4" s="1"/>
  <c r="E6" i="4"/>
  <c r="G6" i="4" s="1"/>
  <c r="E5" i="4"/>
  <c r="G5" i="4" s="1"/>
  <c r="E4" i="4"/>
  <c r="G4" i="4" s="1"/>
  <c r="E3" i="4"/>
  <c r="F3" i="4" s="1"/>
  <c r="E2" i="4"/>
  <c r="G2" i="4" s="1"/>
  <c r="E31" i="5"/>
  <c r="G31" i="5" s="1"/>
  <c r="G30" i="5"/>
  <c r="E30" i="5"/>
  <c r="F30" i="5" s="1"/>
  <c r="G29" i="5"/>
  <c r="F29" i="5"/>
  <c r="E29" i="5"/>
  <c r="E28" i="5"/>
  <c r="G28" i="5" s="1"/>
  <c r="E27" i="5"/>
  <c r="G27" i="5" s="1"/>
  <c r="G26" i="5"/>
  <c r="E26" i="5"/>
  <c r="F26" i="5" s="1"/>
  <c r="G25" i="5"/>
  <c r="F25" i="5"/>
  <c r="E25" i="5"/>
  <c r="E24" i="5"/>
  <c r="F24" i="5" s="1"/>
  <c r="E23" i="5"/>
  <c r="G23" i="5" s="1"/>
  <c r="G22" i="5"/>
  <c r="E22" i="5"/>
  <c r="F22" i="5" s="1"/>
  <c r="G21" i="5"/>
  <c r="F21" i="5"/>
  <c r="E21" i="5"/>
  <c r="E20" i="5"/>
  <c r="F20" i="5" s="1"/>
  <c r="E19" i="5"/>
  <c r="G19" i="5" s="1"/>
  <c r="G18" i="5"/>
  <c r="E18" i="5"/>
  <c r="F18" i="5" s="1"/>
  <c r="G17" i="5"/>
  <c r="F17" i="5"/>
  <c r="E17" i="5"/>
  <c r="E16" i="5"/>
  <c r="F16" i="5" s="1"/>
  <c r="E15" i="5"/>
  <c r="G15" i="5" s="1"/>
  <c r="G14" i="5"/>
  <c r="E14" i="5"/>
  <c r="F14" i="5" s="1"/>
  <c r="G13" i="5"/>
  <c r="F13" i="5"/>
  <c r="E13" i="5"/>
  <c r="E12" i="5"/>
  <c r="G12" i="5" s="1"/>
  <c r="E11" i="5"/>
  <c r="G11" i="5" s="1"/>
  <c r="G10" i="5"/>
  <c r="E10" i="5"/>
  <c r="F10" i="5" s="1"/>
  <c r="G9" i="5"/>
  <c r="F9" i="5"/>
  <c r="E9" i="5"/>
  <c r="E8" i="5"/>
  <c r="F8" i="5" s="1"/>
  <c r="E7" i="5"/>
  <c r="G7" i="5" s="1"/>
  <c r="G6" i="5"/>
  <c r="E6" i="5"/>
  <c r="F6" i="5" s="1"/>
  <c r="G5" i="5"/>
  <c r="F5" i="5"/>
  <c r="E5" i="5"/>
  <c r="E4" i="5"/>
  <c r="G4" i="5" s="1"/>
  <c r="E3" i="5"/>
  <c r="G3" i="5" s="1"/>
  <c r="G2" i="5"/>
  <c r="E2" i="5"/>
  <c r="F2" i="5" s="1"/>
  <c r="G32" i="6"/>
  <c r="F32" i="6"/>
  <c r="E32" i="6"/>
  <c r="G31" i="6"/>
  <c r="E31" i="6"/>
  <c r="F31" i="6" s="1"/>
  <c r="F30" i="6"/>
  <c r="E30" i="6"/>
  <c r="G30" i="6" s="1"/>
  <c r="E29" i="6"/>
  <c r="G29" i="6" s="1"/>
  <c r="G28" i="6"/>
  <c r="F28" i="6"/>
  <c r="E28" i="6"/>
  <c r="G27" i="6"/>
  <c r="F27" i="6"/>
  <c r="E27" i="6"/>
  <c r="F26" i="6"/>
  <c r="E26" i="6"/>
  <c r="G26" i="6" s="1"/>
  <c r="E25" i="6"/>
  <c r="G25" i="6" s="1"/>
  <c r="G24" i="6"/>
  <c r="F24" i="6"/>
  <c r="E24" i="6"/>
  <c r="G23" i="6"/>
  <c r="E23" i="6"/>
  <c r="F23" i="6" s="1"/>
  <c r="F22" i="6"/>
  <c r="E22" i="6"/>
  <c r="G22" i="6" s="1"/>
  <c r="E21" i="6"/>
  <c r="G21" i="6" s="1"/>
  <c r="G20" i="6"/>
  <c r="F20" i="6"/>
  <c r="E20" i="6"/>
  <c r="G19" i="6"/>
  <c r="F19" i="6"/>
  <c r="E19" i="6"/>
  <c r="F18" i="6"/>
  <c r="E18" i="6"/>
  <c r="G18" i="6" s="1"/>
  <c r="E17" i="6"/>
  <c r="G17" i="6" s="1"/>
  <c r="G16" i="6"/>
  <c r="F16" i="6"/>
  <c r="E16" i="6"/>
  <c r="G15" i="6"/>
  <c r="F15" i="6"/>
  <c r="E15" i="6"/>
  <c r="F14" i="6"/>
  <c r="E14" i="6"/>
  <c r="G14" i="6" s="1"/>
  <c r="E13" i="6"/>
  <c r="G13" i="6" s="1"/>
  <c r="G12" i="6"/>
  <c r="F12" i="6"/>
  <c r="E12" i="6"/>
  <c r="G11" i="6"/>
  <c r="F11" i="6"/>
  <c r="E11" i="6"/>
  <c r="F10" i="6"/>
  <c r="E10" i="6"/>
  <c r="G10" i="6" s="1"/>
  <c r="E9" i="6"/>
  <c r="G9" i="6" s="1"/>
  <c r="G8" i="6"/>
  <c r="F8" i="6"/>
  <c r="E8" i="6"/>
  <c r="G7" i="6"/>
  <c r="F7" i="6"/>
  <c r="E7" i="6"/>
  <c r="F6" i="6"/>
  <c r="E6" i="6"/>
  <c r="G6" i="6" s="1"/>
  <c r="E5" i="6"/>
  <c r="G5" i="6" s="1"/>
  <c r="G4" i="6"/>
  <c r="F4" i="6"/>
  <c r="E4" i="6"/>
  <c r="G3" i="6"/>
  <c r="F3" i="6"/>
  <c r="E3" i="6"/>
  <c r="F2" i="6"/>
  <c r="E2" i="6"/>
  <c r="G2" i="6" s="1"/>
  <c r="G31" i="7"/>
  <c r="F31" i="7"/>
  <c r="E31" i="7"/>
  <c r="G30" i="7"/>
  <c r="E30" i="7"/>
  <c r="F30" i="7" s="1"/>
  <c r="F29" i="7"/>
  <c r="E29" i="7"/>
  <c r="G29" i="7" s="1"/>
  <c r="E28" i="7"/>
  <c r="G28" i="7" s="1"/>
  <c r="G27" i="7"/>
  <c r="F27" i="7"/>
  <c r="E27" i="7"/>
  <c r="G26" i="7"/>
  <c r="E26" i="7"/>
  <c r="F26" i="7" s="1"/>
  <c r="F25" i="7"/>
  <c r="E25" i="7"/>
  <c r="G25" i="7" s="1"/>
  <c r="E24" i="7"/>
  <c r="G24" i="7" s="1"/>
  <c r="G23" i="7"/>
  <c r="F23" i="7"/>
  <c r="E23" i="7"/>
  <c r="G22" i="7"/>
  <c r="E22" i="7"/>
  <c r="F22" i="7" s="1"/>
  <c r="F21" i="7"/>
  <c r="E21" i="7"/>
  <c r="G21" i="7" s="1"/>
  <c r="E20" i="7"/>
  <c r="G20" i="7" s="1"/>
  <c r="G19" i="7"/>
  <c r="F19" i="7"/>
  <c r="E19" i="7"/>
  <c r="G18" i="7"/>
  <c r="E18" i="7"/>
  <c r="F18" i="7" s="1"/>
  <c r="F17" i="7"/>
  <c r="E17" i="7"/>
  <c r="G17" i="7" s="1"/>
  <c r="E16" i="7"/>
  <c r="G16" i="7" s="1"/>
  <c r="G15" i="7"/>
  <c r="F15" i="7"/>
  <c r="E15" i="7"/>
  <c r="G14" i="7"/>
  <c r="E14" i="7"/>
  <c r="F14" i="7" s="1"/>
  <c r="F13" i="7"/>
  <c r="E13" i="7"/>
  <c r="G13" i="7" s="1"/>
  <c r="E12" i="7"/>
  <c r="G12" i="7" s="1"/>
  <c r="G11" i="7"/>
  <c r="F11" i="7"/>
  <c r="E11" i="7"/>
  <c r="G10" i="7"/>
  <c r="E10" i="7"/>
  <c r="F10" i="7" s="1"/>
  <c r="F9" i="7"/>
  <c r="E9" i="7"/>
  <c r="G9" i="7" s="1"/>
  <c r="E8" i="7"/>
  <c r="G8" i="7" s="1"/>
  <c r="G7" i="7"/>
  <c r="F7" i="7"/>
  <c r="E7" i="7"/>
  <c r="G6" i="7"/>
  <c r="E6" i="7"/>
  <c r="F6" i="7" s="1"/>
  <c r="F5" i="7"/>
  <c r="E5" i="7"/>
  <c r="G5" i="7" s="1"/>
  <c r="E4" i="7"/>
  <c r="G4" i="7" s="1"/>
  <c r="G3" i="7"/>
  <c r="F3" i="7"/>
  <c r="E3" i="7"/>
  <c r="G2" i="7"/>
  <c r="E2" i="7"/>
  <c r="F2" i="7" s="1"/>
  <c r="G32" i="8"/>
  <c r="F32" i="8"/>
  <c r="E32" i="8"/>
  <c r="G31" i="8"/>
  <c r="E31" i="8"/>
  <c r="F31" i="8" s="1"/>
  <c r="F30" i="8"/>
  <c r="E30" i="8"/>
  <c r="G30" i="8" s="1"/>
  <c r="E29" i="8"/>
  <c r="G29" i="8" s="1"/>
  <c r="G28" i="8"/>
  <c r="F28" i="8"/>
  <c r="E28" i="8"/>
  <c r="G27" i="8"/>
  <c r="E27" i="8"/>
  <c r="F27" i="8" s="1"/>
  <c r="F26" i="8"/>
  <c r="E26" i="8"/>
  <c r="G26" i="8" s="1"/>
  <c r="E25" i="8"/>
  <c r="G25" i="8" s="1"/>
  <c r="G24" i="8"/>
  <c r="F24" i="8"/>
  <c r="E24" i="8"/>
  <c r="G23" i="8"/>
  <c r="E23" i="8"/>
  <c r="F23" i="8" s="1"/>
  <c r="F22" i="8"/>
  <c r="E22" i="8"/>
  <c r="G22" i="8" s="1"/>
  <c r="E21" i="8"/>
  <c r="G21" i="8" s="1"/>
  <c r="G20" i="8"/>
  <c r="F20" i="8"/>
  <c r="E20" i="8"/>
  <c r="G19" i="8"/>
  <c r="E19" i="8"/>
  <c r="F19" i="8" s="1"/>
  <c r="F18" i="8"/>
  <c r="E18" i="8"/>
  <c r="G18" i="8" s="1"/>
  <c r="E17" i="8"/>
  <c r="G17" i="8" s="1"/>
  <c r="G16" i="8"/>
  <c r="F16" i="8"/>
  <c r="E16" i="8"/>
  <c r="G15" i="8"/>
  <c r="E15" i="8"/>
  <c r="F15" i="8" s="1"/>
  <c r="F14" i="8"/>
  <c r="E14" i="8"/>
  <c r="G14" i="8" s="1"/>
  <c r="E13" i="8"/>
  <c r="G13" i="8" s="1"/>
  <c r="G12" i="8"/>
  <c r="F12" i="8"/>
  <c r="E12" i="8"/>
  <c r="G11" i="8"/>
  <c r="E11" i="8"/>
  <c r="F11" i="8" s="1"/>
  <c r="F10" i="8"/>
  <c r="E10" i="8"/>
  <c r="G10" i="8" s="1"/>
  <c r="E9" i="8"/>
  <c r="G9" i="8" s="1"/>
  <c r="G8" i="8"/>
  <c r="F8" i="8"/>
  <c r="E8" i="8"/>
  <c r="G7" i="8"/>
  <c r="E7" i="8"/>
  <c r="F7" i="8" s="1"/>
  <c r="F6" i="8"/>
  <c r="E6" i="8"/>
  <c r="G6" i="8" s="1"/>
  <c r="E5" i="8"/>
  <c r="G5" i="8" s="1"/>
  <c r="G4" i="8"/>
  <c r="F4" i="8"/>
  <c r="E4" i="8"/>
  <c r="G3" i="8"/>
  <c r="E3" i="8"/>
  <c r="F3" i="8" s="1"/>
  <c r="F2" i="8"/>
  <c r="E2" i="8"/>
  <c r="G2" i="8" s="1"/>
  <c r="E32" i="9"/>
  <c r="G32" i="9" s="1"/>
  <c r="G31" i="9"/>
  <c r="F31" i="9"/>
  <c r="E31" i="9"/>
  <c r="G30" i="9"/>
  <c r="F30" i="9"/>
  <c r="E30" i="9"/>
  <c r="E29" i="9"/>
  <c r="F29" i="9" s="1"/>
  <c r="E28" i="9"/>
  <c r="G28" i="9" s="1"/>
  <c r="G27" i="9"/>
  <c r="F27" i="9"/>
  <c r="E27" i="9"/>
  <c r="G26" i="9"/>
  <c r="F26" i="9"/>
  <c r="E26" i="9"/>
  <c r="E25" i="9"/>
  <c r="F25" i="9" s="1"/>
  <c r="E24" i="9"/>
  <c r="G24" i="9" s="1"/>
  <c r="G23" i="9"/>
  <c r="F23" i="9"/>
  <c r="E23" i="9"/>
  <c r="G22" i="9"/>
  <c r="F22" i="9"/>
  <c r="E22" i="9"/>
  <c r="E21" i="9"/>
  <c r="G21" i="9" s="1"/>
  <c r="E20" i="9"/>
  <c r="G20" i="9" s="1"/>
  <c r="G19" i="9"/>
  <c r="F19" i="9"/>
  <c r="E19" i="9"/>
  <c r="G18" i="9"/>
  <c r="F18" i="9"/>
  <c r="E18" i="9"/>
  <c r="E17" i="9"/>
  <c r="G17" i="9" s="1"/>
  <c r="E16" i="9"/>
  <c r="G16" i="9" s="1"/>
  <c r="G15" i="9"/>
  <c r="F15" i="9"/>
  <c r="E15" i="9"/>
  <c r="G14" i="9"/>
  <c r="F14" i="9"/>
  <c r="E14" i="9"/>
  <c r="E13" i="9"/>
  <c r="F13" i="9" s="1"/>
  <c r="E12" i="9"/>
  <c r="G12" i="9" s="1"/>
  <c r="G11" i="9"/>
  <c r="F11" i="9"/>
  <c r="E11" i="9"/>
  <c r="G10" i="9"/>
  <c r="F10" i="9"/>
  <c r="E10" i="9"/>
  <c r="E9" i="9"/>
  <c r="G9" i="9" s="1"/>
  <c r="E8" i="9"/>
  <c r="G8" i="9" s="1"/>
  <c r="G7" i="9"/>
  <c r="F7" i="9"/>
  <c r="E7" i="9"/>
  <c r="G6" i="9"/>
  <c r="F6" i="9"/>
  <c r="E6" i="9"/>
  <c r="E5" i="9"/>
  <c r="F5" i="9" s="1"/>
  <c r="E4" i="9"/>
  <c r="G4" i="9" s="1"/>
  <c r="G3" i="9"/>
  <c r="F3" i="9"/>
  <c r="E3" i="9"/>
  <c r="G2" i="9"/>
  <c r="F2" i="9"/>
  <c r="E2" i="9"/>
  <c r="E31" i="3"/>
  <c r="G31" i="3" s="1"/>
  <c r="G30" i="3"/>
  <c r="F30" i="3"/>
  <c r="E30" i="3"/>
  <c r="G29" i="3"/>
  <c r="F29" i="3"/>
  <c r="E29" i="3"/>
  <c r="E28" i="3"/>
  <c r="F28" i="3" s="1"/>
  <c r="E27" i="3"/>
  <c r="G27" i="3" s="1"/>
  <c r="G26" i="3"/>
  <c r="F26" i="3"/>
  <c r="E26" i="3"/>
  <c r="G25" i="3"/>
  <c r="F25" i="3"/>
  <c r="E25" i="3"/>
  <c r="E24" i="3"/>
  <c r="G24" i="3" s="1"/>
  <c r="E23" i="3"/>
  <c r="G23" i="3" s="1"/>
  <c r="G22" i="3"/>
  <c r="F22" i="3"/>
  <c r="E22" i="3"/>
  <c r="G21" i="3"/>
  <c r="F21" i="3"/>
  <c r="E21" i="3"/>
  <c r="E20" i="3"/>
  <c r="G20" i="3" s="1"/>
  <c r="E19" i="3"/>
  <c r="G19" i="3" s="1"/>
  <c r="G18" i="3"/>
  <c r="F18" i="3"/>
  <c r="E18" i="3"/>
  <c r="G17" i="3"/>
  <c r="F17" i="3"/>
  <c r="E17" i="3"/>
  <c r="E16" i="3"/>
  <c r="F16" i="3" s="1"/>
  <c r="E15" i="3"/>
  <c r="G15" i="3" s="1"/>
  <c r="G14" i="3"/>
  <c r="F14" i="3"/>
  <c r="E14" i="3"/>
  <c r="G13" i="3"/>
  <c r="F13" i="3"/>
  <c r="E13" i="3"/>
  <c r="E12" i="3"/>
  <c r="G12" i="3" s="1"/>
  <c r="E11" i="3"/>
  <c r="G11" i="3" s="1"/>
  <c r="G10" i="3"/>
  <c r="F10" i="3"/>
  <c r="E10" i="3"/>
  <c r="G9" i="3"/>
  <c r="F9" i="3"/>
  <c r="E9" i="3"/>
  <c r="E8" i="3"/>
  <c r="G8" i="3" s="1"/>
  <c r="E7" i="3"/>
  <c r="G7" i="3" s="1"/>
  <c r="G6" i="3"/>
  <c r="F6" i="3"/>
  <c r="E6" i="3"/>
  <c r="G5" i="3"/>
  <c r="F5" i="3"/>
  <c r="E5" i="3"/>
  <c r="E4" i="3"/>
  <c r="F4" i="3" s="1"/>
  <c r="E3" i="3"/>
  <c r="G3" i="3" s="1"/>
  <c r="G2" i="3"/>
  <c r="F2" i="3"/>
  <c r="E2" i="3"/>
  <c r="G32" i="2"/>
  <c r="F32" i="2"/>
  <c r="E32" i="2"/>
  <c r="G31" i="2"/>
  <c r="E31" i="2"/>
  <c r="F31" i="2" s="1"/>
  <c r="F30" i="2"/>
  <c r="E30" i="2"/>
  <c r="G30" i="2" s="1"/>
  <c r="E29" i="2"/>
  <c r="G29" i="2" s="1"/>
  <c r="G28" i="2"/>
  <c r="F28" i="2"/>
  <c r="E28" i="2"/>
  <c r="G27" i="2"/>
  <c r="E27" i="2"/>
  <c r="F27" i="2" s="1"/>
  <c r="F26" i="2"/>
  <c r="E26" i="2"/>
  <c r="G26" i="2" s="1"/>
  <c r="E25" i="2"/>
  <c r="G25" i="2" s="1"/>
  <c r="G24" i="2"/>
  <c r="F24" i="2"/>
  <c r="E24" i="2"/>
  <c r="G23" i="2"/>
  <c r="E23" i="2"/>
  <c r="F23" i="2" s="1"/>
  <c r="F22" i="2"/>
  <c r="E22" i="2"/>
  <c r="G22" i="2" s="1"/>
  <c r="E21" i="2"/>
  <c r="G21" i="2" s="1"/>
  <c r="G20" i="2"/>
  <c r="F20" i="2"/>
  <c r="E20" i="2"/>
  <c r="G19" i="2"/>
  <c r="F19" i="2"/>
  <c r="E19" i="2"/>
  <c r="F18" i="2"/>
  <c r="E18" i="2"/>
  <c r="G18" i="2" s="1"/>
  <c r="E17" i="2"/>
  <c r="G17" i="2" s="1"/>
  <c r="G16" i="2"/>
  <c r="F16" i="2"/>
  <c r="E16" i="2"/>
  <c r="G15" i="2"/>
  <c r="F15" i="2"/>
  <c r="E15" i="2"/>
  <c r="F14" i="2"/>
  <c r="E14" i="2"/>
  <c r="G14" i="2" s="1"/>
  <c r="E13" i="2"/>
  <c r="G13" i="2" s="1"/>
  <c r="G12" i="2"/>
  <c r="F12" i="2"/>
  <c r="E12" i="2"/>
  <c r="G11" i="2"/>
  <c r="F11" i="2"/>
  <c r="E11" i="2"/>
  <c r="F10" i="2"/>
  <c r="E10" i="2"/>
  <c r="G10" i="2" s="1"/>
  <c r="E9" i="2"/>
  <c r="G9" i="2" s="1"/>
  <c r="G8" i="2"/>
  <c r="F8" i="2"/>
  <c r="E8" i="2"/>
  <c r="G7" i="2"/>
  <c r="F7" i="2"/>
  <c r="E7" i="2"/>
  <c r="F6" i="2"/>
  <c r="E6" i="2"/>
  <c r="G6" i="2" s="1"/>
  <c r="E5" i="2"/>
  <c r="G5" i="2" s="1"/>
  <c r="G4" i="2"/>
  <c r="F4" i="2"/>
  <c r="E4" i="2"/>
  <c r="G3" i="2"/>
  <c r="F3" i="2"/>
  <c r="E3" i="2"/>
  <c r="F2" i="2"/>
  <c r="E2" i="2"/>
  <c r="G2" i="2" s="1"/>
  <c r="E2" i="1"/>
  <c r="F2" i="1" s="1"/>
  <c r="E3" i="1"/>
  <c r="F3" i="1" s="1"/>
  <c r="E4" i="1"/>
  <c r="F4" i="1" s="1"/>
  <c r="E5" i="1"/>
  <c r="G5" i="1" s="1"/>
  <c r="E6" i="1"/>
  <c r="F6" i="1" s="1"/>
  <c r="E7" i="1"/>
  <c r="F7" i="1" s="1"/>
  <c r="E8" i="1"/>
  <c r="F8" i="1" s="1"/>
  <c r="E9" i="1"/>
  <c r="G9" i="1" s="1"/>
  <c r="E10" i="1"/>
  <c r="G10" i="1" s="1"/>
  <c r="E11" i="1"/>
  <c r="F11" i="1" s="1"/>
  <c r="E12" i="1"/>
  <c r="F12" i="1" s="1"/>
  <c r="E13" i="1"/>
  <c r="G13" i="1" s="1"/>
  <c r="E14" i="1"/>
  <c r="F14" i="1" s="1"/>
  <c r="E15" i="1"/>
  <c r="F15" i="1" s="1"/>
  <c r="E16" i="1"/>
  <c r="F16" i="1" s="1"/>
  <c r="E17" i="1"/>
  <c r="G17" i="1" s="1"/>
  <c r="E18" i="1"/>
  <c r="G18" i="1" s="1"/>
  <c r="E19" i="1"/>
  <c r="F19" i="1" s="1"/>
  <c r="E20" i="1"/>
  <c r="F20" i="1" s="1"/>
  <c r="E21" i="1"/>
  <c r="G21" i="1" s="1"/>
  <c r="E22" i="1"/>
  <c r="F22" i="1" s="1"/>
  <c r="E23" i="1"/>
  <c r="F23" i="1" s="1"/>
  <c r="E24" i="1"/>
  <c r="F24" i="1" s="1"/>
  <c r="E25" i="1"/>
  <c r="G25" i="1" s="1"/>
  <c r="E26" i="1"/>
  <c r="G26" i="1" s="1"/>
  <c r="E27" i="1"/>
  <c r="F27" i="1" s="1"/>
  <c r="E28" i="1"/>
  <c r="F28" i="1" s="1"/>
  <c r="E29" i="1"/>
  <c r="G29" i="1" s="1"/>
  <c r="E30" i="1"/>
  <c r="G30" i="1" s="1"/>
  <c r="E31" i="1"/>
  <c r="F31" i="1" s="1"/>
  <c r="K8" i="4"/>
  <c r="K8" i="5"/>
  <c r="K8" i="6"/>
  <c r="K8" i="7"/>
  <c r="K8" i="1"/>
  <c r="H27" i="4"/>
  <c r="H28" i="4"/>
  <c r="H29" i="4"/>
  <c r="H30" i="4"/>
  <c r="H31" i="4"/>
  <c r="H32" i="4"/>
  <c r="H25" i="6"/>
  <c r="H26" i="6"/>
  <c r="H27" i="6"/>
  <c r="H28" i="6"/>
  <c r="H29" i="6"/>
  <c r="H30" i="6"/>
  <c r="H31" i="6"/>
  <c r="H32" i="6"/>
  <c r="H26" i="8"/>
  <c r="H27" i="8"/>
  <c r="H28" i="8"/>
  <c r="H29" i="8"/>
  <c r="H30" i="8"/>
  <c r="H31" i="8"/>
  <c r="H32" i="8"/>
  <c r="H28" i="9"/>
  <c r="H29" i="9"/>
  <c r="H30" i="9"/>
  <c r="H31" i="9"/>
  <c r="H32" i="9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K8" i="2"/>
  <c r="L8" i="8"/>
  <c r="K8" i="8" s="1"/>
  <c r="H2" i="1"/>
  <c r="H31" i="3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H3" i="7"/>
  <c r="H2" i="7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H2" i="6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H2" i="2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F4" i="4" l="1"/>
  <c r="F6" i="4"/>
  <c r="F2" i="4"/>
  <c r="G23" i="4"/>
  <c r="F16" i="4"/>
  <c r="F18" i="4"/>
  <c r="F20" i="4"/>
  <c r="F22" i="4"/>
  <c r="G28" i="4"/>
  <c r="G31" i="4"/>
  <c r="G3" i="4"/>
  <c r="G7" i="4"/>
  <c r="G11" i="4"/>
  <c r="F15" i="4"/>
  <c r="F24" i="4"/>
  <c r="F26" i="4"/>
  <c r="G19" i="4"/>
  <c r="G32" i="4"/>
  <c r="F30" i="4"/>
  <c r="G27" i="4"/>
  <c r="G3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22" i="1"/>
  <c r="G6" i="1"/>
  <c r="F30" i="1"/>
  <c r="F10" i="1"/>
  <c r="G14" i="1"/>
  <c r="G16" i="1"/>
  <c r="G24" i="1"/>
  <c r="G8" i="1"/>
  <c r="F5" i="4"/>
  <c r="F9" i="4"/>
  <c r="F13" i="4"/>
  <c r="F17" i="4"/>
  <c r="F21" i="4"/>
  <c r="F25" i="4"/>
  <c r="F29" i="4"/>
  <c r="F4" i="5"/>
  <c r="F12" i="5"/>
  <c r="F28" i="5"/>
  <c r="F3" i="5"/>
  <c r="F7" i="5"/>
  <c r="G8" i="5"/>
  <c r="L4" i="5" s="1"/>
  <c r="K4" i="5" s="1"/>
  <c r="F11" i="5"/>
  <c r="F15" i="5"/>
  <c r="G16" i="5"/>
  <c r="L5" i="5" s="1"/>
  <c r="K5" i="5" s="1"/>
  <c r="F19" i="5"/>
  <c r="G20" i="5"/>
  <c r="F23" i="5"/>
  <c r="G24" i="5"/>
  <c r="F27" i="5"/>
  <c r="F31" i="5"/>
  <c r="F5" i="6"/>
  <c r="F9" i="6"/>
  <c r="F13" i="6"/>
  <c r="F17" i="6"/>
  <c r="F21" i="6"/>
  <c r="F25" i="6"/>
  <c r="F29" i="6"/>
  <c r="F4" i="7"/>
  <c r="F8" i="7"/>
  <c r="F12" i="7"/>
  <c r="F16" i="7"/>
  <c r="F20" i="7"/>
  <c r="F24" i="7"/>
  <c r="F28" i="7"/>
  <c r="F5" i="8"/>
  <c r="F9" i="8"/>
  <c r="F13" i="8"/>
  <c r="F17" i="8"/>
  <c r="F21" i="8"/>
  <c r="F25" i="8"/>
  <c r="F29" i="8"/>
  <c r="F9" i="9"/>
  <c r="F17" i="9"/>
  <c r="F21" i="9"/>
  <c r="F4" i="9"/>
  <c r="G5" i="9"/>
  <c r="L3" i="9" s="1"/>
  <c r="K3" i="9" s="1"/>
  <c r="F8" i="9"/>
  <c r="F12" i="9"/>
  <c r="G13" i="9"/>
  <c r="L4" i="9" s="1"/>
  <c r="K4" i="9" s="1"/>
  <c r="F16" i="9"/>
  <c r="F20" i="9"/>
  <c r="F24" i="9"/>
  <c r="G25" i="9"/>
  <c r="L6" i="9" s="1"/>
  <c r="K6" i="9" s="1"/>
  <c r="F28" i="9"/>
  <c r="G29" i="9"/>
  <c r="L7" i="9" s="1"/>
  <c r="K7" i="9" s="1"/>
  <c r="F32" i="9"/>
  <c r="F8" i="3"/>
  <c r="F12" i="3"/>
  <c r="F20" i="3"/>
  <c r="F24" i="3"/>
  <c r="F3" i="3"/>
  <c r="G4" i="3"/>
  <c r="F7" i="3"/>
  <c r="F11" i="3"/>
  <c r="F15" i="3"/>
  <c r="G16" i="3"/>
  <c r="F19" i="3"/>
  <c r="F23" i="3"/>
  <c r="F27" i="3"/>
  <c r="G28" i="3"/>
  <c r="L7" i="3" s="1"/>
  <c r="K7" i="3" s="1"/>
  <c r="F31" i="3"/>
  <c r="F5" i="2"/>
  <c r="F9" i="2"/>
  <c r="F13" i="2"/>
  <c r="F17" i="2"/>
  <c r="F21" i="2"/>
  <c r="F25" i="2"/>
  <c r="F29" i="2"/>
  <c r="F21" i="1"/>
  <c r="F29" i="1"/>
  <c r="F18" i="1"/>
  <c r="G28" i="1"/>
  <c r="G20" i="1"/>
  <c r="G12" i="1"/>
  <c r="G4" i="1"/>
  <c r="F26" i="1"/>
  <c r="F5" i="1"/>
  <c r="G2" i="1"/>
  <c r="F13" i="1"/>
  <c r="F25" i="1"/>
  <c r="F17" i="1"/>
  <c r="F9" i="1"/>
  <c r="G31" i="1"/>
  <c r="L7" i="1" s="1"/>
  <c r="K7" i="1" s="1"/>
  <c r="G27" i="1"/>
  <c r="G23" i="1"/>
  <c r="G19" i="1"/>
  <c r="G15" i="1"/>
  <c r="G11" i="1"/>
  <c r="G7" i="1"/>
  <c r="G3" i="1"/>
  <c r="L7" i="6"/>
  <c r="K7" i="6" s="1"/>
  <c r="L6" i="7"/>
  <c r="K6" i="7" s="1"/>
  <c r="L7" i="8"/>
  <c r="K7" i="8" s="1"/>
  <c r="L5" i="8"/>
  <c r="K5" i="8" s="1"/>
  <c r="L4" i="8"/>
  <c r="K4" i="8" s="1"/>
  <c r="L8" i="3"/>
  <c r="K8" i="3" s="1"/>
  <c r="L5" i="4"/>
  <c r="K5" i="4" s="1"/>
  <c r="L4" i="4"/>
  <c r="K4" i="4" s="1"/>
  <c r="L7" i="5"/>
  <c r="K7" i="5" s="1"/>
  <c r="L3" i="5"/>
  <c r="K3" i="5" s="1"/>
  <c r="L6" i="6"/>
  <c r="K6" i="6" s="1"/>
  <c r="L5" i="6"/>
  <c r="K5" i="6" s="1"/>
  <c r="L4" i="6"/>
  <c r="K4" i="6" s="1"/>
  <c r="L7" i="7"/>
  <c r="K7" i="7" s="1"/>
  <c r="L5" i="7"/>
  <c r="K5" i="7" s="1"/>
  <c r="L4" i="7"/>
  <c r="K4" i="7" s="1"/>
  <c r="L6" i="8"/>
  <c r="K6" i="8" s="1"/>
  <c r="L5" i="9"/>
  <c r="K5" i="9" s="1"/>
  <c r="L3" i="6"/>
  <c r="K3" i="6" s="1"/>
  <c r="L3" i="3"/>
  <c r="L6" i="3"/>
  <c r="K6" i="3" s="1"/>
  <c r="L6" i="4" l="1"/>
  <c r="K6" i="4" s="1"/>
  <c r="L7" i="4"/>
  <c r="K7" i="4" s="1"/>
  <c r="L3" i="4"/>
  <c r="K3" i="4" s="1"/>
  <c r="L6" i="5"/>
  <c r="K6" i="5" s="1"/>
  <c r="K3" i="3"/>
  <c r="L3" i="7"/>
  <c r="K3" i="7" s="1"/>
  <c r="L3" i="8"/>
  <c r="K3" i="8" s="1"/>
  <c r="L5" i="1"/>
  <c r="K5" i="1" s="1"/>
  <c r="L6" i="1"/>
  <c r="K6" i="1" s="1"/>
  <c r="L3" i="1"/>
  <c r="K3" i="1" s="1"/>
  <c r="L4" i="1"/>
  <c r="K4" i="1" s="1"/>
  <c r="L5" i="3"/>
  <c r="K5" i="3" s="1"/>
  <c r="L4" i="3"/>
  <c r="K4" i="3" s="1"/>
  <c r="L6" i="2"/>
  <c r="K6" i="2" s="1"/>
  <c r="L3" i="2"/>
  <c r="K3" i="2" s="1"/>
  <c r="L4" i="2"/>
  <c r="K4" i="2" s="1"/>
  <c r="L5" i="2"/>
  <c r="K5" i="2" s="1"/>
  <c r="L9" i="6"/>
  <c r="L8" i="9"/>
  <c r="L7" i="2"/>
  <c r="K7" i="2" s="1"/>
  <c r="L9" i="4" l="1"/>
  <c r="L22" i="6" s="1"/>
  <c r="K22" i="6" s="1"/>
  <c r="L9" i="5"/>
  <c r="L21" i="4" s="1"/>
  <c r="K21" i="4" s="1"/>
  <c r="L9" i="3"/>
  <c r="L9" i="7"/>
  <c r="L19" i="8" s="1"/>
  <c r="K19" i="8" s="1"/>
  <c r="L9" i="8"/>
  <c r="L9" i="1"/>
  <c r="L14" i="5" s="1"/>
  <c r="K14" i="5" s="1"/>
  <c r="K9" i="6"/>
  <c r="K9" i="9"/>
  <c r="L9" i="2"/>
  <c r="K9" i="4"/>
  <c r="L22" i="7"/>
  <c r="K22" i="7" s="1"/>
  <c r="L22" i="8"/>
  <c r="K22" i="8" s="1"/>
  <c r="L22" i="9"/>
  <c r="K22" i="9" s="1"/>
  <c r="L22" i="1"/>
  <c r="K22" i="1" s="1"/>
  <c r="L22" i="4"/>
  <c r="K22" i="4" s="1"/>
  <c r="L20" i="4"/>
  <c r="K20" i="4" s="1"/>
  <c r="L20" i="5"/>
  <c r="K20" i="5" s="1"/>
  <c r="L20" i="7"/>
  <c r="K20" i="7" s="1"/>
  <c r="L20" i="8"/>
  <c r="K20" i="8" s="1"/>
  <c r="L20" i="9"/>
  <c r="K20" i="9" s="1"/>
  <c r="L20" i="3"/>
  <c r="K20" i="3" s="1"/>
  <c r="L20" i="2"/>
  <c r="K20" i="2" s="1"/>
  <c r="L20" i="1"/>
  <c r="K20" i="1" s="1"/>
  <c r="L20" i="6"/>
  <c r="K20" i="6" s="1"/>
  <c r="L17" i="4"/>
  <c r="K17" i="4" s="1"/>
  <c r="L17" i="5"/>
  <c r="K17" i="5" s="1"/>
  <c r="L17" i="6"/>
  <c r="K17" i="6" s="1"/>
  <c r="L17" i="7"/>
  <c r="K17" i="7" s="1"/>
  <c r="L17" i="8"/>
  <c r="K17" i="8" s="1"/>
  <c r="L17" i="3"/>
  <c r="K17" i="3" s="1"/>
  <c r="L17" i="2"/>
  <c r="K17" i="2" s="1"/>
  <c r="L17" i="1"/>
  <c r="K17" i="1" s="1"/>
  <c r="L17" i="9"/>
  <c r="K17" i="9" s="1"/>
  <c r="L22" i="2" l="1"/>
  <c r="K22" i="2" s="1"/>
  <c r="L22" i="5"/>
  <c r="K22" i="5" s="1"/>
  <c r="L21" i="7"/>
  <c r="K21" i="7" s="1"/>
  <c r="L22" i="3"/>
  <c r="K22" i="3" s="1"/>
  <c r="L21" i="1"/>
  <c r="K21" i="1" s="1"/>
  <c r="L21" i="3"/>
  <c r="K21" i="3" s="1"/>
  <c r="L21" i="2"/>
  <c r="K21" i="2" s="1"/>
  <c r="L21" i="6"/>
  <c r="K21" i="6" s="1"/>
  <c r="L21" i="8"/>
  <c r="K21" i="8" s="1"/>
  <c r="K9" i="5"/>
  <c r="L21" i="5"/>
  <c r="K21" i="5" s="1"/>
  <c r="L21" i="9"/>
  <c r="K21" i="9" s="1"/>
  <c r="L16" i="9"/>
  <c r="K16" i="9" s="1"/>
  <c r="L15" i="4"/>
  <c r="K15" i="4" s="1"/>
  <c r="L19" i="4"/>
  <c r="K19" i="4" s="1"/>
  <c r="L19" i="1"/>
  <c r="K19" i="1" s="1"/>
  <c r="L18" i="6"/>
  <c r="K18" i="6" s="1"/>
  <c r="K9" i="8"/>
  <c r="L18" i="1"/>
  <c r="K18" i="1" s="1"/>
  <c r="L14" i="1"/>
  <c r="K14" i="1" s="1"/>
  <c r="L14" i="7"/>
  <c r="K14" i="7" s="1"/>
  <c r="L19" i="2"/>
  <c r="K19" i="2" s="1"/>
  <c r="L19" i="6"/>
  <c r="K19" i="6" s="1"/>
  <c r="L19" i="3"/>
  <c r="K19" i="3" s="1"/>
  <c r="L19" i="5"/>
  <c r="K19" i="5" s="1"/>
  <c r="K9" i="7"/>
  <c r="L19" i="7"/>
  <c r="K19" i="7" s="1"/>
  <c r="L19" i="9"/>
  <c r="K19" i="9" s="1"/>
  <c r="L18" i="2"/>
  <c r="K18" i="2" s="1"/>
  <c r="L18" i="7"/>
  <c r="K18" i="7" s="1"/>
  <c r="L18" i="3"/>
  <c r="K18" i="3" s="1"/>
  <c r="L18" i="5"/>
  <c r="K18" i="5" s="1"/>
  <c r="L18" i="8"/>
  <c r="K18" i="8" s="1"/>
  <c r="L18" i="9"/>
  <c r="K18" i="9" s="1"/>
  <c r="L18" i="4"/>
  <c r="K18" i="4" s="1"/>
  <c r="L15" i="7"/>
  <c r="K15" i="7" s="1"/>
  <c r="L15" i="3"/>
  <c r="K15" i="3" s="1"/>
  <c r="L15" i="5"/>
  <c r="K15" i="5" s="1"/>
  <c r="L15" i="9"/>
  <c r="K15" i="9" s="1"/>
  <c r="L15" i="1"/>
  <c r="K15" i="1" s="1"/>
  <c r="L15" i="6"/>
  <c r="K15" i="6" s="1"/>
  <c r="L16" i="7"/>
  <c r="K16" i="7" s="1"/>
  <c r="L16" i="1"/>
  <c r="K16" i="1" s="1"/>
  <c r="L15" i="2"/>
  <c r="K15" i="2" s="1"/>
  <c r="L15" i="8"/>
  <c r="K15" i="8" s="1"/>
  <c r="L14" i="4"/>
  <c r="K14" i="4" s="1"/>
  <c r="L14" i="2"/>
  <c r="K14" i="2" s="1"/>
  <c r="L14" i="8"/>
  <c r="K14" i="8" s="1"/>
  <c r="L14" i="3"/>
  <c r="K14" i="3" s="1"/>
  <c r="L14" i="6"/>
  <c r="K14" i="6" s="1"/>
  <c r="K9" i="1"/>
  <c r="L14" i="9"/>
  <c r="K14" i="9" s="1"/>
  <c r="K9" i="3"/>
  <c r="L16" i="2"/>
  <c r="K16" i="2" s="1"/>
  <c r="L16" i="6"/>
  <c r="K16" i="6" s="1"/>
  <c r="L16" i="5"/>
  <c r="K16" i="5" s="1"/>
  <c r="L16" i="3"/>
  <c r="K16" i="3" s="1"/>
  <c r="L16" i="8"/>
  <c r="K16" i="8" s="1"/>
  <c r="L16" i="4"/>
  <c r="K16" i="4" s="1"/>
  <c r="K9" i="2"/>
  <c r="L10" i="3" l="1"/>
  <c r="K10" i="3" s="1"/>
  <c r="L10" i="4"/>
  <c r="K10" i="4" s="1"/>
  <c r="L10" i="7"/>
  <c r="K10" i="7" s="1"/>
  <c r="L10" i="1"/>
  <c r="K10" i="1" s="1"/>
  <c r="L10" i="5"/>
  <c r="K10" i="5" s="1"/>
  <c r="L10" i="8"/>
  <c r="K10" i="8" s="1"/>
  <c r="L10" i="9"/>
  <c r="K10" i="9" s="1"/>
  <c r="L10" i="6"/>
  <c r="K10" i="6" s="1"/>
  <c r="L10" i="2"/>
  <c r="K10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FF39A5-5A15-4431-B2E7-1978C069D365}" keepAlive="1" name="Requête - Delta hebdomadaire" description="Connexion à la requête « Delta hebdomadaire » dans le classeur." type="5" refreshedVersion="8" background="1" saveData="1">
    <dbPr connection="Provider=Microsoft.Mashup.OleDb.1;Data Source=$Workbook$;Location=&quot;Delta hebdomadaire&quot;;Extended Properties=&quot;&quot;" command="SELECT * FROM [Delta hebdomadaire]"/>
  </connection>
  <connection id="2" xr16:uid="{0897D1E0-88A5-4661-8A2C-E1DD641E12DB}" keepAlive="1" name="Requête - Delta hebdomadaire (2)" description="Connexion à la requête « Delta hebdomadaire (2) » dans le classeur." type="5" refreshedVersion="8" background="1" saveData="1">
    <dbPr connection="Provider=Microsoft.Mashup.OleDb.1;Data Source=$Workbook$;Location=&quot;Delta hebdomadaire (2)&quot;;Extended Properties=&quot;&quot;" command="SELECT * FROM [Delta hebdomadaire (2)]"/>
  </connection>
  <connection id="3" xr16:uid="{A80C7D68-16F8-4933-BA91-FA1199BAA5BB}" keepAlive="1" name="Requête - Delta mensuel" description="Connexion à la requête « Delta mensuel » dans le classeur." type="5" refreshedVersion="8" background="1" saveData="1">
    <dbPr connection="Provider=Microsoft.Mashup.OleDb.1;Data Source=$Workbook$;Location=&quot;Delta mensuel&quot;;Extended Properties=&quot;&quot;" command="SELECT * FROM [Delta mensuel]"/>
  </connection>
  <connection id="4" xr16:uid="{CC0EEC92-CD1F-4F58-97E4-E722FB403440}" keepAlive="1" name="Requête - Récap annuel" description="Connexion à la requête « Récap annuel » dans le classeur." type="5" refreshedVersion="0" background="1">
    <dbPr connection="Provider=Microsoft.Mashup.OleDb.1;Data Source=$Workbook$;Location=&quot;Récap annuel&quot;;Extended Properties=&quot;&quot;" command="SELECT * FROM [Récap annuel]"/>
  </connection>
  <connection id="5" xr16:uid="{5A354976-D3CA-4CF6-8124-559A97913A4D}" keepAlive="1" name="Requête - Tableau13" description="Connexion à la requête « Tableau13 » dans le classeur." type="5" refreshedVersion="0" background="1">
    <dbPr connection="Provider=Microsoft.Mashup.OleDb.1;Data Source=$Workbook$;Location=Tableau13;Extended Properties=&quot;&quot;" command="SELECT * FROM [Tableau13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<sst xmlns="http://schemas.openxmlformats.org/spreadsheetml/2006/main" count="654" uniqueCount="44">
  <si>
    <t>Date</t>
  </si>
  <si>
    <t>Arrivée</t>
  </si>
  <si>
    <t>Départ</t>
  </si>
  <si>
    <t>Pause</t>
  </si>
  <si>
    <t>Temps travail</t>
  </si>
  <si>
    <t>Delta (h)</t>
  </si>
  <si>
    <t>Semaine</t>
  </si>
  <si>
    <t>Delta total (h)</t>
  </si>
  <si>
    <t>Total mois</t>
  </si>
  <si>
    <t>Total année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</si>
  <si>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</si>
  <si>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</si>
  <si>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</si>
  <si>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</si>
  <si>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</si>
  <si>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</si>
  <si>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</si>
  <si>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</si>
  <si>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</si>
  <si>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Recup</t>
  </si>
  <si>
    <t>Delta (d)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</si>
  <si>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</si>
  <si>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</si>
  <si>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</si>
  <si>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</si>
  <si>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</si>
  <si>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</si>
  <si>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</si>
  <si>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</si>
  <si>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</si>
  <si>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général</t>
  </si>
  <si>
    <t>Année</t>
  </si>
  <si>
    <t>Mois</t>
  </si>
  <si>
    <t>janvier</t>
  </si>
  <si>
    <t>février</t>
  </si>
  <si>
    <t>Delta Mensuel (h)</t>
  </si>
  <si>
    <t>Total 2025</t>
  </si>
  <si>
    <t>Total 2026</t>
  </si>
  <si>
    <t>Delta Mensuel (d)</t>
  </si>
  <si>
    <t>Delta Hebdo. (h)</t>
  </si>
  <si>
    <t>DeltaHebdo.  (d)</t>
  </si>
  <si>
    <t>Delta mensuel (h)</t>
  </si>
  <si>
    <t>Delta hebdo (d)</t>
  </si>
  <si>
    <t>utiliser ctrl+B pour afficher les listes déroulantes pour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</si>
</sst>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400]h:mm:ss\ AM/PM"/>
    <numFmt numFmtId="165" formatCode="h:mm;@"/>
    <numFmt numFmtId="166" formatCode="0.000"/>
    <numFmt numFmtId="167" formatCode="0.0000"/>
    <numFmt numFmtId="168" formatCode="#,##0.0000"/>
  </numFmts>
  <fonts count="12" x14ac:knownFonts="1">
    <font>
      <sz val="11"/>
      <color theme="1"/>
      <name val="Aptos Narrow"/>
      <family val="2"/>
      <scheme val="minor"/>
    </font>
    <font>
      <sz val="9"/>
      <color rgb="FF666666"/>
      <name val="Arial"/>
      <charset val="1"/>
    </font>
    <font>
      <sz val="11"/>
      <color rgb="FF000000"/>
      <name val="Aptos Narrow"/>
      <charset val="1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FF00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rial"/>
      <family val="2"/>
    </font>
    <font>
      <sz val="10"/>
      <color rgb="FF666666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4506668294322"/>
      </bottom>
      <diagonal/>
    </border>
    <border>
      <left/>
      <right/>
      <top style="thin">
        <color theme="4" tint="0.39994506668294322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2">
    <xf numFmtId="0" fontId="0" fillId="0" borderId="0" xfId="0"/>
    <xf numFmtId="14" fontId="0" fillId="0" borderId="0" xfId="0" applyNumberFormat="1"/>
    <xf numFmtId="164" fontId="0" fillId="0" borderId="0" xfId="0" applyNumberFormat="1"/>
    <xf numFmtId="20" fontId="1" fillId="0" borderId="0" xfId="0" applyNumberFormat="1" applyFont="1"/>
    <xf numFmtId="20" fontId="0" fillId="0" borderId="0" xfId="0" applyNumberFormat="1"/>
    <xf numFmtId="20" fontId="2" fillId="0" borderId="0" xfId="0" applyNumberFormat="1" applyFont="1"/>
    <xf numFmtId="14" fontId="0" fillId="2" borderId="0" xfId="0" applyNumberFormat="1" applyFill="1"/>
    <xf numFmtId="164" fontId="0" fillId="2" borderId="0" xfId="0" applyNumberFormat="1" applyFill="1"/>
    <xf numFmtId="0" fontId="3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64" fontId="0" fillId="3" borderId="0" xfId="0" applyNumberFormat="1" applyFill="1" applyAlignment="1">
      <alignment horizontal="right"/>
    </xf>
    <xf numFmtId="20" fontId="1" fillId="2" borderId="0" xfId="0" applyNumberFormat="1" applyFont="1" applyFill="1" applyAlignment="1">
      <alignment wrapText="1"/>
    </xf>
    <xf numFmtId="165" fontId="0" fillId="2" borderId="0" xfId="0" applyNumberFormat="1" applyFill="1"/>
    <xf numFmtId="165" fontId="0" fillId="0" borderId="0" xfId="0" applyNumberFormat="1"/>
    <xf numFmtId="0" fontId="0" fillId="2" borderId="0" xfId="0" applyFill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164" fontId="5" fillId="0" borderId="0" xfId="0" applyNumberFormat="1" applyFont="1"/>
    <xf numFmtId="165" fontId="5" fillId="0" borderId="0" xfId="0" applyNumberFormat="1" applyFont="1"/>
    <xf numFmtId="0" fontId="5" fillId="0" borderId="0" xfId="0" applyFont="1" applyAlignment="1">
      <alignment horizontal="right"/>
    </xf>
    <xf numFmtId="0" fontId="5" fillId="0" borderId="0" xfId="0" applyFont="1"/>
    <xf numFmtId="0" fontId="0" fillId="0" borderId="0" xfId="0" quotePrefix="1"/>
    <xf numFmtId="2" fontId="0" fillId="0" borderId="0" xfId="0" applyNumberFormat="1"/>
    <xf numFmtId="14" fontId="3" fillId="3" borderId="0" xfId="0" applyNumberFormat="1" applyFont="1" applyFill="1"/>
    <xf numFmtId="14" fontId="0" fillId="4" borderId="0" xfId="0" applyNumberFormat="1" applyFill="1"/>
    <xf numFmtId="20" fontId="1" fillId="4" borderId="0" xfId="0" applyNumberFormat="1" applyFont="1" applyFill="1"/>
    <xf numFmtId="20" fontId="2" fillId="4" borderId="0" xfId="0" applyNumberFormat="1" applyFont="1" applyFill="1"/>
    <xf numFmtId="165" fontId="0" fillId="4" borderId="0" xfId="0" applyNumberFormat="1" applyFill="1"/>
    <xf numFmtId="2" fontId="0" fillId="4" borderId="0" xfId="0" applyNumberFormat="1" applyFill="1" applyAlignment="1">
      <alignment horizontal="right"/>
    </xf>
    <xf numFmtId="164" fontId="0" fillId="4" borderId="0" xfId="0" applyNumberFormat="1" applyFill="1"/>
    <xf numFmtId="20" fontId="1" fillId="2" borderId="0" xfId="0" applyNumberFormat="1" applyFont="1" applyFill="1"/>
    <xf numFmtId="0" fontId="4" fillId="5" borderId="0" xfId="0" applyFont="1" applyFill="1"/>
    <xf numFmtId="164" fontId="0" fillId="5" borderId="0" xfId="0" applyNumberFormat="1" applyFill="1" applyAlignment="1">
      <alignment horizontal="right"/>
    </xf>
    <xf numFmtId="14" fontId="3" fillId="6" borderId="0" xfId="0" applyNumberFormat="1" applyFont="1" applyFill="1"/>
    <xf numFmtId="164" fontId="0" fillId="6" borderId="0" xfId="0" applyNumberFormat="1" applyFill="1" applyAlignment="1">
      <alignment horizontal="right"/>
    </xf>
    <xf numFmtId="14" fontId="3" fillId="0" borderId="0" xfId="0" applyNumberFormat="1" applyFont="1"/>
    <xf numFmtId="0" fontId="4" fillId="6" borderId="0" xfId="0" applyFont="1" applyFill="1"/>
    <xf numFmtId="14" fontId="3" fillId="2" borderId="0" xfId="0" applyNumberFormat="1" applyFont="1" applyFill="1"/>
    <xf numFmtId="164" fontId="0" fillId="2" borderId="0" xfId="0" applyNumberFormat="1" applyFill="1" applyAlignment="1">
      <alignment horizontal="right"/>
    </xf>
    <xf numFmtId="165" fontId="0" fillId="0" borderId="0" xfId="0" applyNumberFormat="1" applyAlignment="1">
      <alignment horizontal="right"/>
    </xf>
    <xf numFmtId="166" fontId="0" fillId="0" borderId="0" xfId="0" applyNumberFormat="1"/>
    <xf numFmtId="20" fontId="1" fillId="0" borderId="0" xfId="0" applyNumberFormat="1" applyFont="1" applyAlignment="1">
      <alignment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right" indent="1"/>
    </xf>
    <xf numFmtId="168" fontId="0" fillId="0" borderId="0" xfId="0" applyNumberFormat="1" applyAlignment="1">
      <alignment horizontal="right" indent="1"/>
    </xf>
    <xf numFmtId="0" fontId="0" fillId="0" borderId="0" xfId="0" pivotButton="1"/>
    <xf numFmtId="0" fontId="6" fillId="7" borderId="1" xfId="0" applyFont="1" applyFill="1" applyBorder="1" applyAlignment="1">
      <alignment horizontal="left" indent="1"/>
    </xf>
    <xf numFmtId="20" fontId="0" fillId="8" borderId="2" xfId="0" applyNumberFormat="1" applyFill="1" applyBorder="1" applyAlignment="1">
      <alignment horizontal="left" indent="1"/>
    </xf>
    <xf numFmtId="20" fontId="0" fillId="8" borderId="3" xfId="0" applyNumberFormat="1" applyFill="1" applyBorder="1" applyAlignment="1">
      <alignment horizontal="left" indent="1"/>
    </xf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0" xfId="0" pivotButton="1" applyAlignment="1">
      <alignment horizontal="center"/>
    </xf>
    <xf numFmtId="14" fontId="8" fillId="2" borderId="0" xfId="0" applyNumberFormat="1" applyFont="1" applyFill="1"/>
    <xf numFmtId="164" fontId="8" fillId="2" borderId="0" xfId="0" applyNumberFormat="1" applyFont="1" applyFill="1"/>
    <xf numFmtId="165" fontId="8" fillId="2" borderId="0" xfId="0" applyNumberFormat="1" applyFont="1" applyFill="1"/>
    <xf numFmtId="0" fontId="8" fillId="2" borderId="0" xfId="0" applyFont="1" applyFill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 indent="1"/>
    </xf>
    <xf numFmtId="14" fontId="8" fillId="0" borderId="0" xfId="0" applyNumberFormat="1" applyFont="1"/>
    <xf numFmtId="20" fontId="9" fillId="0" borderId="0" xfId="0" applyNumberFormat="1" applyFont="1"/>
    <xf numFmtId="20" fontId="8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right"/>
    </xf>
    <xf numFmtId="166" fontId="8" fillId="0" borderId="0" xfId="0" applyNumberFormat="1" applyFont="1"/>
    <xf numFmtId="20" fontId="10" fillId="0" borderId="0" xfId="0" applyNumberFormat="1" applyFont="1"/>
    <xf numFmtId="0" fontId="8" fillId="0" borderId="0" xfId="0" applyFont="1" applyAlignment="1">
      <alignment horizontal="center"/>
    </xf>
    <xf numFmtId="165" fontId="8" fillId="0" borderId="0" xfId="0" applyNumberFormat="1" applyFont="1" applyAlignment="1">
      <alignment horizontal="right" indent="1"/>
    </xf>
    <xf numFmtId="168" fontId="8" fillId="0" borderId="0" xfId="0" applyNumberFormat="1" applyFont="1" applyAlignment="1">
      <alignment horizontal="right" indent="1"/>
    </xf>
    <xf numFmtId="164" fontId="8" fillId="0" borderId="0" xfId="0" applyNumberFormat="1" applyFont="1"/>
    <xf numFmtId="20" fontId="9" fillId="0" borderId="0" xfId="0" applyNumberFormat="1" applyFont="1" applyAlignment="1">
      <alignment wrapText="1"/>
    </xf>
    <xf numFmtId="167" fontId="8" fillId="0" borderId="0" xfId="0" applyNumberFormat="1" applyFont="1" applyAlignment="1">
      <alignment horizontal="right" indent="1"/>
    </xf>
    <xf numFmtId="164" fontId="11" fillId="0" borderId="0" xfId="0" applyNumberFormat="1" applyFont="1"/>
    <xf numFmtId="165" fontId="11" fillId="0" borderId="0" xfId="0" applyNumberFormat="1" applyFont="1"/>
    <xf numFmtId="0" fontId="11" fillId="0" borderId="0" xfId="0" applyFont="1" applyAlignment="1">
      <alignment horizontal="right"/>
    </xf>
    <xf numFmtId="0" fontId="11" fillId="0" borderId="0" xfId="0" applyFont="1"/>
    <xf numFmtId="0" fontId="8" fillId="0" borderId="0" xfId="0" applyFont="1" applyAlignment="1">
      <alignment horizontal="right"/>
    </xf>
    <xf numFmtId="0" fontId="8" fillId="0" borderId="0" xfId="0" pivotButton="1" applyFont="1"/>
    <xf numFmtId="0" fontId="8" fillId="0" borderId="0" xfId="0" pivotButton="1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NumberFormat="1"/>
    <xf numFmtId="167" fontId="0" fillId="0" borderId="0" xfId="0" applyNumberFormat="1"/>
    <xf numFmtId="0" fontId="0" fillId="0" borderId="0" xfId="0" applyNumberFormat="1" applyAlignment="1">
      <alignment horizontal="left" indent="1"/>
    </xf>
    <xf numFmtId="0" fontId="6" fillId="7" borderId="4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left" indent="1"/>
    </xf>
    <xf numFmtId="0" fontId="6" fillId="7" borderId="5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0" fontId="0" fillId="0" borderId="0" xfId="0" applyNumberFormat="1" applyAlignment="1">
      <alignment horizontal="left" indent="2"/>
    </xf>
    <xf numFmtId="0" fontId="0" fillId="4" borderId="0" xfId="0" applyFill="1" applyAlignment="1">
      <alignment horizontal="centerContinuous"/>
    </xf>
  </cellXfs>
  <cellStyles count="1">
    <cellStyle name="Normal" xfId="0" builtinId="0"/>
  </cellStyles>
  <dxfs count="44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"/>
      <alignment horizontal="right" vertical="bottom" textRotation="0" wrapText="0" indent="1" justifyLastLine="0" shrinkToFit="0" readingOrder="0"/>
    </dxf>
    <dxf>
      <numFmt numFmtId="165" formatCode="h:mm;@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2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0.0000"/>
      <alignment horizontal="right" vertical="bottom" textRotation="0" wrapText="0" indent="1" justifyLastLine="0" shrinkToFit="0" readingOrder="0"/>
    </dxf>
    <dxf>
      <numFmt numFmtId="165" formatCode="h:mm;@"/>
      <alignment horizontal="righ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[$-F400]h:mm:ss\ AM/PM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6" formatCode="0.0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25" formatCode="hh:mm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[$-F400]h:mm:ss\ AM/PM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[$-F400]h:mm:ss\ AM/PM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6" formatCode="0.0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5" formatCode="h:mm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25" formatCode="hh:mm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[$-F400]h:mm:ss\ AM/PM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[$-F400]h:mm:ss\ AM/PM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font>
        <name val="Arial"/>
        <family val="2"/>
        <scheme val="none"/>
      </font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6" formatCode="0.000"/>
    </dxf>
    <dxf>
      <numFmt numFmtId="165" formatCode="h:mm;@"/>
      <alignment horizontal="right" vertical="bottom" textRotation="0" wrapText="0" indent="0" justifyLastLine="0" shrinkToFit="0" readingOrder="0"/>
    </dxf>
    <dxf>
      <numFmt numFmtId="165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charset val="1"/>
        <scheme val="none"/>
      </font>
      <numFmt numFmtId="25" formatCode="hh:mm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numFmt numFmtId="166" formatCode="0.000"/>
    </dxf>
    <dxf>
      <numFmt numFmtId="165" formatCode="h:mm;@"/>
      <alignment horizontal="right" vertical="bottom" textRotation="0" wrapText="0" indent="0" justifyLastLine="0" shrinkToFit="0" readingOrder="0"/>
    </dxf>
    <dxf>
      <numFmt numFmtId="165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charset val="1"/>
        <scheme val="none"/>
      </font>
      <numFmt numFmtId="25" formatCode="hh:mm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numFmt numFmtId="166" formatCode="0.000"/>
    </dxf>
    <dxf>
      <numFmt numFmtId="165" formatCode="h:mm;@"/>
      <alignment horizontal="right" vertical="bottom" textRotation="0" wrapText="0" indent="0" justifyLastLine="0" shrinkToFit="0" readingOrder="0"/>
    </dxf>
    <dxf>
      <numFmt numFmtId="165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charset val="1"/>
        <scheme val="none"/>
      </font>
      <numFmt numFmtId="25" formatCode="hh:mm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numFmt numFmtId="166" formatCode="0.000"/>
    </dxf>
    <dxf>
      <numFmt numFmtId="165" formatCode="h:mm;@"/>
      <alignment horizontal="right" vertical="bottom" textRotation="0" wrapText="0" indent="0" justifyLastLine="0" shrinkToFit="0" readingOrder="0"/>
    </dxf>
    <dxf>
      <numFmt numFmtId="165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charset val="1"/>
        <scheme val="none"/>
      </font>
      <numFmt numFmtId="25" formatCode="hh:mm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fill>
        <patternFill patternType="none">
          <fgColor indexed="64"/>
          <bgColor auto="1"/>
        </patternFill>
      </fill>
    </dxf>
    <dxf>
      <numFmt numFmtId="166" formatCode="0.000"/>
      <fill>
        <patternFill patternType="none">
          <fgColor indexed="64"/>
          <bgColor auto="1"/>
        </patternFill>
      </fill>
    </dxf>
    <dxf>
      <numFmt numFmtId="165" formatCode="h:mm;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numFmt numFmtId="165" formatCode="h:mm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charset val="1"/>
        <scheme val="none"/>
      </font>
      <numFmt numFmtId="25" formatCode="hh:mm"/>
      <fill>
        <patternFill patternType="none">
          <fgColor indexed="64"/>
          <bgColor auto="1"/>
        </patternFill>
      </fill>
    </dxf>
    <dxf>
      <numFmt numFmtId="164" formatCode="[$-F400]h:mm:ss\ AM/PM"/>
      <fill>
        <patternFill patternType="none">
          <fgColor indexed="64"/>
          <bgColor auto="1"/>
        </patternFill>
      </fill>
    </dxf>
    <dxf>
      <numFmt numFmtId="164" formatCode="[$-F400]h:mm:ss\ AM/PM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numFmt numFmtId="166" formatCode="0.000"/>
    </dxf>
    <dxf>
      <numFmt numFmtId="165" formatCode="h:mm;@"/>
      <alignment horizontal="right" vertical="bottom" textRotation="0" wrapText="0" indent="0" justifyLastLine="0" shrinkToFit="0" readingOrder="0"/>
    </dxf>
    <dxf>
      <numFmt numFmtId="165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charset val="1"/>
        <scheme val="none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666666"/>
        <name val="Arial"/>
        <charset val="1"/>
        <scheme val="none"/>
      </font>
      <numFmt numFmtId="25" formatCode="hh:mm"/>
    </dxf>
    <dxf>
      <numFmt numFmtId="164" formatCode="[$-F400]h:mm:ss\ AM/PM"/>
    </dxf>
    <dxf>
      <numFmt numFmtId="19" formatCode="dd/mm/yyyy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numFmt numFmtId="166" formatCode="0.000"/>
    </dxf>
    <dxf>
      <numFmt numFmtId="165" formatCode="h:mm;@"/>
      <alignment horizontal="right" vertical="bottom" textRotation="0" wrapText="0" indent="0" justifyLastLine="0" shrinkToFit="0" readingOrder="0"/>
    </dxf>
    <dxf>
      <numFmt numFmtId="165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charset val="1"/>
        <scheme val="none"/>
      </font>
      <numFmt numFmtId="25" formatCode="hh:mm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numFmt numFmtId="166" formatCode="0.000"/>
    </dxf>
    <dxf>
      <numFmt numFmtId="165" formatCode="h:mm;@"/>
      <alignment horizontal="right" vertical="bottom" textRotation="0" wrapText="0" indent="0" justifyLastLine="0" shrinkToFit="0" readingOrder="0"/>
    </dxf>
    <dxf>
      <numFmt numFmtId="165" formatCode="h:mm;@"/>
    </dxf>
    <dxf>
      <numFmt numFmtId="25" formatCode="hh:mm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numFmt numFmtId="166" formatCode="0.000"/>
    </dxf>
    <dxf>
      <numFmt numFmtId="165" formatCode="h:mm;@"/>
      <alignment horizontal="right" vertical="bottom" textRotation="0" wrapText="0" indent="0" justifyLastLine="0" shrinkToFit="0" readingOrder="0"/>
    </dxf>
    <dxf>
      <numFmt numFmtId="165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charset val="1"/>
        <scheme val="none"/>
      </font>
      <numFmt numFmtId="25" formatCode="hh:mm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numFmt numFmtId="165" formatCode="h:mm;@"/>
    </dxf>
    <dxf>
      <alignment horizontal="center"/>
    </dxf>
    <dxf>
      <alignment horizontal="center"/>
    </dxf>
    <dxf>
      <alignment relativeIndent="1"/>
    </dxf>
    <dxf>
      <alignment relativeIndent="1"/>
    </dxf>
    <dxf>
      <alignment horizontal="right"/>
    </dxf>
    <dxf>
      <alignment horizontal="right"/>
    </dxf>
    <dxf>
      <alignment relativeIndent="1"/>
    </dxf>
    <dxf>
      <alignment relativeIndent="1"/>
    </dxf>
    <dxf>
      <alignment horizontal="right"/>
    </dxf>
    <dxf>
      <alignment horizontal="right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Relationship Id="rId22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6030.472842592593" createdVersion="8" refreshedVersion="8" minRefreshableVersion="3" recordCount="11" xr:uid="{DE5A7829-5CE4-42CD-A915-DF65740E6453}">
  <cacheSource type="worksheet">
    <worksheetSource name="Delta_mensuel"/>
  </cacheSource>
  <cacheFields count="4">
    <cacheField name="Année" numFmtId="0">
      <sharedItems containsSemiMixedTypes="0" containsString="0" containsNumber="1" containsInteger="1" minValue="2025" maxValue="2026" count="2">
        <n v="2025"/>
        <n v="2026"/>
      </sharedItems>
    </cacheField>
    <cacheField name="Mois" numFmtId="0">
      <sharedItems count="11">
        <s v="avril"/>
        <s v="mai"/>
        <s v="juin"/>
        <s v="juillet"/>
        <s v="août"/>
        <s v="septembre"/>
        <s v="octobre"/>
        <s v="novembre"/>
        <s v="décembre"/>
        <s v="janvier"/>
        <s v="février"/>
      </sharedItems>
    </cacheField>
    <cacheField name="Delta (h)" numFmtId="165">
      <sharedItems containsSemiMixedTypes="0" containsNonDate="0" containsDate="1" containsString="0" minDate="1899-12-30T00:00:00" maxDate="1899-12-30T19:54:00"/>
    </cacheField>
    <cacheField name="Delta (d)" numFmtId="167">
      <sharedItems containsSemiMixedTypes="0" containsString="0" containsNumber="1" minValue="0" maxValue="19.899999999999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6030.47284328704" createdVersion="8" refreshedVersion="8" minRefreshableVersion="3" recordCount="56" xr:uid="{966A0FF5-EE7B-47FF-B077-C144B2DCB729}">
  <cacheSource type="worksheet">
    <worksheetSource name="Delta_hebdomadaire"/>
  </cacheSource>
  <cacheFields count="5">
    <cacheField name="Année" numFmtId="0">
      <sharedItems containsSemiMixedTypes="0" containsString="0" containsNumber="1" containsInteger="1" minValue="2025" maxValue="2026" count="2">
        <n v="2025"/>
        <n v="2026"/>
      </sharedItems>
    </cacheField>
    <cacheField name="Mois" numFmtId="0">
      <sharedItems count="11">
        <s v="avril"/>
        <s v="mai"/>
        <s v="juin"/>
        <s v="juillet"/>
        <s v="août"/>
        <s v="septembre"/>
        <s v="octobre"/>
        <s v="novembre"/>
        <s v="décembre"/>
        <s v="janvier"/>
        <s v="février"/>
      </sharedItems>
    </cacheField>
    <cacheField name="Semaine" numFmtId="0">
      <sharedItems containsSemiMixedTypes="0" containsString="0" containsNumber="1" containsInteger="1" minValue="1" maxValue="53" count="49"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1"/>
        <n v="2"/>
        <n v="3"/>
        <n v="4"/>
        <n v="5"/>
        <n v="6"/>
        <n v="7"/>
        <n v="8"/>
        <n v="9"/>
      </sharedItems>
    </cacheField>
    <cacheField name="Delta (h)" numFmtId="165">
      <sharedItems containsSemiMixedTypes="0" containsNonDate="0" containsDate="1" containsString="0" minDate="1899-12-30T00:00:00" maxDate="1899-12-30T06:29:00"/>
    </cacheField>
    <cacheField name="Delta (d)" numFmtId="167">
      <sharedItems containsSemiMixedTypes="0" containsString="0" containsNumber="1" minValue="0" maxValue="6.48333333333333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6030.478141550928" createdVersion="8" refreshedVersion="8" minRefreshableVersion="3" recordCount="56" xr:uid="{8B04139A-E713-427B-A439-472B0A2B0C2C}">
  <cacheSource type="worksheet">
    <worksheetSource name="Delta_hebdomadaire__2"/>
  </cacheSource>
  <cacheFields count="5">
    <cacheField name="Année" numFmtId="0">
      <sharedItems containsSemiMixedTypes="0" containsString="0" containsNumber="1" containsInteger="1" minValue="2025" maxValue="2026" count="2">
        <n v="2025"/>
        <n v="2026"/>
      </sharedItems>
    </cacheField>
    <cacheField name="Mois" numFmtId="0">
      <sharedItems count="11">
        <s v="avril"/>
        <s v="mai"/>
        <s v="juin"/>
        <s v="juillet"/>
        <s v="août"/>
        <s v="septembre"/>
        <s v="octobre"/>
        <s v="novembre"/>
        <s v="décembre"/>
        <s v="janvier"/>
        <s v="février"/>
      </sharedItems>
    </cacheField>
    <cacheField name="Semaine" numFmtId="0">
      <sharedItems containsSemiMixedTypes="0" containsString="0" containsNumber="1" containsInteger="1" minValue="1" maxValue="53" count="49"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1"/>
        <n v="2"/>
        <n v="3"/>
        <n v="4"/>
        <n v="5"/>
        <n v="6"/>
        <n v="7"/>
        <n v="8"/>
        <n v="9"/>
      </sharedItems>
    </cacheField>
    <cacheField name="Delta (h)" numFmtId="0">
      <sharedItems containsSemiMixedTypes="0" containsString="0" containsNumber="1" minValue="-0.1875" maxValue="0.27013888888888887"/>
    </cacheField>
    <cacheField name="Delta (d)" numFmtId="0">
      <sharedItems containsSemiMixedTypes="0" containsString="0" containsNumber="1" minValue="-0.1875" maxValue="6.48333333333333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d v="1899-12-30T05:04:00"/>
    <n v="5.0666666666666638"/>
  </r>
  <r>
    <x v="0"/>
    <x v="1"/>
    <d v="1899-12-30T06:39:00"/>
    <n v="6.6499999999999977"/>
  </r>
  <r>
    <x v="0"/>
    <x v="2"/>
    <d v="1899-12-30T08:01:00"/>
    <n v="8.0166666666666551"/>
  </r>
  <r>
    <x v="0"/>
    <x v="3"/>
    <d v="1899-12-30T16:23:00"/>
    <n v="16.383333333333319"/>
  </r>
  <r>
    <x v="0"/>
    <x v="4"/>
    <d v="1899-12-30T15:08:00"/>
    <n v="15.13333333333332"/>
  </r>
  <r>
    <x v="0"/>
    <x v="5"/>
    <d v="1899-12-30T13:21:00"/>
    <n v="13.349999999999985"/>
  </r>
  <r>
    <x v="0"/>
    <x v="6"/>
    <d v="1899-12-30T19:54:00"/>
    <n v="19.899999999999995"/>
  </r>
  <r>
    <x v="0"/>
    <x v="7"/>
    <d v="1899-12-30T10:32:00"/>
    <n v="10.533333333333319"/>
  </r>
  <r>
    <x v="0"/>
    <x v="8"/>
    <d v="1899-12-30T08:59:00"/>
    <n v="8.9833333333333201"/>
  </r>
  <r>
    <x v="1"/>
    <x v="9"/>
    <d v="1899-12-30T02:21:00"/>
    <n v="2.3499999999999979"/>
  </r>
  <r>
    <x v="1"/>
    <x v="10"/>
    <d v="1899-12-30T00:00:0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">
  <r>
    <x v="0"/>
    <x v="0"/>
    <x v="0"/>
    <d v="1899-12-30T00:03:00"/>
    <n v="5.0000000000000711E-2"/>
  </r>
  <r>
    <x v="0"/>
    <x v="0"/>
    <x v="1"/>
    <d v="1899-12-30T01:23:00"/>
    <n v="1.3833333333333337"/>
  </r>
  <r>
    <x v="0"/>
    <x v="0"/>
    <x v="2"/>
    <d v="1899-12-30T01:22:00"/>
    <n v="1.3666666666666671"/>
  </r>
  <r>
    <x v="0"/>
    <x v="0"/>
    <x v="3"/>
    <d v="1899-12-30T01:37:00"/>
    <n v="1.6166666666666618"/>
  </r>
  <r>
    <x v="0"/>
    <x v="0"/>
    <x v="4"/>
    <d v="1899-12-30T00:39:00"/>
    <n v="0.65000000000000036"/>
  </r>
  <r>
    <x v="0"/>
    <x v="1"/>
    <x v="4"/>
    <d v="1899-12-30T00:25:00"/>
    <n v="0.41666666666666607"/>
  </r>
  <r>
    <x v="0"/>
    <x v="1"/>
    <x v="5"/>
    <d v="1899-12-30T02:06:00"/>
    <n v="2.0999999999999979"/>
  </r>
  <r>
    <x v="0"/>
    <x v="1"/>
    <x v="6"/>
    <d v="1899-12-30T01:13:00"/>
    <n v="1.2166666666666677"/>
  </r>
  <r>
    <x v="0"/>
    <x v="1"/>
    <x v="7"/>
    <d v="1899-12-30T02:05:00"/>
    <n v="2.0833333333333304"/>
  </r>
  <r>
    <x v="0"/>
    <x v="1"/>
    <x v="8"/>
    <d v="1899-12-30T00:50:00"/>
    <n v="0.8333333333333357"/>
  </r>
  <r>
    <x v="0"/>
    <x v="2"/>
    <x v="8"/>
    <d v="1899-12-30T00:00:00"/>
    <n v="0"/>
  </r>
  <r>
    <x v="0"/>
    <x v="2"/>
    <x v="9"/>
    <d v="1899-12-30T03:05:00"/>
    <n v="3.0833333333333321"/>
  </r>
  <r>
    <x v="0"/>
    <x v="2"/>
    <x v="10"/>
    <d v="1899-12-30T01:21:00"/>
    <n v="1.3499999999999979"/>
  </r>
  <r>
    <x v="0"/>
    <x v="2"/>
    <x v="11"/>
    <d v="1899-12-30T01:43:00"/>
    <n v="1.716666666666665"/>
  </r>
  <r>
    <x v="0"/>
    <x v="2"/>
    <x v="12"/>
    <d v="1899-12-30T01:20:00"/>
    <n v="1.3333333333333286"/>
  </r>
  <r>
    <x v="0"/>
    <x v="2"/>
    <x v="13"/>
    <d v="1899-12-30T00:32:00"/>
    <n v="0.53333333333333144"/>
  </r>
  <r>
    <x v="0"/>
    <x v="3"/>
    <x v="13"/>
    <d v="1899-12-30T01:34:00"/>
    <n v="1.5666666666666647"/>
  </r>
  <r>
    <x v="0"/>
    <x v="3"/>
    <x v="14"/>
    <d v="1899-12-30T02:04:00"/>
    <n v="2.0666666666666629"/>
  </r>
  <r>
    <x v="0"/>
    <x v="3"/>
    <x v="15"/>
    <d v="1899-12-30T04:48:00"/>
    <n v="4.7999999999999989"/>
  </r>
  <r>
    <x v="0"/>
    <x v="3"/>
    <x v="16"/>
    <d v="1899-12-30T03:36:00"/>
    <n v="3.5999999999999961"/>
  </r>
  <r>
    <x v="0"/>
    <x v="3"/>
    <x v="17"/>
    <d v="1899-12-30T04:21:00"/>
    <n v="4.3499999999999961"/>
  </r>
  <r>
    <x v="0"/>
    <x v="4"/>
    <x v="17"/>
    <d v="1899-12-30T00:00:00"/>
    <n v="0"/>
  </r>
  <r>
    <x v="0"/>
    <x v="4"/>
    <x v="18"/>
    <d v="1899-12-30T04:02:00"/>
    <n v="4.0333333333333297"/>
  </r>
  <r>
    <x v="0"/>
    <x v="4"/>
    <x v="19"/>
    <d v="1899-12-30T04:34:00"/>
    <n v="4.5666666666666647"/>
  </r>
  <r>
    <x v="0"/>
    <x v="4"/>
    <x v="20"/>
    <d v="1899-12-30T03:59:00"/>
    <n v="3.9833333333333325"/>
  </r>
  <r>
    <x v="0"/>
    <x v="4"/>
    <x v="21"/>
    <d v="1899-12-30T02:33:00"/>
    <n v="2.5499999999999936"/>
  </r>
  <r>
    <x v="0"/>
    <x v="5"/>
    <x v="22"/>
    <d v="1899-12-30T02:48:00"/>
    <n v="2.7999999999999972"/>
  </r>
  <r>
    <x v="0"/>
    <x v="5"/>
    <x v="23"/>
    <d v="1899-12-30T03:15:00"/>
    <n v="3.2499999999999973"/>
  </r>
  <r>
    <x v="0"/>
    <x v="5"/>
    <x v="24"/>
    <d v="1899-12-30T03:57:00"/>
    <n v="3.9499999999999993"/>
  </r>
  <r>
    <x v="0"/>
    <x v="5"/>
    <x v="25"/>
    <d v="1899-12-30T02:41:00"/>
    <n v="2.6833333333333282"/>
  </r>
  <r>
    <x v="0"/>
    <x v="5"/>
    <x v="26"/>
    <d v="1899-12-30T00:40:00"/>
    <n v="0.6666666666666643"/>
  </r>
  <r>
    <x v="0"/>
    <x v="6"/>
    <x v="26"/>
    <d v="1899-12-30T01:41:00"/>
    <n v="1.6833333333333309"/>
  </r>
  <r>
    <x v="0"/>
    <x v="6"/>
    <x v="27"/>
    <d v="1899-12-30T01:18:00"/>
    <n v="1.2999999999999998"/>
  </r>
  <r>
    <x v="0"/>
    <x v="6"/>
    <x v="28"/>
    <d v="1899-12-30T04:00:00"/>
    <n v="3.9999999999999973"/>
  </r>
  <r>
    <x v="0"/>
    <x v="6"/>
    <x v="29"/>
    <d v="1899-12-30T06:26:00"/>
    <n v="6.4333333333333318"/>
  </r>
  <r>
    <x v="0"/>
    <x v="6"/>
    <x v="30"/>
    <d v="1899-12-30T06:29:00"/>
    <n v="6.4833333333333343"/>
  </r>
  <r>
    <x v="0"/>
    <x v="7"/>
    <x v="30"/>
    <d v="1899-12-30T00:00:00"/>
    <n v="0"/>
  </r>
  <r>
    <x v="0"/>
    <x v="7"/>
    <x v="31"/>
    <d v="1899-12-30T02:52:00"/>
    <n v="2.8666666666666636"/>
  </r>
  <r>
    <x v="0"/>
    <x v="7"/>
    <x v="32"/>
    <d v="1899-12-30T01:30:00"/>
    <n v="1.4999999999999982"/>
  </r>
  <r>
    <x v="0"/>
    <x v="7"/>
    <x v="33"/>
    <d v="1899-12-30T03:51:00"/>
    <n v="3.8499999999999961"/>
  </r>
  <r>
    <x v="0"/>
    <x v="7"/>
    <x v="34"/>
    <d v="1899-12-30T02:19:00"/>
    <n v="2.3166666666666611"/>
  </r>
  <r>
    <x v="0"/>
    <x v="8"/>
    <x v="35"/>
    <d v="1899-12-30T00:39:00"/>
    <n v="0.65000000000000036"/>
  </r>
  <r>
    <x v="0"/>
    <x v="8"/>
    <x v="36"/>
    <d v="1899-12-30T02:59:00"/>
    <n v="2.983333333333329"/>
  </r>
  <r>
    <x v="0"/>
    <x v="8"/>
    <x v="37"/>
    <d v="1899-12-30T02:21:00"/>
    <n v="2.3499999999999925"/>
  </r>
  <r>
    <x v="0"/>
    <x v="8"/>
    <x v="38"/>
    <d v="1899-12-30T03:00:00"/>
    <n v="2.9999999999999973"/>
  </r>
  <r>
    <x v="0"/>
    <x v="8"/>
    <x v="39"/>
    <d v="1899-12-30T00:00:00"/>
    <n v="0"/>
  </r>
  <r>
    <x v="1"/>
    <x v="9"/>
    <x v="40"/>
    <d v="1899-12-30T00:00:00"/>
    <n v="0"/>
  </r>
  <r>
    <x v="1"/>
    <x v="9"/>
    <x v="41"/>
    <d v="1899-12-30T02:21:00"/>
    <n v="2.3499999999999979"/>
  </r>
  <r>
    <x v="1"/>
    <x v="9"/>
    <x v="42"/>
    <d v="1899-12-30T00:00:00"/>
    <n v="0"/>
  </r>
  <r>
    <x v="1"/>
    <x v="9"/>
    <x v="43"/>
    <d v="1899-12-30T00:00:00"/>
    <n v="0"/>
  </r>
  <r>
    <x v="1"/>
    <x v="9"/>
    <x v="44"/>
    <d v="1899-12-30T00:00:00"/>
    <n v="0"/>
  </r>
  <r>
    <x v="1"/>
    <x v="10"/>
    <x v="44"/>
    <d v="1899-12-30T00:00:00"/>
    <n v="0"/>
  </r>
  <r>
    <x v="1"/>
    <x v="10"/>
    <x v="45"/>
    <d v="1899-12-30T00:00:00"/>
    <n v="0"/>
  </r>
  <r>
    <x v="1"/>
    <x v="10"/>
    <x v="46"/>
    <d v="1899-12-30T00:00:00"/>
    <n v="0"/>
  </r>
  <r>
    <x v="1"/>
    <x v="10"/>
    <x v="47"/>
    <d v="1899-12-30T00:00:00"/>
    <n v="0"/>
  </r>
  <r>
    <x v="1"/>
    <x v="10"/>
    <x v="48"/>
    <d v="1899-12-30T00:00:00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">
  <r>
    <x v="0"/>
    <x v="0"/>
    <x v="0"/>
    <n v="2.0833333333333333E-3"/>
    <n v="5.0000000000000711E-2"/>
  </r>
  <r>
    <x v="0"/>
    <x v="0"/>
    <x v="1"/>
    <n v="5.7638888888888885E-2"/>
    <n v="1.3833333333333337"/>
  </r>
  <r>
    <x v="0"/>
    <x v="0"/>
    <x v="2"/>
    <n v="5.6944444444444443E-2"/>
    <n v="1.3666666666666671"/>
  </r>
  <r>
    <x v="0"/>
    <x v="0"/>
    <x v="3"/>
    <n v="6.7361111111111108E-2"/>
    <n v="1.6166666666666618"/>
  </r>
  <r>
    <x v="0"/>
    <x v="0"/>
    <x v="4"/>
    <n v="2.7083333333333331E-2"/>
    <n v="0.65000000000000036"/>
  </r>
  <r>
    <x v="0"/>
    <x v="1"/>
    <x v="4"/>
    <n v="1.7361111111111112E-2"/>
    <n v="0.41666666666666607"/>
  </r>
  <r>
    <x v="0"/>
    <x v="1"/>
    <x v="5"/>
    <n v="8.7499999999999994E-2"/>
    <n v="2.0999999999999979"/>
  </r>
  <r>
    <x v="0"/>
    <x v="1"/>
    <x v="6"/>
    <n v="5.0694444444444445E-2"/>
    <n v="1.2166666666666677"/>
  </r>
  <r>
    <x v="0"/>
    <x v="1"/>
    <x v="7"/>
    <n v="8.6805555555555552E-2"/>
    <n v="2.0833333333333304"/>
  </r>
  <r>
    <x v="0"/>
    <x v="1"/>
    <x v="8"/>
    <n v="3.4722222222222224E-2"/>
    <n v="0.8333333333333357"/>
  </r>
  <r>
    <x v="0"/>
    <x v="2"/>
    <x v="8"/>
    <n v="0"/>
    <n v="0"/>
  </r>
  <r>
    <x v="0"/>
    <x v="2"/>
    <x v="9"/>
    <n v="0.12847222222222221"/>
    <n v="3.0833333333333321"/>
  </r>
  <r>
    <x v="0"/>
    <x v="2"/>
    <x v="10"/>
    <n v="5.6249999999999994E-2"/>
    <n v="1.3499999999999979"/>
  </r>
  <r>
    <x v="0"/>
    <x v="2"/>
    <x v="11"/>
    <n v="7.1527777777777773E-2"/>
    <n v="1.716666666666665"/>
  </r>
  <r>
    <x v="0"/>
    <x v="2"/>
    <x v="12"/>
    <n v="5.5555555555555552E-2"/>
    <n v="1.3333333333333286"/>
  </r>
  <r>
    <x v="0"/>
    <x v="2"/>
    <x v="13"/>
    <n v="2.222222222222222E-2"/>
    <n v="0.53333333333333144"/>
  </r>
  <r>
    <x v="0"/>
    <x v="3"/>
    <x v="13"/>
    <n v="6.5277777777777782E-2"/>
    <n v="1.5666666666666647"/>
  </r>
  <r>
    <x v="0"/>
    <x v="3"/>
    <x v="14"/>
    <n v="8.611111111111111E-2"/>
    <n v="2.0666666666666629"/>
  </r>
  <r>
    <x v="0"/>
    <x v="3"/>
    <x v="15"/>
    <n v="0.19999999999999998"/>
    <n v="4.7999999999999989"/>
  </r>
  <r>
    <x v="0"/>
    <x v="3"/>
    <x v="16"/>
    <n v="0.15"/>
    <n v="3.5999999999999961"/>
  </r>
  <r>
    <x v="0"/>
    <x v="3"/>
    <x v="17"/>
    <n v="0.18124999999999999"/>
    <n v="4.3499999999999961"/>
  </r>
  <r>
    <x v="0"/>
    <x v="4"/>
    <x v="17"/>
    <n v="0"/>
    <n v="0"/>
  </r>
  <r>
    <x v="0"/>
    <x v="4"/>
    <x v="18"/>
    <n v="0.16805555555555554"/>
    <n v="4.0333333333333297"/>
  </r>
  <r>
    <x v="0"/>
    <x v="4"/>
    <x v="19"/>
    <n v="0.19027777777777777"/>
    <n v="4.5666666666666647"/>
  </r>
  <r>
    <x v="0"/>
    <x v="4"/>
    <x v="20"/>
    <n v="0.16597222222222222"/>
    <n v="3.9833333333333325"/>
  </r>
  <r>
    <x v="0"/>
    <x v="4"/>
    <x v="21"/>
    <n v="0.10625"/>
    <n v="2.5499999999999936"/>
  </r>
  <r>
    <x v="0"/>
    <x v="5"/>
    <x v="22"/>
    <n v="0.11666666666666667"/>
    <n v="2.7999999999999972"/>
  </r>
  <r>
    <x v="0"/>
    <x v="5"/>
    <x v="23"/>
    <n v="0.13541666666666666"/>
    <n v="3.2499999999999973"/>
  </r>
  <r>
    <x v="0"/>
    <x v="5"/>
    <x v="24"/>
    <n v="0.16458333333333333"/>
    <n v="3.9499999999999993"/>
  </r>
  <r>
    <x v="0"/>
    <x v="5"/>
    <x v="25"/>
    <n v="0.11180555555555555"/>
    <n v="2.6833333333333282"/>
  </r>
  <r>
    <x v="0"/>
    <x v="5"/>
    <x v="26"/>
    <n v="2.7777777777777776E-2"/>
    <n v="0.6666666666666643"/>
  </r>
  <r>
    <x v="0"/>
    <x v="6"/>
    <x v="26"/>
    <n v="7.013888888888889E-2"/>
    <n v="1.6833333333333309"/>
  </r>
  <r>
    <x v="0"/>
    <x v="6"/>
    <x v="27"/>
    <n v="5.4166666666666662E-2"/>
    <n v="1.2999999999999998"/>
  </r>
  <r>
    <x v="0"/>
    <x v="6"/>
    <x v="28"/>
    <n v="0.16666666666666666"/>
    <n v="3.9999999999999973"/>
  </r>
  <r>
    <x v="0"/>
    <x v="6"/>
    <x v="29"/>
    <n v="0.26805555555555555"/>
    <n v="6.4333333333333318"/>
  </r>
  <r>
    <x v="0"/>
    <x v="6"/>
    <x v="30"/>
    <n v="0.27013888888888887"/>
    <n v="6.4833333333333343"/>
  </r>
  <r>
    <x v="0"/>
    <x v="7"/>
    <x v="30"/>
    <n v="0"/>
    <n v="0"/>
  </r>
  <r>
    <x v="0"/>
    <x v="7"/>
    <x v="31"/>
    <n v="0.11944444444444444"/>
    <n v="2.8666666666666636"/>
  </r>
  <r>
    <x v="0"/>
    <x v="7"/>
    <x v="32"/>
    <n v="6.25E-2"/>
    <n v="1.4999999999999982"/>
  </r>
  <r>
    <x v="0"/>
    <x v="7"/>
    <x v="33"/>
    <n v="0.16041666666666665"/>
    <n v="3.8499999999999961"/>
  </r>
  <r>
    <x v="0"/>
    <x v="7"/>
    <x v="34"/>
    <n v="9.6527777777777768E-2"/>
    <n v="2.3166666666666611"/>
  </r>
  <r>
    <x v="0"/>
    <x v="8"/>
    <x v="35"/>
    <n v="2.7083333333333331E-2"/>
    <n v="0.65000000000000036"/>
  </r>
  <r>
    <x v="0"/>
    <x v="8"/>
    <x v="36"/>
    <n v="0.12430555555555554"/>
    <n v="2.983333333333329"/>
  </r>
  <r>
    <x v="0"/>
    <x v="8"/>
    <x v="37"/>
    <n v="9.7916666666666666E-2"/>
    <n v="2.3499999999999925"/>
  </r>
  <r>
    <x v="0"/>
    <x v="8"/>
    <x v="38"/>
    <n v="0.125"/>
    <n v="2.9999999999999973"/>
  </r>
  <r>
    <x v="0"/>
    <x v="8"/>
    <x v="39"/>
    <n v="-0.1875"/>
    <n v="-0.1875"/>
  </r>
  <r>
    <x v="1"/>
    <x v="9"/>
    <x v="40"/>
    <n v="0"/>
    <n v="0"/>
  </r>
  <r>
    <x v="1"/>
    <x v="9"/>
    <x v="41"/>
    <n v="9.7916666666666666E-2"/>
    <n v="2.3499999999999979"/>
  </r>
  <r>
    <x v="1"/>
    <x v="9"/>
    <x v="42"/>
    <n v="0"/>
    <n v="0"/>
  </r>
  <r>
    <x v="1"/>
    <x v="9"/>
    <x v="43"/>
    <n v="0"/>
    <n v="0"/>
  </r>
  <r>
    <x v="1"/>
    <x v="9"/>
    <x v="44"/>
    <n v="0"/>
    <n v="0"/>
  </r>
  <r>
    <x v="1"/>
    <x v="10"/>
    <x v="44"/>
    <n v="0"/>
    <n v="0"/>
  </r>
  <r>
    <x v="1"/>
    <x v="10"/>
    <x v="45"/>
    <n v="0"/>
    <n v="0"/>
  </r>
  <r>
    <x v="1"/>
    <x v="10"/>
    <x v="46"/>
    <n v="0"/>
    <n v="0"/>
  </r>
  <r>
    <x v="1"/>
    <x v="10"/>
    <x v="47"/>
    <n v="0"/>
    <n v="0"/>
  </r>
  <r>
    <x v="1"/>
    <x v="10"/>
    <x v="48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9E7003-F7B9-461F-86A5-5F3F29164CA5}" name="Tableau croisé dynamique5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0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x="0"/>
        <item h="1" x="1"/>
        <item h="1" x="2"/>
        <item h="1" x="3"/>
        <item h="1" x="4"/>
        <item h="1" x="5"/>
        <item h="1"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436">
      <pivotArea dataOnly="0" labelOnly="1" outline="0" fieldPosition="0">
        <references count="1">
          <reference field="2" count="0"/>
        </references>
      </pivotArea>
    </format>
    <format dxfId="435">
      <pivotArea field="2" type="button" dataOnly="0" labelOnly="1" outline="0" axis="axisRow" fieldPosition="0"/>
    </format>
    <format dxfId="434">
      <pivotArea outline="0" fieldPosition="0">
        <references count="1">
          <reference field="4294967294" count="1">
            <x v="0"/>
          </reference>
        </references>
      </pivotArea>
    </format>
    <format dxfId="433">
      <pivotArea outline="0" fieldPosition="0">
        <references count="1">
          <reference field="4294967294" count="1" selected="0">
            <x v="0"/>
          </reference>
        </references>
      </pivotArea>
    </format>
    <format dxfId="43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31">
      <pivotArea outline="0" fieldPosition="0">
        <references count="1">
          <reference field="4294967294" count="1" selected="0">
            <x v="0"/>
          </reference>
        </references>
      </pivotArea>
    </format>
    <format dxfId="43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29">
      <pivotArea outline="0" fieldPosition="0">
        <references count="1">
          <reference field="4294967294" count="1" selected="0">
            <x v="1"/>
          </reference>
        </references>
      </pivotArea>
    </format>
    <format dxfId="42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27">
      <pivotArea outline="0" fieldPosition="0">
        <references count="1">
          <reference field="4294967294" count="1" selected="0">
            <x v="1"/>
          </reference>
        </references>
      </pivotArea>
    </format>
    <format dxfId="426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E0B495-AB82-494A-A3AA-A262D2880D2F}" name="Tableau croisé dynamique1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444">
      <pivotArea outline="0" fieldPosition="0">
        <references count="1">
          <reference field="4294967294" count="1" selected="0">
            <x v="0"/>
          </reference>
        </references>
      </pivotArea>
    </format>
    <format dxfId="44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42">
      <pivotArea outline="0" fieldPosition="0">
        <references count="1">
          <reference field="4294967294" count="1" selected="0">
            <x v="0"/>
          </reference>
        </references>
      </pivotArea>
    </format>
    <format dxfId="44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40">
      <pivotArea outline="0" fieldPosition="0">
        <references count="1">
          <reference field="4294967294" count="1" selected="0">
            <x v="1"/>
          </reference>
        </references>
      </pivotArea>
    </format>
    <format dxfId="43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38">
      <pivotArea outline="0" fieldPosition="0">
        <references count="1">
          <reference field="4294967294" count="1" selected="0">
            <x v="1"/>
          </reference>
        </references>
      </pivotArea>
    </format>
    <format dxfId="437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47D708-63A0-4872-B626-D95E3B986A46}" name="Tableau croisé dynamique7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407">
      <pivotArea outline="0" fieldPosition="0">
        <references count="1">
          <reference field="4294967294" count="1" selected="0">
            <x v="0"/>
          </reference>
        </references>
      </pivotArea>
    </format>
    <format dxfId="40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05">
      <pivotArea outline="0" fieldPosition="0">
        <references count="1">
          <reference field="4294967294" count="1" selected="0">
            <x v="0"/>
          </reference>
        </references>
      </pivotArea>
    </format>
    <format dxfId="40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03">
      <pivotArea outline="0" fieldPosition="0">
        <references count="1">
          <reference field="4294967294" count="1" selected="0">
            <x v="1"/>
          </reference>
        </references>
      </pivotArea>
    </format>
    <format dxfId="40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01">
      <pivotArea outline="0" fieldPosition="0">
        <references count="1">
          <reference field="4294967294" count="1" selected="0">
            <x v="1"/>
          </reference>
        </references>
      </pivotArea>
    </format>
    <format dxfId="40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E69CDE-7988-4077-A6AB-6C0E3B5689EE}" name="Tableau croisé dynamique6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0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h="1" x="0"/>
        <item x="1"/>
        <item h="1" x="2"/>
        <item h="1" x="3"/>
        <item h="1" x="4"/>
        <item h="1" x="5"/>
        <item h="1"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418">
      <pivotArea dataOnly="0" labelOnly="1" outline="0" fieldPosition="0">
        <references count="1">
          <reference field="2" count="0"/>
        </references>
      </pivotArea>
    </format>
    <format dxfId="417">
      <pivotArea field="2" type="button" dataOnly="0" labelOnly="1" outline="0" axis="axisRow" fieldPosition="0"/>
    </format>
    <format dxfId="416">
      <pivotArea outline="0" fieldPosition="0">
        <references count="1">
          <reference field="4294967294" count="1">
            <x v="0"/>
          </reference>
        </references>
      </pivotArea>
    </format>
    <format dxfId="415">
      <pivotArea outline="0" fieldPosition="0">
        <references count="1">
          <reference field="4294967294" count="1" selected="0">
            <x v="0"/>
          </reference>
        </references>
      </pivotArea>
    </format>
    <format dxfId="41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13">
      <pivotArea outline="0" fieldPosition="0">
        <references count="1">
          <reference field="4294967294" count="1" selected="0">
            <x v="0"/>
          </reference>
        </references>
      </pivotArea>
    </format>
    <format dxfId="41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11">
      <pivotArea outline="0" fieldPosition="0">
        <references count="1">
          <reference field="4294967294" count="1" selected="0">
            <x v="1"/>
          </reference>
        </references>
      </pivotArea>
    </format>
    <format dxfId="41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09">
      <pivotArea outline="0" fieldPosition="0">
        <references count="1">
          <reference field="4294967294" count="1" selected="0">
            <x v="1"/>
          </reference>
        </references>
      </pivotArea>
    </format>
    <format dxfId="408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23F8B8-FDB7-493C-919B-099623CDB25B}" name="Tableau croisé dynamique9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381">
      <pivotArea outline="0" fieldPosition="0">
        <references count="1">
          <reference field="4294967294" count="1" selected="0">
            <x v="0"/>
          </reference>
        </references>
      </pivotArea>
    </format>
    <format dxfId="38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9">
      <pivotArea outline="0" fieldPosition="0">
        <references count="1">
          <reference field="4294967294" count="1" selected="0">
            <x v="0"/>
          </reference>
        </references>
      </pivotArea>
    </format>
    <format dxfId="37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7">
      <pivotArea outline="0" fieldPosition="0">
        <references count="1">
          <reference field="4294967294" count="1" selected="0">
            <x v="1"/>
          </reference>
        </references>
      </pivotArea>
    </format>
    <format dxfId="37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5">
      <pivotArea outline="0" fieldPosition="0">
        <references count="1">
          <reference field="4294967294" count="1" selected="0">
            <x v="1"/>
          </reference>
        </references>
      </pivotArea>
    </format>
    <format dxfId="374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D5FAC5-C60F-491C-BC31-416FC7CC5A71}" name="Tableau croisé dynamique8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1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h="1" x="0"/>
        <item h="1" x="1"/>
        <item x="2"/>
        <item h="1" x="3"/>
        <item h="1" x="4"/>
        <item h="1" x="5"/>
        <item h="1"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7"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392">
      <pivotArea dataOnly="0" labelOnly="1" outline="0" fieldPosition="0">
        <references count="1">
          <reference field="2" count="0"/>
        </references>
      </pivotArea>
    </format>
    <format dxfId="391">
      <pivotArea field="2" type="button" dataOnly="0" labelOnly="1" outline="0" axis="axisRow" fieldPosition="0"/>
    </format>
    <format dxfId="390">
      <pivotArea outline="0" fieldPosition="0">
        <references count="1">
          <reference field="4294967294" count="1">
            <x v="0"/>
          </reference>
        </references>
      </pivotArea>
    </format>
    <format dxfId="389">
      <pivotArea outline="0" fieldPosition="0">
        <references count="1">
          <reference field="4294967294" count="1" selected="0">
            <x v="0"/>
          </reference>
        </references>
      </pivotArea>
    </format>
    <format dxfId="38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87">
      <pivotArea outline="0" fieldPosition="0">
        <references count="1">
          <reference field="4294967294" count="1" selected="0">
            <x v="0"/>
          </reference>
        </references>
      </pivotArea>
    </format>
    <format dxfId="38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85">
      <pivotArea outline="0" fieldPosition="0">
        <references count="1">
          <reference field="4294967294" count="1" selected="0">
            <x v="1"/>
          </reference>
        </references>
      </pivotArea>
    </format>
    <format dxfId="38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83">
      <pivotArea outline="0" fieldPosition="0">
        <references count="1">
          <reference field="4294967294" count="1" selected="0">
            <x v="1"/>
          </reference>
        </references>
      </pivotArea>
    </format>
    <format dxfId="382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DAF757-2873-4548-8F7C-741B179BD380}" name="Tableau croisé dynamique11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355">
      <pivotArea outline="0" fieldPosition="0">
        <references count="1">
          <reference field="4294967294" count="1" selected="0">
            <x v="0"/>
          </reference>
        </references>
      </pivotArea>
    </format>
    <format dxfId="35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3">
      <pivotArea outline="0" fieldPosition="0">
        <references count="1">
          <reference field="4294967294" count="1" selected="0">
            <x v="0"/>
          </reference>
        </references>
      </pivotArea>
    </format>
    <format dxfId="35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1">
      <pivotArea outline="0" fieldPosition="0">
        <references count="1">
          <reference field="4294967294" count="1" selected="0">
            <x v="1"/>
          </reference>
        </references>
      </pivotArea>
    </format>
    <format dxfId="35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49">
      <pivotArea outline="0" fieldPosition="0">
        <references count="1">
          <reference field="4294967294" count="1" selected="0">
            <x v="1"/>
          </reference>
        </references>
      </pivotArea>
    </format>
    <format dxfId="348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B7C898-F4CE-4797-827B-C0EBAF8EAA75}" name="Tableau croisé dynamique10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0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h="1" x="0"/>
        <item h="1" x="1"/>
        <item h="1" x="2"/>
        <item x="3"/>
        <item h="1" x="4"/>
        <item h="1" x="5"/>
        <item h="1"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22"/>
    </i>
    <i>
      <x v="23"/>
    </i>
    <i>
      <x v="24"/>
    </i>
    <i>
      <x v="25"/>
    </i>
    <i>
      <x v="26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366">
      <pivotArea dataOnly="0" labelOnly="1" outline="0" fieldPosition="0">
        <references count="1">
          <reference field="2" count="0"/>
        </references>
      </pivotArea>
    </format>
    <format dxfId="365">
      <pivotArea field="2" type="button" dataOnly="0" labelOnly="1" outline="0" axis="axisRow" fieldPosition="0"/>
    </format>
    <format dxfId="364">
      <pivotArea outline="0" fieldPosition="0">
        <references count="1">
          <reference field="4294967294" count="1">
            <x v="0"/>
          </reference>
        </references>
      </pivotArea>
    </format>
    <format dxfId="363">
      <pivotArea outline="0" fieldPosition="0">
        <references count="1">
          <reference field="4294967294" count="1" selected="0">
            <x v="0"/>
          </reference>
        </references>
      </pivotArea>
    </format>
    <format dxfId="36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61">
      <pivotArea outline="0" fieldPosition="0">
        <references count="1">
          <reference field="4294967294" count="1" selected="0">
            <x v="0"/>
          </reference>
        </references>
      </pivotArea>
    </format>
    <format dxfId="36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9">
      <pivotArea outline="0" fieldPosition="0">
        <references count="1">
          <reference field="4294967294" count="1" selected="0">
            <x v="1"/>
          </reference>
        </references>
      </pivotArea>
    </format>
    <format dxfId="35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57">
      <pivotArea outline="0" fieldPosition="0">
        <references count="1">
          <reference field="4294967294" count="1" selected="0">
            <x v="1"/>
          </reference>
        </references>
      </pivotArea>
    </format>
    <format dxfId="356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F623AB-CBFE-4D4D-ACE2-22C857025341}" name="Tableau croisé dynamique13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329">
      <pivotArea outline="0" fieldPosition="0">
        <references count="1">
          <reference field="4294967294" count="1" selected="0">
            <x v="0"/>
          </reference>
        </references>
      </pivotArea>
    </format>
    <format dxfId="32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7">
      <pivotArea outline="0" fieldPosition="0">
        <references count="1">
          <reference field="4294967294" count="1" selected="0">
            <x v="0"/>
          </reference>
        </references>
      </pivotArea>
    </format>
    <format dxfId="32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5">
      <pivotArea outline="0" fieldPosition="0">
        <references count="1">
          <reference field="4294967294" count="1" selected="0">
            <x v="1"/>
          </reference>
        </references>
      </pivotArea>
    </format>
    <format dxfId="32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23">
      <pivotArea outline="0" fieldPosition="0">
        <references count="1">
          <reference field="4294967294" count="1" selected="0">
            <x v="1"/>
          </reference>
        </references>
      </pivotArea>
    </format>
    <format dxfId="322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1FA4A1-7204-4A1F-B0FD-5DD03C71794D}" name="Tableau croisé dynamique12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0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h="1" x="0"/>
        <item h="1" x="1"/>
        <item h="1" x="2"/>
        <item h="1" x="3"/>
        <item x="4"/>
        <item h="1" x="5"/>
        <item h="1"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340">
      <pivotArea dataOnly="0" labelOnly="1" outline="0" fieldPosition="0">
        <references count="1">
          <reference field="2" count="0"/>
        </references>
      </pivotArea>
    </format>
    <format dxfId="339">
      <pivotArea field="2" type="button" dataOnly="0" labelOnly="1" outline="0" axis="axisRow" fieldPosition="0"/>
    </format>
    <format dxfId="338">
      <pivotArea outline="0" fieldPosition="0">
        <references count="1">
          <reference field="4294967294" count="1">
            <x v="0"/>
          </reference>
        </references>
      </pivotArea>
    </format>
    <format dxfId="337">
      <pivotArea outline="0" fieldPosition="0">
        <references count="1">
          <reference field="4294967294" count="1" selected="0">
            <x v="0"/>
          </reference>
        </references>
      </pivotArea>
    </format>
    <format dxfId="3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5">
      <pivotArea outline="0" fieldPosition="0">
        <references count="1">
          <reference field="4294967294" count="1" selected="0">
            <x v="0"/>
          </reference>
        </references>
      </pivotArea>
    </format>
    <format dxfId="33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3">
      <pivotArea outline="0" fieldPosition="0">
        <references count="1">
          <reference field="4294967294" count="1" selected="0">
            <x v="1"/>
          </reference>
        </references>
      </pivotArea>
    </format>
    <format dxfId="33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31">
      <pivotArea outline="0" fieldPosition="0">
        <references count="1">
          <reference field="4294967294" count="1" selected="0">
            <x v="1"/>
          </reference>
        </references>
      </pivotArea>
    </format>
    <format dxfId="330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1AAD66-E6E7-4604-B8A6-CE1F0E1FB6CD}" name="Tableau croisé dynamique15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300">
      <pivotArea outline="0" fieldPosition="0">
        <references count="1">
          <reference field="4294967294" count="1" selected="0">
            <x v="0"/>
          </reference>
        </references>
      </pivotArea>
    </format>
    <format dxfId="29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98">
      <pivotArea outline="0" fieldPosition="0">
        <references count="1">
          <reference field="4294967294" count="1" selected="0">
            <x v="0"/>
          </reference>
        </references>
      </pivotArea>
    </format>
    <format dxfId="29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96">
      <pivotArea outline="0" fieldPosition="0">
        <references count="1">
          <reference field="4294967294" count="1" selected="0">
            <x v="1"/>
          </reference>
        </references>
      </pivotArea>
    </format>
    <format dxfId="29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94">
      <pivotArea outline="0" fieldPosition="0">
        <references count="1">
          <reference field="4294967294" count="1" selected="0">
            <x v="1"/>
          </reference>
        </references>
      </pivotArea>
    </format>
    <format dxfId="293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D3AE02-2B29-4AB4-B298-E692F5E471B9}" name="Tableau croisé dynamique14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0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h="1" x="0"/>
        <item h="1" x="1"/>
        <item h="1" x="2"/>
        <item h="1" x="3"/>
        <item h="1" x="4"/>
        <item x="5"/>
        <item h="1"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31"/>
    </i>
    <i>
      <x v="32"/>
    </i>
    <i>
      <x v="33"/>
    </i>
    <i>
      <x v="34"/>
    </i>
    <i>
      <x v="35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311">
      <pivotArea dataOnly="0" labelOnly="1" outline="0" fieldPosition="0">
        <references count="1">
          <reference field="2" count="0"/>
        </references>
      </pivotArea>
    </format>
    <format dxfId="310">
      <pivotArea field="2" type="button" dataOnly="0" labelOnly="1" outline="0" axis="axisRow" fieldPosition="0"/>
    </format>
    <format dxfId="309">
      <pivotArea outline="0" fieldPosition="0">
        <references count="1">
          <reference field="4294967294" count="1">
            <x v="0"/>
          </reference>
        </references>
      </pivotArea>
    </format>
    <format dxfId="308">
      <pivotArea outline="0" fieldPosition="0">
        <references count="1">
          <reference field="4294967294" count="1" selected="0">
            <x v="0"/>
          </reference>
        </references>
      </pivotArea>
    </format>
    <format dxfId="30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06">
      <pivotArea outline="0" fieldPosition="0">
        <references count="1">
          <reference field="4294967294" count="1" selected="0">
            <x v="0"/>
          </reference>
        </references>
      </pivotArea>
    </format>
    <format dxfId="30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04">
      <pivotArea outline="0" fieldPosition="0">
        <references count="1">
          <reference field="4294967294" count="1" selected="0">
            <x v="1"/>
          </reference>
        </references>
      </pivotArea>
    </format>
    <format dxfId="30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02">
      <pivotArea outline="0" fieldPosition="0">
        <references count="1">
          <reference field="4294967294" count="1" selected="0">
            <x v="1"/>
          </reference>
        </references>
      </pivotArea>
    </format>
    <format dxfId="301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964A3B-3C69-4842-8BB5-3F04A6832BFF}" name="Tableau croisé dynamique17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274">
      <pivotArea outline="0" fieldPosition="0">
        <references count="1">
          <reference field="4294967294" count="1" selected="0">
            <x v="0"/>
          </reference>
        </references>
      </pivotArea>
    </format>
    <format dxfId="27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72">
      <pivotArea outline="0" fieldPosition="0">
        <references count="1">
          <reference field="4294967294" count="1" selected="0">
            <x v="0"/>
          </reference>
        </references>
      </pivotArea>
    </format>
    <format dxfId="27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70">
      <pivotArea outline="0" fieldPosition="0">
        <references count="1">
          <reference field="4294967294" count="1" selected="0">
            <x v="1"/>
          </reference>
        </references>
      </pivotArea>
    </format>
    <format dxfId="26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68">
      <pivotArea outline="0" fieldPosition="0">
        <references count="1">
          <reference field="4294967294" count="1" selected="0">
            <x v="1"/>
          </reference>
        </references>
      </pivotArea>
    </format>
    <format dxfId="267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7B3615-78DF-40FC-B4EB-684F3DDF953E}" name="Tableau croisé dynamique16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0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h="1" x="0"/>
        <item h="1" x="1"/>
        <item h="1" x="2"/>
        <item h="1" x="3"/>
        <item h="1" x="4"/>
        <item h="1" x="5"/>
        <item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35"/>
    </i>
    <i>
      <x v="36"/>
    </i>
    <i>
      <x v="37"/>
    </i>
    <i>
      <x v="38"/>
    </i>
    <i>
      <x v="39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285">
      <pivotArea dataOnly="0" labelOnly="1" outline="0" fieldPosition="0">
        <references count="1">
          <reference field="2" count="0"/>
        </references>
      </pivotArea>
    </format>
    <format dxfId="284">
      <pivotArea field="2" type="button" dataOnly="0" labelOnly="1" outline="0" axis="axisRow" fieldPosition="0"/>
    </format>
    <format dxfId="283">
      <pivotArea outline="0" fieldPosition="0">
        <references count="1">
          <reference field="4294967294" count="1">
            <x v="0"/>
          </reference>
        </references>
      </pivotArea>
    </format>
    <format dxfId="282">
      <pivotArea outline="0" fieldPosition="0">
        <references count="1">
          <reference field="4294967294" count="1" selected="0">
            <x v="0"/>
          </reference>
        </references>
      </pivotArea>
    </format>
    <format dxfId="28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80">
      <pivotArea outline="0" fieldPosition="0">
        <references count="1">
          <reference field="4294967294" count="1" selected="0">
            <x v="0"/>
          </reference>
        </references>
      </pivotArea>
    </format>
    <format dxfId="27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78">
      <pivotArea outline="0" fieldPosition="0">
        <references count="1">
          <reference field="4294967294" count="1" selected="0">
            <x v="1"/>
          </reference>
        </references>
      </pivotArea>
    </format>
    <format dxfId="27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76">
      <pivotArea outline="0" fieldPosition="0">
        <references count="1">
          <reference field="4294967294" count="1" selected="0">
            <x v="1"/>
          </reference>
        </references>
      </pivotArea>
    </format>
    <format dxfId="275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BBEDCA-7B09-4AB0-AD54-2E9F01348671}" name="Tableau croisé dynamique19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248">
      <pivotArea outline="0" fieldPosition="0">
        <references count="1">
          <reference field="4294967294" count="1" selected="0">
            <x v="0"/>
          </reference>
        </references>
      </pivotArea>
    </format>
    <format dxfId="24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46">
      <pivotArea outline="0" fieldPosition="0">
        <references count="1">
          <reference field="4294967294" count="1" selected="0">
            <x v="0"/>
          </reference>
        </references>
      </pivotArea>
    </format>
    <format dxfId="24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44">
      <pivotArea outline="0" fieldPosition="0">
        <references count="1">
          <reference field="4294967294" count="1" selected="0">
            <x v="1"/>
          </reference>
        </references>
      </pivotArea>
    </format>
    <format dxfId="24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42">
      <pivotArea outline="0" fieldPosition="0">
        <references count="1">
          <reference field="4294967294" count="1" selected="0">
            <x v="1"/>
          </reference>
        </references>
      </pivotArea>
    </format>
    <format dxfId="241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780249-E8AA-41A3-B0F2-1CA83A18639B}" name="Tableau croisé dynamique18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0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h="1" x="0"/>
        <item h="1" x="1"/>
        <item h="1" x="2"/>
        <item h="1" x="3"/>
        <item h="1" x="4"/>
        <item h="1" x="5"/>
        <item h="1" x="6"/>
        <item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39"/>
    </i>
    <i>
      <x v="40"/>
    </i>
    <i>
      <x v="41"/>
    </i>
    <i>
      <x v="42"/>
    </i>
    <i>
      <x v="43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259">
      <pivotArea dataOnly="0" labelOnly="1" outline="0" fieldPosition="0">
        <references count="1">
          <reference field="2" count="0"/>
        </references>
      </pivotArea>
    </format>
    <format dxfId="258">
      <pivotArea field="2" type="button" dataOnly="0" labelOnly="1" outline="0" axis="axisRow" fieldPosition="0"/>
    </format>
    <format dxfId="257">
      <pivotArea outline="0" fieldPosition="0">
        <references count="1">
          <reference field="4294967294" count="1">
            <x v="0"/>
          </reference>
        </references>
      </pivotArea>
    </format>
    <format dxfId="256">
      <pivotArea outline="0" fieldPosition="0">
        <references count="1">
          <reference field="4294967294" count="1" selected="0">
            <x v="0"/>
          </reference>
        </references>
      </pivotArea>
    </format>
    <format dxfId="25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4">
      <pivotArea outline="0" fieldPosition="0">
        <references count="1">
          <reference field="4294967294" count="1" selected="0">
            <x v="0"/>
          </reference>
        </references>
      </pivotArea>
    </format>
    <format dxfId="25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52">
      <pivotArea outline="0" fieldPosition="0">
        <references count="1">
          <reference field="4294967294" count="1" selected="0">
            <x v="1"/>
          </reference>
        </references>
      </pivotArea>
    </format>
    <format dxfId="25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50">
      <pivotArea outline="0" fieldPosition="0">
        <references count="1">
          <reference field="4294967294" count="1" selected="0">
            <x v="1"/>
          </reference>
        </references>
      </pivotArea>
    </format>
    <format dxfId="249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1D5D2D-6468-46F5-AF5A-431995AB5CC7}" name="Tableau croisé dynamique3" cacheId="4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S3:U10" firstHeaderRow="1" firstDataRow="1" firstDataCol="2" rowPageCount="1" colPageCount="1"/>
  <pivotFields count="5">
    <pivotField axis="axisRow" compact="0" outline="0" subtotalTop="0" showAll="0">
      <items count="3">
        <item x="0"/>
        <item x="1"/>
        <item t="default"/>
      </items>
    </pivotField>
    <pivotField axis="axisPage" compact="0" outline="0" subtotalTop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compact="0" outline="0" subtotalTop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compact="0" outline="0" subtotalTop="0" showAll="0"/>
    <pivotField dataField="1" compact="0" outline="0" subtotalTop="0" showAll="0"/>
  </pivotFields>
  <rowFields count="2">
    <field x="0"/>
    <field x="2"/>
  </rowFields>
  <rowItems count="7">
    <i>
      <x/>
      <x v="44"/>
    </i>
    <i r="1">
      <x v="45"/>
    </i>
    <i r="1">
      <x v="46"/>
    </i>
    <i r="1">
      <x v="47"/>
    </i>
    <i r="1">
      <x v="48"/>
    </i>
    <i t="default">
      <x/>
    </i>
    <i t="grand">
      <x/>
    </i>
  </rowItems>
  <colItems count="1">
    <i/>
  </colItems>
  <pageFields count="1">
    <pageField fld="1" item="10" hier="-1"/>
  </pageFields>
  <dataFields count="1">
    <dataField name="Delta hebdo (d)" fld="4" baseField="1" baseItem="2" numFmtId="167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C09349-2785-41FB-819B-A77064F5D80C}" name="Tableau croisé dynamique2" cacheId="4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S14:V28" firstHeaderRow="0" firstDataRow="1" firstDataCol="2"/>
  <pivotFields count="5">
    <pivotField axis="axisRow" compact="0" outline="0" subtotalTop="0" showAll="0">
      <items count="3">
        <item x="0"/>
        <item x="1"/>
        <item t="default"/>
      </items>
    </pivotField>
    <pivotField axis="axisRow" compact="0" outline="0" subtotalTop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compact="0" outline="0" subtotalTop="0" showAll="0"/>
    <pivotField dataField="1" compact="0" outline="0" subtotalTop="0" showAll="0"/>
    <pivotField dataField="1" compact="0" outline="0" subtotalTop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3" baseField="1" baseItem="2" numFmtId="165"/>
    <dataField name="Delta hebdo (d)" fld="4" baseField="1" baseItem="2" numFmtId="167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D161C4-CF60-4FB2-BE29-7F3EDD787F85}" name="Tableau croisé dynamique21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14:Q28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8">
    <format dxfId="222">
      <pivotArea outline="0" fieldPosition="0">
        <references count="1">
          <reference field="4294967294" count="1" selected="0">
            <x v="0"/>
          </reference>
        </references>
      </pivotArea>
    </format>
    <format dxfId="22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20">
      <pivotArea outline="0" fieldPosition="0">
        <references count="1">
          <reference field="4294967294" count="1" selected="0">
            <x v="0"/>
          </reference>
        </references>
      </pivotArea>
    </format>
    <format dxfId="21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18">
      <pivotArea outline="0" fieldPosition="0">
        <references count="1">
          <reference field="4294967294" count="1" selected="0">
            <x v="1"/>
          </reference>
        </references>
      </pivotArea>
    </format>
    <format dxfId="21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16">
      <pivotArea outline="0" fieldPosition="0">
        <references count="1">
          <reference field="4294967294" count="1" selected="0">
            <x v="1"/>
          </reference>
        </references>
      </pivotArea>
    </format>
    <format dxfId="215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F9E875-711C-41E4-8669-90EBEE9B1FB9}" name="Tableau croisé dynamique20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N4:P10" firstHeaderRow="0" firstDataRow="1" firstDataCol="1" rowPageCount="2" colPageCount="1"/>
  <pivotFields count="5">
    <pivotField axis="axisPage" compact="0" outline="0" multipleItemSelectionAllowed="1" showAll="0">
      <items count="3">
        <item x="0"/>
        <item h="1" x="1"/>
        <item t="default"/>
      </items>
    </pivotField>
    <pivotField axis="axisPage" compact="0" outline="0" multipleItemSelectionAllowed="1" showAll="0">
      <items count="12">
        <item h="1" x="9"/>
        <item h="1" x="10"/>
        <item h="1" x="0"/>
        <item h="1" x="1"/>
        <item h="1" x="2"/>
        <item h="1" x="3"/>
        <item h="1" x="4"/>
        <item h="1" x="5"/>
        <item h="1" x="6"/>
        <item h="1" x="7"/>
        <item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44"/>
    </i>
    <i>
      <x v="45"/>
    </i>
    <i>
      <x v="46"/>
    </i>
    <i>
      <x v="47"/>
    </i>
    <i>
      <x v="48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11">
    <format dxfId="233">
      <pivotArea dataOnly="0" labelOnly="1" outline="0" fieldPosition="0">
        <references count="1">
          <reference field="2" count="0"/>
        </references>
      </pivotArea>
    </format>
    <format dxfId="232">
      <pivotArea field="2" type="button" dataOnly="0" labelOnly="1" outline="0" axis="axisRow" fieldPosition="0"/>
    </format>
    <format dxfId="231">
      <pivotArea outline="0" fieldPosition="0">
        <references count="1">
          <reference field="4294967294" count="1">
            <x v="0"/>
          </reference>
        </references>
      </pivotArea>
    </format>
    <format dxfId="230">
      <pivotArea outline="0" fieldPosition="0">
        <references count="1">
          <reference field="4294967294" count="1" selected="0">
            <x v="0"/>
          </reference>
        </references>
      </pivotArea>
    </format>
    <format dxfId="22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28">
      <pivotArea outline="0" fieldPosition="0">
        <references count="1">
          <reference field="4294967294" count="1" selected="0">
            <x v="0"/>
          </reference>
        </references>
      </pivotArea>
    </format>
    <format dxfId="22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26">
      <pivotArea outline="0" fieldPosition="0">
        <references count="1">
          <reference field="4294967294" count="1" selected="0">
            <x v="1"/>
          </reference>
        </references>
      </pivotArea>
    </format>
    <format dxfId="22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24">
      <pivotArea outline="0" fieldPosition="0">
        <references count="1">
          <reference field="4294967294" count="1" selected="0">
            <x v="1"/>
          </reference>
        </references>
      </pivotArea>
    </format>
    <format dxfId="223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CD4068-06B4-4659-A886-B16225BB93A9}" name="Tableau croisé dynamique5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L5:N11" firstHeaderRow="0" firstDataRow="1" firstDataCol="1" rowPageCount="2" colPageCount="1"/>
  <pivotFields count="5">
    <pivotField axis="axisPage" compact="0" outline="0" multipleItemSelectionAllowed="1" showAll="0">
      <items count="3">
        <item h="1" x="0"/>
        <item x="1"/>
        <item t="default"/>
      </items>
    </pivotField>
    <pivotField axis="axisPage" compact="0" outline="0" multipleItemSelectionAllowed="1" showAll="0">
      <items count="12">
        <item x="9"/>
        <item h="1" x="10"/>
        <item h="1" x="0"/>
        <item h="1" x="1"/>
        <item h="1" x="2"/>
        <item h="1" x="3"/>
        <item h="1" x="4"/>
        <item h="1" x="5"/>
        <item h="1"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21">
    <format dxfId="181">
      <pivotArea dataOnly="0" labelOnly="1" outline="0" fieldPosition="0">
        <references count="1">
          <reference field="2" count="0"/>
        </references>
      </pivotArea>
    </format>
    <format dxfId="180">
      <pivotArea field="2" type="button" dataOnly="0" labelOnly="1" outline="0" axis="axisRow" fieldPosition="0"/>
    </format>
    <format dxfId="179">
      <pivotArea outline="0" fieldPosition="0">
        <references count="1">
          <reference field="4294967294" count="1">
            <x v="0"/>
          </reference>
        </references>
      </pivotArea>
    </format>
    <format dxfId="178">
      <pivotArea outline="0" fieldPosition="0">
        <references count="1">
          <reference field="4294967294" count="1" selected="0">
            <x v="0"/>
          </reference>
        </references>
      </pivotArea>
    </format>
    <format dxfId="17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6">
      <pivotArea outline="0" fieldPosition="0">
        <references count="1">
          <reference field="4294967294" count="1" selected="0">
            <x v="0"/>
          </reference>
        </references>
      </pivotArea>
    </format>
    <format dxfId="17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4">
      <pivotArea outline="0" fieldPosition="0">
        <references count="1">
          <reference field="4294967294" count="1" selected="0">
            <x v="1"/>
          </reference>
        </references>
      </pivotArea>
    </format>
    <format dxfId="17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72">
      <pivotArea outline="0" fieldPosition="0">
        <references count="1">
          <reference field="4294967294" count="1" selected="0">
            <x v="1"/>
          </reference>
        </references>
      </pivotArea>
    </format>
    <format dxfId="17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70">
      <pivotArea type="all" dataOnly="0" outline="0" fieldPosition="0"/>
    </format>
    <format dxfId="169">
      <pivotArea outline="0" collapsedLevelsAreSubtotals="1" fieldPosition="0"/>
    </format>
    <format dxfId="168">
      <pivotArea field="2" type="button" dataOnly="0" labelOnly="1" outline="0" axis="axisRow" fieldPosition="0"/>
    </format>
    <format dxfId="167">
      <pivotArea dataOnly="0" labelOnly="1" grandRow="1" outline="0" fieldPosition="0"/>
    </format>
    <format dxfId="16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5">
      <pivotArea type="all" dataOnly="0" outline="0" fieldPosition="0"/>
    </format>
    <format dxfId="164">
      <pivotArea outline="0" collapsedLevelsAreSubtotals="1" fieldPosition="0"/>
    </format>
    <format dxfId="163">
      <pivotArea field="2" type="button" dataOnly="0" labelOnly="1" outline="0" axis="axisRow" fieldPosition="0"/>
    </format>
    <format dxfId="162">
      <pivotArea dataOnly="0" labelOnly="1" grandRow="1" outline="0" fieldPosition="0"/>
    </format>
    <format dxfId="16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501302-4905-46AC-A012-71929C656CB1}" name="Tableau croisé dynamique1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L15:O29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26">
    <format dxfId="207">
      <pivotArea outline="0" fieldPosition="0">
        <references count="1">
          <reference field="4294967294" count="1" selected="0">
            <x v="0"/>
          </reference>
        </references>
      </pivotArea>
    </format>
    <format dxfId="20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5">
      <pivotArea outline="0" fieldPosition="0">
        <references count="1">
          <reference field="4294967294" count="1" selected="0">
            <x v="0"/>
          </reference>
        </references>
      </pivotArea>
    </format>
    <format dxfId="20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3">
      <pivotArea outline="0" fieldPosition="0">
        <references count="1">
          <reference field="4294967294" count="1" selected="0">
            <x v="1"/>
          </reference>
        </references>
      </pivotArea>
    </format>
    <format dxfId="20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01">
      <pivotArea outline="0" fieldPosition="0">
        <references count="1">
          <reference field="4294967294" count="1" selected="0">
            <x v="1"/>
          </reference>
        </references>
      </pivotArea>
    </format>
    <format dxfId="20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99">
      <pivotArea type="all" dataOnly="0" outline="0" fieldPosition="0"/>
    </format>
    <format dxfId="198">
      <pivotArea outline="0" collapsedLevelsAreSubtotals="1" fieldPosition="0"/>
    </format>
    <format dxfId="197">
      <pivotArea field="0" type="button" dataOnly="0" labelOnly="1" outline="0" axis="axisRow" fieldPosition="0"/>
    </format>
    <format dxfId="196">
      <pivotArea field="1" type="button" dataOnly="0" labelOnly="1" outline="0" axis="axisRow" fieldPosition="1"/>
    </format>
    <format dxfId="195">
      <pivotArea dataOnly="0" labelOnly="1" outline="0" fieldPosition="0">
        <references count="1">
          <reference field="0" count="0"/>
        </references>
      </pivotArea>
    </format>
    <format dxfId="194">
      <pivotArea dataOnly="0" labelOnly="1" outline="0" fieldPosition="0">
        <references count="1">
          <reference field="0" count="0" defaultSubtotal="1"/>
        </references>
      </pivotArea>
    </format>
    <format dxfId="193">
      <pivotArea dataOnly="0" labelOnly="1" grandRow="1" outline="0" fieldPosition="0"/>
    </format>
    <format dxfId="192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9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90">
      <pivotArea type="all" dataOnly="0" outline="0" fieldPosition="0"/>
    </format>
    <format dxfId="189">
      <pivotArea outline="0" collapsedLevelsAreSubtotals="1" fieldPosition="0"/>
    </format>
    <format dxfId="188">
      <pivotArea field="0" type="button" dataOnly="0" labelOnly="1" outline="0" axis="axisRow" fieldPosition="0"/>
    </format>
    <format dxfId="187">
      <pivotArea field="1" type="button" dataOnly="0" labelOnly="1" outline="0" axis="axisRow" fieldPosition="1"/>
    </format>
    <format dxfId="186">
      <pivotArea dataOnly="0" labelOnly="1" outline="0" fieldPosition="0">
        <references count="1">
          <reference field="0" count="0"/>
        </references>
      </pivotArea>
    </format>
    <format dxfId="185">
      <pivotArea dataOnly="0" labelOnly="1" outline="0" fieldPosition="0">
        <references count="1">
          <reference field="0" count="0" defaultSubtotal="1"/>
        </references>
      </pivotArea>
    </format>
    <format dxfId="184">
      <pivotArea dataOnly="0" labelOnly="1" grandRow="1" outline="0" fieldPosition="0"/>
    </format>
    <format dxfId="183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2A7020-A92A-46D8-A5D4-0A6D2FFEF1C5}" name="Tableau croisé dynamique5" cacheId="36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L5:N11" firstHeaderRow="0" firstDataRow="1" firstDataCol="1" rowPageCount="2" colPageCount="1"/>
  <pivotFields count="5">
    <pivotField axis="axisPage" compact="0" outline="0" multipleItemSelectionAllowed="1" showAll="0">
      <items count="3">
        <item h="1" x="0"/>
        <item x="1"/>
        <item t="default"/>
      </items>
    </pivotField>
    <pivotField axis="axisPage" compact="0" outline="0" multipleItemSelectionAllowed="1" showAll="0">
      <items count="12">
        <item h="1" x="9"/>
        <item x="10"/>
        <item h="1" x="0"/>
        <item h="1" x="1"/>
        <item h="1" x="2"/>
        <item h="1" x="3"/>
        <item h="1" x="4"/>
        <item h="1" x="5"/>
        <item h="1" x="6"/>
        <item h="1" x="7"/>
        <item h="1" x="8"/>
        <item t="default"/>
      </items>
    </pivotField>
    <pivotField axis="axisRow" compact="0" outline="0" showAll="0">
      <items count="50">
        <item x="40"/>
        <item x="41"/>
        <item x="42"/>
        <item x="43"/>
        <item x="44"/>
        <item x="45"/>
        <item x="46"/>
        <item x="47"/>
        <item x="4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dataField="1" compact="0" numFmtId="164" outline="0" showAll="0"/>
    <pivotField dataField="1" compact="0" numFmtId="168" outline="0" showAll="0"/>
  </pivotFields>
  <rowFields count="1">
    <field x="2"/>
  </rowFields>
  <rowItems count="6"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hier="-1"/>
  </pageFields>
  <dataFields count="2">
    <dataField name="Delta Hebdo. (h)" fld="3" baseField="2" baseItem="9" numFmtId="165"/>
    <dataField name="DeltaHebdo.  (d)" fld="4" baseField="2" baseItem="11" numFmtId="168"/>
  </dataFields>
  <formats count="21">
    <format dxfId="124">
      <pivotArea dataOnly="0" labelOnly="1" outline="0" fieldPosition="0">
        <references count="1">
          <reference field="2" count="0"/>
        </references>
      </pivotArea>
    </format>
    <format dxfId="123">
      <pivotArea field="2" type="button" dataOnly="0" labelOnly="1" outline="0" axis="axisRow" fieldPosition="0"/>
    </format>
    <format dxfId="122">
      <pivotArea outline="0" fieldPosition="0">
        <references count="1">
          <reference field="4294967294" count="1">
            <x v="0"/>
          </reference>
        </references>
      </pivotArea>
    </format>
    <format dxfId="121">
      <pivotArea outline="0" fieldPosition="0">
        <references count="1">
          <reference field="4294967294" count="1" selected="0">
            <x v="0"/>
          </reference>
        </references>
      </pivotArea>
    </format>
    <format dxfId="12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9">
      <pivotArea outline="0" fieldPosition="0">
        <references count="1">
          <reference field="4294967294" count="1" selected="0">
            <x v="0"/>
          </reference>
        </references>
      </pivotArea>
    </format>
    <format dxfId="11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7">
      <pivotArea outline="0" fieldPosition="0">
        <references count="1">
          <reference field="4294967294" count="1" selected="0">
            <x v="1"/>
          </reference>
        </references>
      </pivotArea>
    </format>
    <format dxfId="11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5">
      <pivotArea outline="0" fieldPosition="0">
        <references count="1">
          <reference field="4294967294" count="1" selected="0">
            <x v="1"/>
          </reference>
        </references>
      </pivotArea>
    </format>
    <format dxfId="11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3">
      <pivotArea type="all" dataOnly="0" outline="0" fieldPosition="0"/>
    </format>
    <format dxfId="112">
      <pivotArea outline="0" collapsedLevelsAreSubtotals="1" fieldPosition="0"/>
    </format>
    <format dxfId="111">
      <pivotArea field="2" type="button" dataOnly="0" labelOnly="1" outline="0" axis="axisRow" fieldPosition="0"/>
    </format>
    <format dxfId="110">
      <pivotArea dataOnly="0" labelOnly="1" grandRow="1" outline="0" fieldPosition="0"/>
    </format>
    <format dxfId="10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8">
      <pivotArea type="all" dataOnly="0" outline="0" fieldPosition="0"/>
    </format>
    <format dxfId="107">
      <pivotArea outline="0" collapsedLevelsAreSubtotals="1" fieldPosition="0"/>
    </format>
    <format dxfId="106">
      <pivotArea field="2" type="button" dataOnly="0" labelOnly="1" outline="0" axis="axisRow" fieldPosition="0"/>
    </format>
    <format dxfId="105">
      <pivotArea dataOnly="0" labelOnly="1" grandRow="1" outline="0" fieldPosition="0"/>
    </format>
    <format dxfId="10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68C743-798A-4C91-AEB2-C8C8136110DA}" name="Tableau croisé dynamique1" cacheId="3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L15:O29" firstHeaderRow="0" firstDataRow="1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numFmtId="165" outline="0" showAll="0"/>
    <pivotField dataField="1" compact="0" numFmtId="167" outline="0" showAll="0"/>
  </pivotFields>
  <rowFields count="2">
    <field x="0"/>
    <field x="1"/>
  </rowFields>
  <rowItems count="14">
    <i>
      <x/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elta Mensuel (h)" fld="2" baseField="0" baseItem="0" numFmtId="165"/>
    <dataField name="Delta Mensuel (d)" fld="3" baseField="1" baseItem="7" numFmtId="167"/>
  </dataFields>
  <formats count="26">
    <format dxfId="150">
      <pivotArea outline="0" fieldPosition="0">
        <references count="1">
          <reference field="4294967294" count="1" selected="0">
            <x v="0"/>
          </reference>
        </references>
      </pivotArea>
    </format>
    <format dxfId="14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8">
      <pivotArea outline="0" fieldPosition="0">
        <references count="1">
          <reference field="4294967294" count="1" selected="0">
            <x v="0"/>
          </reference>
        </references>
      </pivotArea>
    </format>
    <format dxfId="14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6">
      <pivotArea outline="0" fieldPosition="0">
        <references count="1">
          <reference field="4294967294" count="1" selected="0">
            <x v="1"/>
          </reference>
        </references>
      </pivotArea>
    </format>
    <format dxfId="14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44">
      <pivotArea outline="0" fieldPosition="0">
        <references count="1">
          <reference field="4294967294" count="1" selected="0">
            <x v="1"/>
          </reference>
        </references>
      </pivotArea>
    </format>
    <format dxfId="14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42">
      <pivotArea type="all" dataOnly="0" outline="0" fieldPosition="0"/>
    </format>
    <format dxfId="141">
      <pivotArea outline="0" collapsedLevelsAreSubtotals="1" fieldPosition="0"/>
    </format>
    <format dxfId="140">
      <pivotArea field="0" type="button" dataOnly="0" labelOnly="1" outline="0" axis="axisRow" fieldPosition="0"/>
    </format>
    <format dxfId="139">
      <pivotArea field="1" type="button" dataOnly="0" labelOnly="1" outline="0" axis="axisRow" fieldPosition="1"/>
    </format>
    <format dxfId="138">
      <pivotArea dataOnly="0" labelOnly="1" outline="0" fieldPosition="0">
        <references count="1">
          <reference field="0" count="0"/>
        </references>
      </pivotArea>
    </format>
    <format dxfId="137">
      <pivotArea dataOnly="0" labelOnly="1" outline="0" fieldPosition="0">
        <references count="1">
          <reference field="0" count="0" defaultSubtotal="1"/>
        </references>
      </pivotArea>
    </format>
    <format dxfId="136">
      <pivotArea dataOnly="0" labelOnly="1" grandRow="1" outline="0" fieldPosition="0"/>
    </format>
    <format dxfId="135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3">
      <pivotArea type="all" dataOnly="0" outline="0" fieldPosition="0"/>
    </format>
    <format dxfId="132">
      <pivotArea outline="0" collapsedLevelsAreSubtotals="1" fieldPosition="0"/>
    </format>
    <format dxfId="131">
      <pivotArea field="0" type="button" dataOnly="0" labelOnly="1" outline="0" axis="axisRow" fieldPosition="0"/>
    </format>
    <format dxfId="130">
      <pivotArea field="1" type="button" dataOnly="0" labelOnly="1" outline="0" axis="axisRow" fieldPosition="1"/>
    </format>
    <format dxfId="129">
      <pivotArea dataOnly="0" labelOnly="1" outline="0" fieldPosition="0">
        <references count="1">
          <reference field="0" count="0"/>
        </references>
      </pivotArea>
    </format>
    <format dxfId="128">
      <pivotArea dataOnly="0" labelOnly="1" outline="0" fieldPosition="0">
        <references count="1">
          <reference field="0" count="0" defaultSubtotal="1"/>
        </references>
      </pivotArea>
    </format>
    <format dxfId="127">
      <pivotArea dataOnly="0" labelOnly="1" grandRow="1" outline="0" fieldPosition="0"/>
    </format>
    <format dxfId="12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195A8B39-0873-499B-8BE7-05BD6DC52E0F}" autoFormatId="16" applyNumberFormats="0" applyBorderFormats="0" applyFontFormats="0" applyPatternFormats="0" applyAlignmentFormats="0" applyWidthHeightFormats="0">
  <queryTableRefresh nextId="5">
    <queryTableFields count="4">
      <queryTableField id="1" name="Année" tableColumnId="1"/>
      <queryTableField id="2" name="Mois" tableColumnId="2"/>
      <queryTableField id="3" name="Delta (h)" tableColumnId="3"/>
      <queryTableField id="4" name="Delta (d)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" xr16:uid="{472B94E1-BDA7-45D2-AF30-1E8A43C0295E}" autoFormatId="16" applyNumberFormats="0" applyBorderFormats="0" applyFontFormats="0" applyPatternFormats="0" applyAlignmentFormats="0" applyWidthHeightFormats="0">
  <queryTableRefresh nextId="6">
    <queryTableFields count="5">
      <queryTableField id="1" name="Année" tableColumnId="1"/>
      <queryTableField id="2" name="Mois" tableColumnId="2"/>
      <queryTableField id="3" name="Semaine" tableColumnId="3"/>
      <queryTableField id="4" name="Delta (h)" tableColumnId="4"/>
      <queryTableField id="5" name="Delta (d)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adjustColumnWidth="0" connectionId="2" xr16:uid="{8D085F05-60B7-4DBF-96AB-01601D0D1206}" autoFormatId="16" applyNumberFormats="0" applyBorderFormats="0" applyFontFormats="0" applyPatternFormats="0" applyAlignmentFormats="0" applyWidthHeightFormats="0">
  <queryTableRefresh nextId="8">
    <queryTableFields count="5">
      <queryTableField id="1" name="Année" tableColumnId="1"/>
      <queryTableField id="6" name="Mois" tableColumnId="6"/>
      <queryTableField id="3" name="Semaine" tableColumnId="3"/>
      <queryTableField id="4" name="Delta (h)" tableColumnId="4"/>
      <queryTableField id="5" name="Delta (d)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7274A00-8D05-4A73-B03E-A160BABDF814}" name="Delta_mensuel" displayName="Delta_mensuel" ref="P2:S13" tableType="queryTable" totalsRowShown="0">
  <autoFilter ref="P2:S13" xr:uid="{A7274A00-8D05-4A73-B03E-A160BABDF814}">
    <filterColumn colId="0" hiddenButton="1"/>
    <filterColumn colId="1" hiddenButton="1"/>
    <filterColumn colId="2" hiddenButton="1"/>
    <filterColumn colId="3" hiddenButton="1"/>
  </autoFilter>
  <tableColumns count="4">
    <tableColumn id="1" xr3:uid="{93BA53EC-C5CE-45DB-9F93-94EB91136530}" uniqueName="1" name="Année" queryTableFieldId="1" dataDxfId="83"/>
    <tableColumn id="2" xr3:uid="{87A6AC31-AD7B-4834-8C6E-7EEEE7DB3855}" uniqueName="2" name="Mois" queryTableFieldId="2" dataDxfId="82"/>
    <tableColumn id="3" xr3:uid="{EBE244A2-798F-4EF4-9C81-382C590AC801}" uniqueName="3" name="Delta (h)" queryTableFieldId="3" dataDxfId="81"/>
    <tableColumn id="4" xr3:uid="{3C9C17B5-8984-42A4-8CA5-9D5A2C1C3DF3}" uniqueName="4" name="Delta (d)" queryTableFieldId="4" dataDxfId="8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FEC5756-064B-4083-8E81-375602A884F4}" name="Delta_hebdomadaire" displayName="Delta_hebdomadaire" ref="U2:Y58" tableType="queryTable" totalsRowShown="0" headerRowDxfId="445">
  <autoFilter ref="U2:Y58" xr:uid="{FFEC5756-064B-4083-8E81-375602A884F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D22538B-F38A-4899-B02D-CE71D8936290}" uniqueName="1" name="Année" queryTableFieldId="1" dataDxfId="88"/>
    <tableColumn id="2" xr3:uid="{F085F0AF-4B8E-4A44-A58B-584B3C34FDE6}" uniqueName="2" name="Mois" queryTableFieldId="2" dataDxfId="87"/>
    <tableColumn id="3" xr3:uid="{4AAF3DA3-B805-47B8-889E-1095A73C49A9}" uniqueName="3" name="Semaine" queryTableFieldId="3" dataDxfId="86"/>
    <tableColumn id="4" xr3:uid="{FCF2658B-C090-4540-B686-9A3E561D32D2}" uniqueName="4" name="Delta (h)" queryTableFieldId="4" dataDxfId="85"/>
    <tableColumn id="5" xr3:uid="{354EB99F-CD44-4737-912F-237E8B557015}" uniqueName="5" name="Delta (d)" queryTableFieldId="5" dataDxfId="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E230201-27A5-46B8-8DFB-F042AFD67D1C}" name="t_Récup" displayName="t_Récup" ref="E2:I3" totalsRowShown="0" headerRowDxfId="89" headerRowBorderDxfId="92" tableBorderDxfId="93">
  <autoFilter ref="E2:I3" xr:uid="{8E230201-27A5-46B8-8DFB-F042AFD67D1C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0EE324F-0DD4-42E2-B9A9-3001DAE828BD}" name="Année"/>
    <tableColumn id="2" xr3:uid="{A740767F-27C6-4A27-B5F7-B8CA92609B25}" name="Mois"/>
    <tableColumn id="3" xr3:uid="{59B02A69-0938-4AE5-B06F-E90D611C1249}" name="Semaine"/>
    <tableColumn id="4" xr3:uid="{BCBAAAB0-C5B3-4C4F-A18C-0A69F350346D}" name="Delta (h)" dataDxfId="91"/>
    <tableColumn id="5" xr3:uid="{885F3474-493E-438F-8117-66CD72F33C4C}" name="Delta (d)" dataDxfId="90">
      <calculatedColumnFormula>H3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A50B419-EE95-4815-8747-AB66D680755D}" name="Delta_hebdomadaire__2" displayName="Delta_hebdomadaire__2" ref="AA2:AE58" tableType="queryTable" totalsRowShown="0">
  <autoFilter ref="AA2:AE58" xr:uid="{EA50B419-EE95-4815-8747-AB66D680755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A6BABF0-6760-4902-BABB-BBCDF01DB219}" uniqueName="1" name="Année" queryTableFieldId="1" dataDxfId="79"/>
    <tableColumn id="6" xr3:uid="{6359076C-8955-4C01-86AB-24561B28C633}" uniqueName="6" name="Mois" queryTableFieldId="6"/>
    <tableColumn id="3" xr3:uid="{1284A095-0E93-4302-B79E-4CCADBABE68D}" uniqueName="3" name="Semaine" queryTableFieldId="3" dataDxfId="78"/>
    <tableColumn id="4" xr3:uid="{E74DB836-B81A-445D-BA64-657716827F38}" uniqueName="4" name="Delta (h)" queryTableFieldId="4" dataDxfId="77"/>
    <tableColumn id="5" xr3:uid="{74AD0E1C-FA5B-472F-82AD-B99625242C5D}" uniqueName="5" name="Delta (d)" queryTableFieldId="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6407E-6E79-499C-9008-1F57661897F3}" name="Tableau4_2025" displayName="Tableau4_2025" ref="A1:H31" totalsRowShown="0">
  <autoFilter ref="A1:H31" xr:uid="{F3F6407E-6E79-499C-9008-1F57661897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5E80E94-CD0A-44B4-93EB-F7EAAB909F73}" name="Date" dataDxfId="425"/>
    <tableColumn id="2" xr3:uid="{48C02C1F-93B2-4BB1-92C8-31A233927A4D}" name="Arrivée" dataDxfId="424"/>
    <tableColumn id="3" xr3:uid="{CD740E66-6627-4A9C-A7E5-F8DF925DA15F}" name="Départ" dataDxfId="423"/>
    <tableColumn id="4" xr3:uid="{1AE739FA-4771-48E3-B96E-1AF70B88D872}" name="Pause" dataDxfId="422"/>
    <tableColumn id="5" xr3:uid="{76119993-7734-4038-A81E-24EB41D4E56D}" name="Temps travail" dataDxfId="421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FAF31BEA-F57E-4E13-A8AA-579A915418D8}" name="Delta (h)" dataDxfId="420">
      <calculatedColumnFormula>IF(Tableau4_2025[[#This Row],[Temps travail]]&gt;TempsTravail,Tableau4_2025[[#This Row],[Temps travail]]-TempsTravail,0)</calculatedColumnFormula>
    </tableColumn>
    <tableColumn id="7" xr3:uid="{2A8E36CD-9D31-45D3-BC21-9DA6A12FC472}" name="Delta (d)" dataDxfId="419">
      <calculatedColumnFormula>IF(Tableau4_2025[[#This Row],[Temps travail]]&gt;TempsTravail,Tableau4_2025[[#This Row],[Temps travail]]*24-TempsTravail*24,0)</calculatedColumnFormula>
    </tableColumn>
    <tableColumn id="8" xr3:uid="{575AAA24-DD25-4D6D-9F68-1654D62A519A}" name="Semaine">
      <calculatedColumnFormula>WEEKNUM(A2,2)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1ECA7B-A272-4ED2-8891-48D8814E7730}" name="Tableau5_2025" displayName="Tableau5_2025" ref="A1:H32" totalsRowShown="0">
  <autoFilter ref="A1:H32" xr:uid="{871ECA7B-A272-4ED2-8891-48D8814E773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A2A6720-000E-43EC-AEDA-7A50443C65D0}" name="Date" dataDxfId="399"/>
    <tableColumn id="2" xr3:uid="{20C7E0C9-2D7C-4061-AE09-07FBB1F271A6}" name="Arrivée" dataDxfId="398"/>
    <tableColumn id="3" xr3:uid="{5144944C-63CB-478E-9809-66D7492A7A06}" name="Départ" dataDxfId="397"/>
    <tableColumn id="4" xr3:uid="{69C42020-762C-40F8-B848-12C44ABD3619}" name="Pause" dataDxfId="396"/>
    <tableColumn id="5" xr3:uid="{3D4724E2-5A0B-4FFD-B144-3F9B76C13849}" name="Temps travail" dataDxfId="395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605F6BF2-0A0C-4EC3-9A6B-6B4AA378E66D}" name="Delta (h)" dataDxfId="394">
      <calculatedColumnFormula>IF(Tableau4_2025[[#This Row],[Temps travail]]&gt;TempsTravail,Tableau4_2025[[#This Row],[Temps travail]]-TempsTravail,0)</calculatedColumnFormula>
    </tableColumn>
    <tableColumn id="7" xr3:uid="{B11943A4-F514-4307-BE59-8F6BA88DE7B1}" name="Delta (d)" dataDxfId="393">
      <calculatedColumnFormula>IF(Tableau4_2025[[#This Row],[Temps travail]]&gt;TempsTravail,Tableau4_2025[[#This Row],[Temps travail]]*24-TempsTravail*24,0)</calculatedColumnFormula>
    </tableColumn>
    <tableColumn id="8" xr3:uid="{1D04B13C-4C6E-4DB2-BB43-588B243C8063}" name="Semaine">
      <calculatedColumnFormula>WEEKNUM(A2,2)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42797D-DB08-49EA-901C-50DC883715BD}" name="Tableau6_2025" displayName="Tableau6_2025" ref="A1:H31" totalsRowShown="0">
  <autoFilter ref="A1:H31" xr:uid="{6A42797D-DB08-49EA-901C-50DC883715B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8BDEC63-A73D-4438-8BBC-3451389E36F8}" name="Date" dataDxfId="373"/>
    <tableColumn id="2" xr3:uid="{8F336480-863D-4D3E-A807-1660F0872AAF}" name="Arrivée" dataDxfId="372"/>
    <tableColumn id="3" xr3:uid="{5632B11F-B292-43D6-8C5D-98E374872C59}" name="Départ" dataDxfId="371"/>
    <tableColumn id="4" xr3:uid="{532AB8BF-CD19-484E-A8F7-F49856F275DE}" name="Pause" dataDxfId="370"/>
    <tableColumn id="5" xr3:uid="{7F90D1FD-8E76-4096-B076-E289AF9F41D4}" name="Temps travail" dataDxfId="369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519342AE-90BF-4E3F-9CC5-34346C91313F}" name="Delta (h)" dataDxfId="368">
      <calculatedColumnFormula>IF(Tableau4_2025[[#This Row],[Temps travail]]&gt;TempsTravail,Tableau4_2025[[#This Row],[Temps travail]]-TempsTravail,0)</calculatedColumnFormula>
    </tableColumn>
    <tableColumn id="7" xr3:uid="{6D8E0832-A1B0-409E-B7B3-BC9A59949373}" name="Delta (d)" dataDxfId="367">
      <calculatedColumnFormula>IF(Tableau4_2025[[#This Row],[Temps travail]]&gt;TempsTravail,Tableau4_2025[[#This Row],[Temps travail]]*24-TempsTravail*24,0)</calculatedColumnFormula>
    </tableColumn>
    <tableColumn id="8" xr3:uid="{B36E02C8-8665-47E7-B859-49D7839FBA58}" name="Semaine">
      <calculatedColumnFormula>WEEKNUM(A2,2)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BE7318-D266-42BD-B334-D765337E39B6}" name="Tableau7_2025" displayName="Tableau7_2025" ref="A1:H32" totalsRowShown="0">
  <autoFilter ref="A1:H32" xr:uid="{15BE7318-D266-42BD-B334-D765337E39B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55CF05B3-D79B-44B1-B93B-1F3AF87F717F}" name="Date" dataDxfId="347"/>
    <tableColumn id="2" xr3:uid="{79407628-C81E-43AF-8739-4213F0052616}" name="Arrivée" dataDxfId="346"/>
    <tableColumn id="3" xr3:uid="{34FDEBD2-8F3B-4F44-97D4-D4E7F26F284B}" name="Départ" dataDxfId="345"/>
    <tableColumn id="4" xr3:uid="{9BA1C22D-FEF3-4829-98AE-207DF0A23727}" name="Pause" dataDxfId="344"/>
    <tableColumn id="5" xr3:uid="{FB47A3AF-000A-4AD3-8FF2-A69DD0B7F95A}" name="Temps travail" dataDxfId="343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D71B5655-FB67-469A-8F1A-8DEA34B31713}" name="Delta (h)" dataDxfId="342">
      <calculatedColumnFormula>IF(Tableau4_2025[[#This Row],[Temps travail]]&gt;TempsTravail,Tableau4_2025[[#This Row],[Temps travail]]-TempsTravail,0)</calculatedColumnFormula>
    </tableColumn>
    <tableColumn id="7" xr3:uid="{E3D07832-083D-41DF-B8F6-1360F51BE98A}" name="Delta (d)" dataDxfId="341">
      <calculatedColumnFormula>IF(Tableau4_2025[[#This Row],[Temps travail]]&gt;TempsTravail,Tableau4_2025[[#This Row],[Temps travail]]*24-TempsTravail*24,0)</calculatedColumnFormula>
    </tableColumn>
    <tableColumn id="8" xr3:uid="{7611A60B-0695-43F0-A0B8-15DBE48F8104}" name="Semaine">
      <calculatedColumnFormula>WEEKNUM(A2,2)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E719D00-A039-4707-B424-C1FC15D24F26}" name="Tableau8_2025" displayName="Tableau8_2025" ref="A1:H32" totalsRowShown="0" headerRowDxfId="321" dataDxfId="320">
  <autoFilter ref="A1:H32" xr:uid="{BE719D00-A039-4707-B424-C1FC15D24F2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DD059B4-8253-4621-9818-34FCC8FEBD12}" name="Date" dataDxfId="319"/>
    <tableColumn id="2" xr3:uid="{24AFCD9C-29EC-4BAA-A9C6-AD98652CA13E}" name="Arrivée" dataDxfId="318"/>
    <tableColumn id="3" xr3:uid="{11A7C163-1483-41CA-9158-E36B6B75DEBC}" name="Départ" dataDxfId="317"/>
    <tableColumn id="4" xr3:uid="{28B8837F-FEBB-4072-82B9-D7A102A836CC}" name="Pause" dataDxfId="316"/>
    <tableColumn id="5" xr3:uid="{2A21371B-A444-4944-945F-1128C4B9BDE2}" name="Temps travail" dataDxfId="315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032C1309-438C-442F-9588-F851371E607B}" name="Delta (h)" dataDxfId="314">
      <calculatedColumnFormula>IF(Tableau4_2025[[#This Row],[Temps travail]]&gt;TempsTravail,Tableau4_2025[[#This Row],[Temps travail]]-TempsTravail,0)</calculatedColumnFormula>
    </tableColumn>
    <tableColumn id="7" xr3:uid="{4BF1F3AE-3FFD-443F-AFF9-84FA262565F4}" name="Delta (d)" dataDxfId="313">
      <calculatedColumnFormula>IF(Tableau4_2025[[#This Row],[Temps travail]]&gt;TempsTravail,Tableau4_2025[[#This Row],[Temps travail]]*24-TempsTravail*24,0)</calculatedColumnFormula>
    </tableColumn>
    <tableColumn id="8" xr3:uid="{5584CD68-9A6D-4218-BBC7-35F7E636896A}" name="Semaine" dataDxfId="312">
      <calculatedColumnFormula>WEEKNUM(A2,2)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9721FA4-545C-4E14-8149-83D3ED8ECEE5}" name="Tableau9_2025" displayName="Tableau9_2025" ref="A1:H31" totalsRowShown="0">
  <autoFilter ref="A1:H31" xr:uid="{A9721FA4-545C-4E14-8149-83D3ED8ECEE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C515F09E-1FFA-422F-B634-96042CF528A3}" name="Date" dataDxfId="292"/>
    <tableColumn id="2" xr3:uid="{14A38FB2-B700-4B09-8DC6-83A350BBC07B}" name="Arrivée" dataDxfId="291"/>
    <tableColumn id="3" xr3:uid="{931B494E-AF79-42EB-AE08-E4D95F230D29}" name="Départ" dataDxfId="290"/>
    <tableColumn id="4" xr3:uid="{B96859AD-D0DE-4463-A963-C0BF68387D3F}" name="Pause" dataDxfId="289"/>
    <tableColumn id="5" xr3:uid="{93523D78-18EC-4BC5-A2E4-3D195678D175}" name="Temps travail" dataDxfId="288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29C5FA24-62FE-47DA-B0B5-60D748672EBB}" name="Delta (h)" dataDxfId="287">
      <calculatedColumnFormula>IF(Tableau4_2025[[#This Row],[Temps travail]]&gt;TempsTravail,Tableau4_2025[[#This Row],[Temps travail]]-TempsTravail,0)</calculatedColumnFormula>
    </tableColumn>
    <tableColumn id="7" xr3:uid="{34B175D6-ADA9-4143-857A-62104EE816B2}" name="Delta (d)" dataDxfId="286">
      <calculatedColumnFormula>IF(Tableau4_2025[[#This Row],[Temps travail]]&gt;TempsTravail,Tableau4_2025[[#This Row],[Temps travail]]*24-TempsTravail*24,0)</calculatedColumnFormula>
    </tableColumn>
    <tableColumn id="8" xr3:uid="{A37A3DC4-1C99-43A8-92B9-5083D120410D}" name="Semaine">
      <calculatedColumnFormula>WEEKNUM(A2,2)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A378911-5102-4EEC-8BEF-3AE6F055354D}" name="Tableau10_2025" displayName="Tableau10_2025" ref="A1:H32" totalsRowShown="0">
  <autoFilter ref="A1:H32" xr:uid="{DA378911-5102-4EEC-8BEF-3AE6F055354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AFFA3C6B-E007-4634-9E06-02B7DF31C2C3}" name="Date" dataDxfId="266"/>
    <tableColumn id="2" xr3:uid="{3697CF66-ACF0-405D-9340-E8D979B859E9}" name="Arrivée" dataDxfId="265"/>
    <tableColumn id="3" xr3:uid="{680522A0-945D-4493-855E-DFEEA775EE07}" name="Départ" dataDxfId="264"/>
    <tableColumn id="4" xr3:uid="{8117CB8E-F390-44B9-9649-8FA3BE8FE4EC}" name="Pause" dataDxfId="263"/>
    <tableColumn id="5" xr3:uid="{C394203C-97B0-49F3-97B6-8FD3F98A15DE}" name="Temps travail" dataDxfId="262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D0C109E1-330C-4A8B-92AF-D394BEA1A9E5}" name="Delta (h)" dataDxfId="261">
      <calculatedColumnFormula>IF(Tableau4_2025[[#This Row],[Temps travail]]&gt;TempsTravail,Tableau4_2025[[#This Row],[Temps travail]]-TempsTravail,0)</calculatedColumnFormula>
    </tableColumn>
    <tableColumn id="7" xr3:uid="{7D3F3D74-0FE9-4FCE-880F-0D23AB7C0CAB}" name="Delta (d)" dataDxfId="260">
      <calculatedColumnFormula>IF(Tableau4_2025[[#This Row],[Temps travail]]&gt;TempsTravail,Tableau4_2025[[#This Row],[Temps travail]]*24-TempsTravail*24,0)</calculatedColumnFormula>
    </tableColumn>
    <tableColumn id="8" xr3:uid="{D7AB74FC-0D03-4B0B-9872-C29F7DFDA09A}" name="Semaine">
      <calculatedColumnFormula>WEEKNUM(A2,2)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A6379B7-3227-48A4-9EAA-3A6A58126074}" name="Tableau11_2025" displayName="Tableau11_2025" ref="A1:H31" totalsRowShown="0">
  <autoFilter ref="A1:H31" xr:uid="{6A6379B7-3227-48A4-9EAA-3A6A581260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46892A3-B5B0-4E38-9ACE-7D9CD2BE2FA9}" name="Date" dataDxfId="240"/>
    <tableColumn id="2" xr3:uid="{7747087B-D2F1-42CC-AB2B-B92606872E5B}" name="Arrivée" dataDxfId="239"/>
    <tableColumn id="3" xr3:uid="{BD0E05FF-540B-4B2A-BDBF-B4B6C076DE49}" name="Départ" dataDxfId="238"/>
    <tableColumn id="4" xr3:uid="{C9C591F6-C9B5-4DC5-A85B-416BA303A2EC}" name="Pause" dataDxfId="237"/>
    <tableColumn id="5" xr3:uid="{5A2F4CA0-63BB-4944-86AD-9CE2159ECFCF}" name="Temps travail" dataDxfId="236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FC6AED6B-E73E-4E13-8927-2195A71D124E}" name="Delta (h)" dataDxfId="235">
      <calculatedColumnFormula>IF(Tableau4_2025[[#This Row],[Temps travail]]&gt;TempsTravail,Tableau4_2025[[#This Row],[Temps travail]]-TempsTravail,0)</calculatedColumnFormula>
    </tableColumn>
    <tableColumn id="7" xr3:uid="{75DB488D-5A90-4916-B63D-8560EF39BBC3}" name="Delta (d)" dataDxfId="234">
      <calculatedColumnFormula>IF(Tableau4_2025[[#This Row],[Temps travail]]&gt;TempsTravail,Tableau4_2025[[#This Row],[Temps travail]]*24-TempsTravail*24,0)</calculatedColumnFormula>
    </tableColumn>
    <tableColumn id="8" xr3:uid="{F1BE02ED-541E-478C-AE01-B70A902AA537}" name="Semaine">
      <calculatedColumnFormula>WEEKNUM(A2,2)</calculatedColumnFormula>
    </tableColumn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C0DD5E-4A35-4B4F-91AA-43D4EF3FD16D}" name="Tableau12_2025" displayName="Tableau12_2025" ref="A1:H32" totalsRowShown="0">
  <autoFilter ref="A1:H32" xr:uid="{FEC0DD5E-4A35-4B4F-91AA-43D4EF3FD16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704D04DB-5070-41C3-9992-60003C11A039}" name="Date" dataDxfId="214"/>
    <tableColumn id="2" xr3:uid="{0E512EB5-27DC-4505-A9B9-1482319845DE}" name="Arrivée" dataDxfId="213"/>
    <tableColumn id="3" xr3:uid="{EB3DC14C-C5E9-40EC-ABBD-3FEFEB89DB5E}" name="Départ" dataDxfId="212"/>
    <tableColumn id="4" xr3:uid="{4C1D816E-5AB7-43BD-8379-6AED5BC7816F}" name="Pause" dataDxfId="211"/>
    <tableColumn id="5" xr3:uid="{07DD6C17-6456-4FC7-A7D7-B2B5F43498F2}" name="Temps travail" dataDxfId="210">
      <calculatedColumnFormula>IF(Tableau4_2025[[#This Row],[Arrivée]]&lt;&gt;"",(Tableau4_2025[[#This Row],[Départ]] - Tableau4_2025[[#This Row],[Arrivée]]) - Tableau4_2025[[#This Row],[Pause]],0)</calculatedColumnFormula>
    </tableColumn>
    <tableColumn id="6" xr3:uid="{18A7D4F1-1985-4930-8C98-27B266F8816B}" name="Delta (h)" dataDxfId="209">
      <calculatedColumnFormula>IF(Tableau4_2025[[#This Row],[Temps travail]]&gt;TempsTravail,Tableau4_2025[[#This Row],[Temps travail]]-TempsTravail,0)</calculatedColumnFormula>
    </tableColumn>
    <tableColumn id="7" xr3:uid="{2DD55F4A-511A-46C1-B64E-5CDD8FC9C390}" name="Delta (d)" dataDxfId="208">
      <calculatedColumnFormula>IF(Tableau4_2025[[#This Row],[Temps travail]]&gt;TempsTravail,Tableau4_2025[[#This Row],[Temps travail]]*24-TempsTravail*24,0)</calculatedColumnFormula>
    </tableColumn>
    <tableColumn id="8" xr3:uid="{E8005FC7-9CA7-42FC-B9D3-171030AE11BD}" name="Semaine">
      <calculatedColumnFormula>WEEKNUM(A2,2)</calculatedColumnFormula>
    </tableColumn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DA49D91-A927-412F-95E4-AF6580ED482D}" name="Tableau1_2026" displayName="Tableau1_2026" ref="B2:I32" totalsRowShown="0" headerRowDxfId="160" dataDxfId="159">
  <autoFilter ref="B2:I32" xr:uid="{F3F6407E-6E79-499C-9008-1F57661897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E4A79206-6219-4A62-A0A3-692D92785B72}" name="Date" dataDxfId="158"/>
    <tableColumn id="2" xr3:uid="{7834224C-7D80-4EFE-904A-A16760C394F0}" name="Arrivée" dataDxfId="157"/>
    <tableColumn id="3" xr3:uid="{D485BCB3-E45A-48D5-99AE-EB8BB1EB7D4F}" name="Départ" dataDxfId="156"/>
    <tableColumn id="4" xr3:uid="{01F5EE64-5053-4FA4-A801-D77EF7A6292D}" name="Pause" dataDxfId="155"/>
    <tableColumn id="5" xr3:uid="{0D7E7F17-ACB1-4DB0-A52B-2545642950F2}" name="Temps travail" dataDxfId="154">
      <calculatedColumnFormula>IF(Tableau1_2026[[#This Row],[Arrivée]]&lt;&gt;"",(Tableau1_2026[[#This Row],[Départ]] - Tableau1_2026[[#This Row],[Arrivée]]) - Tableau1_2026[[#This Row],[Pause]],0)</calculatedColumnFormula>
    </tableColumn>
    <tableColumn id="6" xr3:uid="{25B2EFFA-EBAB-49E0-9863-9093F5A924E0}" name="Delta (h)" dataDxfId="153">
      <calculatedColumnFormula>IF(Tableau1_2026[[#This Row],[Temps travail]]&gt;TempsTravail,Tableau1_2026[[#This Row],[Temps travail]]-TempsTravail,0)</calculatedColumnFormula>
    </tableColumn>
    <tableColumn id="7" xr3:uid="{CA322608-06E4-44CA-A565-D3A37D2EECA7}" name="Delta (d)" dataDxfId="152">
      <calculatedColumnFormula>IF(Tableau1_2026[[#This Row],[Temps travail]]&gt;TempsTravail,Tableau1_2026[[#This Row],[Temps travail]]*24-TempsTravail*24,0)</calculatedColumnFormula>
    </tableColumn>
    <tableColumn id="8" xr3:uid="{C0B4F0E8-4108-48F0-A28B-9153F8D4D0D0}" name="Semaine" dataDxfId="151">
      <calculatedColumnFormula>WEEKNUM(B3,2)</calculatedColumnFormula>
    </tableColumn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91A7704-4E56-44EF-B271-5D77ED419D74}" name="Tableau2_2026" displayName="Tableau2_2026" ref="B2:I30" totalsRowShown="0" headerRowDxfId="103" dataDxfId="102">
  <autoFilter ref="B2:I30" xr:uid="{F3F6407E-6E79-499C-9008-1F57661897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C4755F07-C869-44F0-B363-300FD9387D8C}" name="Date" dataDxfId="101"/>
    <tableColumn id="2" xr3:uid="{A1C6DEB2-309E-4EAD-AFA5-7F3A5A0516D3}" name="Arrivée" dataDxfId="100"/>
    <tableColumn id="3" xr3:uid="{7AC67DC0-5D94-4107-AB59-FF842815A8BB}" name="Départ" dataDxfId="99"/>
    <tableColumn id="4" xr3:uid="{AB6BCE87-4B5C-4C66-A077-E600B789E508}" name="Pause" dataDxfId="98"/>
    <tableColumn id="5" xr3:uid="{E6FF23F7-EFE4-4700-8D7D-6BA0E8E40E19}" name="Temps travail" dataDxfId="97">
      <calculatedColumnFormula>IF(Tableau2_2026[[#This Row],[Arrivée]]&lt;&gt;"",(Tableau2_2026[[#This Row],[Départ]] - Tableau2_2026[[#This Row],[Arrivée]]) - Tableau2_2026[[#This Row],[Pause]],0)</calculatedColumnFormula>
    </tableColumn>
    <tableColumn id="6" xr3:uid="{2189AC09-0774-45E8-9D19-9C2B5EC829ED}" name="Delta (h)" dataDxfId="96">
      <calculatedColumnFormula>IF(Tableau2_2026[[#This Row],[Temps travail]]&gt;TempsTravail,Tableau2_2026[[#This Row],[Temps travail]]-TempsTravail,0)</calculatedColumnFormula>
    </tableColumn>
    <tableColumn id="7" xr3:uid="{B07AC48F-7266-4C3B-B15A-CBD8C527AF50}" name="Delta (d)" dataDxfId="95">
      <calculatedColumnFormula>IF(Tableau2_2026[[#This Row],[Temps travail]]&gt;TempsTravail,Tableau2_2026[[#This Row],[Temps travail]]*24-TempsTravail*24,0)</calculatedColumnFormula>
    </tableColumn>
    <tableColumn id="8" xr3:uid="{D4D01D14-1BEA-428A-98A1-BBDD52638147}" name="Semaine" dataDxfId="94">
      <calculatedColumnFormula>WEEKNUM(B3,2)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pivotTable" Target="../pivotTables/pivotTable16.xml"/><Relationship Id="rId1" Type="http://schemas.openxmlformats.org/officeDocument/2006/relationships/pivotTable" Target="../pivotTables/pivotTable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9.xml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Relationship Id="rId5" Type="http://schemas.openxmlformats.org/officeDocument/2006/relationships/table" Target="../tables/table13.xml"/><Relationship Id="rId4" Type="http://schemas.openxmlformats.org/officeDocument/2006/relationships/pivotTable" Target="../pivotTables/pivotTable2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pivotTable" Target="../pivotTables/pivotTable24.xml"/><Relationship Id="rId1" Type="http://schemas.openxmlformats.org/officeDocument/2006/relationships/pivotTable" Target="../pivotTables/pivotTable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84A8-2D72-4FD0-AE4A-33722631AD76}">
  <dimension ref="B1:AE58"/>
  <sheetViews>
    <sheetView showGridLines="0" zoomScale="73" zoomScaleNormal="73" workbookViewId="0">
      <selection activeCell="E4" sqref="E4"/>
    </sheetView>
  </sheetViews>
  <sheetFormatPr baseColWidth="10" defaultRowHeight="14.4" x14ac:dyDescent="0.3"/>
  <cols>
    <col min="1" max="1" width="2.77734375" customWidth="1"/>
    <col min="2" max="2" width="14.77734375" customWidth="1"/>
    <col min="3" max="3" width="7.77734375" customWidth="1"/>
    <col min="4" max="4" width="2.77734375" customWidth="1"/>
    <col min="5" max="5" width="11.77734375" customWidth="1"/>
    <col min="6" max="6" width="9.21875" bestFit="1" customWidth="1"/>
    <col min="10" max="10" width="2.77734375" customWidth="1"/>
    <col min="11" max="11" width="5.33203125" bestFit="1" customWidth="1"/>
    <col min="12" max="12" width="2.77734375" customWidth="1"/>
    <col min="13" max="13" width="9.6640625" bestFit="1" customWidth="1"/>
    <col min="14" max="15" width="2.77734375" customWidth="1"/>
    <col min="16" max="16" width="8.77734375" customWidth="1"/>
    <col min="17" max="17" width="12.77734375" customWidth="1"/>
    <col min="18" max="19" width="9.77734375" customWidth="1"/>
    <col min="20" max="20" width="2.77734375" customWidth="1"/>
    <col min="21" max="21" width="8.77734375" customWidth="1"/>
    <col min="22" max="22" width="12.77734375" customWidth="1"/>
    <col min="23" max="25" width="9.77734375" customWidth="1"/>
    <col min="26" max="26" width="2.77734375" customWidth="1"/>
    <col min="27" max="27" width="9.44140625" bestFit="1" customWidth="1"/>
    <col min="28" max="28" width="9.77734375" bestFit="1" customWidth="1"/>
    <col min="29" max="29" width="11.21875" bestFit="1" customWidth="1"/>
    <col min="30" max="31" width="12.88671875" bestFit="1" customWidth="1"/>
    <col min="33" max="33" width="20.5546875" bestFit="1" customWidth="1"/>
    <col min="34" max="34" width="15.6640625" bestFit="1" customWidth="1"/>
    <col min="35" max="35" width="13.77734375" bestFit="1" customWidth="1"/>
  </cols>
  <sheetData>
    <row r="1" spans="2:31" x14ac:dyDescent="0.3">
      <c r="E1" s="91" t="s">
        <v>43</v>
      </c>
      <c r="F1" s="91"/>
      <c r="G1" s="91"/>
      <c r="H1" s="91"/>
      <c r="I1" s="91"/>
    </row>
    <row r="2" spans="2:31" x14ac:dyDescent="0.3">
      <c r="B2" s="50" t="s">
        <v>4</v>
      </c>
      <c r="C2" s="51">
        <v>0.29166666666666669</v>
      </c>
      <c r="E2" s="86" t="s">
        <v>31</v>
      </c>
      <c r="F2" s="87" t="s">
        <v>32</v>
      </c>
      <c r="G2" s="88" t="s">
        <v>6</v>
      </c>
      <c r="H2" s="88" t="s">
        <v>5</v>
      </c>
      <c r="I2" s="89" t="s">
        <v>20</v>
      </c>
      <c r="K2" t="s">
        <v>31</v>
      </c>
      <c r="M2" t="s">
        <v>32</v>
      </c>
      <c r="P2" s="46" t="s">
        <v>31</v>
      </c>
      <c r="Q2" s="45" t="s">
        <v>32</v>
      </c>
      <c r="R2" s="46" t="s">
        <v>5</v>
      </c>
      <c r="S2" t="s">
        <v>20</v>
      </c>
      <c r="U2" s="46" t="s">
        <v>31</v>
      </c>
      <c r="V2" s="45" t="s">
        <v>32</v>
      </c>
      <c r="W2" s="46" t="s">
        <v>6</v>
      </c>
      <c r="X2" s="46" t="s">
        <v>5</v>
      </c>
      <c r="Y2" s="46" t="s">
        <v>20</v>
      </c>
      <c r="AA2" t="s">
        <v>31</v>
      </c>
      <c r="AB2" t="s">
        <v>32</v>
      </c>
      <c r="AC2" t="s">
        <v>6</v>
      </c>
      <c r="AD2" t="s">
        <v>5</v>
      </c>
      <c r="AE2" t="s">
        <v>20</v>
      </c>
    </row>
    <row r="3" spans="2:31" x14ac:dyDescent="0.3">
      <c r="B3" s="50" t="s">
        <v>3</v>
      </c>
      <c r="C3" s="52">
        <v>4.1666666666666664E-2</v>
      </c>
      <c r="E3">
        <v>2025</v>
      </c>
      <c r="F3" t="s">
        <v>29</v>
      </c>
      <c r="G3">
        <v>53</v>
      </c>
      <c r="H3" s="2">
        <v>0.1875</v>
      </c>
      <c r="I3" s="83">
        <f>H3</f>
        <v>0.1875</v>
      </c>
      <c r="K3" cm="1">
        <f t="array" ref="K3:K4">_xlfn.UNIQUE(Delta_mensuel[Année])</f>
        <v>2025</v>
      </c>
      <c r="M3" t="str" cm="1">
        <f t="array" ref="M3:M13">_xlfn.UNIQUE(Delta_mensuel[Mois])</f>
        <v>avril</v>
      </c>
      <c r="P3" s="46">
        <v>2025</v>
      </c>
      <c r="Q3" s="90" t="s">
        <v>21</v>
      </c>
      <c r="R3" s="53">
        <v>0.21111111111111111</v>
      </c>
      <c r="S3" s="47">
        <v>5.0666666666666638</v>
      </c>
      <c r="U3" s="46">
        <v>2025</v>
      </c>
      <c r="V3" s="85" t="s">
        <v>21</v>
      </c>
      <c r="W3" s="46">
        <v>14</v>
      </c>
      <c r="X3" s="53">
        <v>2.0833333333333333E-3</v>
      </c>
      <c r="Y3" s="47">
        <v>5.0000000000000711E-2</v>
      </c>
      <c r="AA3" s="83">
        <v>2025</v>
      </c>
      <c r="AB3" t="s">
        <v>21</v>
      </c>
      <c r="AC3" s="83">
        <v>14</v>
      </c>
      <c r="AD3" s="83">
        <v>2.0833333333333333E-3</v>
      </c>
      <c r="AE3">
        <v>5.0000000000000711E-2</v>
      </c>
    </row>
    <row r="4" spans="2:31" x14ac:dyDescent="0.3">
      <c r="K4">
        <v>2026</v>
      </c>
      <c r="M4" t="str">
        <v>mai</v>
      </c>
      <c r="P4" s="46">
        <v>2025</v>
      </c>
      <c r="Q4" s="90" t="s">
        <v>22</v>
      </c>
      <c r="R4" s="53">
        <v>0.27708333333333335</v>
      </c>
      <c r="S4" s="47">
        <v>6.6499999999999977</v>
      </c>
      <c r="U4" s="46">
        <v>2025</v>
      </c>
      <c r="V4" s="85" t="s">
        <v>21</v>
      </c>
      <c r="W4" s="46">
        <v>15</v>
      </c>
      <c r="X4" s="53">
        <v>5.7638888888888892E-2</v>
      </c>
      <c r="Y4" s="47">
        <v>1.3833333333333337</v>
      </c>
      <c r="AA4" s="83">
        <v>2025</v>
      </c>
      <c r="AB4" t="s">
        <v>21</v>
      </c>
      <c r="AC4" s="83">
        <v>15</v>
      </c>
      <c r="AD4" s="83">
        <v>5.7638888888888885E-2</v>
      </c>
      <c r="AE4">
        <v>1.3833333333333337</v>
      </c>
    </row>
    <row r="5" spans="2:31" x14ac:dyDescent="0.3">
      <c r="M5" t="str">
        <v>juin</v>
      </c>
      <c r="P5" s="46">
        <v>2025</v>
      </c>
      <c r="Q5" s="90" t="s">
        <v>23</v>
      </c>
      <c r="R5" s="53">
        <v>0.33402777777777776</v>
      </c>
      <c r="S5" s="47">
        <v>8.0166666666666551</v>
      </c>
      <c r="U5" s="46">
        <v>2025</v>
      </c>
      <c r="V5" s="85" t="s">
        <v>21</v>
      </c>
      <c r="W5" s="46">
        <v>16</v>
      </c>
      <c r="X5" s="53">
        <v>5.6944444444444443E-2</v>
      </c>
      <c r="Y5" s="47">
        <v>1.3666666666666671</v>
      </c>
      <c r="AA5" s="83">
        <v>2025</v>
      </c>
      <c r="AB5" t="s">
        <v>21</v>
      </c>
      <c r="AC5" s="83">
        <v>16</v>
      </c>
      <c r="AD5" s="83">
        <v>5.6944444444444443E-2</v>
      </c>
      <c r="AE5">
        <v>1.3666666666666671</v>
      </c>
    </row>
    <row r="6" spans="2:31" x14ac:dyDescent="0.3">
      <c r="M6" t="str">
        <v>juillet</v>
      </c>
      <c r="P6" s="46">
        <v>2025</v>
      </c>
      <c r="Q6" s="90" t="s">
        <v>24</v>
      </c>
      <c r="R6" s="53">
        <v>0.68263888888888891</v>
      </c>
      <c r="S6" s="47">
        <v>16.383333333333319</v>
      </c>
      <c r="U6" s="46">
        <v>2025</v>
      </c>
      <c r="V6" s="85" t="s">
        <v>21</v>
      </c>
      <c r="W6" s="46">
        <v>17</v>
      </c>
      <c r="X6" s="53">
        <v>6.7361111111111108E-2</v>
      </c>
      <c r="Y6" s="47">
        <v>1.6166666666666618</v>
      </c>
      <c r="AA6" s="83">
        <v>2025</v>
      </c>
      <c r="AB6" t="s">
        <v>21</v>
      </c>
      <c r="AC6" s="83">
        <v>17</v>
      </c>
      <c r="AD6" s="83">
        <v>6.7361111111111108E-2</v>
      </c>
      <c r="AE6">
        <v>1.6166666666666618</v>
      </c>
    </row>
    <row r="7" spans="2:31" x14ac:dyDescent="0.3">
      <c r="M7" t="str">
        <v>août</v>
      </c>
      <c r="P7" s="46">
        <v>2025</v>
      </c>
      <c r="Q7" s="90" t="s">
        <v>25</v>
      </c>
      <c r="R7" s="53">
        <v>0.63055555555555554</v>
      </c>
      <c r="S7" s="47">
        <v>15.13333333333332</v>
      </c>
      <c r="U7" s="46">
        <v>2025</v>
      </c>
      <c r="V7" s="85" t="s">
        <v>21</v>
      </c>
      <c r="W7" s="46">
        <v>18</v>
      </c>
      <c r="X7" s="53">
        <v>2.7083333333333334E-2</v>
      </c>
      <c r="Y7" s="47">
        <v>0.65000000000000036</v>
      </c>
      <c r="AA7" s="83">
        <v>2025</v>
      </c>
      <c r="AB7" t="s">
        <v>21</v>
      </c>
      <c r="AC7" s="83">
        <v>18</v>
      </c>
      <c r="AD7" s="83">
        <v>2.7083333333333331E-2</v>
      </c>
      <c r="AE7">
        <v>0.65000000000000036</v>
      </c>
    </row>
    <row r="8" spans="2:31" x14ac:dyDescent="0.3">
      <c r="M8" t="str">
        <v>septembre</v>
      </c>
      <c r="P8" s="46">
        <v>2025</v>
      </c>
      <c r="Q8" s="90" t="s">
        <v>26</v>
      </c>
      <c r="R8" s="53">
        <v>0.55625000000000002</v>
      </c>
      <c r="S8" s="47">
        <v>13.349999999999985</v>
      </c>
      <c r="U8" s="46">
        <v>2025</v>
      </c>
      <c r="V8" s="85" t="s">
        <v>22</v>
      </c>
      <c r="W8" s="46">
        <v>18</v>
      </c>
      <c r="X8" s="53">
        <v>1.7361111111111112E-2</v>
      </c>
      <c r="Y8" s="47">
        <v>0.41666666666666607</v>
      </c>
      <c r="AA8" s="83">
        <v>2025</v>
      </c>
      <c r="AB8" t="s">
        <v>22</v>
      </c>
      <c r="AC8" s="83">
        <v>18</v>
      </c>
      <c r="AD8" s="83">
        <v>1.7361111111111112E-2</v>
      </c>
      <c r="AE8">
        <v>0.41666666666666607</v>
      </c>
    </row>
    <row r="9" spans="2:31" x14ac:dyDescent="0.3">
      <c r="M9" t="str">
        <v>octobre</v>
      </c>
      <c r="P9" s="46">
        <v>2025</v>
      </c>
      <c r="Q9" s="90" t="s">
        <v>27</v>
      </c>
      <c r="R9" s="53">
        <v>0.82916666666666672</v>
      </c>
      <c r="S9" s="47">
        <v>19.899999999999995</v>
      </c>
      <c r="U9" s="46">
        <v>2025</v>
      </c>
      <c r="V9" s="85" t="s">
        <v>22</v>
      </c>
      <c r="W9" s="46">
        <v>19</v>
      </c>
      <c r="X9" s="53">
        <v>8.7499999999999994E-2</v>
      </c>
      <c r="Y9" s="47">
        <v>2.0999999999999979</v>
      </c>
      <c r="AA9" s="83">
        <v>2025</v>
      </c>
      <c r="AB9" t="s">
        <v>22</v>
      </c>
      <c r="AC9" s="83">
        <v>19</v>
      </c>
      <c r="AD9" s="83">
        <v>8.7499999999999994E-2</v>
      </c>
      <c r="AE9">
        <v>2.0999999999999979</v>
      </c>
    </row>
    <row r="10" spans="2:31" x14ac:dyDescent="0.3">
      <c r="M10" t="str">
        <v>novembre</v>
      </c>
      <c r="P10" s="46">
        <v>2025</v>
      </c>
      <c r="Q10" s="90" t="s">
        <v>28</v>
      </c>
      <c r="R10" s="53">
        <v>0.43888888888888888</v>
      </c>
      <c r="S10" s="47">
        <v>10.533333333333319</v>
      </c>
      <c r="U10" s="46">
        <v>2025</v>
      </c>
      <c r="V10" s="85" t="s">
        <v>22</v>
      </c>
      <c r="W10" s="46">
        <v>20</v>
      </c>
      <c r="X10" s="53">
        <v>5.0694444444444445E-2</v>
      </c>
      <c r="Y10" s="47">
        <v>1.2166666666666677</v>
      </c>
      <c r="AA10" s="83">
        <v>2025</v>
      </c>
      <c r="AB10" t="s">
        <v>22</v>
      </c>
      <c r="AC10" s="83">
        <v>20</v>
      </c>
      <c r="AD10" s="83">
        <v>5.0694444444444445E-2</v>
      </c>
      <c r="AE10">
        <v>1.2166666666666677</v>
      </c>
    </row>
    <row r="11" spans="2:31" x14ac:dyDescent="0.3">
      <c r="M11" t="str">
        <v>décembre</v>
      </c>
      <c r="P11" s="46">
        <v>2025</v>
      </c>
      <c r="Q11" s="90" t="s">
        <v>29</v>
      </c>
      <c r="R11" s="53">
        <v>0.37430555555555556</v>
      </c>
      <c r="S11" s="47">
        <v>8.9833333333333201</v>
      </c>
      <c r="U11" s="46">
        <v>2025</v>
      </c>
      <c r="V11" s="85" t="s">
        <v>22</v>
      </c>
      <c r="W11" s="46">
        <v>21</v>
      </c>
      <c r="X11" s="53">
        <v>8.6805555555555552E-2</v>
      </c>
      <c r="Y11" s="47">
        <v>2.0833333333333304</v>
      </c>
      <c r="AA11" s="83">
        <v>2025</v>
      </c>
      <c r="AB11" t="s">
        <v>22</v>
      </c>
      <c r="AC11" s="83">
        <v>21</v>
      </c>
      <c r="AD11" s="83">
        <v>8.6805555555555552E-2</v>
      </c>
      <c r="AE11">
        <v>2.0833333333333304</v>
      </c>
    </row>
    <row r="12" spans="2:31" x14ac:dyDescent="0.3">
      <c r="M12" t="str">
        <v>janvier</v>
      </c>
      <c r="P12" s="46">
        <v>2026</v>
      </c>
      <c r="Q12" s="90" t="s">
        <v>33</v>
      </c>
      <c r="R12" s="53">
        <v>9.7916666666666666E-2</v>
      </c>
      <c r="S12" s="47">
        <v>2.3499999999999979</v>
      </c>
      <c r="U12" s="46">
        <v>2025</v>
      </c>
      <c r="V12" s="85" t="s">
        <v>22</v>
      </c>
      <c r="W12" s="46">
        <v>22</v>
      </c>
      <c r="X12" s="53">
        <v>3.4722222222222224E-2</v>
      </c>
      <c r="Y12" s="47">
        <v>0.8333333333333357</v>
      </c>
      <c r="AA12" s="83">
        <v>2025</v>
      </c>
      <c r="AB12" t="s">
        <v>22</v>
      </c>
      <c r="AC12" s="83">
        <v>22</v>
      </c>
      <c r="AD12" s="83">
        <v>3.4722222222222224E-2</v>
      </c>
      <c r="AE12">
        <v>0.8333333333333357</v>
      </c>
    </row>
    <row r="13" spans="2:31" x14ac:dyDescent="0.3">
      <c r="M13" t="str">
        <v>février</v>
      </c>
      <c r="P13" s="46">
        <v>2026</v>
      </c>
      <c r="Q13" s="90" t="s">
        <v>34</v>
      </c>
      <c r="R13" s="53">
        <v>0</v>
      </c>
      <c r="S13" s="47">
        <v>0</v>
      </c>
      <c r="U13" s="46">
        <v>2025</v>
      </c>
      <c r="V13" s="85" t="s">
        <v>23</v>
      </c>
      <c r="W13" s="46">
        <v>22</v>
      </c>
      <c r="X13" s="53">
        <v>0</v>
      </c>
      <c r="Y13" s="47">
        <v>0</v>
      </c>
      <c r="AA13" s="83">
        <v>2025</v>
      </c>
      <c r="AB13" t="s">
        <v>23</v>
      </c>
      <c r="AC13" s="83">
        <v>22</v>
      </c>
      <c r="AD13" s="83">
        <v>0</v>
      </c>
      <c r="AE13">
        <v>0</v>
      </c>
    </row>
    <row r="14" spans="2:31" x14ac:dyDescent="0.3">
      <c r="U14" s="46">
        <v>2025</v>
      </c>
      <c r="V14" s="85" t="s">
        <v>23</v>
      </c>
      <c r="W14" s="46">
        <v>23</v>
      </c>
      <c r="X14" s="53">
        <v>0.12847222222222221</v>
      </c>
      <c r="Y14" s="47">
        <v>3.0833333333333321</v>
      </c>
      <c r="AA14" s="83">
        <v>2025</v>
      </c>
      <c r="AB14" t="s">
        <v>23</v>
      </c>
      <c r="AC14" s="83">
        <v>23</v>
      </c>
      <c r="AD14" s="83">
        <v>0.12847222222222221</v>
      </c>
      <c r="AE14">
        <v>3.0833333333333321</v>
      </c>
    </row>
    <row r="15" spans="2:31" x14ac:dyDescent="0.3">
      <c r="U15" s="46">
        <v>2025</v>
      </c>
      <c r="V15" s="85" t="s">
        <v>23</v>
      </c>
      <c r="W15" s="46">
        <v>24</v>
      </c>
      <c r="X15" s="53">
        <v>5.6250000000000001E-2</v>
      </c>
      <c r="Y15" s="47">
        <v>1.3499999999999979</v>
      </c>
      <c r="AA15" s="83">
        <v>2025</v>
      </c>
      <c r="AB15" t="s">
        <v>23</v>
      </c>
      <c r="AC15" s="83">
        <v>24</v>
      </c>
      <c r="AD15" s="83">
        <v>5.6249999999999994E-2</v>
      </c>
      <c r="AE15">
        <v>1.3499999999999979</v>
      </c>
    </row>
    <row r="16" spans="2:31" x14ac:dyDescent="0.3">
      <c r="U16" s="46">
        <v>2025</v>
      </c>
      <c r="V16" s="85" t="s">
        <v>23</v>
      </c>
      <c r="W16" s="46">
        <v>25</v>
      </c>
      <c r="X16" s="53">
        <v>7.1527777777777773E-2</v>
      </c>
      <c r="Y16" s="47">
        <v>1.716666666666665</v>
      </c>
      <c r="AA16" s="83">
        <v>2025</v>
      </c>
      <c r="AB16" t="s">
        <v>23</v>
      </c>
      <c r="AC16" s="83">
        <v>25</v>
      </c>
      <c r="AD16" s="83">
        <v>7.1527777777777773E-2</v>
      </c>
      <c r="AE16">
        <v>1.716666666666665</v>
      </c>
    </row>
    <row r="17" spans="21:31" x14ac:dyDescent="0.3">
      <c r="U17" s="46">
        <v>2025</v>
      </c>
      <c r="V17" s="85" t="s">
        <v>23</v>
      </c>
      <c r="W17" s="46">
        <v>26</v>
      </c>
      <c r="X17" s="53">
        <v>5.5555555555555552E-2</v>
      </c>
      <c r="Y17" s="47">
        <v>1.3333333333333286</v>
      </c>
      <c r="AA17" s="83">
        <v>2025</v>
      </c>
      <c r="AB17" t="s">
        <v>23</v>
      </c>
      <c r="AC17" s="83">
        <v>26</v>
      </c>
      <c r="AD17" s="83">
        <v>5.5555555555555552E-2</v>
      </c>
      <c r="AE17">
        <v>1.3333333333333286</v>
      </c>
    </row>
    <row r="18" spans="21:31" x14ac:dyDescent="0.3">
      <c r="U18" s="46">
        <v>2025</v>
      </c>
      <c r="V18" s="85" t="s">
        <v>23</v>
      </c>
      <c r="W18" s="46">
        <v>27</v>
      </c>
      <c r="X18" s="53">
        <v>2.2222222222222223E-2</v>
      </c>
      <c r="Y18" s="47">
        <v>0.53333333333333144</v>
      </c>
      <c r="AA18" s="83">
        <v>2025</v>
      </c>
      <c r="AB18" t="s">
        <v>23</v>
      </c>
      <c r="AC18" s="83">
        <v>27</v>
      </c>
      <c r="AD18" s="83">
        <v>2.222222222222222E-2</v>
      </c>
      <c r="AE18">
        <v>0.53333333333333144</v>
      </c>
    </row>
    <row r="19" spans="21:31" x14ac:dyDescent="0.3">
      <c r="U19" s="46">
        <v>2025</v>
      </c>
      <c r="V19" s="85" t="s">
        <v>24</v>
      </c>
      <c r="W19" s="46">
        <v>27</v>
      </c>
      <c r="X19" s="53">
        <v>6.5277777777777782E-2</v>
      </c>
      <c r="Y19" s="47">
        <v>1.5666666666666647</v>
      </c>
      <c r="AA19" s="83">
        <v>2025</v>
      </c>
      <c r="AB19" t="s">
        <v>24</v>
      </c>
      <c r="AC19" s="83">
        <v>27</v>
      </c>
      <c r="AD19" s="83">
        <v>6.5277777777777782E-2</v>
      </c>
      <c r="AE19">
        <v>1.5666666666666647</v>
      </c>
    </row>
    <row r="20" spans="21:31" x14ac:dyDescent="0.3">
      <c r="U20" s="46">
        <v>2025</v>
      </c>
      <c r="V20" s="85" t="s">
        <v>24</v>
      </c>
      <c r="W20" s="46">
        <v>28</v>
      </c>
      <c r="X20" s="53">
        <v>8.611111111111111E-2</v>
      </c>
      <c r="Y20" s="47">
        <v>2.0666666666666629</v>
      </c>
      <c r="AA20" s="83">
        <v>2025</v>
      </c>
      <c r="AB20" t="s">
        <v>24</v>
      </c>
      <c r="AC20" s="83">
        <v>28</v>
      </c>
      <c r="AD20" s="83">
        <v>8.611111111111111E-2</v>
      </c>
      <c r="AE20">
        <v>2.0666666666666629</v>
      </c>
    </row>
    <row r="21" spans="21:31" x14ac:dyDescent="0.3">
      <c r="U21" s="46">
        <v>2025</v>
      </c>
      <c r="V21" s="85" t="s">
        <v>24</v>
      </c>
      <c r="W21" s="46">
        <v>29</v>
      </c>
      <c r="X21" s="53">
        <v>0.2</v>
      </c>
      <c r="Y21" s="47">
        <v>4.7999999999999989</v>
      </c>
      <c r="AA21" s="83">
        <v>2025</v>
      </c>
      <c r="AB21" t="s">
        <v>24</v>
      </c>
      <c r="AC21" s="83">
        <v>29</v>
      </c>
      <c r="AD21" s="83">
        <v>0.19999999999999998</v>
      </c>
      <c r="AE21">
        <v>4.7999999999999989</v>
      </c>
    </row>
    <row r="22" spans="21:31" x14ac:dyDescent="0.3">
      <c r="U22" s="46">
        <v>2025</v>
      </c>
      <c r="V22" s="85" t="s">
        <v>24</v>
      </c>
      <c r="W22" s="46">
        <v>30</v>
      </c>
      <c r="X22" s="53">
        <v>0.15</v>
      </c>
      <c r="Y22" s="47">
        <v>3.5999999999999961</v>
      </c>
      <c r="AA22" s="83">
        <v>2025</v>
      </c>
      <c r="AB22" t="s">
        <v>24</v>
      </c>
      <c r="AC22" s="83">
        <v>30</v>
      </c>
      <c r="AD22" s="83">
        <v>0.15</v>
      </c>
      <c r="AE22">
        <v>3.5999999999999961</v>
      </c>
    </row>
    <row r="23" spans="21:31" x14ac:dyDescent="0.3">
      <c r="U23" s="46">
        <v>2025</v>
      </c>
      <c r="V23" s="85" t="s">
        <v>24</v>
      </c>
      <c r="W23" s="46">
        <v>31</v>
      </c>
      <c r="X23" s="53">
        <v>0.18124999999999999</v>
      </c>
      <c r="Y23" s="47">
        <v>4.3499999999999961</v>
      </c>
      <c r="AA23" s="83">
        <v>2025</v>
      </c>
      <c r="AB23" t="s">
        <v>24</v>
      </c>
      <c r="AC23" s="83">
        <v>31</v>
      </c>
      <c r="AD23" s="83">
        <v>0.18124999999999999</v>
      </c>
      <c r="AE23">
        <v>4.3499999999999961</v>
      </c>
    </row>
    <row r="24" spans="21:31" x14ac:dyDescent="0.3">
      <c r="U24" s="46">
        <v>2025</v>
      </c>
      <c r="V24" s="85" t="s">
        <v>25</v>
      </c>
      <c r="W24" s="46">
        <v>31</v>
      </c>
      <c r="X24" s="53">
        <v>0</v>
      </c>
      <c r="Y24" s="47">
        <v>0</v>
      </c>
      <c r="AA24" s="83">
        <v>2025</v>
      </c>
      <c r="AB24" t="s">
        <v>25</v>
      </c>
      <c r="AC24" s="83">
        <v>31</v>
      </c>
      <c r="AD24" s="83">
        <v>0</v>
      </c>
      <c r="AE24">
        <v>0</v>
      </c>
    </row>
    <row r="25" spans="21:31" x14ac:dyDescent="0.3">
      <c r="U25" s="46">
        <v>2025</v>
      </c>
      <c r="V25" s="85" t="s">
        <v>25</v>
      </c>
      <c r="W25" s="46">
        <v>32</v>
      </c>
      <c r="X25" s="53">
        <v>0.16805555555555557</v>
      </c>
      <c r="Y25" s="47">
        <v>4.0333333333333297</v>
      </c>
      <c r="AA25" s="83">
        <v>2025</v>
      </c>
      <c r="AB25" t="s">
        <v>25</v>
      </c>
      <c r="AC25" s="83">
        <v>32</v>
      </c>
      <c r="AD25" s="83">
        <v>0.16805555555555554</v>
      </c>
      <c r="AE25">
        <v>4.0333333333333297</v>
      </c>
    </row>
    <row r="26" spans="21:31" x14ac:dyDescent="0.3">
      <c r="U26" s="46">
        <v>2025</v>
      </c>
      <c r="V26" s="85" t="s">
        <v>25</v>
      </c>
      <c r="W26" s="46">
        <v>33</v>
      </c>
      <c r="X26" s="53">
        <v>0.19027777777777777</v>
      </c>
      <c r="Y26" s="47">
        <v>4.5666666666666647</v>
      </c>
      <c r="AA26" s="83">
        <v>2025</v>
      </c>
      <c r="AB26" t="s">
        <v>25</v>
      </c>
      <c r="AC26" s="83">
        <v>33</v>
      </c>
      <c r="AD26" s="83">
        <v>0.19027777777777777</v>
      </c>
      <c r="AE26">
        <v>4.5666666666666647</v>
      </c>
    </row>
    <row r="27" spans="21:31" x14ac:dyDescent="0.3">
      <c r="U27" s="46">
        <v>2025</v>
      </c>
      <c r="V27" s="85" t="s">
        <v>25</v>
      </c>
      <c r="W27" s="46">
        <v>34</v>
      </c>
      <c r="X27" s="53">
        <v>0.16597222222222222</v>
      </c>
      <c r="Y27" s="47">
        <v>3.9833333333333325</v>
      </c>
      <c r="AA27" s="83">
        <v>2025</v>
      </c>
      <c r="AB27" t="s">
        <v>25</v>
      </c>
      <c r="AC27" s="83">
        <v>34</v>
      </c>
      <c r="AD27" s="83">
        <v>0.16597222222222222</v>
      </c>
      <c r="AE27">
        <v>3.9833333333333325</v>
      </c>
    </row>
    <row r="28" spans="21:31" x14ac:dyDescent="0.3">
      <c r="U28" s="46">
        <v>2025</v>
      </c>
      <c r="V28" s="85" t="s">
        <v>25</v>
      </c>
      <c r="W28" s="46">
        <v>35</v>
      </c>
      <c r="X28" s="53">
        <v>0.10625</v>
      </c>
      <c r="Y28" s="47">
        <v>2.5499999999999936</v>
      </c>
      <c r="AA28" s="83">
        <v>2025</v>
      </c>
      <c r="AB28" t="s">
        <v>25</v>
      </c>
      <c r="AC28" s="83">
        <v>35</v>
      </c>
      <c r="AD28" s="83">
        <v>0.10625</v>
      </c>
      <c r="AE28">
        <v>2.5499999999999936</v>
      </c>
    </row>
    <row r="29" spans="21:31" x14ac:dyDescent="0.3">
      <c r="U29" s="46">
        <v>2025</v>
      </c>
      <c r="V29" s="85" t="s">
        <v>26</v>
      </c>
      <c r="W29" s="46">
        <v>36</v>
      </c>
      <c r="X29" s="53">
        <v>0.11666666666666667</v>
      </c>
      <c r="Y29" s="47">
        <v>2.7999999999999972</v>
      </c>
      <c r="AA29" s="83">
        <v>2025</v>
      </c>
      <c r="AB29" t="s">
        <v>26</v>
      </c>
      <c r="AC29" s="83">
        <v>36</v>
      </c>
      <c r="AD29" s="83">
        <v>0.11666666666666667</v>
      </c>
      <c r="AE29">
        <v>2.7999999999999972</v>
      </c>
    </row>
    <row r="30" spans="21:31" x14ac:dyDescent="0.3">
      <c r="U30" s="46">
        <v>2025</v>
      </c>
      <c r="V30" s="85" t="s">
        <v>26</v>
      </c>
      <c r="W30" s="46">
        <v>37</v>
      </c>
      <c r="X30" s="53">
        <v>0.13541666666666666</v>
      </c>
      <c r="Y30" s="47">
        <v>3.2499999999999973</v>
      </c>
      <c r="AA30" s="83">
        <v>2025</v>
      </c>
      <c r="AB30" t="s">
        <v>26</v>
      </c>
      <c r="AC30" s="83">
        <v>37</v>
      </c>
      <c r="AD30" s="83">
        <v>0.13541666666666666</v>
      </c>
      <c r="AE30">
        <v>3.2499999999999973</v>
      </c>
    </row>
    <row r="31" spans="21:31" x14ac:dyDescent="0.3">
      <c r="U31" s="46">
        <v>2025</v>
      </c>
      <c r="V31" s="85" t="s">
        <v>26</v>
      </c>
      <c r="W31" s="46">
        <v>38</v>
      </c>
      <c r="X31" s="53">
        <v>0.16458333333333333</v>
      </c>
      <c r="Y31" s="47">
        <v>3.9499999999999993</v>
      </c>
      <c r="AA31" s="83">
        <v>2025</v>
      </c>
      <c r="AB31" t="s">
        <v>26</v>
      </c>
      <c r="AC31" s="83">
        <v>38</v>
      </c>
      <c r="AD31" s="83">
        <v>0.16458333333333333</v>
      </c>
      <c r="AE31">
        <v>3.9499999999999993</v>
      </c>
    </row>
    <row r="32" spans="21:31" x14ac:dyDescent="0.3">
      <c r="U32" s="46">
        <v>2025</v>
      </c>
      <c r="V32" s="85" t="s">
        <v>26</v>
      </c>
      <c r="W32" s="46">
        <v>39</v>
      </c>
      <c r="X32" s="53">
        <v>0.11180555555555556</v>
      </c>
      <c r="Y32" s="47">
        <v>2.6833333333333282</v>
      </c>
      <c r="AA32" s="83">
        <v>2025</v>
      </c>
      <c r="AB32" t="s">
        <v>26</v>
      </c>
      <c r="AC32" s="83">
        <v>39</v>
      </c>
      <c r="AD32" s="83">
        <v>0.11180555555555555</v>
      </c>
      <c r="AE32">
        <v>2.6833333333333282</v>
      </c>
    </row>
    <row r="33" spans="21:31" x14ac:dyDescent="0.3">
      <c r="U33" s="46">
        <v>2025</v>
      </c>
      <c r="V33" s="85" t="s">
        <v>26</v>
      </c>
      <c r="W33" s="46">
        <v>40</v>
      </c>
      <c r="X33" s="53">
        <v>2.7777777777777776E-2</v>
      </c>
      <c r="Y33" s="47">
        <v>0.6666666666666643</v>
      </c>
      <c r="AA33" s="83">
        <v>2025</v>
      </c>
      <c r="AB33" t="s">
        <v>26</v>
      </c>
      <c r="AC33" s="83">
        <v>40</v>
      </c>
      <c r="AD33" s="83">
        <v>2.7777777777777776E-2</v>
      </c>
      <c r="AE33">
        <v>0.6666666666666643</v>
      </c>
    </row>
    <row r="34" spans="21:31" x14ac:dyDescent="0.3">
      <c r="U34" s="46">
        <v>2025</v>
      </c>
      <c r="V34" s="85" t="s">
        <v>27</v>
      </c>
      <c r="W34" s="46">
        <v>40</v>
      </c>
      <c r="X34" s="53">
        <v>7.013888888888889E-2</v>
      </c>
      <c r="Y34" s="47">
        <v>1.6833333333333309</v>
      </c>
      <c r="AA34" s="83">
        <v>2025</v>
      </c>
      <c r="AB34" t="s">
        <v>27</v>
      </c>
      <c r="AC34" s="83">
        <v>40</v>
      </c>
      <c r="AD34" s="83">
        <v>7.013888888888889E-2</v>
      </c>
      <c r="AE34">
        <v>1.6833333333333309</v>
      </c>
    </row>
    <row r="35" spans="21:31" x14ac:dyDescent="0.3">
      <c r="U35" s="46">
        <v>2025</v>
      </c>
      <c r="V35" s="85" t="s">
        <v>27</v>
      </c>
      <c r="W35" s="46">
        <v>41</v>
      </c>
      <c r="X35" s="53">
        <v>5.4166666666666669E-2</v>
      </c>
      <c r="Y35" s="47">
        <v>1.2999999999999998</v>
      </c>
      <c r="AA35" s="83">
        <v>2025</v>
      </c>
      <c r="AB35" t="s">
        <v>27</v>
      </c>
      <c r="AC35" s="83">
        <v>41</v>
      </c>
      <c r="AD35" s="83">
        <v>5.4166666666666662E-2</v>
      </c>
      <c r="AE35">
        <v>1.2999999999999998</v>
      </c>
    </row>
    <row r="36" spans="21:31" x14ac:dyDescent="0.3">
      <c r="U36" s="46">
        <v>2025</v>
      </c>
      <c r="V36" s="85" t="s">
        <v>27</v>
      </c>
      <c r="W36" s="46">
        <v>42</v>
      </c>
      <c r="X36" s="53">
        <v>0.16666666666666666</v>
      </c>
      <c r="Y36" s="47">
        <v>3.9999999999999973</v>
      </c>
      <c r="AA36" s="83">
        <v>2025</v>
      </c>
      <c r="AB36" t="s">
        <v>27</v>
      </c>
      <c r="AC36" s="83">
        <v>42</v>
      </c>
      <c r="AD36" s="83">
        <v>0.16666666666666666</v>
      </c>
      <c r="AE36">
        <v>3.9999999999999973</v>
      </c>
    </row>
    <row r="37" spans="21:31" x14ac:dyDescent="0.3">
      <c r="U37" s="46">
        <v>2025</v>
      </c>
      <c r="V37" s="85" t="s">
        <v>27</v>
      </c>
      <c r="W37" s="46">
        <v>43</v>
      </c>
      <c r="X37" s="53">
        <v>0.26805555555555555</v>
      </c>
      <c r="Y37" s="47">
        <v>6.4333333333333318</v>
      </c>
      <c r="AA37" s="83">
        <v>2025</v>
      </c>
      <c r="AB37" t="s">
        <v>27</v>
      </c>
      <c r="AC37" s="83">
        <v>43</v>
      </c>
      <c r="AD37" s="83">
        <v>0.26805555555555555</v>
      </c>
      <c r="AE37">
        <v>6.4333333333333318</v>
      </c>
    </row>
    <row r="38" spans="21:31" x14ac:dyDescent="0.3">
      <c r="U38" s="46">
        <v>2025</v>
      </c>
      <c r="V38" s="85" t="s">
        <v>27</v>
      </c>
      <c r="W38" s="46">
        <v>44</v>
      </c>
      <c r="X38" s="53">
        <v>0.27013888888888887</v>
      </c>
      <c r="Y38" s="47">
        <v>6.4833333333333343</v>
      </c>
      <c r="AA38" s="83">
        <v>2025</v>
      </c>
      <c r="AB38" t="s">
        <v>27</v>
      </c>
      <c r="AC38" s="83">
        <v>44</v>
      </c>
      <c r="AD38" s="83">
        <v>0.27013888888888887</v>
      </c>
      <c r="AE38">
        <v>6.4833333333333343</v>
      </c>
    </row>
    <row r="39" spans="21:31" x14ac:dyDescent="0.3">
      <c r="U39" s="46">
        <v>2025</v>
      </c>
      <c r="V39" s="85" t="s">
        <v>28</v>
      </c>
      <c r="W39" s="46">
        <v>44</v>
      </c>
      <c r="X39" s="53">
        <v>0</v>
      </c>
      <c r="Y39" s="47">
        <v>0</v>
      </c>
      <c r="AA39" s="83">
        <v>2025</v>
      </c>
      <c r="AB39" t="s">
        <v>28</v>
      </c>
      <c r="AC39" s="83">
        <v>44</v>
      </c>
      <c r="AD39" s="83">
        <v>0</v>
      </c>
      <c r="AE39">
        <v>0</v>
      </c>
    </row>
    <row r="40" spans="21:31" x14ac:dyDescent="0.3">
      <c r="U40" s="46">
        <v>2025</v>
      </c>
      <c r="V40" s="85" t="s">
        <v>28</v>
      </c>
      <c r="W40" s="46">
        <v>45</v>
      </c>
      <c r="X40" s="53">
        <v>0.11944444444444445</v>
      </c>
      <c r="Y40" s="47">
        <v>2.8666666666666636</v>
      </c>
      <c r="AA40" s="83">
        <v>2025</v>
      </c>
      <c r="AB40" t="s">
        <v>28</v>
      </c>
      <c r="AC40" s="83">
        <v>45</v>
      </c>
      <c r="AD40" s="83">
        <v>0.11944444444444444</v>
      </c>
      <c r="AE40">
        <v>2.8666666666666636</v>
      </c>
    </row>
    <row r="41" spans="21:31" x14ac:dyDescent="0.3">
      <c r="U41" s="46">
        <v>2025</v>
      </c>
      <c r="V41" s="85" t="s">
        <v>28</v>
      </c>
      <c r="W41" s="46">
        <v>46</v>
      </c>
      <c r="X41" s="53">
        <v>6.25E-2</v>
      </c>
      <c r="Y41" s="47">
        <v>1.4999999999999982</v>
      </c>
      <c r="AA41" s="83">
        <v>2025</v>
      </c>
      <c r="AB41" t="s">
        <v>28</v>
      </c>
      <c r="AC41" s="83">
        <v>46</v>
      </c>
      <c r="AD41" s="83">
        <v>6.25E-2</v>
      </c>
      <c r="AE41">
        <v>1.4999999999999982</v>
      </c>
    </row>
    <row r="42" spans="21:31" x14ac:dyDescent="0.3">
      <c r="U42" s="46">
        <v>2025</v>
      </c>
      <c r="V42" s="85" t="s">
        <v>28</v>
      </c>
      <c r="W42" s="46">
        <v>47</v>
      </c>
      <c r="X42" s="53">
        <v>0.16041666666666668</v>
      </c>
      <c r="Y42" s="47">
        <v>3.8499999999999961</v>
      </c>
      <c r="AA42" s="83">
        <v>2025</v>
      </c>
      <c r="AB42" t="s">
        <v>28</v>
      </c>
      <c r="AC42" s="83">
        <v>47</v>
      </c>
      <c r="AD42" s="83">
        <v>0.16041666666666665</v>
      </c>
      <c r="AE42">
        <v>3.8499999999999961</v>
      </c>
    </row>
    <row r="43" spans="21:31" x14ac:dyDescent="0.3">
      <c r="U43" s="46">
        <v>2025</v>
      </c>
      <c r="V43" s="85" t="s">
        <v>28</v>
      </c>
      <c r="W43" s="46">
        <v>48</v>
      </c>
      <c r="X43" s="53">
        <v>9.6527777777777782E-2</v>
      </c>
      <c r="Y43" s="47">
        <v>2.3166666666666611</v>
      </c>
      <c r="AA43" s="83">
        <v>2025</v>
      </c>
      <c r="AB43" t="s">
        <v>28</v>
      </c>
      <c r="AC43" s="83">
        <v>48</v>
      </c>
      <c r="AD43" s="83">
        <v>9.6527777777777768E-2</v>
      </c>
      <c r="AE43">
        <v>2.3166666666666611</v>
      </c>
    </row>
    <row r="44" spans="21:31" x14ac:dyDescent="0.3">
      <c r="U44" s="46">
        <v>2025</v>
      </c>
      <c r="V44" s="85" t="s">
        <v>29</v>
      </c>
      <c r="W44" s="46">
        <v>49</v>
      </c>
      <c r="X44" s="53">
        <v>2.7083333333333334E-2</v>
      </c>
      <c r="Y44" s="47">
        <v>0.65000000000000036</v>
      </c>
      <c r="AA44" s="83">
        <v>2025</v>
      </c>
      <c r="AB44" t="s">
        <v>29</v>
      </c>
      <c r="AC44" s="83">
        <v>49</v>
      </c>
      <c r="AD44" s="83">
        <v>2.7083333333333331E-2</v>
      </c>
      <c r="AE44">
        <v>0.65000000000000036</v>
      </c>
    </row>
    <row r="45" spans="21:31" x14ac:dyDescent="0.3">
      <c r="U45" s="46">
        <v>2025</v>
      </c>
      <c r="V45" s="85" t="s">
        <v>29</v>
      </c>
      <c r="W45" s="46">
        <v>50</v>
      </c>
      <c r="X45" s="53">
        <v>0.12430555555555556</v>
      </c>
      <c r="Y45" s="47">
        <v>2.983333333333329</v>
      </c>
      <c r="AA45" s="83">
        <v>2025</v>
      </c>
      <c r="AB45" t="s">
        <v>29</v>
      </c>
      <c r="AC45" s="83">
        <v>50</v>
      </c>
      <c r="AD45" s="83">
        <v>0.12430555555555554</v>
      </c>
      <c r="AE45">
        <v>2.983333333333329</v>
      </c>
    </row>
    <row r="46" spans="21:31" x14ac:dyDescent="0.3">
      <c r="U46" s="46">
        <v>2025</v>
      </c>
      <c r="V46" s="85" t="s">
        <v>29</v>
      </c>
      <c r="W46" s="46">
        <v>51</v>
      </c>
      <c r="X46" s="53">
        <v>9.7916666666666666E-2</v>
      </c>
      <c r="Y46" s="47">
        <v>2.3499999999999925</v>
      </c>
      <c r="AA46" s="83">
        <v>2025</v>
      </c>
      <c r="AB46" t="s">
        <v>29</v>
      </c>
      <c r="AC46" s="83">
        <v>51</v>
      </c>
      <c r="AD46" s="83">
        <v>9.7916666666666666E-2</v>
      </c>
      <c r="AE46">
        <v>2.3499999999999925</v>
      </c>
    </row>
    <row r="47" spans="21:31" x14ac:dyDescent="0.3">
      <c r="U47" s="46">
        <v>2025</v>
      </c>
      <c r="V47" s="85" t="s">
        <v>29</v>
      </c>
      <c r="W47" s="46">
        <v>52</v>
      </c>
      <c r="X47" s="53">
        <v>0.125</v>
      </c>
      <c r="Y47" s="47">
        <v>2.9999999999999973</v>
      </c>
      <c r="AA47" s="83">
        <v>2025</v>
      </c>
      <c r="AB47" t="s">
        <v>29</v>
      </c>
      <c r="AC47" s="83">
        <v>52</v>
      </c>
      <c r="AD47" s="83">
        <v>0.125</v>
      </c>
      <c r="AE47">
        <v>2.9999999999999973</v>
      </c>
    </row>
    <row r="48" spans="21:31" x14ac:dyDescent="0.3">
      <c r="U48" s="46">
        <v>2025</v>
      </c>
      <c r="V48" s="85" t="s">
        <v>29</v>
      </c>
      <c r="W48" s="46">
        <v>53</v>
      </c>
      <c r="X48" s="53">
        <v>0</v>
      </c>
      <c r="Y48" s="47">
        <v>0</v>
      </c>
      <c r="AA48" s="83">
        <v>2025</v>
      </c>
      <c r="AB48" t="s">
        <v>29</v>
      </c>
      <c r="AC48" s="83">
        <v>53</v>
      </c>
      <c r="AD48" s="83">
        <v>-0.1875</v>
      </c>
      <c r="AE48">
        <v>-0.1875</v>
      </c>
    </row>
    <row r="49" spans="21:31" x14ac:dyDescent="0.3">
      <c r="U49" s="46">
        <v>2026</v>
      </c>
      <c r="V49" s="85" t="s">
        <v>33</v>
      </c>
      <c r="W49" s="46">
        <v>1</v>
      </c>
      <c r="X49" s="53">
        <v>0</v>
      </c>
      <c r="Y49" s="47">
        <v>0</v>
      </c>
      <c r="AA49" s="83">
        <v>2026</v>
      </c>
      <c r="AB49" t="s">
        <v>33</v>
      </c>
      <c r="AC49" s="83">
        <v>1</v>
      </c>
      <c r="AD49" s="83">
        <v>0</v>
      </c>
      <c r="AE49">
        <v>0</v>
      </c>
    </row>
    <row r="50" spans="21:31" x14ac:dyDescent="0.3">
      <c r="U50" s="46">
        <v>2026</v>
      </c>
      <c r="V50" s="85" t="s">
        <v>33</v>
      </c>
      <c r="W50" s="46">
        <v>2</v>
      </c>
      <c r="X50" s="53">
        <v>9.7916666666666666E-2</v>
      </c>
      <c r="Y50" s="47">
        <v>2.3499999999999979</v>
      </c>
      <c r="AA50" s="83">
        <v>2026</v>
      </c>
      <c r="AB50" t="s">
        <v>33</v>
      </c>
      <c r="AC50" s="83">
        <v>2</v>
      </c>
      <c r="AD50" s="83">
        <v>9.7916666666666666E-2</v>
      </c>
      <c r="AE50">
        <v>2.3499999999999979</v>
      </c>
    </row>
    <row r="51" spans="21:31" x14ac:dyDescent="0.3">
      <c r="U51" s="46">
        <v>2026</v>
      </c>
      <c r="V51" s="85" t="s">
        <v>33</v>
      </c>
      <c r="W51" s="46">
        <v>3</v>
      </c>
      <c r="X51" s="53">
        <v>0</v>
      </c>
      <c r="Y51" s="47">
        <v>0</v>
      </c>
      <c r="AA51" s="83">
        <v>2026</v>
      </c>
      <c r="AB51" t="s">
        <v>33</v>
      </c>
      <c r="AC51" s="83">
        <v>3</v>
      </c>
      <c r="AD51" s="83">
        <v>0</v>
      </c>
      <c r="AE51">
        <v>0</v>
      </c>
    </row>
    <row r="52" spans="21:31" x14ac:dyDescent="0.3">
      <c r="U52" s="46">
        <v>2026</v>
      </c>
      <c r="V52" s="85" t="s">
        <v>33</v>
      </c>
      <c r="W52" s="46">
        <v>4</v>
      </c>
      <c r="X52" s="53">
        <v>0</v>
      </c>
      <c r="Y52" s="47">
        <v>0</v>
      </c>
      <c r="AA52" s="83">
        <v>2026</v>
      </c>
      <c r="AB52" t="s">
        <v>33</v>
      </c>
      <c r="AC52" s="83">
        <v>4</v>
      </c>
      <c r="AD52" s="83">
        <v>0</v>
      </c>
      <c r="AE52">
        <v>0</v>
      </c>
    </row>
    <row r="53" spans="21:31" x14ac:dyDescent="0.3">
      <c r="U53" s="46">
        <v>2026</v>
      </c>
      <c r="V53" s="85" t="s">
        <v>33</v>
      </c>
      <c r="W53" s="46">
        <v>5</v>
      </c>
      <c r="X53" s="53">
        <v>0</v>
      </c>
      <c r="Y53" s="47">
        <v>0</v>
      </c>
      <c r="AA53" s="83">
        <v>2026</v>
      </c>
      <c r="AB53" t="s">
        <v>33</v>
      </c>
      <c r="AC53" s="83">
        <v>5</v>
      </c>
      <c r="AD53" s="83">
        <v>0</v>
      </c>
      <c r="AE53">
        <v>0</v>
      </c>
    </row>
    <row r="54" spans="21:31" x14ac:dyDescent="0.3">
      <c r="U54" s="46">
        <v>2026</v>
      </c>
      <c r="V54" s="85" t="s">
        <v>34</v>
      </c>
      <c r="W54" s="46">
        <v>5</v>
      </c>
      <c r="X54" s="53">
        <v>0</v>
      </c>
      <c r="Y54" s="47">
        <v>0</v>
      </c>
      <c r="AA54" s="83">
        <v>2026</v>
      </c>
      <c r="AB54" t="s">
        <v>34</v>
      </c>
      <c r="AC54" s="83">
        <v>5</v>
      </c>
      <c r="AD54" s="83">
        <v>0</v>
      </c>
      <c r="AE54">
        <v>0</v>
      </c>
    </row>
    <row r="55" spans="21:31" x14ac:dyDescent="0.3">
      <c r="U55" s="46">
        <v>2026</v>
      </c>
      <c r="V55" s="85" t="s">
        <v>34</v>
      </c>
      <c r="W55" s="46">
        <v>6</v>
      </c>
      <c r="X55" s="53">
        <v>0</v>
      </c>
      <c r="Y55" s="47">
        <v>0</v>
      </c>
      <c r="AA55" s="83">
        <v>2026</v>
      </c>
      <c r="AB55" t="s">
        <v>34</v>
      </c>
      <c r="AC55" s="83">
        <v>6</v>
      </c>
      <c r="AD55" s="83">
        <v>0</v>
      </c>
      <c r="AE55">
        <v>0</v>
      </c>
    </row>
    <row r="56" spans="21:31" x14ac:dyDescent="0.3">
      <c r="U56" s="46">
        <v>2026</v>
      </c>
      <c r="V56" s="85" t="s">
        <v>34</v>
      </c>
      <c r="W56" s="46">
        <v>7</v>
      </c>
      <c r="X56" s="53">
        <v>0</v>
      </c>
      <c r="Y56" s="47">
        <v>0</v>
      </c>
      <c r="AA56" s="83">
        <v>2026</v>
      </c>
      <c r="AB56" t="s">
        <v>34</v>
      </c>
      <c r="AC56" s="83">
        <v>7</v>
      </c>
      <c r="AD56" s="83">
        <v>0</v>
      </c>
      <c r="AE56">
        <v>0</v>
      </c>
    </row>
    <row r="57" spans="21:31" x14ac:dyDescent="0.3">
      <c r="U57" s="46">
        <v>2026</v>
      </c>
      <c r="V57" s="85" t="s">
        <v>34</v>
      </c>
      <c r="W57" s="46">
        <v>8</v>
      </c>
      <c r="X57" s="53">
        <v>0</v>
      </c>
      <c r="Y57" s="47">
        <v>0</v>
      </c>
      <c r="AA57" s="83">
        <v>2026</v>
      </c>
      <c r="AB57" t="s">
        <v>34</v>
      </c>
      <c r="AC57" s="83">
        <v>8</v>
      </c>
      <c r="AD57" s="83">
        <v>0</v>
      </c>
      <c r="AE57">
        <v>0</v>
      </c>
    </row>
    <row r="58" spans="21:31" x14ac:dyDescent="0.3">
      <c r="U58" s="46">
        <v>2026</v>
      </c>
      <c r="V58" s="85" t="s">
        <v>34</v>
      </c>
      <c r="W58" s="46">
        <v>9</v>
      </c>
      <c r="X58" s="53">
        <v>0</v>
      </c>
      <c r="Y58" s="47">
        <v>0</v>
      </c>
      <c r="AA58" s="83">
        <v>2026</v>
      </c>
      <c r="AB58" t="s">
        <v>34</v>
      </c>
      <c r="AC58" s="83">
        <v>9</v>
      </c>
      <c r="AD58" s="83">
        <v>0</v>
      </c>
      <c r="AE58">
        <v>0</v>
      </c>
    </row>
  </sheetData>
  <phoneticPr fontId="7" type="noConversion"/>
  <dataValidations count="2">
    <dataValidation type="list" allowBlank="1" showInputMessage="1" showErrorMessage="1" sqref="E3" xr:uid="{4ECD3B1E-18BB-49B6-9D8E-78CB0379EEDF}">
      <formula1>_xlfn.ANCHORARRAY($K$3)</formula1>
    </dataValidation>
    <dataValidation type="list" allowBlank="1" showInputMessage="1" showErrorMessage="1" sqref="F3" xr:uid="{06BC28FC-62D5-473C-B025-C587539CEFC5}">
      <formula1>_xlfn.ANCHORARRAY($M$3)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4"/>
  <sheetViews>
    <sheetView showZeros="0" workbookViewId="0">
      <pane ySplit="1" topLeftCell="A2" activePane="bottomLeft" state="frozen"/>
      <selection activeCell="P12" sqref="P12"/>
      <selection pane="bottomLeft" activeCell="E2" sqref="E2"/>
    </sheetView>
  </sheetViews>
  <sheetFormatPr baseColWidth="10" defaultColWidth="10.44140625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8.21875" bestFit="1" customWidth="1"/>
    <col min="8" max="8" width="8.332031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  <col min="19" max="19" width="19.5546875" bestFit="1" customWidth="1"/>
    <col min="20" max="20" width="10.5546875" bestFit="1" customWidth="1"/>
    <col min="21" max="21" width="17.5546875" bestFit="1" customWidth="1"/>
  </cols>
  <sheetData>
    <row r="1" spans="1:17" x14ac:dyDescent="0.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G1" s="16" t="s">
        <v>20</v>
      </c>
      <c r="H1" t="s">
        <v>6</v>
      </c>
      <c r="N1" s="49" t="s">
        <v>31</v>
      </c>
      <c r="O1" s="11">
        <v>2025</v>
      </c>
    </row>
    <row r="2" spans="1:17" x14ac:dyDescent="0.3">
      <c r="A2" s="1">
        <v>45748</v>
      </c>
      <c r="B2" s="3">
        <v>0.375</v>
      </c>
      <c r="C2" s="3">
        <v>0.70833333333333337</v>
      </c>
      <c r="D2" s="4">
        <v>4.1666666666666664E-2</v>
      </c>
      <c r="E2" s="15">
        <f>IF(Tableau4_2025[[#This Row],[Arrivée]]&lt;&gt;"",(Tableau4_2025[[#This Row],[Départ]] - Tableau4_2025[[#This Row],[Arrivée]]) - Tableau4_2025[[#This Row],[Pause]],0)</f>
        <v>0.29166666666666669</v>
      </c>
      <c r="F2" s="42">
        <f>IF(Tableau4_2025[[#This Row],[Temps travail]]&gt;TempsTravail,Tableau4_2025[[#This Row],[Temps travail]]-TempsTravail,0)</f>
        <v>0</v>
      </c>
      <c r="G2" s="43">
        <f>IF(Tableau4_2025[[#This Row],[Temps travail]]&gt;TempsTravail,Tableau4_2025[[#This Row],[Temps travail]]*24-TempsTravail*24,0)</f>
        <v>0</v>
      </c>
      <c r="H2">
        <f t="shared" ref="H2:H31" si="0">WEEKNUM(A2,2)</f>
        <v>14</v>
      </c>
      <c r="J2" s="10" t="s">
        <v>6</v>
      </c>
      <c r="K2" s="8" t="s">
        <v>7</v>
      </c>
      <c r="L2" s="2"/>
      <c r="N2" s="49" t="s">
        <v>32</v>
      </c>
      <c r="O2" t="s">
        <v>21</v>
      </c>
    </row>
    <row r="3" spans="1:17" x14ac:dyDescent="0.3">
      <c r="A3" s="1">
        <v>45749</v>
      </c>
      <c r="B3" s="3">
        <v>0.375</v>
      </c>
      <c r="C3" s="3">
        <v>0.70833333333333337</v>
      </c>
      <c r="D3" s="5">
        <v>4.1666666666666664E-2</v>
      </c>
      <c r="E3" s="15">
        <f>IF(Tableau4_2025[[#This Row],[Arrivée]]&lt;&gt;"",(Tableau4_2025[[#This Row],[Départ]] - Tableau4_2025[[#This Row],[Arrivée]]) - Tableau4_2025[[#This Row],[Pause]],0)</f>
        <v>0.29166666666666669</v>
      </c>
      <c r="F3" s="42">
        <f>IF(Tableau4_2025[[#This Row],[Temps travail]]&gt;TempsTravail,Tableau4_2025[[#This Row],[Temps travail]]-TempsTravail,0)</f>
        <v>0</v>
      </c>
      <c r="G3" s="43">
        <f>IF(Tableau4_2025[[#This Row],[Temps travail]]&gt;TempsTravail,Tableau4_2025[[#This Row],[Temps travail]]*24-TempsTravail*24,0)</f>
        <v>0</v>
      </c>
      <c r="H3">
        <f t="shared" si="0"/>
        <v>14</v>
      </c>
      <c r="J3" s="11">
        <v>14</v>
      </c>
      <c r="K3" s="9" t="str">
        <f>IF(ISBLANK(L3), "", IF(L3&lt;0, "-" &amp; TEXT(ABS(L3)/24, "h:mm"), TEXT(L3/24, "h:mm")))</f>
        <v>0:03</v>
      </c>
      <c r="L3" s="24">
        <f xml:space="preserve"> SUMIF(H:H, J3, G:G)</f>
        <v>5.0000000000000711E-2</v>
      </c>
      <c r="P3"/>
      <c r="Q3"/>
    </row>
    <row r="4" spans="1:17" x14ac:dyDescent="0.3">
      <c r="A4" s="1">
        <v>45750</v>
      </c>
      <c r="B4" s="3">
        <v>0.375</v>
      </c>
      <c r="C4" s="3">
        <v>0.70833333333333337</v>
      </c>
      <c r="D4" s="5">
        <v>4.1666666666666664E-2</v>
      </c>
      <c r="E4" s="15">
        <f>IF(Tableau4_2025[[#This Row],[Arrivée]]&lt;&gt;"",(Tableau4_2025[[#This Row],[Départ]] - Tableau4_2025[[#This Row],[Arrivée]]) - Tableau4_2025[[#This Row],[Pause]],0)</f>
        <v>0.29166666666666669</v>
      </c>
      <c r="F4" s="42">
        <f>IF(Tableau4_2025[[#This Row],[Temps travail]]&gt;TempsTravail,Tableau4_2025[[#This Row],[Temps travail]]-TempsTravail,0)</f>
        <v>0</v>
      </c>
      <c r="G4" s="43">
        <f>IF(Tableau4_2025[[#This Row],[Temps travail]]&gt;TempsTravail,Tableau4_2025[[#This Row],[Temps travail]]*24-TempsTravail*24,0)</f>
        <v>0</v>
      </c>
      <c r="H4">
        <f t="shared" si="0"/>
        <v>14</v>
      </c>
      <c r="J4" s="11">
        <v>15</v>
      </c>
      <c r="K4" s="9" t="str">
        <f t="shared" ref="K4:K10" si="1">IF(ISBLANK(L4), "", IF(L4&lt;0, "-" &amp; TEXT(ABS(L4)/24, "h:mm"), TEXT(L4/24, "h:mm")))</f>
        <v>1:23</v>
      </c>
      <c r="L4" s="24">
        <f xml:space="preserve"> SUMIF(H:H, J4, G:G)</f>
        <v>1.3833333333333337</v>
      </c>
      <c r="N4" s="55" t="s">
        <v>6</v>
      </c>
      <c r="O4" s="54" t="s">
        <v>39</v>
      </c>
      <c r="P4" s="54" t="s">
        <v>40</v>
      </c>
      <c r="Q4"/>
    </row>
    <row r="5" spans="1:17" x14ac:dyDescent="0.3">
      <c r="A5" s="1">
        <v>45751</v>
      </c>
      <c r="B5" s="3">
        <v>0.37916666666666665</v>
      </c>
      <c r="C5" s="3">
        <v>0.71458333333333335</v>
      </c>
      <c r="D5" s="5">
        <v>4.1666666666666664E-2</v>
      </c>
      <c r="E5" s="15">
        <f>IF(Tableau4_2025[[#This Row],[Arrivée]]&lt;&gt;"",(Tableau4_2025[[#This Row],[Départ]] - Tableau4_2025[[#This Row],[Arrivée]]) - Tableau4_2025[[#This Row],[Pause]],0)</f>
        <v>0.29375000000000001</v>
      </c>
      <c r="F5" s="42">
        <f>IF(Tableau4_2025[[#This Row],[Temps travail]]&gt;TempsTravail,Tableau4_2025[[#This Row],[Temps travail]]-TempsTravail,0)</f>
        <v>2.0833333333333259E-3</v>
      </c>
      <c r="G5" s="43">
        <f>IF(Tableau4_2025[[#This Row],[Temps travail]]&gt;TempsTravail,Tableau4_2025[[#This Row],[Temps travail]]*24-TempsTravail*24,0)</f>
        <v>5.0000000000000711E-2</v>
      </c>
      <c r="H5">
        <f t="shared" si="0"/>
        <v>14</v>
      </c>
      <c r="J5" s="11">
        <v>16</v>
      </c>
      <c r="K5" s="9" t="str">
        <f t="shared" si="1"/>
        <v>1:22</v>
      </c>
      <c r="L5" s="24">
        <f xml:space="preserve"> SUMIF(H:H, J5, G:G)</f>
        <v>1.3666666666666671</v>
      </c>
      <c r="N5" s="46">
        <v>14</v>
      </c>
      <c r="O5" s="53">
        <v>2.0833333333333333E-3</v>
      </c>
      <c r="P5" s="48">
        <v>5.0000000000000711E-2</v>
      </c>
      <c r="Q5"/>
    </row>
    <row r="6" spans="1:17" x14ac:dyDescent="0.3">
      <c r="A6" s="1">
        <v>45752</v>
      </c>
      <c r="D6" s="5">
        <v>4.1666666666666664E-2</v>
      </c>
      <c r="E6" s="15">
        <f>IF(Tableau4_2025[[#This Row],[Arrivée]]&lt;&gt;"",(Tableau4_2025[[#This Row],[Départ]] - Tableau4_2025[[#This Row],[Arrivée]]) - Tableau4_2025[[#This Row],[Pause]],0)</f>
        <v>0</v>
      </c>
      <c r="F6" s="42">
        <f>IF(Tableau4_2025[[#This Row],[Temps travail]]&gt;TempsTravail,Tableau4_2025[[#This Row],[Temps travail]]-TempsTravail,0)</f>
        <v>0</v>
      </c>
      <c r="G6" s="43">
        <f>IF(Tableau4_2025[[#This Row],[Temps travail]]&gt;TempsTravail,Tableau4_2025[[#This Row],[Temps travail]]*24-TempsTravail*24,0)</f>
        <v>0</v>
      </c>
      <c r="H6">
        <f t="shared" si="0"/>
        <v>14</v>
      </c>
      <c r="J6" s="11">
        <v>17</v>
      </c>
      <c r="K6" s="9" t="str">
        <f t="shared" si="1"/>
        <v>1:37</v>
      </c>
      <c r="L6" s="24">
        <f xml:space="preserve"> SUMIF(H:H, J6, G:G)</f>
        <v>1.6166666666666618</v>
      </c>
      <c r="N6" s="46">
        <v>15</v>
      </c>
      <c r="O6" s="53">
        <v>5.7638888888888892E-2</v>
      </c>
      <c r="P6" s="48">
        <v>1.3833333333333337</v>
      </c>
      <c r="Q6"/>
    </row>
    <row r="7" spans="1:17" x14ac:dyDescent="0.3">
      <c r="A7" s="1">
        <v>45753</v>
      </c>
      <c r="D7" s="5">
        <v>4.1666666666666664E-2</v>
      </c>
      <c r="E7" s="15">
        <f>IF(Tableau4_2025[[#This Row],[Arrivée]]&lt;&gt;"",(Tableau4_2025[[#This Row],[Départ]] - Tableau4_2025[[#This Row],[Arrivée]]) - Tableau4_2025[[#This Row],[Pause]],0)</f>
        <v>0</v>
      </c>
      <c r="F7" s="42">
        <f>IF(Tableau4_2025[[#This Row],[Temps travail]]&gt;TempsTravail,Tableau4_2025[[#This Row],[Temps travail]]-TempsTravail,0)</f>
        <v>0</v>
      </c>
      <c r="G7" s="43">
        <f>IF(Tableau4_2025[[#This Row],[Temps travail]]&gt;TempsTravail,Tableau4_2025[[#This Row],[Temps travail]]*24-TempsTravail*24,0)</f>
        <v>0</v>
      </c>
      <c r="H7">
        <f t="shared" si="0"/>
        <v>14</v>
      </c>
      <c r="J7" s="11">
        <v>18</v>
      </c>
      <c r="K7" s="9" t="str">
        <f t="shared" si="1"/>
        <v>0:39</v>
      </c>
      <c r="L7" s="24">
        <f xml:space="preserve"> SUMIF(H:H, J7, G:G)</f>
        <v>0.65000000000000036</v>
      </c>
      <c r="N7" s="46">
        <v>16</v>
      </c>
      <c r="O7" s="53">
        <v>5.6944444444444443E-2</v>
      </c>
      <c r="P7" s="48">
        <v>1.3666666666666671</v>
      </c>
      <c r="Q7"/>
    </row>
    <row r="8" spans="1:17" x14ac:dyDescent="0.3">
      <c r="A8" s="1">
        <v>45754</v>
      </c>
      <c r="B8" s="13">
        <v>0.33888888888888891</v>
      </c>
      <c r="C8" s="3">
        <v>0.67638888888888893</v>
      </c>
      <c r="D8" s="5">
        <v>4.1666666666666664E-2</v>
      </c>
      <c r="E8" s="15">
        <f>IF(Tableau4_2025[[#This Row],[Arrivée]]&lt;&gt;"",(Tableau4_2025[[#This Row],[Départ]] - Tableau4_2025[[#This Row],[Arrivée]]) - Tableau4_2025[[#This Row],[Pause]],0)</f>
        <v>0.29583333333333334</v>
      </c>
      <c r="F8" s="42">
        <f>IF(Tableau4_2025[[#This Row],[Temps travail]]&gt;TempsTravail,Tableau4_2025[[#This Row],[Temps travail]]-TempsTravail,0)</f>
        <v>4.1666666666666519E-3</v>
      </c>
      <c r="G8" s="43">
        <f>IF(Tableau4_2025[[#This Row],[Temps travail]]&gt;TempsTravail,Tableau4_2025[[#This Row],[Temps travail]]*24-TempsTravail*24,0)</f>
        <v>9.9999999999999645E-2</v>
      </c>
      <c r="H8">
        <f t="shared" si="0"/>
        <v>15</v>
      </c>
      <c r="K8" s="9" t="str">
        <f t="shared" si="1"/>
        <v/>
      </c>
      <c r="N8" s="46">
        <v>17</v>
      </c>
      <c r="O8" s="53">
        <v>6.7361111111111108E-2</v>
      </c>
      <c r="P8" s="48">
        <v>1.6166666666666618</v>
      </c>
      <c r="Q8"/>
    </row>
    <row r="9" spans="1:17" x14ac:dyDescent="0.3">
      <c r="A9" s="1">
        <v>45755</v>
      </c>
      <c r="B9" s="3">
        <v>0.33541666666666664</v>
      </c>
      <c r="C9" s="3">
        <v>0.67847222222222225</v>
      </c>
      <c r="D9" s="5">
        <v>4.1666666666666664E-2</v>
      </c>
      <c r="E9" s="15">
        <f>IF(Tableau4_2025[[#This Row],[Arrivée]]&lt;&gt;"",(Tableau4_2025[[#This Row],[Départ]] - Tableau4_2025[[#This Row],[Arrivée]]) - Tableau4_2025[[#This Row],[Pause]],0)</f>
        <v>0.30138888888888893</v>
      </c>
      <c r="F9" s="42">
        <f>IF(Tableau4_2025[[#This Row],[Temps travail]]&gt;TempsTravail,Tableau4_2025[[#This Row],[Temps travail]]-TempsTravail,0)</f>
        <v>9.7222222222222432E-3</v>
      </c>
      <c r="G9" s="43">
        <f>IF(Tableau4_2025[[#This Row],[Temps travail]]&gt;TempsTravail,Tableau4_2025[[#This Row],[Temps travail]]*24-TempsTravail*24,0)</f>
        <v>0.23333333333333428</v>
      </c>
      <c r="H9">
        <f t="shared" si="0"/>
        <v>15</v>
      </c>
      <c r="J9" s="26" t="s">
        <v>8</v>
      </c>
      <c r="K9" s="12" t="str">
        <f t="shared" si="1"/>
        <v>5:04</v>
      </c>
      <c r="L9" s="25">
        <f xml:space="preserve"> SUM(L3:L7)</f>
        <v>5.0666666666666638</v>
      </c>
      <c r="N9" s="46">
        <v>18</v>
      </c>
      <c r="O9" s="53">
        <v>2.7083333333333334E-2</v>
      </c>
      <c r="P9" s="48">
        <v>0.65000000000000036</v>
      </c>
      <c r="Q9"/>
    </row>
    <row r="10" spans="1:17" x14ac:dyDescent="0.3">
      <c r="A10" s="1">
        <v>45756</v>
      </c>
      <c r="B10" s="3">
        <v>0.33402777777777776</v>
      </c>
      <c r="C10" s="3">
        <v>0.67361111111111116</v>
      </c>
      <c r="D10" s="5">
        <v>4.1666666666666664E-2</v>
      </c>
      <c r="E10" s="15">
        <f>IF(Tableau4_2025[[#This Row],[Arrivée]]&lt;&gt;"",(Tableau4_2025[[#This Row],[Départ]] - Tableau4_2025[[#This Row],[Arrivée]]) - Tableau4_2025[[#This Row],[Pause]],0)</f>
        <v>0.29791666666666672</v>
      </c>
      <c r="F10" s="42">
        <f>IF(Tableau4_2025[[#This Row],[Temps travail]]&gt;TempsTravail,Tableau4_2025[[#This Row],[Temps travail]]-TempsTravail,0)</f>
        <v>6.2500000000000333E-3</v>
      </c>
      <c r="G10" s="43">
        <f>IF(Tableau4_2025[[#This Row],[Temps travail]]&gt;TempsTravail,Tableau4_2025[[#This Row],[Temps travail]]*24-TempsTravail*24,0)</f>
        <v>0.15000000000000124</v>
      </c>
      <c r="H10">
        <f t="shared" si="0"/>
        <v>15</v>
      </c>
      <c r="J10" s="19" t="s">
        <v>9</v>
      </c>
      <c r="K10" s="9" t="str">
        <f t="shared" si="1"/>
        <v>8:01</v>
      </c>
      <c r="L10" s="18">
        <f>SUM(L14:L22)</f>
        <v>104.01666666666657</v>
      </c>
      <c r="N10" t="s">
        <v>30</v>
      </c>
      <c r="O10" s="53">
        <v>0.21111111111111114</v>
      </c>
      <c r="P10" s="48">
        <v>5.0666666666666638</v>
      </c>
      <c r="Q10"/>
    </row>
    <row r="11" spans="1:17" x14ac:dyDescent="0.3">
      <c r="A11" s="1">
        <v>45757</v>
      </c>
      <c r="B11" s="3">
        <v>0.33888888888888891</v>
      </c>
      <c r="C11" s="3">
        <v>0.68819444444444444</v>
      </c>
      <c r="D11" s="5">
        <v>4.1666666666666664E-2</v>
      </c>
      <c r="E11" s="15">
        <f>IF(Tableau4_2025[[#This Row],[Arrivée]]&lt;&gt;"",(Tableau4_2025[[#This Row],[Départ]] - Tableau4_2025[[#This Row],[Arrivée]]) - Tableau4_2025[[#This Row],[Pause]],0)</f>
        <v>0.30763888888888885</v>
      </c>
      <c r="F11" s="42">
        <f>IF(Tableau4_2025[[#This Row],[Temps travail]]&gt;TempsTravail,Tableau4_2025[[#This Row],[Temps travail]]-TempsTravail,0)</f>
        <v>1.5972222222222165E-2</v>
      </c>
      <c r="G11" s="43">
        <f>IF(Tableau4_2025[[#This Row],[Temps travail]]&gt;TempsTravail,Tableau4_2025[[#This Row],[Temps travail]]*24-TempsTravail*24,0)</f>
        <v>0.38333333333333286</v>
      </c>
      <c r="H11">
        <f t="shared" si="0"/>
        <v>15</v>
      </c>
      <c r="J11" s="24"/>
      <c r="K11" s="18"/>
      <c r="L11" s="18"/>
    </row>
    <row r="12" spans="1:17" x14ac:dyDescent="0.3">
      <c r="A12" s="1">
        <v>45758</v>
      </c>
      <c r="B12" s="3">
        <v>0.34513888888888888</v>
      </c>
      <c r="C12" s="3">
        <v>0.7</v>
      </c>
      <c r="D12" s="5">
        <v>4.1666666666666664E-2</v>
      </c>
      <c r="E12" s="15">
        <f>IF(Tableau4_2025[[#This Row],[Arrivée]]&lt;&gt;"",(Tableau4_2025[[#This Row],[Départ]] - Tableau4_2025[[#This Row],[Arrivée]]) - Tableau4_2025[[#This Row],[Pause]],0)</f>
        <v>0.31319444444444439</v>
      </c>
      <c r="F12" s="42">
        <f>IF(Tableau4_2025[[#This Row],[Temps travail]]&gt;TempsTravail,Tableau4_2025[[#This Row],[Temps travail]]-TempsTravail,0)</f>
        <v>2.1527777777777701E-2</v>
      </c>
      <c r="G12" s="43">
        <f>IF(Tableau4_2025[[#This Row],[Temps travail]]&gt;TempsTravail,Tableau4_2025[[#This Row],[Temps travail]]*24-TempsTravail*24,0)</f>
        <v>0.51666666666666572</v>
      </c>
      <c r="H12">
        <f t="shared" si="0"/>
        <v>15</v>
      </c>
      <c r="K12" s="18"/>
      <c r="L12" s="18"/>
    </row>
    <row r="13" spans="1:17" x14ac:dyDescent="0.3">
      <c r="A13" s="1">
        <v>45759</v>
      </c>
      <c r="D13" s="5">
        <v>4.1666666666666664E-2</v>
      </c>
      <c r="E13" s="15">
        <f>IF(Tableau4_2025[[#This Row],[Arrivée]]&lt;&gt;"",(Tableau4_2025[[#This Row],[Départ]] - Tableau4_2025[[#This Row],[Arrivée]]) - Tableau4_2025[[#This Row],[Pause]],0)</f>
        <v>0</v>
      </c>
      <c r="F13" s="42">
        <f>IF(Tableau4_2025[[#This Row],[Temps travail]]&gt;TempsTravail,Tableau4_2025[[#This Row],[Temps travail]]-TempsTravail,0)</f>
        <v>0</v>
      </c>
      <c r="G13" s="43">
        <f>IF(Tableau4_2025[[#This Row],[Temps travail]]&gt;TempsTravail,Tableau4_2025[[#This Row],[Temps travail]]*24-TempsTravail*24,0)</f>
        <v>0</v>
      </c>
      <c r="H13">
        <f t="shared" si="0"/>
        <v>15</v>
      </c>
      <c r="K13" s="18"/>
      <c r="L13" s="18"/>
    </row>
    <row r="14" spans="1:17" x14ac:dyDescent="0.3">
      <c r="A14" s="1">
        <v>45760</v>
      </c>
      <c r="D14" s="5">
        <v>4.1666666666666664E-2</v>
      </c>
      <c r="E14" s="15">
        <f>IF(Tableau4_2025[[#This Row],[Arrivée]]&lt;&gt;"",(Tableau4_2025[[#This Row],[Départ]] - Tableau4_2025[[#This Row],[Arrivée]]) - Tableau4_2025[[#This Row],[Pause]],0)</f>
        <v>0</v>
      </c>
      <c r="F14" s="42">
        <f>IF(Tableau4_2025[[#This Row],[Temps travail]]&gt;TempsTravail,Tableau4_2025[[#This Row],[Temps travail]]-TempsTravail,0)</f>
        <v>0</v>
      </c>
      <c r="G14" s="43">
        <f>IF(Tableau4_2025[[#This Row],[Temps travail]]&gt;TempsTravail,Tableau4_2025[[#This Row],[Temps travail]]*24-TempsTravail*24,0)</f>
        <v>0</v>
      </c>
      <c r="H14">
        <f t="shared" si="0"/>
        <v>15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</row>
    <row r="15" spans="1:17" x14ac:dyDescent="0.3">
      <c r="A15" s="1">
        <v>45761</v>
      </c>
      <c r="B15" s="3">
        <v>0.33958333333333335</v>
      </c>
      <c r="C15" s="3">
        <v>0.67638888888888893</v>
      </c>
      <c r="D15" s="5">
        <v>4.1666666666666664E-2</v>
      </c>
      <c r="E15" s="15">
        <f>IF(Tableau4_2025[[#This Row],[Arrivée]]&lt;&gt;"",(Tableau4_2025[[#This Row],[Départ]] - Tableau4_2025[[#This Row],[Arrivée]]) - Tableau4_2025[[#This Row],[Pause]],0)</f>
        <v>0.2951388888888889</v>
      </c>
      <c r="F15" s="42">
        <f>IF(Tableau4_2025[[#This Row],[Temps travail]]&gt;TempsTravail,Tableau4_2025[[#This Row],[Temps travail]]-TempsTravail,0)</f>
        <v>3.4722222222222099E-3</v>
      </c>
      <c r="G15" s="43">
        <f>IF(Tableau4_2025[[#This Row],[Temps travail]]&gt;TempsTravail,Tableau4_2025[[#This Row],[Temps travail]]*24-TempsTravail*24,0)</f>
        <v>8.3333333333333925E-2</v>
      </c>
      <c r="H15">
        <f t="shared" si="0"/>
        <v>16</v>
      </c>
      <c r="J15" t="s">
        <v>11</v>
      </c>
      <c r="K15" s="9" t="str">
        <f t="shared" ref="K15:K22" si="2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</row>
    <row r="16" spans="1:17" x14ac:dyDescent="0.3">
      <c r="A16" s="1">
        <v>45762</v>
      </c>
      <c r="B16" s="3">
        <v>0.33680555555555558</v>
      </c>
      <c r="C16" s="3">
        <v>0.70902777777777781</v>
      </c>
      <c r="D16" s="5">
        <v>4.1666666666666664E-2</v>
      </c>
      <c r="E16" s="15">
        <f>IF(Tableau4_2025[[#This Row],[Arrivée]]&lt;&gt;"",(Tableau4_2025[[#This Row],[Départ]] - Tableau4_2025[[#This Row],[Arrivée]]) - Tableau4_2025[[#This Row],[Pause]],0)</f>
        <v>0.33055555555555555</v>
      </c>
      <c r="F16" s="42">
        <f>IF(Tableau4_2025[[#This Row],[Temps travail]]&gt;TempsTravail,Tableau4_2025[[#This Row],[Temps travail]]-TempsTravail,0)</f>
        <v>3.8888888888888862E-2</v>
      </c>
      <c r="G16" s="43">
        <f>IF(Tableau4_2025[[#This Row],[Temps travail]]&gt;TempsTravail,Tableau4_2025[[#This Row],[Temps travail]]*24-TempsTravail*24,0)</f>
        <v>0.93333333333333357</v>
      </c>
      <c r="H16">
        <f t="shared" si="0"/>
        <v>16</v>
      </c>
      <c r="J16" t="s">
        <v>12</v>
      </c>
      <c r="K16" s="9" t="str">
        <f t="shared" si="2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</row>
    <row r="17" spans="1:17" x14ac:dyDescent="0.3">
      <c r="A17" s="1">
        <v>45763</v>
      </c>
      <c r="B17" s="3">
        <v>0.34166666666666667</v>
      </c>
      <c r="C17" s="3">
        <v>0.68541666666666667</v>
      </c>
      <c r="D17" s="5">
        <v>4.1666666666666664E-2</v>
      </c>
      <c r="E17" s="15">
        <f>IF(Tableau4_2025[[#This Row],[Arrivée]]&lt;&gt;"",(Tableau4_2025[[#This Row],[Départ]] - Tableau4_2025[[#This Row],[Arrivée]]) - Tableau4_2025[[#This Row],[Pause]],0)</f>
        <v>0.30208333333333331</v>
      </c>
      <c r="F17" s="42">
        <f>IF(Tableau4_2025[[#This Row],[Temps travail]]&gt;TempsTravail,Tableau4_2025[[#This Row],[Temps travail]]-TempsTravail,0)</f>
        <v>1.041666666666663E-2</v>
      </c>
      <c r="G17" s="43">
        <f>IF(Tableau4_2025[[#This Row],[Temps travail]]&gt;TempsTravail,Tableau4_2025[[#This Row],[Temps travail]]*24-TempsTravail*24,0)</f>
        <v>0.25</v>
      </c>
      <c r="H17">
        <f t="shared" si="0"/>
        <v>16</v>
      </c>
      <c r="J17" t="s">
        <v>13</v>
      </c>
      <c r="K17" s="9" t="str">
        <f t="shared" si="2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</row>
    <row r="18" spans="1:17" x14ac:dyDescent="0.3">
      <c r="A18" s="1">
        <v>45764</v>
      </c>
      <c r="B18" s="3">
        <v>0.34097222222222223</v>
      </c>
      <c r="C18" s="3">
        <v>0.67847222222222225</v>
      </c>
      <c r="D18" s="5">
        <v>4.1666666666666664E-2</v>
      </c>
      <c r="E18" s="15">
        <f>IF(Tableau4_2025[[#This Row],[Arrivée]]&lt;&gt;"",(Tableau4_2025[[#This Row],[Départ]] - Tableau4_2025[[#This Row],[Arrivée]]) - Tableau4_2025[[#This Row],[Pause]],0)</f>
        <v>0.29583333333333334</v>
      </c>
      <c r="F18" s="42">
        <f>IF(Tableau4_2025[[#This Row],[Temps travail]]&gt;TempsTravail,Tableau4_2025[[#This Row],[Temps travail]]-TempsTravail,0)</f>
        <v>4.1666666666666519E-3</v>
      </c>
      <c r="G18" s="43">
        <f>IF(Tableau4_2025[[#This Row],[Temps travail]]&gt;TempsTravail,Tableau4_2025[[#This Row],[Temps travail]]*24-TempsTravail*24,0)</f>
        <v>9.9999999999999645E-2</v>
      </c>
      <c r="H18">
        <f t="shared" si="0"/>
        <v>16</v>
      </c>
      <c r="J18" t="s">
        <v>14</v>
      </c>
      <c r="K18" s="9" t="str">
        <f t="shared" si="2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</row>
    <row r="19" spans="1:17" x14ac:dyDescent="0.3">
      <c r="A19" s="1">
        <v>45765</v>
      </c>
      <c r="B19" s="3">
        <v>0.33263888888888887</v>
      </c>
      <c r="C19" s="3">
        <v>0.6645833333333333</v>
      </c>
      <c r="D19" s="5">
        <v>4.1666666666666664E-2</v>
      </c>
      <c r="E19" s="15">
        <f>IF(Tableau4_2025[[#This Row],[Arrivée]]&lt;&gt;"",(Tableau4_2025[[#This Row],[Départ]] - Tableau4_2025[[#This Row],[Arrivée]]) - Tableau4_2025[[#This Row],[Pause]],0)</f>
        <v>0.29027777777777775</v>
      </c>
      <c r="F19" s="42">
        <f>IF(Tableau4_2025[[#This Row],[Temps travail]]&gt;TempsTravail,Tableau4_2025[[#This Row],[Temps travail]]-TempsTravail,0)</f>
        <v>0</v>
      </c>
      <c r="G19" s="43">
        <f>IF(Tableau4_2025[[#This Row],[Temps travail]]&gt;TempsTravail,Tableau4_2025[[#This Row],[Temps travail]]*24-TempsTravail*24,0)</f>
        <v>0</v>
      </c>
      <c r="H19">
        <f t="shared" si="0"/>
        <v>16</v>
      </c>
      <c r="J19" t="s">
        <v>15</v>
      </c>
      <c r="K19" s="9" t="str">
        <f t="shared" si="2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</row>
    <row r="20" spans="1:17" x14ac:dyDescent="0.3">
      <c r="A20" s="1">
        <v>45766</v>
      </c>
      <c r="D20" s="5">
        <v>4.1666666666666664E-2</v>
      </c>
      <c r="E20" s="15">
        <f>IF(Tableau4_2025[[#This Row],[Arrivée]]&lt;&gt;"",(Tableau4_2025[[#This Row],[Départ]] - Tableau4_2025[[#This Row],[Arrivée]]) - Tableau4_2025[[#This Row],[Pause]],0)</f>
        <v>0</v>
      </c>
      <c r="F20" s="42">
        <f>IF(Tableau4_2025[[#This Row],[Temps travail]]&gt;TempsTravail,Tableau4_2025[[#This Row],[Temps travail]]-TempsTravail,0)</f>
        <v>0</v>
      </c>
      <c r="G20" s="43">
        <f>IF(Tableau4_2025[[#This Row],[Temps travail]]&gt;TempsTravail,Tableau4_2025[[#This Row],[Temps travail]]*24-TempsTravail*24,0)</f>
        <v>0</v>
      </c>
      <c r="H20">
        <f t="shared" si="0"/>
        <v>16</v>
      </c>
      <c r="J20" t="s">
        <v>16</v>
      </c>
      <c r="K20" s="9" t="str">
        <f t="shared" si="2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</row>
    <row r="21" spans="1:17" x14ac:dyDescent="0.3">
      <c r="A21" s="1">
        <v>45767</v>
      </c>
      <c r="D21" s="5">
        <v>4.1666666666666664E-2</v>
      </c>
      <c r="E21" s="15">
        <f>IF(Tableau4_2025[[#This Row],[Arrivée]]&lt;&gt;"",(Tableau4_2025[[#This Row],[Départ]] - Tableau4_2025[[#This Row],[Arrivée]]) - Tableau4_2025[[#This Row],[Pause]],0)</f>
        <v>0</v>
      </c>
      <c r="F21" s="42">
        <f>IF(Tableau4_2025[[#This Row],[Temps travail]]&gt;TempsTravail,Tableau4_2025[[#This Row],[Temps travail]]-TempsTravail,0)</f>
        <v>0</v>
      </c>
      <c r="G21" s="43">
        <f>IF(Tableau4_2025[[#This Row],[Temps travail]]&gt;TempsTravail,Tableau4_2025[[#This Row],[Temps travail]]*24-TempsTravail*24,0)</f>
        <v>0</v>
      </c>
      <c r="H21">
        <f t="shared" si="0"/>
        <v>16</v>
      </c>
      <c r="J21" t="s">
        <v>17</v>
      </c>
      <c r="K21" s="9" t="str">
        <f t="shared" si="2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</row>
    <row r="22" spans="1:17" x14ac:dyDescent="0.3">
      <c r="A22" s="1">
        <v>45768</v>
      </c>
      <c r="D22" s="5">
        <v>4.1666666666666664E-2</v>
      </c>
      <c r="E22" s="15">
        <f>IF(Tableau4_2025[[#This Row],[Arrivée]]&lt;&gt;"",(Tableau4_2025[[#This Row],[Départ]] - Tableau4_2025[[#This Row],[Arrivée]]) - Tableau4_2025[[#This Row],[Pause]],0)</f>
        <v>0</v>
      </c>
      <c r="F22" s="42">
        <f>IF(Tableau4_2025[[#This Row],[Temps travail]]&gt;TempsTravail,Tableau4_2025[[#This Row],[Temps travail]]-TempsTravail,0)</f>
        <v>0</v>
      </c>
      <c r="G22" s="43">
        <f>IF(Tableau4_2025[[#This Row],[Temps travail]]&gt;TempsTravail,Tableau4_2025[[#This Row],[Temps travail]]*24-TempsTravail*24,0)</f>
        <v>0</v>
      </c>
      <c r="H22">
        <f t="shared" si="0"/>
        <v>17</v>
      </c>
      <c r="J22" t="s">
        <v>18</v>
      </c>
      <c r="K22" s="9" t="str">
        <f t="shared" si="2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</row>
    <row r="23" spans="1:17" x14ac:dyDescent="0.3">
      <c r="A23" s="1">
        <v>45769</v>
      </c>
      <c r="B23" s="3">
        <v>0.34375</v>
      </c>
      <c r="C23" s="3">
        <v>0.69236111111111109</v>
      </c>
      <c r="D23" s="5">
        <v>4.1666666666666664E-2</v>
      </c>
      <c r="E23" s="15">
        <f>IF(Tableau4_2025[[#This Row],[Arrivée]]&lt;&gt;"",(Tableau4_2025[[#This Row],[Départ]] - Tableau4_2025[[#This Row],[Arrivée]]) - Tableau4_2025[[#This Row],[Pause]],0)</f>
        <v>0.30694444444444441</v>
      </c>
      <c r="F23" s="42">
        <f>IF(Tableau4_2025[[#This Row],[Temps travail]]&gt;TempsTravail,Tableau4_2025[[#This Row],[Temps travail]]-TempsTravail,0)</f>
        <v>1.5277777777777724E-2</v>
      </c>
      <c r="G23" s="43">
        <f>IF(Tableau4_2025[[#This Row],[Temps travail]]&gt;TempsTravail,Tableau4_2025[[#This Row],[Temps travail]]*24-TempsTravail*24,0)</f>
        <v>0.36666666666666536</v>
      </c>
      <c r="H23">
        <f t="shared" si="0"/>
        <v>17</v>
      </c>
      <c r="O23" t="s">
        <v>29</v>
      </c>
      <c r="P23" s="53">
        <v>0.37430555555555556</v>
      </c>
      <c r="Q23" s="47">
        <v>8.9833333333333201</v>
      </c>
    </row>
    <row r="24" spans="1:17" x14ac:dyDescent="0.3">
      <c r="A24" s="1">
        <v>45770</v>
      </c>
      <c r="B24" s="3">
        <v>0.34027777777777779</v>
      </c>
      <c r="C24" s="3">
        <v>0.7</v>
      </c>
      <c r="D24" s="5">
        <v>4.1666666666666664E-2</v>
      </c>
      <c r="E24" s="15">
        <f>IF(Tableau4_2025[[#This Row],[Arrivée]]&lt;&gt;"",(Tableau4_2025[[#This Row],[Départ]] - Tableau4_2025[[#This Row],[Arrivée]]) - Tableau4_2025[[#This Row],[Pause]],0)</f>
        <v>0.31805555555555548</v>
      </c>
      <c r="F24" s="42">
        <f>IF(Tableau4_2025[[#This Row],[Temps travail]]&gt;TempsTravail,Tableau4_2025[[#This Row],[Temps travail]]-TempsTravail,0)</f>
        <v>2.6388888888888795E-2</v>
      </c>
      <c r="G24" s="43">
        <f>IF(Tableau4_2025[[#This Row],[Temps travail]]&gt;TempsTravail,Tableau4_2025[[#This Row],[Temps travail]]*24-TempsTravail*24,0)</f>
        <v>0.63333333333333108</v>
      </c>
      <c r="H24">
        <f t="shared" si="0"/>
        <v>17</v>
      </c>
      <c r="N24" t="s">
        <v>36</v>
      </c>
      <c r="P24" s="53">
        <v>4.334027777777778</v>
      </c>
      <c r="Q24" s="47">
        <v>104.01666666666657</v>
      </c>
    </row>
    <row r="25" spans="1:17" x14ac:dyDescent="0.3">
      <c r="A25" s="1">
        <v>45771</v>
      </c>
      <c r="B25" s="3">
        <v>0.34305555555555556</v>
      </c>
      <c r="C25" s="3">
        <v>0.69305555555555554</v>
      </c>
      <c r="D25" s="5">
        <v>4.1666666666666664E-2</v>
      </c>
      <c r="E25" s="15">
        <f>IF(Tableau4_2025[[#This Row],[Arrivée]]&lt;&gt;"",(Tableau4_2025[[#This Row],[Départ]] - Tableau4_2025[[#This Row],[Arrivée]]) - Tableau4_2025[[#This Row],[Pause]],0)</f>
        <v>0.30833333333333329</v>
      </c>
      <c r="F25" s="42">
        <f>IF(Tableau4_2025[[#This Row],[Temps travail]]&gt;TempsTravail,Tableau4_2025[[#This Row],[Temps travail]]-TempsTravail,0)</f>
        <v>1.6666666666666607E-2</v>
      </c>
      <c r="G25" s="43">
        <f>IF(Tableau4_2025[[#This Row],[Temps travail]]&gt;TempsTravail,Tableau4_2025[[#This Row],[Temps travail]]*24-TempsTravail*24,0)</f>
        <v>0.39999999999999858</v>
      </c>
      <c r="H25">
        <f t="shared" si="0"/>
        <v>17</v>
      </c>
      <c r="N25">
        <v>2026</v>
      </c>
      <c r="O25" t="s">
        <v>33</v>
      </c>
      <c r="P25" s="53">
        <v>9.7916666666666666E-2</v>
      </c>
      <c r="Q25" s="47">
        <v>2.3499999999999979</v>
      </c>
    </row>
    <row r="26" spans="1:17" x14ac:dyDescent="0.3">
      <c r="A26" s="1">
        <v>45772</v>
      </c>
      <c r="B26" s="13">
        <v>0.33819444444444446</v>
      </c>
      <c r="C26" s="3">
        <v>0.68055555555555558</v>
      </c>
      <c r="D26" s="5">
        <v>4.1666666666666664E-2</v>
      </c>
      <c r="E26" s="15">
        <f>IF(Tableau4_2025[[#This Row],[Arrivée]]&lt;&gt;"",(Tableau4_2025[[#This Row],[Départ]] - Tableau4_2025[[#This Row],[Arrivée]]) - Tableau4_2025[[#This Row],[Pause]],0)</f>
        <v>0.30069444444444443</v>
      </c>
      <c r="F26" s="42">
        <f>IF(Tableau4_2025[[#This Row],[Temps travail]]&gt;TempsTravail,Tableau4_2025[[#This Row],[Temps travail]]-TempsTravail,0)</f>
        <v>9.0277777777777457E-3</v>
      </c>
      <c r="G26" s="43">
        <f>IF(Tableau4_2025[[#This Row],[Temps travail]]&gt;TempsTravail,Tableau4_2025[[#This Row],[Temps travail]]*24-TempsTravail*24,0)</f>
        <v>0.21666666666666679</v>
      </c>
      <c r="H26">
        <f t="shared" si="0"/>
        <v>17</v>
      </c>
      <c r="O26" t="s">
        <v>34</v>
      </c>
      <c r="P26" s="53">
        <v>0</v>
      </c>
      <c r="Q26" s="47">
        <v>0</v>
      </c>
    </row>
    <row r="27" spans="1:17" x14ac:dyDescent="0.3">
      <c r="A27" s="1">
        <v>45773</v>
      </c>
      <c r="D27" s="5">
        <v>4.1666666666666664E-2</v>
      </c>
      <c r="E27" s="15">
        <f>IF(Tableau4_2025[[#This Row],[Arrivée]]&lt;&gt;"",(Tableau4_2025[[#This Row],[Départ]] - Tableau4_2025[[#This Row],[Arrivée]]) - Tableau4_2025[[#This Row],[Pause]],0)</f>
        <v>0</v>
      </c>
      <c r="F27" s="42">
        <f>IF(Tableau4_2025[[#This Row],[Temps travail]]&gt;TempsTravail,Tableau4_2025[[#This Row],[Temps travail]]-TempsTravail,0)</f>
        <v>0</v>
      </c>
      <c r="G27" s="43">
        <f>IF(Tableau4_2025[[#This Row],[Temps travail]]&gt;TempsTravail,Tableau4_2025[[#This Row],[Temps travail]]*24-TempsTravail*24,0)</f>
        <v>0</v>
      </c>
      <c r="H27">
        <f t="shared" si="0"/>
        <v>17</v>
      </c>
      <c r="N27" t="s">
        <v>37</v>
      </c>
      <c r="P27" s="53">
        <v>9.7916666666666666E-2</v>
      </c>
      <c r="Q27" s="47">
        <v>2.3499999999999979</v>
      </c>
    </row>
    <row r="28" spans="1:17" x14ac:dyDescent="0.3">
      <c r="A28" s="1">
        <v>45774</v>
      </c>
      <c r="D28" s="5">
        <v>4.1666666666666664E-2</v>
      </c>
      <c r="E28" s="15">
        <f>IF(Tableau4_2025[[#This Row],[Arrivée]]&lt;&gt;"",(Tableau4_2025[[#This Row],[Départ]] - Tableau4_2025[[#This Row],[Arrivée]]) - Tableau4_2025[[#This Row],[Pause]],0)</f>
        <v>0</v>
      </c>
      <c r="F28" s="42">
        <f>IF(Tableau4_2025[[#This Row],[Temps travail]]&gt;TempsTravail,Tableau4_2025[[#This Row],[Temps travail]]-TempsTravail,0)</f>
        <v>0</v>
      </c>
      <c r="G28" s="43">
        <f>IF(Tableau4_2025[[#This Row],[Temps travail]]&gt;TempsTravail,Tableau4_2025[[#This Row],[Temps travail]]*24-TempsTravail*24,0)</f>
        <v>0</v>
      </c>
      <c r="H28">
        <f t="shared" si="0"/>
        <v>17</v>
      </c>
      <c r="N28" t="s">
        <v>30</v>
      </c>
      <c r="P28" s="53">
        <v>4.4319444444444445</v>
      </c>
      <c r="Q28" s="47">
        <v>106.36666666666656</v>
      </c>
    </row>
    <row r="29" spans="1:17" x14ac:dyDescent="0.3">
      <c r="A29" s="1">
        <v>45775</v>
      </c>
      <c r="B29" s="2">
        <v>0.33611111111111114</v>
      </c>
      <c r="C29" s="2">
        <v>0.66666666666666663</v>
      </c>
      <c r="D29" s="5">
        <v>4.1666666666666664E-2</v>
      </c>
      <c r="E29" s="15">
        <f>IF(Tableau4_2025[[#This Row],[Arrivée]]&lt;&gt;"",(Tableau4_2025[[#This Row],[Départ]] - Tableau4_2025[[#This Row],[Arrivée]]) - Tableau4_2025[[#This Row],[Pause]],0)</f>
        <v>0.28888888888888881</v>
      </c>
      <c r="F29" s="42">
        <f>IF(Tableau4_2025[[#This Row],[Temps travail]]&gt;TempsTravail,Tableau4_2025[[#This Row],[Temps travail]]-TempsTravail,0)</f>
        <v>0</v>
      </c>
      <c r="G29" s="43">
        <f>IF(Tableau4_2025[[#This Row],[Temps travail]]&gt;TempsTravail,Tableau4_2025[[#This Row],[Temps travail]]*24-TempsTravail*24,0)</f>
        <v>0</v>
      </c>
      <c r="H29">
        <f t="shared" si="0"/>
        <v>18</v>
      </c>
    </row>
    <row r="30" spans="1:17" x14ac:dyDescent="0.3">
      <c r="A30" s="1">
        <v>45776</v>
      </c>
      <c r="B30" s="3">
        <v>0.33750000000000002</v>
      </c>
      <c r="C30" s="3">
        <v>0.67708333333333337</v>
      </c>
      <c r="D30" s="5">
        <v>4.1666666666666664E-2</v>
      </c>
      <c r="E30" s="15">
        <f>IF(Tableau4_2025[[#This Row],[Arrivée]]&lt;&gt;"",(Tableau4_2025[[#This Row],[Départ]] - Tableau4_2025[[#This Row],[Arrivée]]) - Tableau4_2025[[#This Row],[Pause]],0)</f>
        <v>0.29791666666666666</v>
      </c>
      <c r="F30" s="42">
        <f>IF(Tableau4_2025[[#This Row],[Temps travail]]&gt;TempsTravail,Tableau4_2025[[#This Row],[Temps travail]]-TempsTravail,0)</f>
        <v>6.2499999999999778E-3</v>
      </c>
      <c r="G30" s="43">
        <f>IF(Tableau4_2025[[#This Row],[Temps travail]]&gt;TempsTravail,Tableau4_2025[[#This Row],[Temps travail]]*24-TempsTravail*24,0)</f>
        <v>0.15000000000000036</v>
      </c>
      <c r="H30">
        <f t="shared" si="0"/>
        <v>18</v>
      </c>
    </row>
    <row r="31" spans="1:17" x14ac:dyDescent="0.3">
      <c r="A31" s="1">
        <v>45777</v>
      </c>
      <c r="B31" s="3">
        <v>0.3347222222222222</v>
      </c>
      <c r="C31" s="3">
        <v>0.68888888888888888</v>
      </c>
      <c r="D31" s="5">
        <v>4.1666666666666664E-2</v>
      </c>
      <c r="E31" s="15">
        <f>IF(Tableau4_2025[[#This Row],[Arrivée]]&lt;&gt;"",(Tableau4_2025[[#This Row],[Départ]] - Tableau4_2025[[#This Row],[Arrivée]]) - Tableau4_2025[[#This Row],[Pause]],0)</f>
        <v>0.3125</v>
      </c>
      <c r="F31" s="42">
        <f>IF(Tableau4_2025[[#This Row],[Temps travail]]&gt;TempsTravail,Tableau4_2025[[#This Row],[Temps travail]]-TempsTravail,0)</f>
        <v>2.0833333333333315E-2</v>
      </c>
      <c r="G31" s="43">
        <f>IF(Tableau4_2025[[#This Row],[Temps travail]]&gt;TempsTravail,Tableau4_2025[[#This Row],[Temps travail]]*24-TempsTravail*24,0)</f>
        <v>0.5</v>
      </c>
      <c r="H31">
        <f t="shared" si="0"/>
        <v>18</v>
      </c>
    </row>
    <row r="34" spans="4:11" x14ac:dyDescent="0.3">
      <c r="D34" s="20"/>
      <c r="E34" s="21"/>
      <c r="F34" s="22"/>
      <c r="G34" s="23"/>
      <c r="H34" s="23"/>
      <c r="I34" s="23"/>
      <c r="J34" s="23"/>
      <c r="K34" s="23"/>
    </row>
    <row r="35" spans="4:11" x14ac:dyDescent="0.3">
      <c r="D35" s="20"/>
      <c r="E35" s="21"/>
      <c r="F35" s="22"/>
      <c r="G35" s="23"/>
      <c r="H35" s="23"/>
      <c r="I35" s="23"/>
      <c r="J35" s="23"/>
      <c r="K35" s="23"/>
    </row>
    <row r="36" spans="4:11" x14ac:dyDescent="0.3">
      <c r="D36" s="20"/>
      <c r="E36" s="21"/>
      <c r="F36" s="22"/>
      <c r="G36" s="23"/>
      <c r="H36" s="23"/>
      <c r="I36" s="23"/>
      <c r="J36" s="23"/>
      <c r="K36" s="23"/>
    </row>
    <row r="37" spans="4:11" x14ac:dyDescent="0.3">
      <c r="D37" s="20"/>
      <c r="E37" s="21"/>
      <c r="F37" s="22"/>
      <c r="G37" s="23"/>
      <c r="H37" s="23"/>
      <c r="I37" s="23"/>
      <c r="J37" s="23"/>
      <c r="K37" s="23"/>
    </row>
    <row r="38" spans="4:11" x14ac:dyDescent="0.3">
      <c r="D38" s="20"/>
      <c r="E38" s="21"/>
      <c r="F38" s="22"/>
      <c r="G38" s="23"/>
      <c r="H38" s="23"/>
      <c r="I38" s="23"/>
      <c r="J38" s="23"/>
      <c r="K38" s="23"/>
    </row>
    <row r="39" spans="4:11" x14ac:dyDescent="0.3">
      <c r="D39" s="20"/>
      <c r="E39" s="21"/>
      <c r="F39" s="22"/>
      <c r="G39" s="23"/>
      <c r="H39" s="23"/>
      <c r="I39" s="23"/>
      <c r="J39" s="23"/>
      <c r="K39" s="23"/>
    </row>
    <row r="40" spans="4:11" x14ac:dyDescent="0.3">
      <c r="D40" s="20"/>
      <c r="E40" s="21"/>
      <c r="F40" s="22"/>
      <c r="G40" s="23"/>
      <c r="H40" s="23"/>
      <c r="I40" s="23"/>
      <c r="J40" s="23"/>
      <c r="K40" s="23"/>
    </row>
    <row r="41" spans="4:11" x14ac:dyDescent="0.3">
      <c r="D41" s="20"/>
      <c r="E41" s="21"/>
      <c r="F41" s="22"/>
      <c r="G41" s="23"/>
      <c r="H41" s="23"/>
      <c r="I41" s="23"/>
      <c r="J41" s="23"/>
      <c r="K41" s="23"/>
    </row>
    <row r="42" spans="4:11" x14ac:dyDescent="0.3">
      <c r="D42" s="20"/>
      <c r="E42" s="21"/>
      <c r="F42" s="22"/>
      <c r="G42" s="23"/>
      <c r="H42" s="23"/>
      <c r="I42" s="23"/>
      <c r="J42" s="23"/>
      <c r="K42" s="23"/>
    </row>
    <row r="43" spans="4:11" x14ac:dyDescent="0.3">
      <c r="D43"/>
      <c r="E43"/>
    </row>
    <row r="44" spans="4:11" x14ac:dyDescent="0.3">
      <c r="D44"/>
      <c r="E44"/>
    </row>
    <row r="45" spans="4:11" x14ac:dyDescent="0.3">
      <c r="D45"/>
      <c r="E45"/>
    </row>
    <row r="46" spans="4:11" x14ac:dyDescent="0.3">
      <c r="D46"/>
      <c r="E46"/>
    </row>
    <row r="47" spans="4:11" x14ac:dyDescent="0.3">
      <c r="D47"/>
      <c r="E47"/>
    </row>
    <row r="48" spans="4:11" x14ac:dyDescent="0.3">
      <c r="D48"/>
      <c r="E48"/>
    </row>
    <row r="49" spans="4:5" x14ac:dyDescent="0.3">
      <c r="D49"/>
      <c r="E49"/>
    </row>
    <row r="50" spans="4:5" x14ac:dyDescent="0.3">
      <c r="D50"/>
      <c r="E50"/>
    </row>
    <row r="51" spans="4:5" x14ac:dyDescent="0.3">
      <c r="D51"/>
      <c r="E51"/>
    </row>
    <row r="52" spans="4:5" x14ac:dyDescent="0.3">
      <c r="D52"/>
      <c r="E52"/>
    </row>
    <row r="53" spans="4:5" x14ac:dyDescent="0.3">
      <c r="D53"/>
      <c r="E53"/>
    </row>
    <row r="54" spans="4:5" x14ac:dyDescent="0.3">
      <c r="D54"/>
      <c r="E54"/>
    </row>
  </sheetData>
  <conditionalFormatting sqref="F1:F1048576">
    <cfRule type="expression" dxfId="76" priority="9">
      <formula>$G$2&lt;0</formula>
    </cfRule>
    <cfRule type="cellIs" dxfId="75" priority="13" operator="lessThan">
      <formula>0</formula>
    </cfRule>
    <cfRule type="expression" dxfId="74" priority="15">
      <formula>#REF!</formula>
    </cfRule>
  </conditionalFormatting>
  <conditionalFormatting sqref="F3 F5 F7 F9 F11 F13 F15 F17 F19 F21 F23 F25 F27 F29 F31">
    <cfRule type="expression" dxfId="73" priority="8">
      <formula>$G$3&lt;0</formula>
    </cfRule>
  </conditionalFormatting>
  <conditionalFormatting sqref="G1">
    <cfRule type="expression" dxfId="72" priority="1">
      <formula>$G$2&lt;0</formula>
    </cfRule>
    <cfRule type="cellIs" dxfId="71" priority="2" operator="lessThan">
      <formula>0</formula>
    </cfRule>
    <cfRule type="expression" dxfId="70" priority="3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2A218-8989-4FEF-A6DB-6B6D525B7306}">
  <dimension ref="A1:Q32"/>
  <sheetViews>
    <sheetView topLeftCell="D1" workbookViewId="0">
      <pane ySplit="1" topLeftCell="A2" activePane="bottomLeft" state="frozen"/>
      <selection activeCell="G1" sqref="G1"/>
      <selection pane="bottomLeft" activeCell="O2" sqref="O2"/>
    </sheetView>
  </sheetViews>
  <sheetFormatPr baseColWidth="10" defaultColWidth="9.109375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8.21875" bestFit="1" customWidth="1"/>
    <col min="8" max="8" width="8.33203125" bestFit="1" customWidth="1"/>
    <col min="10" max="10" width="10.441406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</cols>
  <sheetData>
    <row r="1" spans="1:17" x14ac:dyDescent="0.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G1" t="s">
        <v>20</v>
      </c>
      <c r="H1" t="s">
        <v>6</v>
      </c>
      <c r="N1" s="49" t="s">
        <v>31</v>
      </c>
      <c r="O1" s="11">
        <v>2025</v>
      </c>
    </row>
    <row r="2" spans="1:17" x14ac:dyDescent="0.3">
      <c r="A2" s="1">
        <v>45778</v>
      </c>
      <c r="B2" s="3"/>
      <c r="C2" s="3"/>
      <c r="D2" s="4">
        <v>4.1666666666666664E-2</v>
      </c>
      <c r="E2" s="15">
        <f>IF(Tableau5_2025[[#This Row],[Arrivée]]&lt;&gt;"",(Tableau5_2025[[#This Row],[Départ]] - Tableau5_2025[[#This Row],[Arrivée]]) - Tableau5_2025[[#This Row],[Pause]],0)</f>
        <v>0</v>
      </c>
      <c r="F2" s="42">
        <f>IF(Tableau5_2025[[#This Row],[Temps travail]]&gt;TempsTravail,Tableau5_2025[[#This Row],[Temps travail]]-TempsTravail,0)</f>
        <v>0</v>
      </c>
      <c r="G2" s="43">
        <f>IF(Tableau5_2025[[#This Row],[Temps travail]]&gt;TempsTravail,Tableau5_2025[[#This Row],[Temps travail]]*24-TempsTravail*24,0)</f>
        <v>0</v>
      </c>
      <c r="H2">
        <f>WEEKNUM(A2,2)</f>
        <v>18</v>
      </c>
      <c r="J2" s="10" t="s">
        <v>6</v>
      </c>
      <c r="K2" s="8" t="s">
        <v>7</v>
      </c>
      <c r="L2" s="2"/>
      <c r="N2" s="49" t="s">
        <v>32</v>
      </c>
      <c r="O2" t="s">
        <v>22</v>
      </c>
    </row>
    <row r="3" spans="1:17" x14ac:dyDescent="0.3">
      <c r="A3" s="1">
        <v>45779</v>
      </c>
      <c r="B3" s="3">
        <v>0.34305555555555556</v>
      </c>
      <c r="C3" s="3">
        <v>0.69374999999999998</v>
      </c>
      <c r="D3" s="4">
        <v>4.1666666666666664E-2</v>
      </c>
      <c r="E3" s="15">
        <f>IF(Tableau5_2025[[#This Row],[Arrivée]]&lt;&gt;"",(Tableau5_2025[[#This Row],[Départ]] - Tableau5_2025[[#This Row],[Arrivée]]) - Tableau5_2025[[#This Row],[Pause]],0)</f>
        <v>0.30902777777777773</v>
      </c>
      <c r="F3" s="17">
        <f>IF(Tableau5_2025[[#This Row],[Temps travail]]&gt;TempsTravail,Tableau5_2025[[#This Row],[Temps travail]]-TempsTravail,0)</f>
        <v>1.7361111111111049E-2</v>
      </c>
      <c r="G3" s="43">
        <f>IF(Tableau5_2025[[#This Row],[Temps travail]]&gt;TempsTravail,Tableau5_2025[[#This Row],[Temps travail]]*24-TempsTravail*24,0)</f>
        <v>0.41666666666666607</v>
      </c>
      <c r="H3">
        <f t="shared" ref="H3:H32" si="0">WEEKNUM(A3,2)</f>
        <v>18</v>
      </c>
      <c r="J3" s="11">
        <v>18</v>
      </c>
      <c r="K3" s="9" t="str">
        <f>IF(ISBLANK(L3), "", IF(L3&lt;0, "-" &amp; TEXT(ABS(L3)/24, "h:mm"), TEXT(L3/24, "h:mm")))</f>
        <v>0:25</v>
      </c>
      <c r="L3" s="24">
        <f xml:space="preserve"> SUMIF(H:H, J3, G:G)</f>
        <v>0.41666666666666607</v>
      </c>
      <c r="P3"/>
      <c r="Q3"/>
    </row>
    <row r="4" spans="1:17" x14ac:dyDescent="0.3">
      <c r="A4" s="1">
        <v>45780</v>
      </c>
      <c r="C4" s="3"/>
      <c r="D4" s="4">
        <v>4.1666666666666664E-2</v>
      </c>
      <c r="E4" s="15">
        <f>IF(Tableau5_2025[[#This Row],[Arrivée]]&lt;&gt;"",(Tableau5_2025[[#This Row],[Départ]] - Tableau5_2025[[#This Row],[Arrivée]]) - Tableau5_2025[[#This Row],[Pause]],0)</f>
        <v>0</v>
      </c>
      <c r="F4" s="17">
        <f>IF(Tableau5_2025[[#This Row],[Temps travail]]&gt;TempsTravail,Tableau5_2025[[#This Row],[Temps travail]]-TempsTravail,0)</f>
        <v>0</v>
      </c>
      <c r="G4" s="43">
        <f>IF(Tableau5_2025[[#This Row],[Temps travail]]&gt;TempsTravail,Tableau5_2025[[#This Row],[Temps travail]]*24-TempsTravail*24,0)</f>
        <v>0</v>
      </c>
      <c r="H4">
        <f t="shared" si="0"/>
        <v>18</v>
      </c>
      <c r="J4" s="11">
        <v>19</v>
      </c>
      <c r="K4" s="9" t="str">
        <f t="shared" ref="K4:K10" si="1">IF(ISBLANK(L4), "", IF(L4&lt;0, "-" &amp; TEXT(ABS(L4)/24, "h:mm"), TEXT(L4/24, "h:mm")))</f>
        <v>2:06</v>
      </c>
      <c r="L4" s="24">
        <f xml:space="preserve"> SUMIF(H:H, J4, G:G)</f>
        <v>2.0999999999999979</v>
      </c>
      <c r="N4" s="55" t="s">
        <v>6</v>
      </c>
      <c r="O4" s="54" t="s">
        <v>39</v>
      </c>
      <c r="P4" s="54" t="s">
        <v>40</v>
      </c>
      <c r="Q4"/>
    </row>
    <row r="5" spans="1:17" x14ac:dyDescent="0.3">
      <c r="A5" s="1">
        <v>45781</v>
      </c>
      <c r="B5" s="3"/>
      <c r="C5" s="3"/>
      <c r="D5" s="4">
        <v>4.1666666666666664E-2</v>
      </c>
      <c r="E5" s="15">
        <f>IF(Tableau5_2025[[#This Row],[Arrivée]]&lt;&gt;"",(Tableau5_2025[[#This Row],[Départ]] - Tableau5_2025[[#This Row],[Arrivée]]) - Tableau5_2025[[#This Row],[Pause]],0)</f>
        <v>0</v>
      </c>
      <c r="F5" s="17">
        <f>IF(Tableau5_2025[[#This Row],[Temps travail]]&gt;TempsTravail,Tableau5_2025[[#This Row],[Temps travail]]-TempsTravail,0)</f>
        <v>0</v>
      </c>
      <c r="G5" s="43">
        <f>IF(Tableau5_2025[[#This Row],[Temps travail]]&gt;TempsTravail,Tableau5_2025[[#This Row],[Temps travail]]*24-TempsTravail*24,0)</f>
        <v>0</v>
      </c>
      <c r="H5">
        <f t="shared" si="0"/>
        <v>18</v>
      </c>
      <c r="J5" s="11">
        <v>20</v>
      </c>
      <c r="K5" s="9" t="str">
        <f t="shared" si="1"/>
        <v>1:13</v>
      </c>
      <c r="L5" s="24">
        <f xml:space="preserve"> SUMIF(H:H, J5, G:G)</f>
        <v>1.2166666666666677</v>
      </c>
      <c r="N5" s="46">
        <v>18</v>
      </c>
      <c r="O5" s="53">
        <v>1.7361111111111112E-2</v>
      </c>
      <c r="P5" s="48">
        <v>0.41666666666666607</v>
      </c>
      <c r="Q5"/>
    </row>
    <row r="6" spans="1:17" x14ac:dyDescent="0.3">
      <c r="A6" s="1">
        <v>45782</v>
      </c>
      <c r="D6" s="4">
        <v>4.1666666666666664E-2</v>
      </c>
      <c r="E6" s="15">
        <f>IF(Tableau5_2025[[#This Row],[Arrivée]]&lt;&gt;"",(Tableau5_2025[[#This Row],[Départ]] - Tableau5_2025[[#This Row],[Arrivée]]) - Tableau5_2025[[#This Row],[Pause]],0)</f>
        <v>0</v>
      </c>
      <c r="F6" s="17">
        <f>IF(Tableau5_2025[[#This Row],[Temps travail]]&gt;TempsTravail,Tableau5_2025[[#This Row],[Temps travail]]-TempsTravail,0)</f>
        <v>0</v>
      </c>
      <c r="G6" s="43">
        <f>IF(Tableau5_2025[[#This Row],[Temps travail]]&gt;TempsTravail,Tableau5_2025[[#This Row],[Temps travail]]*24-TempsTravail*24,0)</f>
        <v>0</v>
      </c>
      <c r="H6">
        <f t="shared" si="0"/>
        <v>19</v>
      </c>
      <c r="J6" s="11">
        <v>21</v>
      </c>
      <c r="K6" s="9" t="str">
        <f t="shared" si="1"/>
        <v>2:05</v>
      </c>
      <c r="L6" s="24">
        <f xml:space="preserve"> SUMIF(H:H, J6, G:G)</f>
        <v>2.0833333333333304</v>
      </c>
      <c r="N6" s="46">
        <v>19</v>
      </c>
      <c r="O6" s="53">
        <v>8.7499999999999994E-2</v>
      </c>
      <c r="P6" s="48">
        <v>2.0999999999999979</v>
      </c>
      <c r="Q6"/>
    </row>
    <row r="7" spans="1:17" x14ac:dyDescent="0.3">
      <c r="A7" s="1">
        <v>45783</v>
      </c>
      <c r="B7" s="3">
        <v>0.34027777777777779</v>
      </c>
      <c r="C7" s="3">
        <v>0.70972222222222225</v>
      </c>
      <c r="D7" s="4">
        <v>4.1666666666666664E-2</v>
      </c>
      <c r="E7" s="15">
        <f>IF(Tableau5_2025[[#This Row],[Arrivée]]&lt;&gt;"",(Tableau5_2025[[#This Row],[Départ]] - Tableau5_2025[[#This Row],[Arrivée]]) - Tableau5_2025[[#This Row],[Pause]],0)</f>
        <v>0.32777777777777778</v>
      </c>
      <c r="F7" s="17">
        <f>IF(Tableau5_2025[[#This Row],[Temps travail]]&gt;TempsTravail,Tableau5_2025[[#This Row],[Temps travail]]-TempsTravail,0)</f>
        <v>3.6111111111111094E-2</v>
      </c>
      <c r="G7" s="43">
        <f>IF(Tableau5_2025[[#This Row],[Temps travail]]&gt;TempsTravail,Tableau5_2025[[#This Row],[Temps travail]]*24-TempsTravail*24,0)</f>
        <v>0.86666666666666714</v>
      </c>
      <c r="H7">
        <f t="shared" si="0"/>
        <v>19</v>
      </c>
      <c r="J7" s="11">
        <v>22</v>
      </c>
      <c r="K7" s="9" t="str">
        <f t="shared" si="1"/>
        <v>0:50</v>
      </c>
      <c r="L7" s="24">
        <f xml:space="preserve"> SUMIF(H:H, J7, G:G)</f>
        <v>0.8333333333333357</v>
      </c>
      <c r="N7" s="46">
        <v>20</v>
      </c>
      <c r="O7" s="53">
        <v>5.0694444444444445E-2</v>
      </c>
      <c r="P7" s="48">
        <v>1.2166666666666677</v>
      </c>
      <c r="Q7"/>
    </row>
    <row r="8" spans="1:17" x14ac:dyDescent="0.3">
      <c r="A8" s="1">
        <v>45784</v>
      </c>
      <c r="B8" s="3">
        <v>0.34027777777777779</v>
      </c>
      <c r="C8" s="3">
        <v>0.68819444444444444</v>
      </c>
      <c r="D8" s="4">
        <v>4.1666666666666664E-2</v>
      </c>
      <c r="E8" s="15">
        <f>IF(Tableau5_2025[[#This Row],[Arrivée]]&lt;&gt;"",(Tableau5_2025[[#This Row],[Départ]] - Tableau5_2025[[#This Row],[Arrivée]]) - Tableau5_2025[[#This Row],[Pause]],0)</f>
        <v>0.30624999999999997</v>
      </c>
      <c r="F8" s="17">
        <f>IF(Tableau5_2025[[#This Row],[Temps travail]]&gt;TempsTravail,Tableau5_2025[[#This Row],[Temps travail]]-TempsTravail,0)</f>
        <v>1.4583333333333282E-2</v>
      </c>
      <c r="G8" s="43">
        <f>IF(Tableau5_2025[[#This Row],[Temps travail]]&gt;TempsTravail,Tableau5_2025[[#This Row],[Temps travail]]*24-TempsTravail*24,0)</f>
        <v>0.34999999999999964</v>
      </c>
      <c r="H8">
        <f t="shared" si="0"/>
        <v>19</v>
      </c>
      <c r="K8" s="9" t="str">
        <f t="shared" si="1"/>
        <v/>
      </c>
      <c r="N8" s="46">
        <v>21</v>
      </c>
      <c r="O8" s="53">
        <v>8.6805555555555552E-2</v>
      </c>
      <c r="P8" s="48">
        <v>2.0833333333333304</v>
      </c>
      <c r="Q8"/>
    </row>
    <row r="9" spans="1:17" x14ac:dyDescent="0.3">
      <c r="A9" s="1">
        <v>45785</v>
      </c>
      <c r="B9" s="3">
        <v>0.33680555555555558</v>
      </c>
      <c r="C9" s="3">
        <v>0.67152777777777772</v>
      </c>
      <c r="D9" s="4">
        <v>4.1666666666666664E-2</v>
      </c>
      <c r="E9" s="15">
        <f>IF(Tableau5_2025[[#This Row],[Arrivée]]&lt;&gt;"",(Tableau5_2025[[#This Row],[Départ]] - Tableau5_2025[[#This Row],[Arrivée]]) - Tableau5_2025[[#This Row],[Pause]],0)</f>
        <v>0.29305555555555546</v>
      </c>
      <c r="F9" s="17">
        <f>IF(Tableau5_2025[[#This Row],[Temps travail]]&gt;TempsTravail,Tableau5_2025[[#This Row],[Temps travail]]-TempsTravail,0)</f>
        <v>1.3888888888887729E-3</v>
      </c>
      <c r="G9" s="43">
        <f>IF(Tableau5_2025[[#This Row],[Temps travail]]&gt;TempsTravail,Tableau5_2025[[#This Row],[Temps travail]]*24-TempsTravail*24,0)</f>
        <v>3.3333333333331439E-2</v>
      </c>
      <c r="H9">
        <f t="shared" si="0"/>
        <v>19</v>
      </c>
      <c r="J9" s="26" t="s">
        <v>8</v>
      </c>
      <c r="K9" s="12" t="str">
        <f t="shared" si="1"/>
        <v>6:39</v>
      </c>
      <c r="L9" s="25">
        <f xml:space="preserve"> SUM(L3:L7)</f>
        <v>6.6499999999999977</v>
      </c>
      <c r="N9" s="46">
        <v>22</v>
      </c>
      <c r="O9" s="53">
        <v>3.4722222222222224E-2</v>
      </c>
      <c r="P9" s="48">
        <v>0.8333333333333357</v>
      </c>
      <c r="Q9"/>
    </row>
    <row r="10" spans="1:17" x14ac:dyDescent="0.3">
      <c r="A10" s="1">
        <v>45786</v>
      </c>
      <c r="B10" s="3"/>
      <c r="C10" s="3"/>
      <c r="D10" s="4">
        <v>4.1666666666666664E-2</v>
      </c>
      <c r="E10" s="15">
        <f>IF(Tableau5_2025[[#This Row],[Arrivée]]&lt;&gt;"",(Tableau5_2025[[#This Row],[Départ]] - Tableau5_2025[[#This Row],[Arrivée]]) - Tableau5_2025[[#This Row],[Pause]],0)</f>
        <v>0</v>
      </c>
      <c r="F10" s="17">
        <f>IF(Tableau5_2025[[#This Row],[Temps travail]]&gt;TempsTravail,Tableau5_2025[[#This Row],[Temps travail]]-TempsTravail,0)</f>
        <v>0</v>
      </c>
      <c r="G10" s="43">
        <f>IF(Tableau5_2025[[#This Row],[Temps travail]]&gt;TempsTravail,Tableau5_2025[[#This Row],[Temps travail]]*24-TempsTravail*24,0)</f>
        <v>0</v>
      </c>
      <c r="H10">
        <f t="shared" si="0"/>
        <v>19</v>
      </c>
      <c r="J10" s="19" t="s">
        <v>9</v>
      </c>
      <c r="K10" s="9" t="str">
        <f t="shared" si="1"/>
        <v>8:01</v>
      </c>
      <c r="L10" s="18">
        <f>SUM(L14:L22)</f>
        <v>104.01666666666657</v>
      </c>
      <c r="N10" t="s">
        <v>30</v>
      </c>
      <c r="O10" s="53">
        <v>0.27708333333333335</v>
      </c>
      <c r="P10" s="48">
        <v>6.6499999999999977</v>
      </c>
      <c r="Q10"/>
    </row>
    <row r="11" spans="1:17" x14ac:dyDescent="0.3">
      <c r="A11" s="1">
        <v>45787</v>
      </c>
      <c r="B11" s="3">
        <v>0.33888888888888891</v>
      </c>
      <c r="C11" s="3">
        <v>0.70763888888888893</v>
      </c>
      <c r="D11" s="4">
        <v>4.1666666666666664E-2</v>
      </c>
      <c r="E11" s="15">
        <f>IF(Tableau5_2025[[#This Row],[Arrivée]]&lt;&gt;"",(Tableau5_2025[[#This Row],[Départ]] - Tableau5_2025[[#This Row],[Arrivée]]) - Tableau5_2025[[#This Row],[Pause]],0)</f>
        <v>0.32708333333333334</v>
      </c>
      <c r="F11" s="17">
        <f>IF(Tableau5_2025[[#This Row],[Temps travail]]&gt;TempsTravail,Tableau5_2025[[#This Row],[Temps travail]]-TempsTravail,0)</f>
        <v>3.5416666666666652E-2</v>
      </c>
      <c r="G11" s="43">
        <f>IF(Tableau5_2025[[#This Row],[Temps travail]]&gt;TempsTravail,Tableau5_2025[[#This Row],[Temps travail]]*24-TempsTravail*24,0)</f>
        <v>0.84999999999999964</v>
      </c>
      <c r="H11">
        <f t="shared" si="0"/>
        <v>19</v>
      </c>
      <c r="J11" s="24"/>
      <c r="K11" s="18"/>
      <c r="L11" s="18"/>
    </row>
    <row r="12" spans="1:17" x14ac:dyDescent="0.3">
      <c r="A12" s="1">
        <v>45788</v>
      </c>
      <c r="B12" s="3"/>
      <c r="C12" s="3"/>
      <c r="D12" s="4">
        <v>4.1666666666666664E-2</v>
      </c>
      <c r="E12" s="15">
        <f>IF(Tableau5_2025[[#This Row],[Arrivée]]&lt;&gt;"",(Tableau5_2025[[#This Row],[Départ]] - Tableau5_2025[[#This Row],[Arrivée]]) - Tableau5_2025[[#This Row],[Pause]],0)</f>
        <v>0</v>
      </c>
      <c r="F12" s="17">
        <f>IF(Tableau5_2025[[#This Row],[Temps travail]]&gt;TempsTravail,Tableau5_2025[[#This Row],[Temps travail]]-TempsTravail,0)</f>
        <v>0</v>
      </c>
      <c r="G12" s="43">
        <f>IF(Tableau5_2025[[#This Row],[Temps travail]]&gt;TempsTravail,Tableau5_2025[[#This Row],[Temps travail]]*24-TempsTravail*24,0)</f>
        <v>0</v>
      </c>
      <c r="H12">
        <f t="shared" si="0"/>
        <v>19</v>
      </c>
      <c r="K12" s="18"/>
      <c r="L12" s="18"/>
    </row>
    <row r="13" spans="1:17" x14ac:dyDescent="0.3">
      <c r="A13" s="1">
        <v>45789</v>
      </c>
      <c r="D13" s="4">
        <v>4.1666666666666664E-2</v>
      </c>
      <c r="E13" s="15">
        <f>IF(Tableau5_2025[[#This Row],[Arrivée]]&lt;&gt;"",(Tableau5_2025[[#This Row],[Départ]] - Tableau5_2025[[#This Row],[Arrivée]]) - Tableau5_2025[[#This Row],[Pause]],0)</f>
        <v>0</v>
      </c>
      <c r="F13" s="17">
        <f>IF(Tableau5_2025[[#This Row],[Temps travail]]&gt;TempsTravail,Tableau5_2025[[#This Row],[Temps travail]]-TempsTravail,0)</f>
        <v>0</v>
      </c>
      <c r="G13" s="43">
        <f>IF(Tableau5_2025[[#This Row],[Temps travail]]&gt;TempsTravail,Tableau5_2025[[#This Row],[Temps travail]]*24-TempsTravail*24,0)</f>
        <v>0</v>
      </c>
      <c r="H13">
        <f t="shared" si="0"/>
        <v>20</v>
      </c>
      <c r="K13" s="18"/>
      <c r="L13" s="18"/>
    </row>
    <row r="14" spans="1:17" x14ac:dyDescent="0.3">
      <c r="A14" s="1">
        <v>45790</v>
      </c>
      <c r="B14" s="3">
        <v>0.33402777777777776</v>
      </c>
      <c r="C14" s="3">
        <v>0.67222222222222228</v>
      </c>
      <c r="D14" s="4">
        <v>4.1666666666666664E-2</v>
      </c>
      <c r="E14" s="15">
        <f>IF(Tableau5_2025[[#This Row],[Arrivée]]&lt;&gt;"",(Tableau5_2025[[#This Row],[Départ]] - Tableau5_2025[[#This Row],[Arrivée]]) - Tableau5_2025[[#This Row],[Pause]],0)</f>
        <v>0.29652777777777783</v>
      </c>
      <c r="F14" s="17">
        <f>IF(Tableau5_2025[[#This Row],[Temps travail]]&gt;TempsTravail,Tableau5_2025[[#This Row],[Temps travail]]-TempsTravail,0)</f>
        <v>4.8611111111111494E-3</v>
      </c>
      <c r="G14" s="43">
        <f>IF(Tableau5_2025[[#This Row],[Temps travail]]&gt;TempsTravail,Tableau5_2025[[#This Row],[Temps travail]]*24-TempsTravail*24,0)</f>
        <v>0.11666666666666803</v>
      </c>
      <c r="H14">
        <f t="shared" si="0"/>
        <v>20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</row>
    <row r="15" spans="1:17" x14ac:dyDescent="0.3">
      <c r="A15" s="1">
        <v>45791</v>
      </c>
      <c r="B15" s="3">
        <v>0.34652777777777777</v>
      </c>
      <c r="C15" s="3">
        <v>0.69166666666666665</v>
      </c>
      <c r="D15" s="4">
        <v>4.1666666666666664E-2</v>
      </c>
      <c r="E15" s="15">
        <f>IF(Tableau5_2025[[#This Row],[Arrivée]]&lt;&gt;"",(Tableau5_2025[[#This Row],[Départ]] - Tableau5_2025[[#This Row],[Arrivée]]) - Tableau5_2025[[#This Row],[Pause]],0)</f>
        <v>0.3034722222222222</v>
      </c>
      <c r="F15" s="17">
        <f>IF(Tableau5_2025[[#This Row],[Temps travail]]&gt;TempsTravail,Tableau5_2025[[#This Row],[Temps travail]]-TempsTravail,0)</f>
        <v>1.1805555555555514E-2</v>
      </c>
      <c r="G15" s="43">
        <f>IF(Tableau5_2025[[#This Row],[Temps travail]]&gt;TempsTravail,Tableau5_2025[[#This Row],[Temps travail]]*24-TempsTravail*24,0)</f>
        <v>0.28333333333333321</v>
      </c>
      <c r="H15">
        <f t="shared" si="0"/>
        <v>20</v>
      </c>
      <c r="J15" t="s">
        <v>11</v>
      </c>
      <c r="K15" s="9" t="str">
        <f t="shared" ref="K15:K22" si="2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</row>
    <row r="16" spans="1:17" x14ac:dyDescent="0.3">
      <c r="A16" s="1">
        <v>45792</v>
      </c>
      <c r="B16" s="3">
        <v>0.34652777777777777</v>
      </c>
      <c r="C16" s="3">
        <v>0.7055555555555556</v>
      </c>
      <c r="D16" s="4">
        <v>4.1666666666666664E-2</v>
      </c>
      <c r="E16" s="15">
        <f>IF(Tableau5_2025[[#This Row],[Arrivée]]&lt;&gt;"",(Tableau5_2025[[#This Row],[Départ]] - Tableau5_2025[[#This Row],[Arrivée]]) - Tableau5_2025[[#This Row],[Pause]],0)</f>
        <v>0.31736111111111115</v>
      </c>
      <c r="F16" s="17">
        <f>IF(Tableau5_2025[[#This Row],[Temps travail]]&gt;TempsTravail,Tableau5_2025[[#This Row],[Temps travail]]-TempsTravail,0)</f>
        <v>2.5694444444444464E-2</v>
      </c>
      <c r="G16" s="43">
        <f>IF(Tableau5_2025[[#This Row],[Temps travail]]&gt;TempsTravail,Tableau5_2025[[#This Row],[Temps travail]]*24-TempsTravail*24,0)</f>
        <v>0.61666666666666714</v>
      </c>
      <c r="H16">
        <f t="shared" si="0"/>
        <v>20</v>
      </c>
      <c r="J16" t="s">
        <v>12</v>
      </c>
      <c r="K16" s="9" t="str">
        <f t="shared" si="2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</row>
    <row r="17" spans="1:17" x14ac:dyDescent="0.3">
      <c r="A17" s="1">
        <v>45793</v>
      </c>
      <c r="B17" s="3">
        <v>0.34861111111111109</v>
      </c>
      <c r="C17" s="3">
        <v>0.67013888888888884</v>
      </c>
      <c r="D17" s="4">
        <v>4.1666666666666664E-2</v>
      </c>
      <c r="E17" s="15">
        <f>IF(Tableau5_2025[[#This Row],[Arrivée]]&lt;&gt;"",(Tableau5_2025[[#This Row],[Départ]] - Tableau5_2025[[#This Row],[Arrivée]]) - Tableau5_2025[[#This Row],[Pause]],0)</f>
        <v>0.27986111111111106</v>
      </c>
      <c r="F17" s="17">
        <f>IF(Tableau5_2025[[#This Row],[Temps travail]]&gt;TempsTravail,Tableau5_2025[[#This Row],[Temps travail]]-TempsTravail,0)</f>
        <v>0</v>
      </c>
      <c r="G17" s="43">
        <f>IF(Tableau5_2025[[#This Row],[Temps travail]]&gt;TempsTravail,Tableau5_2025[[#This Row],[Temps travail]]*24-TempsTravail*24,0)</f>
        <v>0</v>
      </c>
      <c r="H17">
        <f t="shared" si="0"/>
        <v>20</v>
      </c>
      <c r="J17" t="s">
        <v>13</v>
      </c>
      <c r="K17" s="9" t="str">
        <f t="shared" si="2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</row>
    <row r="18" spans="1:17" x14ac:dyDescent="0.3">
      <c r="A18" s="1">
        <v>45794</v>
      </c>
      <c r="B18" s="3">
        <v>0.33958333333333335</v>
      </c>
      <c r="C18" s="3">
        <v>0.68125000000000002</v>
      </c>
      <c r="D18" s="4">
        <v>4.1666666666666664E-2</v>
      </c>
      <c r="E18" s="15">
        <f>IF(Tableau5_2025[[#This Row],[Arrivée]]&lt;&gt;"",(Tableau5_2025[[#This Row],[Départ]] - Tableau5_2025[[#This Row],[Arrivée]]) - Tableau5_2025[[#This Row],[Pause]],0)</f>
        <v>0.3</v>
      </c>
      <c r="F18" s="17">
        <f>IF(Tableau5_2025[[#This Row],[Temps travail]]&gt;TempsTravail,Tableau5_2025[[#This Row],[Temps travail]]-TempsTravail,0)</f>
        <v>8.3333333333333037E-3</v>
      </c>
      <c r="G18" s="43">
        <f>IF(Tableau5_2025[[#This Row],[Temps travail]]&gt;TempsTravail,Tableau5_2025[[#This Row],[Temps travail]]*24-TempsTravail*24,0)</f>
        <v>0.19999999999999929</v>
      </c>
      <c r="H18">
        <f t="shared" si="0"/>
        <v>20</v>
      </c>
      <c r="J18" t="s">
        <v>14</v>
      </c>
      <c r="K18" s="9" t="str">
        <f t="shared" si="2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</row>
    <row r="19" spans="1:17" x14ac:dyDescent="0.3">
      <c r="A19" s="1">
        <v>45795</v>
      </c>
      <c r="B19" s="3"/>
      <c r="C19" s="3"/>
      <c r="D19" s="4">
        <v>4.1666666666666664E-2</v>
      </c>
      <c r="E19" s="15">
        <f>IF(Tableau5_2025[[#This Row],[Arrivée]]&lt;&gt;"",(Tableau5_2025[[#This Row],[Départ]] - Tableau5_2025[[#This Row],[Arrivée]]) - Tableau5_2025[[#This Row],[Pause]],0)</f>
        <v>0</v>
      </c>
      <c r="F19" s="17">
        <f>IF(Tableau5_2025[[#This Row],[Temps travail]]&gt;TempsTravail,Tableau5_2025[[#This Row],[Temps travail]]-TempsTravail,0)</f>
        <v>0</v>
      </c>
      <c r="G19" s="43">
        <f>IF(Tableau5_2025[[#This Row],[Temps travail]]&gt;TempsTravail,Tableau5_2025[[#This Row],[Temps travail]]*24-TempsTravail*24,0)</f>
        <v>0</v>
      </c>
      <c r="H19">
        <f t="shared" si="0"/>
        <v>20</v>
      </c>
      <c r="J19" t="s">
        <v>15</v>
      </c>
      <c r="K19" s="9" t="str">
        <f t="shared" si="2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</row>
    <row r="20" spans="1:17" x14ac:dyDescent="0.3">
      <c r="A20" s="1">
        <v>45796</v>
      </c>
      <c r="B20" s="2">
        <v>0.33333333333333331</v>
      </c>
      <c r="C20" s="2">
        <v>0.72013888888888888</v>
      </c>
      <c r="D20" s="4">
        <v>4.1666666666666664E-2</v>
      </c>
      <c r="E20" s="15">
        <f>IF(Tableau5_2025[[#This Row],[Arrivée]]&lt;&gt;"",(Tableau5_2025[[#This Row],[Départ]] - Tableau5_2025[[#This Row],[Arrivée]]) - Tableau5_2025[[#This Row],[Pause]],0)</f>
        <v>0.34513888888888888</v>
      </c>
      <c r="F20" s="17">
        <f>IF(Tableau5_2025[[#This Row],[Temps travail]]&gt;TempsTravail,Tableau5_2025[[#This Row],[Temps travail]]-TempsTravail,0)</f>
        <v>5.3472222222222199E-2</v>
      </c>
      <c r="G20" s="43">
        <f>IF(Tableau5_2025[[#This Row],[Temps travail]]&gt;TempsTravail,Tableau5_2025[[#This Row],[Temps travail]]*24-TempsTravail*24,0)</f>
        <v>1.2833333333333332</v>
      </c>
      <c r="H20">
        <f t="shared" si="0"/>
        <v>21</v>
      </c>
      <c r="J20" t="s">
        <v>16</v>
      </c>
      <c r="K20" s="9" t="str">
        <f t="shared" si="2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</row>
    <row r="21" spans="1:17" x14ac:dyDescent="0.3">
      <c r="A21" s="1">
        <v>45797</v>
      </c>
      <c r="B21" s="2">
        <v>0.33680555555555558</v>
      </c>
      <c r="C21" s="2">
        <v>0.69513888888888886</v>
      </c>
      <c r="D21" s="4">
        <v>4.1666666666666664E-2</v>
      </c>
      <c r="E21" s="15">
        <f>IF(Tableau5_2025[[#This Row],[Arrivée]]&lt;&gt;"",(Tableau5_2025[[#This Row],[Départ]] - Tableau5_2025[[#This Row],[Arrivée]]) - Tableau5_2025[[#This Row],[Pause]],0)</f>
        <v>0.3166666666666666</v>
      </c>
      <c r="F21" s="17">
        <f>IF(Tableau5_2025[[#This Row],[Temps travail]]&gt;TempsTravail,Tableau5_2025[[#This Row],[Temps travail]]-TempsTravail,0)</f>
        <v>2.4999999999999911E-2</v>
      </c>
      <c r="G21" s="43">
        <f>IF(Tableau5_2025[[#This Row],[Temps travail]]&gt;TempsTravail,Tableau5_2025[[#This Row],[Temps travail]]*24-TempsTravail*24,0)</f>
        <v>0.59999999999999787</v>
      </c>
      <c r="H21">
        <f t="shared" si="0"/>
        <v>21</v>
      </c>
      <c r="J21" t="s">
        <v>17</v>
      </c>
      <c r="K21" s="9" t="str">
        <f t="shared" si="2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</row>
    <row r="22" spans="1:17" x14ac:dyDescent="0.3">
      <c r="A22" s="1">
        <v>45798</v>
      </c>
      <c r="B22" s="2">
        <v>0.34513888888888888</v>
      </c>
      <c r="C22" s="2">
        <v>0.67847222222222225</v>
      </c>
      <c r="D22" s="4">
        <v>4.1666666666666664E-2</v>
      </c>
      <c r="E22" s="15">
        <f>IF(Tableau5_2025[[#This Row],[Arrivée]]&lt;&gt;"",(Tableau5_2025[[#This Row],[Départ]] - Tableau5_2025[[#This Row],[Arrivée]]) - Tableau5_2025[[#This Row],[Pause]],0)</f>
        <v>0.29166666666666669</v>
      </c>
      <c r="F22" s="17">
        <f>IF(Tableau5_2025[[#This Row],[Temps travail]]&gt;TempsTravail,Tableau5_2025[[#This Row],[Temps travail]]-TempsTravail,0)</f>
        <v>0</v>
      </c>
      <c r="G22" s="43">
        <f>IF(Tableau5_2025[[#This Row],[Temps travail]]&gt;TempsTravail,Tableau5_2025[[#This Row],[Temps travail]]*24-TempsTravail*24,0)</f>
        <v>0</v>
      </c>
      <c r="H22">
        <f t="shared" si="0"/>
        <v>21</v>
      </c>
      <c r="J22" t="s">
        <v>18</v>
      </c>
      <c r="K22" s="9" t="str">
        <f t="shared" si="2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</row>
    <row r="23" spans="1:17" x14ac:dyDescent="0.3">
      <c r="A23" s="1">
        <v>45799</v>
      </c>
      <c r="B23" s="3">
        <v>0.33263888888888887</v>
      </c>
      <c r="C23" s="3">
        <v>0.6694444444444444</v>
      </c>
      <c r="D23" s="4">
        <v>4.1666666666666664E-2</v>
      </c>
      <c r="E23" s="15">
        <f>IF(Tableau5_2025[[#This Row],[Arrivée]]&lt;&gt;"",(Tableau5_2025[[#This Row],[Départ]] - Tableau5_2025[[#This Row],[Arrivée]]) - Tableau5_2025[[#This Row],[Pause]],0)</f>
        <v>0.29513888888888884</v>
      </c>
      <c r="F23" s="17">
        <f>IF(Tableau5_2025[[#This Row],[Temps travail]]&gt;TempsTravail,Tableau5_2025[[#This Row],[Temps travail]]-TempsTravail,0)</f>
        <v>3.4722222222221544E-3</v>
      </c>
      <c r="G23" s="43">
        <f>IF(Tableau5_2025[[#This Row],[Temps travail]]&gt;TempsTravail,Tableau5_2025[[#This Row],[Temps travail]]*24-TempsTravail*24,0)</f>
        <v>8.3333333333332149E-2</v>
      </c>
      <c r="H23">
        <f t="shared" si="0"/>
        <v>21</v>
      </c>
      <c r="O23" t="s">
        <v>29</v>
      </c>
      <c r="P23" s="53">
        <v>0.37430555555555556</v>
      </c>
      <c r="Q23" s="47">
        <v>8.9833333333333201</v>
      </c>
    </row>
    <row r="24" spans="1:17" x14ac:dyDescent="0.3">
      <c r="A24" s="1">
        <v>45800</v>
      </c>
      <c r="B24" s="3">
        <v>0.33611111111111114</v>
      </c>
      <c r="C24" s="3">
        <v>0.6743055555555556</v>
      </c>
      <c r="D24" s="4">
        <v>4.1666666666666664E-2</v>
      </c>
      <c r="E24" s="15">
        <f>IF(Tableau5_2025[[#This Row],[Arrivée]]&lt;&gt;"",(Tableau5_2025[[#This Row],[Départ]] - Tableau5_2025[[#This Row],[Arrivée]]) - Tableau5_2025[[#This Row],[Pause]],0)</f>
        <v>0.29652777777777778</v>
      </c>
      <c r="F24" s="17">
        <f>IF(Tableau5_2025[[#This Row],[Temps travail]]&gt;TempsTravail,Tableau5_2025[[#This Row],[Temps travail]]-TempsTravail,0)</f>
        <v>4.8611111111110938E-3</v>
      </c>
      <c r="G24" s="43">
        <f>IF(Tableau5_2025[[#This Row],[Temps travail]]&gt;TempsTravail,Tableau5_2025[[#This Row],[Temps travail]]*24-TempsTravail*24,0)</f>
        <v>0.11666666666666714</v>
      </c>
      <c r="H24">
        <f t="shared" si="0"/>
        <v>21</v>
      </c>
      <c r="N24" t="s">
        <v>36</v>
      </c>
      <c r="P24" s="53">
        <v>4.334027777777778</v>
      </c>
      <c r="Q24" s="47">
        <v>104.01666666666657</v>
      </c>
    </row>
    <row r="25" spans="1:17" x14ac:dyDescent="0.3">
      <c r="A25" s="1">
        <v>45801</v>
      </c>
      <c r="B25" s="3"/>
      <c r="C25" s="3"/>
      <c r="D25" s="4">
        <v>4.1666666666666664E-2</v>
      </c>
      <c r="E25" s="15">
        <f>IF(Tableau5_2025[[#This Row],[Arrivée]]&lt;&gt;"",(Tableau5_2025[[#This Row],[Départ]] - Tableau5_2025[[#This Row],[Arrivée]]) - Tableau5_2025[[#This Row],[Pause]],0)</f>
        <v>0</v>
      </c>
      <c r="F25" s="17">
        <f>IF(Tableau5_2025[[#This Row],[Temps travail]]&gt;TempsTravail,Tableau5_2025[[#This Row],[Temps travail]]-TempsTravail,0)</f>
        <v>0</v>
      </c>
      <c r="G25" s="43">
        <f>IF(Tableau5_2025[[#This Row],[Temps travail]]&gt;TempsTravail,Tableau5_2025[[#This Row],[Temps travail]]*24-TempsTravail*24,0)</f>
        <v>0</v>
      </c>
      <c r="H25">
        <f t="shared" si="0"/>
        <v>21</v>
      </c>
      <c r="N25">
        <v>2026</v>
      </c>
      <c r="O25" t="s">
        <v>33</v>
      </c>
      <c r="P25" s="53">
        <v>9.7916666666666666E-2</v>
      </c>
      <c r="Q25" s="47">
        <v>2.3499999999999979</v>
      </c>
    </row>
    <row r="26" spans="1:17" x14ac:dyDescent="0.3">
      <c r="A26" s="1">
        <v>45802</v>
      </c>
      <c r="B26" s="13"/>
      <c r="C26" s="3"/>
      <c r="D26" s="4">
        <v>4.1666666666666664E-2</v>
      </c>
      <c r="E26" s="15">
        <f>IF(Tableau5_2025[[#This Row],[Arrivée]]&lt;&gt;"",(Tableau5_2025[[#This Row],[Départ]] - Tableau5_2025[[#This Row],[Arrivée]]) - Tableau5_2025[[#This Row],[Pause]],0)</f>
        <v>0</v>
      </c>
      <c r="F26" s="17">
        <f>IF(Tableau5_2025[[#This Row],[Temps travail]]&gt;TempsTravail,Tableau5_2025[[#This Row],[Temps travail]]-TempsTravail,0)</f>
        <v>0</v>
      </c>
      <c r="G26" s="43">
        <f>IF(Tableau5_2025[[#This Row],[Temps travail]]&gt;TempsTravail,Tableau5_2025[[#This Row],[Temps travail]]*24-TempsTravail*24,0)</f>
        <v>0</v>
      </c>
      <c r="H26">
        <f t="shared" si="0"/>
        <v>21</v>
      </c>
      <c r="O26" t="s">
        <v>34</v>
      </c>
      <c r="P26" s="53">
        <v>0</v>
      </c>
      <c r="Q26" s="47">
        <v>0</v>
      </c>
    </row>
    <row r="27" spans="1:17" x14ac:dyDescent="0.3">
      <c r="A27" s="1">
        <v>45803</v>
      </c>
      <c r="B27" s="2">
        <v>0.33541666666666664</v>
      </c>
      <c r="C27" s="2">
        <v>0.67569444444444449</v>
      </c>
      <c r="D27" s="4">
        <v>4.1666666666666664E-2</v>
      </c>
      <c r="E27" s="15">
        <f>IF(Tableau5_2025[[#This Row],[Arrivée]]&lt;&gt;"",(Tableau5_2025[[#This Row],[Départ]] - Tableau5_2025[[#This Row],[Arrivée]]) - Tableau5_2025[[#This Row],[Pause]],0)</f>
        <v>0.29861111111111116</v>
      </c>
      <c r="F27" s="17">
        <f>IF(Tableau5_2025[[#This Row],[Temps travail]]&gt;TempsTravail,Tableau5_2025[[#This Row],[Temps travail]]-TempsTravail,0)</f>
        <v>6.9444444444444753E-3</v>
      </c>
      <c r="G27" s="43">
        <f>IF(Tableau5_2025[[#This Row],[Temps travail]]&gt;TempsTravail,Tableau5_2025[[#This Row],[Temps travail]]*24-TempsTravail*24,0)</f>
        <v>0.16666666666666785</v>
      </c>
      <c r="H27">
        <f t="shared" si="0"/>
        <v>22</v>
      </c>
      <c r="N27" t="s">
        <v>37</v>
      </c>
      <c r="P27" s="53">
        <v>9.7916666666666666E-2</v>
      </c>
      <c r="Q27" s="47">
        <v>2.3499999999999979</v>
      </c>
    </row>
    <row r="28" spans="1:17" x14ac:dyDescent="0.3">
      <c r="A28" s="1">
        <v>45804</v>
      </c>
      <c r="B28" s="2">
        <v>0.33958333333333335</v>
      </c>
      <c r="C28" s="2">
        <v>0.65208333333333335</v>
      </c>
      <c r="D28" s="4">
        <v>4.1666666666666664E-2</v>
      </c>
      <c r="E28" s="15">
        <f>IF(Tableau5_2025[[#This Row],[Arrivée]]&lt;&gt;"",(Tableau5_2025[[#This Row],[Départ]] - Tableau5_2025[[#This Row],[Arrivée]]) - Tableau5_2025[[#This Row],[Pause]],0)</f>
        <v>0.27083333333333331</v>
      </c>
      <c r="F28" s="17">
        <f>IF(Tableau5_2025[[#This Row],[Temps travail]]&gt;TempsTravail,Tableau5_2025[[#This Row],[Temps travail]]-TempsTravail,0)</f>
        <v>0</v>
      </c>
      <c r="G28" s="43">
        <f>IF(Tableau5_2025[[#This Row],[Temps travail]]&gt;TempsTravail,Tableau5_2025[[#This Row],[Temps travail]]*24-TempsTravail*24,0)</f>
        <v>0</v>
      </c>
      <c r="H28">
        <f t="shared" si="0"/>
        <v>22</v>
      </c>
      <c r="N28" t="s">
        <v>30</v>
      </c>
      <c r="P28" s="53">
        <v>4.4319444444444445</v>
      </c>
      <c r="Q28" s="47">
        <v>106.36666666666656</v>
      </c>
    </row>
    <row r="29" spans="1:17" x14ac:dyDescent="0.3">
      <c r="A29" s="1">
        <v>45805</v>
      </c>
      <c r="B29" s="2">
        <v>0.33680555555555558</v>
      </c>
      <c r="C29" s="2">
        <v>0.67638888888888893</v>
      </c>
      <c r="D29" s="4">
        <v>4.1666666666666664E-2</v>
      </c>
      <c r="E29" s="15">
        <f>IF(Tableau5_2025[[#This Row],[Arrivée]]&lt;&gt;"",(Tableau5_2025[[#This Row],[Départ]] - Tableau5_2025[[#This Row],[Arrivée]]) - Tableau5_2025[[#This Row],[Pause]],0)</f>
        <v>0.29791666666666666</v>
      </c>
      <c r="F29" s="17">
        <f>IF(Tableau5_2025[[#This Row],[Temps travail]]&gt;TempsTravail,Tableau5_2025[[#This Row],[Temps travail]]-TempsTravail,0)</f>
        <v>6.2499999999999778E-3</v>
      </c>
      <c r="G29" s="43">
        <f>IF(Tableau5_2025[[#This Row],[Temps travail]]&gt;TempsTravail,Tableau5_2025[[#This Row],[Temps travail]]*24-TempsTravail*24,0)</f>
        <v>0.15000000000000036</v>
      </c>
      <c r="H29">
        <f t="shared" si="0"/>
        <v>22</v>
      </c>
    </row>
    <row r="30" spans="1:17" x14ac:dyDescent="0.3">
      <c r="A30" s="1">
        <v>45806</v>
      </c>
      <c r="B30" s="3"/>
      <c r="C30" s="3"/>
      <c r="D30" s="4">
        <v>4.1666666666666664E-2</v>
      </c>
      <c r="E30" s="15">
        <f>IF(Tableau5_2025[[#This Row],[Arrivée]]&lt;&gt;"",(Tableau5_2025[[#This Row],[Départ]] - Tableau5_2025[[#This Row],[Arrivée]]) - Tableau5_2025[[#This Row],[Pause]],0)</f>
        <v>0</v>
      </c>
      <c r="F30" s="17">
        <f>IF(Tableau5_2025[[#This Row],[Temps travail]]&gt;TempsTravail,Tableau5_2025[[#This Row],[Temps travail]]-TempsTravail,0)</f>
        <v>0</v>
      </c>
      <c r="G30" s="43">
        <f>IF(Tableau5_2025[[#This Row],[Temps travail]]&gt;TempsTravail,Tableau5_2025[[#This Row],[Temps travail]]*24-TempsTravail*24,0)</f>
        <v>0</v>
      </c>
      <c r="H30">
        <f t="shared" si="0"/>
        <v>22</v>
      </c>
    </row>
    <row r="31" spans="1:17" x14ac:dyDescent="0.3">
      <c r="A31" s="1">
        <v>45807</v>
      </c>
      <c r="B31" s="3">
        <v>0.31805555555555554</v>
      </c>
      <c r="C31" s="3">
        <v>0.67291666666666672</v>
      </c>
      <c r="D31" s="4">
        <v>4.1666666666666664E-2</v>
      </c>
      <c r="E31" s="15">
        <f>IF(Tableau5_2025[[#This Row],[Arrivée]]&lt;&gt;"",(Tableau5_2025[[#This Row],[Départ]] - Tableau5_2025[[#This Row],[Arrivée]]) - Tableau5_2025[[#This Row],[Pause]],0)</f>
        <v>0.3131944444444445</v>
      </c>
      <c r="F31" s="17">
        <f>IF(Tableau5_2025[[#This Row],[Temps travail]]&gt;TempsTravail,Tableau5_2025[[#This Row],[Temps travail]]-TempsTravail,0)</f>
        <v>2.1527777777777812E-2</v>
      </c>
      <c r="G31" s="43">
        <f>IF(Tableau5_2025[[#This Row],[Temps travail]]&gt;TempsTravail,Tableau5_2025[[#This Row],[Temps travail]]*24-TempsTravail*24,0)</f>
        <v>0.5166666666666675</v>
      </c>
      <c r="H31">
        <f t="shared" si="0"/>
        <v>22</v>
      </c>
    </row>
    <row r="32" spans="1:17" x14ac:dyDescent="0.3">
      <c r="A32" s="1">
        <v>45808</v>
      </c>
      <c r="D32" s="4">
        <v>4.1666666666666664E-2</v>
      </c>
      <c r="E32" s="15">
        <f>IF(Tableau5_2025[[#This Row],[Arrivée]]&lt;&gt;"",(Tableau5_2025[[#This Row],[Départ]] - Tableau5_2025[[#This Row],[Arrivée]]) - Tableau5_2025[[#This Row],[Pause]],0)</f>
        <v>0</v>
      </c>
      <c r="F32" s="17">
        <f>IF(Tableau5_2025[[#This Row],[Temps travail]]&gt;TempsTravail,Tableau5_2025[[#This Row],[Temps travail]]-TempsTravail,0)</f>
        <v>0</v>
      </c>
      <c r="G32" s="43">
        <f>IF(Tableau5_2025[[#This Row],[Temps travail]]&gt;TempsTravail,Tableau5_2025[[#This Row],[Temps travail]]*24-TempsTravail*24,0)</f>
        <v>0</v>
      </c>
      <c r="H32">
        <f t="shared" si="0"/>
        <v>22</v>
      </c>
    </row>
  </sheetData>
  <conditionalFormatting sqref="F1:F2">
    <cfRule type="expression" dxfId="69" priority="1">
      <formula>$G$2&lt;0</formula>
    </cfRule>
    <cfRule type="cellIs" dxfId="68" priority="2" operator="lessThan">
      <formula>0</formula>
    </cfRule>
    <cfRule type="expression" dxfId="67" priority="3">
      <formula>#REF!</formula>
    </cfRule>
  </conditionalFormatting>
  <conditionalFormatting sqref="F3 F5 F7 F9 F11 F13 F15 F17 F19 F21 F23 F25 F27 F29 F31">
    <cfRule type="expression" dxfId="66" priority="4">
      <formula>$G$3&lt;0</formula>
    </cfRule>
  </conditionalFormatting>
  <conditionalFormatting sqref="F3:F1048576">
    <cfRule type="expression" dxfId="65" priority="5">
      <formula>$G$2&lt;0</formula>
    </cfRule>
    <cfRule type="cellIs" dxfId="64" priority="9" operator="lessThan">
      <formula>0</formula>
    </cfRule>
    <cfRule type="expression" dxfId="63" priority="12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2836-728A-434B-8CD4-4895182E32BD}">
  <dimension ref="A1:Q35"/>
  <sheetViews>
    <sheetView workbookViewId="0">
      <pane ySplit="1" topLeftCell="A11" activePane="bottomLeft" state="frozen"/>
      <selection activeCell="N1" sqref="N1:P1048576"/>
      <selection pane="bottomLeft" activeCell="O2" sqref="O2"/>
    </sheetView>
  </sheetViews>
  <sheetFormatPr baseColWidth="10" defaultColWidth="9.109375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8.21875" bestFit="1" customWidth="1"/>
    <col min="8" max="8" width="8.33203125" bestFit="1" customWidth="1"/>
    <col min="10" max="10" width="10.441406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</cols>
  <sheetData>
    <row r="1" spans="1:17" x14ac:dyDescent="0.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G1" t="s">
        <v>20</v>
      </c>
      <c r="H1" t="s">
        <v>6</v>
      </c>
      <c r="N1" s="49" t="s">
        <v>31</v>
      </c>
      <c r="O1" s="11">
        <v>2025</v>
      </c>
    </row>
    <row r="2" spans="1:17" x14ac:dyDescent="0.3">
      <c r="A2" s="1">
        <v>45809</v>
      </c>
      <c r="B2" s="3"/>
      <c r="C2" s="3"/>
      <c r="D2" s="4">
        <v>4.1666666666666664E-2</v>
      </c>
      <c r="E2" s="15">
        <f>IF(Tableau6_2025[[#This Row],[Arrivée]]&lt;&gt;"",(Tableau6_2025[[#This Row],[Départ]] - Tableau6_2025[[#This Row],[Arrivée]]) - Tableau6_2025[[#This Row],[Pause]],0)</f>
        <v>0</v>
      </c>
      <c r="F2" s="17">
        <f>IF(Tableau6_2025[[#This Row],[Temps travail]]&gt;TempsTravail,Tableau6_2025[[#This Row],[Temps travail]]-TempsTravail,0)</f>
        <v>0</v>
      </c>
      <c r="G2" s="43">
        <f>IF(Tableau6_2025[[#This Row],[Temps travail]]&gt;TempsTravail,Tableau6_2025[[#This Row],[Temps travail]]*24-TempsTravail*24,0)</f>
        <v>0</v>
      </c>
      <c r="H2">
        <f t="shared" ref="H2:H31" si="0">WEEKNUM(A2,2)</f>
        <v>22</v>
      </c>
      <c r="J2" s="10" t="s">
        <v>6</v>
      </c>
      <c r="K2" s="8" t="s">
        <v>7</v>
      </c>
      <c r="L2" s="2"/>
      <c r="N2" s="49" t="s">
        <v>32</v>
      </c>
      <c r="O2" t="s">
        <v>23</v>
      </c>
    </row>
    <row r="3" spans="1:17" x14ac:dyDescent="0.3">
      <c r="A3" s="1">
        <v>45810</v>
      </c>
      <c r="B3" s="3">
        <v>0.34583333333333333</v>
      </c>
      <c r="C3" s="3">
        <v>0.71319444444444446</v>
      </c>
      <c r="D3" s="5">
        <v>4.1666666666666664E-2</v>
      </c>
      <c r="E3" s="15">
        <f>IF(Tableau6_2025[[#This Row],[Arrivée]]&lt;&gt;"",(Tableau6_2025[[#This Row],[Départ]] - Tableau6_2025[[#This Row],[Arrivée]]) - Tableau6_2025[[#This Row],[Pause]],0)</f>
        <v>0.32569444444444445</v>
      </c>
      <c r="F3" s="17">
        <f>IF(Tableau6_2025[[#This Row],[Temps travail]]&gt;TempsTravail,Tableau6_2025[[#This Row],[Temps travail]]-TempsTravail,0)</f>
        <v>3.4027777777777768E-2</v>
      </c>
      <c r="G3" s="43">
        <f>IF(Tableau6_2025[[#This Row],[Temps travail]]&gt;TempsTravail,Tableau6_2025[[#This Row],[Temps travail]]*24-TempsTravail*24,0)</f>
        <v>0.81666666666666643</v>
      </c>
      <c r="H3">
        <f t="shared" si="0"/>
        <v>23</v>
      </c>
      <c r="J3" s="11">
        <v>22</v>
      </c>
      <c r="K3" s="9" t="str">
        <f>IF(ISBLANK(L3), "", IF(L3&lt;0, "-" &amp; TEXT(ABS(L3)/24, "h:mm"), TEXT(L3/24, "h:mm")))</f>
        <v>0:00</v>
      </c>
      <c r="L3" s="24">
        <f t="shared" ref="L3:L8" si="1" xml:space="preserve"> SUMIF(H:H, J3, G:G)</f>
        <v>0</v>
      </c>
      <c r="P3"/>
      <c r="Q3"/>
    </row>
    <row r="4" spans="1:17" x14ac:dyDescent="0.3">
      <c r="A4" s="1">
        <v>45811</v>
      </c>
      <c r="B4" s="3">
        <v>0.34236111111111112</v>
      </c>
      <c r="C4" s="3">
        <v>0.7583333333333333</v>
      </c>
      <c r="D4" s="5">
        <v>4.1666666666666664E-2</v>
      </c>
      <c r="E4" s="15">
        <f>IF(Tableau6_2025[[#This Row],[Arrivée]]&lt;&gt;"",(Tableau6_2025[[#This Row],[Départ]] - Tableau6_2025[[#This Row],[Arrivée]]) - Tableau6_2025[[#This Row],[Pause]],0)</f>
        <v>0.3743055555555555</v>
      </c>
      <c r="F4" s="17">
        <f>IF(Tableau6_2025[[#This Row],[Temps travail]]&gt;TempsTravail,Tableau6_2025[[#This Row],[Temps travail]]-TempsTravail,0)</f>
        <v>8.2638888888888817E-2</v>
      </c>
      <c r="G4" s="43">
        <f>IF(Tableau6_2025[[#This Row],[Temps travail]]&gt;TempsTravail,Tableau6_2025[[#This Row],[Temps travail]]*24-TempsTravail*24,0)</f>
        <v>1.9833333333333325</v>
      </c>
      <c r="H4">
        <f t="shared" si="0"/>
        <v>23</v>
      </c>
      <c r="J4" s="11">
        <v>23</v>
      </c>
      <c r="K4" s="9" t="str">
        <f t="shared" ref="K4:K10" si="2">IF(ISBLANK(L4), "", IF(L4&lt;0, "-" &amp; TEXT(ABS(L4)/24, "h:mm"), TEXT(L4/24, "h:mm")))</f>
        <v>3:05</v>
      </c>
      <c r="L4" s="24">
        <f t="shared" si="1"/>
        <v>3.0833333333333321</v>
      </c>
      <c r="N4" s="55" t="s">
        <v>6</v>
      </c>
      <c r="O4" s="54" t="s">
        <v>39</v>
      </c>
      <c r="P4" s="54" t="s">
        <v>40</v>
      </c>
      <c r="Q4"/>
    </row>
    <row r="5" spans="1:17" x14ac:dyDescent="0.3">
      <c r="A5" s="1">
        <v>45812</v>
      </c>
      <c r="B5" s="3">
        <v>0.34027777777777779</v>
      </c>
      <c r="C5" s="3">
        <v>0.68125000000000002</v>
      </c>
      <c r="D5" s="5">
        <v>4.1666666666666664E-2</v>
      </c>
      <c r="E5" s="15">
        <f>IF(Tableau6_2025[[#This Row],[Arrivée]]&lt;&gt;"",(Tableau6_2025[[#This Row],[Départ]] - Tableau6_2025[[#This Row],[Arrivée]]) - Tableau6_2025[[#This Row],[Pause]],0)</f>
        <v>0.29930555555555555</v>
      </c>
      <c r="F5" s="17">
        <f>IF(Tableau6_2025[[#This Row],[Temps travail]]&gt;TempsTravail,Tableau6_2025[[#This Row],[Temps travail]]-TempsTravail,0)</f>
        <v>7.6388888888888618E-3</v>
      </c>
      <c r="G5" s="43">
        <f>IF(Tableau6_2025[[#This Row],[Temps travail]]&gt;TempsTravail,Tableau6_2025[[#This Row],[Temps travail]]*24-TempsTravail*24,0)</f>
        <v>0.18333333333333357</v>
      </c>
      <c r="H5">
        <f t="shared" si="0"/>
        <v>23</v>
      </c>
      <c r="J5" s="11">
        <v>24</v>
      </c>
      <c r="K5" s="9" t="str">
        <f t="shared" si="2"/>
        <v>1:21</v>
      </c>
      <c r="L5" s="24">
        <f t="shared" si="1"/>
        <v>1.3499999999999979</v>
      </c>
      <c r="N5" s="46">
        <v>22</v>
      </c>
      <c r="O5" s="53">
        <v>0</v>
      </c>
      <c r="P5" s="48">
        <v>0</v>
      </c>
      <c r="Q5"/>
    </row>
    <row r="6" spans="1:17" x14ac:dyDescent="0.3">
      <c r="A6" s="1">
        <v>45813</v>
      </c>
      <c r="B6" s="2">
        <v>0.34236111111111112</v>
      </c>
      <c r="C6" s="2">
        <v>0.67986111111111114</v>
      </c>
      <c r="D6" s="5">
        <v>4.1666666666666664E-2</v>
      </c>
      <c r="E6" s="15">
        <f>IF(Tableau6_2025[[#This Row],[Arrivée]]&lt;&gt;"",(Tableau6_2025[[#This Row],[Départ]] - Tableau6_2025[[#This Row],[Arrivée]]) - Tableau6_2025[[#This Row],[Pause]],0)</f>
        <v>0.29583333333333334</v>
      </c>
      <c r="F6" s="17">
        <f>IF(Tableau6_2025[[#This Row],[Temps travail]]&gt;TempsTravail,Tableau6_2025[[#This Row],[Temps travail]]-TempsTravail,0)</f>
        <v>4.1666666666666519E-3</v>
      </c>
      <c r="G6" s="43">
        <f>IF(Tableau6_2025[[#This Row],[Temps travail]]&gt;TempsTravail,Tableau6_2025[[#This Row],[Temps travail]]*24-TempsTravail*24,0)</f>
        <v>9.9999999999999645E-2</v>
      </c>
      <c r="H6">
        <f t="shared" si="0"/>
        <v>23</v>
      </c>
      <c r="J6" s="11">
        <v>25</v>
      </c>
      <c r="K6" s="9" t="str">
        <f t="shared" si="2"/>
        <v>1:43</v>
      </c>
      <c r="L6" s="24">
        <f t="shared" si="1"/>
        <v>1.716666666666665</v>
      </c>
      <c r="N6" s="46">
        <v>23</v>
      </c>
      <c r="O6" s="53">
        <v>0.12847222222222221</v>
      </c>
      <c r="P6" s="48">
        <v>3.0833333333333321</v>
      </c>
      <c r="Q6"/>
    </row>
    <row r="7" spans="1:17" x14ac:dyDescent="0.3">
      <c r="A7" s="1">
        <v>45814</v>
      </c>
      <c r="B7" s="3">
        <v>0.34861111111111109</v>
      </c>
      <c r="C7" s="3">
        <v>0.67777777777777781</v>
      </c>
      <c r="D7" s="5">
        <v>4.1666666666666664E-2</v>
      </c>
      <c r="E7" s="15">
        <f>IF(Tableau6_2025[[#This Row],[Arrivée]]&lt;&gt;"",(Tableau6_2025[[#This Row],[Départ]] - Tableau6_2025[[#This Row],[Arrivée]]) - Tableau6_2025[[#This Row],[Pause]],0)</f>
        <v>0.28750000000000003</v>
      </c>
      <c r="F7" s="17">
        <f>IF(Tableau6_2025[[#This Row],[Temps travail]]&gt;TempsTravail,Tableau6_2025[[#This Row],[Temps travail]]-TempsTravail,0)</f>
        <v>0</v>
      </c>
      <c r="G7" s="43">
        <f>IF(Tableau6_2025[[#This Row],[Temps travail]]&gt;TempsTravail,Tableau6_2025[[#This Row],[Temps travail]]*24-TempsTravail*24,0)</f>
        <v>0</v>
      </c>
      <c r="H7">
        <f t="shared" si="0"/>
        <v>23</v>
      </c>
      <c r="J7" s="11">
        <v>26</v>
      </c>
      <c r="K7" s="9" t="str">
        <f t="shared" si="2"/>
        <v>1:20</v>
      </c>
      <c r="L7" s="24">
        <f t="shared" si="1"/>
        <v>1.3333333333333286</v>
      </c>
      <c r="N7" s="46">
        <v>24</v>
      </c>
      <c r="O7" s="53">
        <v>5.6250000000000001E-2</v>
      </c>
      <c r="P7" s="48">
        <v>1.3499999999999979</v>
      </c>
      <c r="Q7"/>
    </row>
    <row r="8" spans="1:17" x14ac:dyDescent="0.3">
      <c r="A8" s="1">
        <v>45815</v>
      </c>
      <c r="B8" s="3"/>
      <c r="C8" s="3"/>
      <c r="D8" s="5">
        <v>4.1666666666666664E-2</v>
      </c>
      <c r="E8" s="15">
        <f>IF(Tableau6_2025[[#This Row],[Arrivée]]&lt;&gt;"",(Tableau6_2025[[#This Row],[Départ]] - Tableau6_2025[[#This Row],[Arrivée]]) - Tableau6_2025[[#This Row],[Pause]],0)</f>
        <v>0</v>
      </c>
      <c r="F8" s="42">
        <f>IF(Tableau6_2025[[#This Row],[Temps travail]]&gt;TempsTravail,Tableau6_2025[[#This Row],[Temps travail]]-TempsTravail,0)</f>
        <v>0</v>
      </c>
      <c r="G8" s="43">
        <f>IF(Tableau6_2025[[#This Row],[Temps travail]]&gt;TempsTravail,Tableau6_2025[[#This Row],[Temps travail]]*24-TempsTravail*24,0)</f>
        <v>0</v>
      </c>
      <c r="H8">
        <f t="shared" si="0"/>
        <v>23</v>
      </c>
      <c r="J8" s="11">
        <v>27</v>
      </c>
      <c r="K8" s="9" t="str">
        <f t="shared" si="2"/>
        <v>0:32</v>
      </c>
      <c r="L8" s="24">
        <f t="shared" si="1"/>
        <v>0.53333333333333144</v>
      </c>
      <c r="N8" s="46">
        <v>25</v>
      </c>
      <c r="O8" s="53">
        <v>7.1527777777777773E-2</v>
      </c>
      <c r="P8" s="48">
        <v>1.716666666666665</v>
      </c>
      <c r="Q8"/>
    </row>
    <row r="9" spans="1:17" x14ac:dyDescent="0.3">
      <c r="A9" s="1">
        <v>45816</v>
      </c>
      <c r="B9" s="3"/>
      <c r="C9" s="3"/>
      <c r="D9" s="5">
        <v>4.1666666666666664E-2</v>
      </c>
      <c r="E9" s="15">
        <f>IF(Tableau6_2025[[#This Row],[Arrivée]]&lt;&gt;"",(Tableau6_2025[[#This Row],[Départ]] - Tableau6_2025[[#This Row],[Arrivée]]) - Tableau6_2025[[#This Row],[Pause]],0)</f>
        <v>0</v>
      </c>
      <c r="F9" s="17">
        <f>IF(Tableau6_2025[[#This Row],[Temps travail]]&gt;TempsTravail,Tableau6_2025[[#This Row],[Temps travail]]-TempsTravail,0)</f>
        <v>0</v>
      </c>
      <c r="G9" s="43">
        <f>IF(Tableau6_2025[[#This Row],[Temps travail]]&gt;TempsTravail,Tableau6_2025[[#This Row],[Temps travail]]*24-TempsTravail*24,0)</f>
        <v>0</v>
      </c>
      <c r="H9">
        <f t="shared" si="0"/>
        <v>23</v>
      </c>
      <c r="J9" s="36" t="s">
        <v>8</v>
      </c>
      <c r="K9" s="37" t="str">
        <f t="shared" si="2"/>
        <v>8:01</v>
      </c>
      <c r="L9" s="25">
        <f xml:space="preserve"> SUM(L3:L8)</f>
        <v>8.0166666666666551</v>
      </c>
      <c r="N9" s="46">
        <v>26</v>
      </c>
      <c r="O9" s="53">
        <v>5.5555555555555552E-2</v>
      </c>
      <c r="P9" s="48">
        <v>1.3333333333333286</v>
      </c>
      <c r="Q9"/>
    </row>
    <row r="10" spans="1:17" x14ac:dyDescent="0.3">
      <c r="A10" s="1">
        <v>45817</v>
      </c>
      <c r="B10" s="33">
        <v>0.35416666666666669</v>
      </c>
      <c r="C10" s="3">
        <v>0.69236111111111109</v>
      </c>
      <c r="D10" s="5">
        <v>4.1666666666666664E-2</v>
      </c>
      <c r="E10" s="15">
        <f>IF(Tableau6_2025[[#This Row],[Arrivée]]&lt;&gt;"",(Tableau6_2025[[#This Row],[Départ]] - Tableau6_2025[[#This Row],[Arrivée]]) - Tableau6_2025[[#This Row],[Pause]],0)</f>
        <v>0.29652777777777772</v>
      </c>
      <c r="F10" s="17">
        <f>IF(Tableau6_2025[[#This Row],[Temps travail]]&gt;TempsTravail,Tableau6_2025[[#This Row],[Temps travail]]-TempsTravail,0)</f>
        <v>4.8611111111110383E-3</v>
      </c>
      <c r="G10" s="43">
        <f>IF(Tableau6_2025[[#This Row],[Temps travail]]&gt;TempsTravail,Tableau6_2025[[#This Row],[Temps travail]]*24-TempsTravail*24,0)</f>
        <v>0.11666666666666536</v>
      </c>
      <c r="H10">
        <f t="shared" si="0"/>
        <v>24</v>
      </c>
      <c r="J10" s="34" t="s">
        <v>9</v>
      </c>
      <c r="K10" s="35" t="str">
        <f t="shared" si="2"/>
        <v>8:01</v>
      </c>
      <c r="L10" s="18">
        <f>SUM(L14:L22)</f>
        <v>104.01666666666657</v>
      </c>
      <c r="N10" s="46">
        <v>27</v>
      </c>
      <c r="O10" s="53">
        <v>2.2222222222222223E-2</v>
      </c>
      <c r="P10" s="48">
        <v>0.53333333333333144</v>
      </c>
      <c r="Q10"/>
    </row>
    <row r="11" spans="1:17" x14ac:dyDescent="0.3">
      <c r="A11" s="1">
        <v>45818</v>
      </c>
      <c r="B11" s="3">
        <v>0.35347222222222224</v>
      </c>
      <c r="C11" s="3">
        <v>0.69305555555555554</v>
      </c>
      <c r="D11" s="5">
        <v>4.1666666666666664E-2</v>
      </c>
      <c r="E11" s="15">
        <f>IF(Tableau6_2025[[#This Row],[Arrivée]]&lt;&gt;"",(Tableau6_2025[[#This Row],[Départ]] - Tableau6_2025[[#This Row],[Arrivée]]) - Tableau6_2025[[#This Row],[Pause]],0)</f>
        <v>0.29791666666666661</v>
      </c>
      <c r="F11" s="17">
        <f>IF(Tableau6_2025[[#This Row],[Temps travail]]&gt;TempsTravail,Tableau6_2025[[#This Row],[Temps travail]]-TempsTravail,0)</f>
        <v>6.2499999999999223E-3</v>
      </c>
      <c r="G11" s="43">
        <f>IF(Tableau6_2025[[#This Row],[Temps travail]]&gt;TempsTravail,Tableau6_2025[[#This Row],[Temps travail]]*24-TempsTravail*24,0)</f>
        <v>0.14999999999999858</v>
      </c>
      <c r="H11">
        <f t="shared" si="0"/>
        <v>24</v>
      </c>
      <c r="J11" s="24"/>
      <c r="K11" s="18"/>
      <c r="L11" s="18"/>
      <c r="N11" t="s">
        <v>30</v>
      </c>
      <c r="O11" s="53">
        <v>0.33402777777777776</v>
      </c>
      <c r="P11" s="48">
        <v>8.0166666666666551</v>
      </c>
    </row>
    <row r="12" spans="1:17" x14ac:dyDescent="0.3">
      <c r="A12" s="1">
        <v>45819</v>
      </c>
      <c r="B12" s="3">
        <v>0.34791666666666665</v>
      </c>
      <c r="C12" s="3">
        <v>0.71319444444444446</v>
      </c>
      <c r="D12" s="5">
        <v>4.1666666666666664E-2</v>
      </c>
      <c r="E12" s="15">
        <f>IF(Tableau6_2025[[#This Row],[Arrivée]]&lt;&gt;"",(Tableau6_2025[[#This Row],[Départ]] - Tableau6_2025[[#This Row],[Arrivée]]) - Tableau6_2025[[#This Row],[Pause]],0)</f>
        <v>0.32361111111111113</v>
      </c>
      <c r="F12" s="17">
        <f>IF(Tableau6_2025[[#This Row],[Temps travail]]&gt;TempsTravail,Tableau6_2025[[#This Row],[Temps travail]]-TempsTravail,0)</f>
        <v>3.1944444444444442E-2</v>
      </c>
      <c r="G12" s="43">
        <f>IF(Tableau6_2025[[#This Row],[Temps travail]]&gt;TempsTravail,Tableau6_2025[[#This Row],[Temps travail]]*24-TempsTravail*24,0)</f>
        <v>0.7666666666666675</v>
      </c>
      <c r="H12">
        <f t="shared" si="0"/>
        <v>24</v>
      </c>
      <c r="K12" s="18"/>
      <c r="L12" s="18"/>
    </row>
    <row r="13" spans="1:17" x14ac:dyDescent="0.3">
      <c r="A13" s="1">
        <v>45820</v>
      </c>
      <c r="B13" s="2">
        <v>0.34513888888888888</v>
      </c>
      <c r="C13" s="2">
        <v>0.68958333333333333</v>
      </c>
      <c r="D13" s="5">
        <v>4.1666666666666664E-2</v>
      </c>
      <c r="E13" s="15">
        <f>IF(Tableau6_2025[[#This Row],[Arrivée]]&lt;&gt;"",(Tableau6_2025[[#This Row],[Départ]] - Tableau6_2025[[#This Row],[Arrivée]]) - Tableau6_2025[[#This Row],[Pause]],0)</f>
        <v>0.30277777777777776</v>
      </c>
      <c r="F13" s="17">
        <f>IF(Tableau6_2025[[#This Row],[Temps travail]]&gt;TempsTravail,Tableau6_2025[[#This Row],[Temps travail]]-TempsTravail,0)</f>
        <v>1.1111111111111072E-2</v>
      </c>
      <c r="G13" s="43">
        <f>IF(Tableau6_2025[[#This Row],[Temps travail]]&gt;TempsTravail,Tableau6_2025[[#This Row],[Temps travail]]*24-TempsTravail*24,0)</f>
        <v>0.26666666666666572</v>
      </c>
      <c r="H13">
        <f t="shared" si="0"/>
        <v>24</v>
      </c>
      <c r="K13" s="18"/>
      <c r="L13" s="18"/>
    </row>
    <row r="14" spans="1:17" x14ac:dyDescent="0.3">
      <c r="A14" s="1">
        <v>45821</v>
      </c>
      <c r="B14" s="3">
        <v>0.34722222222222221</v>
      </c>
      <c r="C14" s="3">
        <v>0.68263888888888891</v>
      </c>
      <c r="D14" s="5">
        <v>4.1666666666666664E-2</v>
      </c>
      <c r="E14" s="15">
        <f>IF(Tableau6_2025[[#This Row],[Arrivée]]&lt;&gt;"",(Tableau6_2025[[#This Row],[Départ]] - Tableau6_2025[[#This Row],[Arrivée]]) - Tableau6_2025[[#This Row],[Pause]],0)</f>
        <v>0.29375000000000001</v>
      </c>
      <c r="F14" s="17">
        <f>IF(Tableau6_2025[[#This Row],[Temps travail]]&gt;TempsTravail,Tableau6_2025[[#This Row],[Temps travail]]-TempsTravail,0)</f>
        <v>2.0833333333333259E-3</v>
      </c>
      <c r="G14" s="43">
        <f>IF(Tableau6_2025[[#This Row],[Temps travail]]&gt;TempsTravail,Tableau6_2025[[#This Row],[Temps travail]]*24-TempsTravail*24,0)</f>
        <v>5.0000000000000711E-2</v>
      </c>
      <c r="H14">
        <f t="shared" si="0"/>
        <v>24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</row>
    <row r="15" spans="1:17" x14ac:dyDescent="0.3">
      <c r="A15" s="1">
        <v>45822</v>
      </c>
      <c r="B15" s="3"/>
      <c r="C15" s="3"/>
      <c r="D15" s="5">
        <v>4.1666666666666664E-2</v>
      </c>
      <c r="E15" s="15">
        <f>IF(Tableau6_2025[[#This Row],[Arrivée]]&lt;&gt;"",(Tableau6_2025[[#This Row],[Départ]] - Tableau6_2025[[#This Row],[Arrivée]]) - Tableau6_2025[[#This Row],[Pause]],0)</f>
        <v>0</v>
      </c>
      <c r="F15" s="17">
        <f>IF(Tableau6_2025[[#This Row],[Temps travail]]&gt;TempsTravail,Tableau6_2025[[#This Row],[Temps travail]]-TempsTravail,0)</f>
        <v>0</v>
      </c>
      <c r="G15" s="43">
        <f>IF(Tableau6_2025[[#This Row],[Temps travail]]&gt;TempsTravail,Tableau6_2025[[#This Row],[Temps travail]]*24-TempsTravail*24,0)</f>
        <v>0</v>
      </c>
      <c r="H15">
        <f t="shared" si="0"/>
        <v>24</v>
      </c>
      <c r="J15" t="s">
        <v>11</v>
      </c>
      <c r="K15" s="9" t="str">
        <f t="shared" ref="K15:K22" si="3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</row>
    <row r="16" spans="1:17" x14ac:dyDescent="0.3">
      <c r="A16" s="1">
        <v>45823</v>
      </c>
      <c r="B16" s="3"/>
      <c r="C16" s="3"/>
      <c r="D16" s="5">
        <v>4.1666666666666664E-2</v>
      </c>
      <c r="E16" s="15">
        <f>IF(Tableau6_2025[[#This Row],[Arrivée]]&lt;&gt;"",(Tableau6_2025[[#This Row],[Départ]] - Tableau6_2025[[#This Row],[Arrivée]]) - Tableau6_2025[[#This Row],[Pause]],0)</f>
        <v>0</v>
      </c>
      <c r="F16" s="17">
        <f>IF(Tableau6_2025[[#This Row],[Temps travail]]&gt;TempsTravail,Tableau6_2025[[#This Row],[Temps travail]]-TempsTravail,0)</f>
        <v>0</v>
      </c>
      <c r="G16" s="43">
        <f>IF(Tableau6_2025[[#This Row],[Temps travail]]&gt;TempsTravail,Tableau6_2025[[#This Row],[Temps travail]]*24-TempsTravail*24,0)</f>
        <v>0</v>
      </c>
      <c r="H16">
        <f t="shared" si="0"/>
        <v>24</v>
      </c>
      <c r="J16" t="s">
        <v>12</v>
      </c>
      <c r="K16" s="9" t="str">
        <f t="shared" si="3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</row>
    <row r="17" spans="1:17" x14ac:dyDescent="0.3">
      <c r="A17" s="27">
        <v>45824</v>
      </c>
      <c r="B17" s="28">
        <v>0</v>
      </c>
      <c r="C17" s="28">
        <v>4.1666666666666664E-2</v>
      </c>
      <c r="D17" s="29">
        <v>4.1666666666666664E-2</v>
      </c>
      <c r="E17" s="30">
        <f>IF(Tableau6_2025[[#This Row],[Arrivée]]&lt;&gt;"",(Tableau6_2025[[#This Row],[Départ]] - Tableau6_2025[[#This Row],[Arrivée]]) - Tableau6_2025[[#This Row],[Pause]],0)</f>
        <v>0</v>
      </c>
      <c r="F17" s="31">
        <f>IF(Tableau6_2025[[#This Row],[Temps travail]]&gt;TempsTravail,Tableau6_2025[[#This Row],[Temps travail]]-TempsTravail,0)</f>
        <v>0</v>
      </c>
      <c r="G17" s="43">
        <f>IF(Tableau6_2025[[#This Row],[Temps travail]]&gt;TempsTravail,Tableau6_2025[[#This Row],[Temps travail]]*24-TempsTravail*24,0)</f>
        <v>0</v>
      </c>
      <c r="H17">
        <f t="shared" si="0"/>
        <v>25</v>
      </c>
      <c r="J17" t="s">
        <v>13</v>
      </c>
      <c r="K17" s="9" t="str">
        <f t="shared" si="3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</row>
    <row r="18" spans="1:17" x14ac:dyDescent="0.3">
      <c r="A18" s="1">
        <v>45825</v>
      </c>
      <c r="B18" s="3">
        <v>0.34513888888888888</v>
      </c>
      <c r="C18" s="3">
        <v>0.69513888888888886</v>
      </c>
      <c r="D18" s="5">
        <v>4.1666666666666664E-2</v>
      </c>
      <c r="E18" s="15">
        <f>IF(Tableau6_2025[[#This Row],[Arrivée]]&lt;&gt;"",(Tableau6_2025[[#This Row],[Départ]] - Tableau6_2025[[#This Row],[Arrivée]]) - Tableau6_2025[[#This Row],[Pause]],0)</f>
        <v>0.30833333333333329</v>
      </c>
      <c r="F18" s="17">
        <f>IF(Tableau6_2025[[#This Row],[Temps travail]]&gt;TempsTravail,Tableau6_2025[[#This Row],[Temps travail]]-TempsTravail,0)</f>
        <v>1.6666666666666607E-2</v>
      </c>
      <c r="G18" s="43">
        <f>IF(Tableau6_2025[[#This Row],[Temps travail]]&gt;TempsTravail,Tableau6_2025[[#This Row],[Temps travail]]*24-TempsTravail*24,0)</f>
        <v>0.39999999999999858</v>
      </c>
      <c r="H18">
        <f t="shared" si="0"/>
        <v>25</v>
      </c>
      <c r="J18" t="s">
        <v>14</v>
      </c>
      <c r="K18" s="9" t="str">
        <f t="shared" si="3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</row>
    <row r="19" spans="1:17" x14ac:dyDescent="0.3">
      <c r="A19" s="1">
        <v>45826</v>
      </c>
      <c r="B19" s="3">
        <v>0.33819444444444446</v>
      </c>
      <c r="C19" s="3">
        <v>0.7104166666666667</v>
      </c>
      <c r="D19" s="5">
        <v>4.1666666666666664E-2</v>
      </c>
      <c r="E19" s="15">
        <f>IF(Tableau6_2025[[#This Row],[Arrivée]]&lt;&gt;"",(Tableau6_2025[[#This Row],[Départ]] - Tableau6_2025[[#This Row],[Arrivée]]) - Tableau6_2025[[#This Row],[Pause]],0)</f>
        <v>0.33055555555555555</v>
      </c>
      <c r="F19" s="17">
        <f>IF(Tableau6_2025[[#This Row],[Temps travail]]&gt;TempsTravail,Tableau6_2025[[#This Row],[Temps travail]]-TempsTravail,0)</f>
        <v>3.8888888888888862E-2</v>
      </c>
      <c r="G19" s="43">
        <f>IF(Tableau6_2025[[#This Row],[Temps travail]]&gt;TempsTravail,Tableau6_2025[[#This Row],[Temps travail]]*24-TempsTravail*24,0)</f>
        <v>0.93333333333333357</v>
      </c>
      <c r="H19">
        <f t="shared" si="0"/>
        <v>25</v>
      </c>
      <c r="J19" t="s">
        <v>15</v>
      </c>
      <c r="K19" s="9" t="str">
        <f t="shared" si="3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</row>
    <row r="20" spans="1:17" x14ac:dyDescent="0.3">
      <c r="A20" s="1">
        <v>45827</v>
      </c>
      <c r="B20" s="2">
        <v>0.37291666666666667</v>
      </c>
      <c r="C20" s="2">
        <v>0.7104166666666667</v>
      </c>
      <c r="D20" s="5">
        <v>4.1666666666666664E-2</v>
      </c>
      <c r="E20" s="15">
        <f>IF(Tableau6_2025[[#This Row],[Arrivée]]&lt;&gt;"",(Tableau6_2025[[#This Row],[Départ]] - Tableau6_2025[[#This Row],[Arrivée]]) - Tableau6_2025[[#This Row],[Pause]],0)</f>
        <v>0.29583333333333334</v>
      </c>
      <c r="F20" s="17">
        <f>IF(Tableau6_2025[[#This Row],[Temps travail]]&gt;TempsTravail,Tableau6_2025[[#This Row],[Temps travail]]-TempsTravail,0)</f>
        <v>4.1666666666666519E-3</v>
      </c>
      <c r="G20" s="43">
        <f>IF(Tableau6_2025[[#This Row],[Temps travail]]&gt;TempsTravail,Tableau6_2025[[#This Row],[Temps travail]]*24-TempsTravail*24,0)</f>
        <v>9.9999999999999645E-2</v>
      </c>
      <c r="H20">
        <f t="shared" si="0"/>
        <v>25</v>
      </c>
      <c r="J20" t="s">
        <v>16</v>
      </c>
      <c r="K20" s="9" t="str">
        <f t="shared" si="3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</row>
    <row r="21" spans="1:17" x14ac:dyDescent="0.3">
      <c r="A21" s="1">
        <v>45828</v>
      </c>
      <c r="B21" s="2">
        <v>0.34166666666666667</v>
      </c>
      <c r="C21" s="2">
        <v>0.68680555555555556</v>
      </c>
      <c r="D21" s="5">
        <v>4.1666666666666664E-2</v>
      </c>
      <c r="E21" s="15">
        <f>IF(Tableau6_2025[[#This Row],[Arrivée]]&lt;&gt;"",(Tableau6_2025[[#This Row],[Départ]] - Tableau6_2025[[#This Row],[Arrivée]]) - Tableau6_2025[[#This Row],[Pause]],0)</f>
        <v>0.3034722222222222</v>
      </c>
      <c r="F21" s="17">
        <f>IF(Tableau6_2025[[#This Row],[Temps travail]]&gt;TempsTravail,Tableau6_2025[[#This Row],[Temps travail]]-TempsTravail,0)</f>
        <v>1.1805555555555514E-2</v>
      </c>
      <c r="G21" s="43">
        <f>IF(Tableau6_2025[[#This Row],[Temps travail]]&gt;TempsTravail,Tableau6_2025[[#This Row],[Temps travail]]*24-TempsTravail*24,0)</f>
        <v>0.28333333333333321</v>
      </c>
      <c r="H21">
        <f t="shared" si="0"/>
        <v>25</v>
      </c>
      <c r="J21" t="s">
        <v>17</v>
      </c>
      <c r="K21" s="9" t="str">
        <f t="shared" si="3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</row>
    <row r="22" spans="1:17" x14ac:dyDescent="0.3">
      <c r="A22" s="1">
        <v>45829</v>
      </c>
      <c r="D22" s="5">
        <v>4.1666666666666664E-2</v>
      </c>
      <c r="E22" s="15">
        <f>IF(Tableau6_2025[[#This Row],[Arrivée]]&lt;&gt;"",(Tableau6_2025[[#This Row],[Départ]] - Tableau6_2025[[#This Row],[Arrivée]]) - Tableau6_2025[[#This Row],[Pause]],0)</f>
        <v>0</v>
      </c>
      <c r="F22" s="17">
        <f>IF(Tableau6_2025[[#This Row],[Temps travail]]&gt;TempsTravail,Tableau6_2025[[#This Row],[Temps travail]]-TempsTravail,0)</f>
        <v>0</v>
      </c>
      <c r="G22" s="43">
        <f>IF(Tableau6_2025[[#This Row],[Temps travail]]&gt;TempsTravail,Tableau6_2025[[#This Row],[Temps travail]]*24-TempsTravail*24,0)</f>
        <v>0</v>
      </c>
      <c r="H22">
        <f t="shared" si="0"/>
        <v>25</v>
      </c>
      <c r="J22" t="s">
        <v>18</v>
      </c>
      <c r="K22" s="9" t="str">
        <f t="shared" si="3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</row>
    <row r="23" spans="1:17" x14ac:dyDescent="0.3">
      <c r="A23" s="1">
        <v>45830</v>
      </c>
      <c r="B23" s="3"/>
      <c r="C23" s="3"/>
      <c r="D23" s="5">
        <v>4.1666666666666664E-2</v>
      </c>
      <c r="E23" s="15">
        <f>IF(Tableau6_2025[[#This Row],[Arrivée]]&lt;&gt;"",(Tableau6_2025[[#This Row],[Départ]] - Tableau6_2025[[#This Row],[Arrivée]]) - Tableau6_2025[[#This Row],[Pause]],0)</f>
        <v>0</v>
      </c>
      <c r="F23" s="17">
        <f>IF(Tableau6_2025[[#This Row],[Temps travail]]&gt;TempsTravail,Tableau6_2025[[#This Row],[Temps travail]]-TempsTravail,0)</f>
        <v>0</v>
      </c>
      <c r="G23" s="43">
        <f>IF(Tableau6_2025[[#This Row],[Temps travail]]&gt;TempsTravail,Tableau6_2025[[#This Row],[Temps travail]]*24-TempsTravail*24,0)</f>
        <v>0</v>
      </c>
      <c r="H23">
        <f t="shared" si="0"/>
        <v>25</v>
      </c>
      <c r="O23" t="s">
        <v>29</v>
      </c>
      <c r="P23" s="53">
        <v>0.37430555555555556</v>
      </c>
      <c r="Q23" s="47">
        <v>8.9833333333333201</v>
      </c>
    </row>
    <row r="24" spans="1:17" x14ac:dyDescent="0.3">
      <c r="A24" s="27">
        <v>45831</v>
      </c>
      <c r="B24" s="28">
        <v>0</v>
      </c>
      <c r="C24" s="28">
        <v>4.1666666666666664E-2</v>
      </c>
      <c r="D24" s="29">
        <v>4.1666666666666664E-2</v>
      </c>
      <c r="E24" s="30">
        <f>IF(Tableau6_2025[[#This Row],[Arrivée]]&lt;&gt;"",(Tableau6_2025[[#This Row],[Départ]] - Tableau6_2025[[#This Row],[Arrivée]]) - Tableau6_2025[[#This Row],[Pause]],0)</f>
        <v>0</v>
      </c>
      <c r="F24" s="31">
        <f>IF(Tableau6_2025[[#This Row],[Temps travail]]&gt;TempsTravail,Tableau6_2025[[#This Row],[Temps travail]]-TempsTravail,0)</f>
        <v>0</v>
      </c>
      <c r="G24" s="43">
        <f>IF(Tableau6_2025[[#This Row],[Temps travail]]&gt;TempsTravail,Tableau6_2025[[#This Row],[Temps travail]]*24-TempsTravail*24,0)</f>
        <v>0</v>
      </c>
      <c r="H24">
        <f t="shared" si="0"/>
        <v>26</v>
      </c>
      <c r="N24" t="s">
        <v>36</v>
      </c>
      <c r="P24" s="53">
        <v>4.334027777777778</v>
      </c>
      <c r="Q24" s="47">
        <v>104.01666666666657</v>
      </c>
    </row>
    <row r="25" spans="1:17" x14ac:dyDescent="0.3">
      <c r="A25" s="1">
        <v>45832</v>
      </c>
      <c r="B25" s="3">
        <v>0.34513888888888888</v>
      </c>
      <c r="C25" s="3">
        <v>0.69305555555555554</v>
      </c>
      <c r="D25" s="5">
        <v>4.1666666666666664E-2</v>
      </c>
      <c r="E25" s="15">
        <f>IF(Tableau6_2025[[#This Row],[Arrivée]]&lt;&gt;"",(Tableau6_2025[[#This Row],[Départ]] - Tableau6_2025[[#This Row],[Arrivée]]) - Tableau6_2025[[#This Row],[Pause]],0)</f>
        <v>0.30624999999999997</v>
      </c>
      <c r="F25" s="17">
        <f>IF(Tableau6_2025[[#This Row],[Temps travail]]&gt;TempsTravail,Tableau6_2025[[#This Row],[Temps travail]]-TempsTravail,0)</f>
        <v>1.4583333333333282E-2</v>
      </c>
      <c r="G25" s="43">
        <f>IF(Tableau6_2025[[#This Row],[Temps travail]]&gt;TempsTravail,Tableau6_2025[[#This Row],[Temps travail]]*24-TempsTravail*24,0)</f>
        <v>0.34999999999999964</v>
      </c>
      <c r="H25">
        <f t="shared" si="0"/>
        <v>26</v>
      </c>
      <c r="N25">
        <v>2026</v>
      </c>
      <c r="O25" t="s">
        <v>33</v>
      </c>
      <c r="P25" s="53">
        <v>9.7916666666666666E-2</v>
      </c>
      <c r="Q25" s="47">
        <v>2.3499999999999979</v>
      </c>
    </row>
    <row r="26" spans="1:17" x14ac:dyDescent="0.3">
      <c r="A26" s="1">
        <v>45833</v>
      </c>
      <c r="B26" s="13">
        <v>0.34930555555555554</v>
      </c>
      <c r="C26" s="3">
        <v>0.69652777777777775</v>
      </c>
      <c r="D26" s="5">
        <v>4.1666666666666664E-2</v>
      </c>
      <c r="E26" s="15">
        <f>IF(Tableau6_2025[[#This Row],[Arrivée]]&lt;&gt;"",(Tableau6_2025[[#This Row],[Départ]] - Tableau6_2025[[#This Row],[Arrivée]]) - Tableau6_2025[[#This Row],[Pause]],0)</f>
        <v>0.30555555555555552</v>
      </c>
      <c r="F26" s="17">
        <f>IF(Tableau6_2025[[#This Row],[Temps travail]]&gt;TempsTravail,Tableau6_2025[[#This Row],[Temps travail]]-TempsTravail,0)</f>
        <v>1.388888888888884E-2</v>
      </c>
      <c r="G26" s="43">
        <f>IF(Tableau6_2025[[#This Row],[Temps travail]]&gt;TempsTravail,Tableau6_2025[[#This Row],[Temps travail]]*24-TempsTravail*24,0)</f>
        <v>0.33333333333333215</v>
      </c>
      <c r="H26">
        <f t="shared" si="0"/>
        <v>26</v>
      </c>
      <c r="O26" t="s">
        <v>34</v>
      </c>
      <c r="P26" s="53">
        <v>0</v>
      </c>
      <c r="Q26" s="47">
        <v>0</v>
      </c>
    </row>
    <row r="27" spans="1:17" x14ac:dyDescent="0.3">
      <c r="A27" s="1">
        <v>45834</v>
      </c>
      <c r="B27" s="2">
        <v>0.34513888888888888</v>
      </c>
      <c r="C27" s="2">
        <v>0.69652777777777775</v>
      </c>
      <c r="D27" s="5">
        <v>4.1666666666666664E-2</v>
      </c>
      <c r="E27" s="15">
        <f>IF(Tableau6_2025[[#This Row],[Arrivée]]&lt;&gt;"",(Tableau6_2025[[#This Row],[Départ]] - Tableau6_2025[[#This Row],[Arrivée]]) - Tableau6_2025[[#This Row],[Pause]],0)</f>
        <v>0.30972222222222218</v>
      </c>
      <c r="F27" s="17">
        <f>IF(Tableau6_2025[[#This Row],[Temps travail]]&gt;TempsTravail,Tableau6_2025[[#This Row],[Temps travail]]-TempsTravail,0)</f>
        <v>1.8055555555555491E-2</v>
      </c>
      <c r="G27" s="43">
        <f>IF(Tableau6_2025[[#This Row],[Temps travail]]&gt;TempsTravail,Tableau6_2025[[#This Row],[Temps travail]]*24-TempsTravail*24,0)</f>
        <v>0.43333333333333179</v>
      </c>
      <c r="H27">
        <f t="shared" si="0"/>
        <v>26</v>
      </c>
      <c r="N27" t="s">
        <v>37</v>
      </c>
      <c r="P27" s="53">
        <v>9.7916666666666666E-2</v>
      </c>
      <c r="Q27" s="47">
        <v>2.3499999999999979</v>
      </c>
    </row>
    <row r="28" spans="1:17" x14ac:dyDescent="0.3">
      <c r="A28" s="1">
        <v>45835</v>
      </c>
      <c r="B28" s="2">
        <v>0.3576388888888889</v>
      </c>
      <c r="C28" s="2">
        <v>0.7</v>
      </c>
      <c r="D28" s="5">
        <v>4.1666666666666664E-2</v>
      </c>
      <c r="E28" s="15">
        <f>IF(Tableau6_2025[[#This Row],[Arrivée]]&lt;&gt;"",(Tableau6_2025[[#This Row],[Départ]] - Tableau6_2025[[#This Row],[Arrivée]]) - Tableau6_2025[[#This Row],[Pause]],0)</f>
        <v>0.30069444444444438</v>
      </c>
      <c r="F28" s="17">
        <f>IF(Tableau6_2025[[#This Row],[Temps travail]]&gt;TempsTravail,Tableau6_2025[[#This Row],[Temps travail]]-TempsTravail,0)</f>
        <v>9.0277777777776902E-3</v>
      </c>
      <c r="G28" s="43">
        <f>IF(Tableau6_2025[[#This Row],[Temps travail]]&gt;TempsTravail,Tableau6_2025[[#This Row],[Temps travail]]*24-TempsTravail*24,0)</f>
        <v>0.21666666666666501</v>
      </c>
      <c r="H28">
        <f t="shared" si="0"/>
        <v>26</v>
      </c>
      <c r="N28" t="s">
        <v>30</v>
      </c>
      <c r="P28" s="53">
        <v>4.4319444444444445</v>
      </c>
      <c r="Q28" s="47">
        <v>106.36666666666656</v>
      </c>
    </row>
    <row r="29" spans="1:17" x14ac:dyDescent="0.3">
      <c r="A29" s="1">
        <v>45836</v>
      </c>
      <c r="D29" s="5">
        <v>4.1666666666666664E-2</v>
      </c>
      <c r="E29" s="15">
        <f>IF(Tableau6_2025[[#This Row],[Arrivée]]&lt;&gt;"",(Tableau6_2025[[#This Row],[Départ]] - Tableau6_2025[[#This Row],[Arrivée]]) - Tableau6_2025[[#This Row],[Pause]],0)</f>
        <v>0</v>
      </c>
      <c r="F29" s="17">
        <f>IF(Tableau6_2025[[#This Row],[Temps travail]]&gt;TempsTravail,Tableau6_2025[[#This Row],[Temps travail]]-TempsTravail,0)</f>
        <v>0</v>
      </c>
      <c r="G29" s="43">
        <f>IF(Tableau6_2025[[#This Row],[Temps travail]]&gt;TempsTravail,Tableau6_2025[[#This Row],[Temps travail]]*24-TempsTravail*24,0)</f>
        <v>0</v>
      </c>
      <c r="H29">
        <f t="shared" si="0"/>
        <v>26</v>
      </c>
    </row>
    <row r="30" spans="1:17" x14ac:dyDescent="0.3">
      <c r="A30" s="1">
        <v>45837</v>
      </c>
      <c r="B30" s="3"/>
      <c r="C30" s="3"/>
      <c r="D30" s="5">
        <v>4.1666666666666664E-2</v>
      </c>
      <c r="E30" s="15">
        <f>IF(Tableau6_2025[[#This Row],[Arrivée]]&lt;&gt;"",(Tableau6_2025[[#This Row],[Départ]] - Tableau6_2025[[#This Row],[Arrivée]]) - Tableau6_2025[[#This Row],[Pause]],0)</f>
        <v>0</v>
      </c>
      <c r="F30" s="17">
        <f>IF(Tableau6_2025[[#This Row],[Temps travail]]&gt;TempsTravail,Tableau6_2025[[#This Row],[Temps travail]]-TempsTravail,0)</f>
        <v>0</v>
      </c>
      <c r="G30" s="43">
        <f>IF(Tableau6_2025[[#This Row],[Temps travail]]&gt;TempsTravail,Tableau6_2025[[#This Row],[Temps travail]]*24-TempsTravail*24,0)</f>
        <v>0</v>
      </c>
      <c r="H30">
        <f t="shared" si="0"/>
        <v>26</v>
      </c>
    </row>
    <row r="31" spans="1:17" x14ac:dyDescent="0.3">
      <c r="A31" s="1">
        <v>45838</v>
      </c>
      <c r="B31" s="3">
        <v>0.34583333333333333</v>
      </c>
      <c r="C31" s="3">
        <v>0.70138888888888884</v>
      </c>
      <c r="D31" s="5">
        <v>4.1666666666666664E-2</v>
      </c>
      <c r="E31" s="15">
        <f>IF(Tableau6_2025[[#This Row],[Arrivée]]&lt;&gt;"",(Tableau6_2025[[#This Row],[Départ]] - Tableau6_2025[[#This Row],[Arrivée]]) - Tableau6_2025[[#This Row],[Pause]],0)</f>
        <v>0.31388888888888883</v>
      </c>
      <c r="F31" s="17">
        <f>IF(Tableau6_2025[[#This Row],[Temps travail]]&gt;TempsTravail,Tableau6_2025[[#This Row],[Temps travail]]-TempsTravail,0)</f>
        <v>2.2222222222222143E-2</v>
      </c>
      <c r="G31" s="43">
        <f>IF(Tableau6_2025[[#This Row],[Temps travail]]&gt;TempsTravail,Tableau6_2025[[#This Row],[Temps travail]]*24-TempsTravail*24,0)</f>
        <v>0.53333333333333144</v>
      </c>
      <c r="H31">
        <f t="shared" si="0"/>
        <v>27</v>
      </c>
    </row>
    <row r="35" spans="2:2" x14ac:dyDescent="0.3">
      <c r="B35" s="32" t="s">
        <v>19</v>
      </c>
    </row>
  </sheetData>
  <conditionalFormatting sqref="F1:F8">
    <cfRule type="expression" dxfId="62" priority="1">
      <formula>$G$2&lt;0</formula>
    </cfRule>
    <cfRule type="cellIs" dxfId="61" priority="2" operator="lessThan">
      <formula>0</formula>
    </cfRule>
    <cfRule type="expression" dxfId="60" priority="3">
      <formula>#REF!</formula>
    </cfRule>
  </conditionalFormatting>
  <conditionalFormatting sqref="F3 F5 F7 F9 F11 F13 F15 F17 F19 F21 F23 F25 F27 F29 F31">
    <cfRule type="expression" dxfId="59" priority="4">
      <formula>$G$3&lt;0</formula>
    </cfRule>
  </conditionalFormatting>
  <conditionalFormatting sqref="F9:F1048576">
    <cfRule type="expression" dxfId="58" priority="5">
      <formula>$G$2&lt;0</formula>
    </cfRule>
    <cfRule type="cellIs" dxfId="57" priority="9" operator="lessThan">
      <formula>0</formula>
    </cfRule>
    <cfRule type="expression" dxfId="56" priority="13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45506-DFC3-4A9E-AC7C-94820B291486}">
  <dimension ref="A1:Q32"/>
  <sheetViews>
    <sheetView topLeftCell="B1" workbookViewId="0">
      <pane ySplit="1" topLeftCell="A11" activePane="bottomLeft" state="frozen"/>
      <selection activeCell="N1" sqref="N1:P1048576"/>
      <selection pane="bottomLeft" activeCell="O12" sqref="O12"/>
    </sheetView>
  </sheetViews>
  <sheetFormatPr baseColWidth="10" defaultColWidth="9.109375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8.21875" bestFit="1" customWidth="1"/>
    <col min="8" max="8" width="8.33203125" bestFit="1" customWidth="1"/>
    <col min="9" max="9" width="9.109375" bestFit="1" customWidth="1"/>
    <col min="10" max="10" width="10.441406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</cols>
  <sheetData>
    <row r="1" spans="1:17" x14ac:dyDescent="0.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G1" t="s">
        <v>20</v>
      </c>
      <c r="H1" t="s">
        <v>6</v>
      </c>
      <c r="N1" s="49" t="s">
        <v>31</v>
      </c>
      <c r="O1" s="11">
        <v>2025</v>
      </c>
    </row>
    <row r="2" spans="1:17" x14ac:dyDescent="0.3">
      <c r="A2" s="1">
        <v>45839</v>
      </c>
      <c r="B2" s="3">
        <v>0.34305555555555556</v>
      </c>
      <c r="C2" s="3">
        <v>0.69305555555555554</v>
      </c>
      <c r="D2" s="4">
        <v>4.1666666666666664E-2</v>
      </c>
      <c r="E2" s="15">
        <f>IF(Tableau7_2025[[#This Row],[Arrivée]]&lt;&gt;"",(Tableau7_2025[[#This Row],[Départ]] - Tableau7_2025[[#This Row],[Arrivée]]) - Tableau7_2025[[#This Row],[Pause]],0)</f>
        <v>0.30833333333333329</v>
      </c>
      <c r="F2" s="17">
        <f>IF(Tableau7_2025[[#This Row],[Temps travail]]&gt;TempsTravail,Tableau7_2025[[#This Row],[Temps travail]]-TempsTravail,0)</f>
        <v>1.6666666666666607E-2</v>
      </c>
      <c r="G2" s="43">
        <f>IF(Tableau7_2025[[#This Row],[Temps travail]]&gt;TempsTravail,Tableau7_2025[[#This Row],[Temps travail]]*24-TempsTravail*24,0)</f>
        <v>0.39999999999999858</v>
      </c>
      <c r="H2">
        <f t="shared" ref="H2:H27" si="0">WEEKNUM(A2,2)</f>
        <v>27</v>
      </c>
      <c r="J2" s="10" t="s">
        <v>6</v>
      </c>
      <c r="K2" s="8" t="s">
        <v>7</v>
      </c>
      <c r="L2" s="2"/>
      <c r="N2" s="49" t="s">
        <v>32</v>
      </c>
      <c r="O2" t="s">
        <v>24</v>
      </c>
    </row>
    <row r="3" spans="1:17" x14ac:dyDescent="0.3">
      <c r="A3" s="1">
        <v>45840</v>
      </c>
      <c r="B3" s="3">
        <v>0.33333333333333331</v>
      </c>
      <c r="C3" s="3">
        <v>0.6958333333333333</v>
      </c>
      <c r="D3" s="5">
        <v>4.1666666666666664E-2</v>
      </c>
      <c r="E3" s="15">
        <f>IF(Tableau7_2025[[#This Row],[Arrivée]]&lt;&gt;"",(Tableau7_2025[[#This Row],[Départ]] - Tableau7_2025[[#This Row],[Arrivée]]) - Tableau7_2025[[#This Row],[Pause]],0)</f>
        <v>0.3208333333333333</v>
      </c>
      <c r="F3" s="17">
        <f>IF(Tableau7_2025[[#This Row],[Temps travail]]&gt;TempsTravail,Tableau7_2025[[#This Row],[Temps travail]]-TempsTravail,0)</f>
        <v>2.9166666666666619E-2</v>
      </c>
      <c r="G3" s="43">
        <f>IF(Tableau7_2025[[#This Row],[Temps travail]]&gt;TempsTravail,Tableau7_2025[[#This Row],[Temps travail]]*24-TempsTravail*24,0)</f>
        <v>0.69999999999999929</v>
      </c>
      <c r="H3">
        <f t="shared" si="0"/>
        <v>27</v>
      </c>
      <c r="J3" s="11">
        <v>27</v>
      </c>
      <c r="K3" s="9" t="str">
        <f>IF(ISBLANK(L3), "", IF(L3&lt;0, "-" &amp; TEXT(ABS(L3)/24, "h:mm"), TEXT(L3/24, "h:mm")))</f>
        <v>1:34</v>
      </c>
      <c r="L3" s="24">
        <f xml:space="preserve"> SUMIF(H:H, J3, G:G)</f>
        <v>1.5666666666666647</v>
      </c>
      <c r="P3"/>
      <c r="Q3"/>
    </row>
    <row r="4" spans="1:17" x14ac:dyDescent="0.3">
      <c r="A4" s="1">
        <v>45841</v>
      </c>
      <c r="B4" s="3">
        <v>0.34444444444444444</v>
      </c>
      <c r="C4" s="3">
        <v>0.68888888888888888</v>
      </c>
      <c r="D4" s="5">
        <v>4.1666666666666664E-2</v>
      </c>
      <c r="E4" s="15">
        <f>IF(Tableau7_2025[[#This Row],[Arrivée]]&lt;&gt;"",(Tableau7_2025[[#This Row],[Départ]] - Tableau7_2025[[#This Row],[Arrivée]]) - Tableau7_2025[[#This Row],[Pause]],0)</f>
        <v>0.30277777777777776</v>
      </c>
      <c r="F4" s="17">
        <f>IF(Tableau7_2025[[#This Row],[Temps travail]]&gt;TempsTravail,Tableau7_2025[[#This Row],[Temps travail]]-TempsTravail,0)</f>
        <v>1.1111111111111072E-2</v>
      </c>
      <c r="G4" s="43">
        <f>IF(Tableau7_2025[[#This Row],[Temps travail]]&gt;TempsTravail,Tableau7_2025[[#This Row],[Temps travail]]*24-TempsTravail*24,0)</f>
        <v>0.26666666666666572</v>
      </c>
      <c r="H4">
        <f t="shared" si="0"/>
        <v>27</v>
      </c>
      <c r="J4" s="11">
        <v>28</v>
      </c>
      <c r="K4" s="9" t="str">
        <f t="shared" ref="K4:K10" si="1">IF(ISBLANK(L4), "", IF(L4&lt;0, "-" &amp; TEXT(ABS(L4)/24, "h:mm"), TEXT(L4/24, "h:mm")))</f>
        <v>2:04</v>
      </c>
      <c r="L4" s="24">
        <f xml:space="preserve"> SUMIF(H:H, J4, G:G)</f>
        <v>2.0666666666666629</v>
      </c>
      <c r="N4" s="55" t="s">
        <v>6</v>
      </c>
      <c r="O4" s="54" t="s">
        <v>39</v>
      </c>
      <c r="P4" s="54" t="s">
        <v>40</v>
      </c>
      <c r="Q4"/>
    </row>
    <row r="5" spans="1:17" x14ac:dyDescent="0.3">
      <c r="A5" s="1">
        <v>45842</v>
      </c>
      <c r="B5" s="3">
        <v>0.33541666666666664</v>
      </c>
      <c r="C5" s="3">
        <v>0.67708333333333337</v>
      </c>
      <c r="D5" s="5">
        <v>4.1666666666666664E-2</v>
      </c>
      <c r="E5" s="15">
        <f>IF(Tableau7_2025[[#This Row],[Arrivée]]&lt;&gt;"",(Tableau7_2025[[#This Row],[Départ]] - Tableau7_2025[[#This Row],[Arrivée]]) - Tableau7_2025[[#This Row],[Pause]],0)</f>
        <v>0.30000000000000004</v>
      </c>
      <c r="F5" s="17">
        <f>IF(Tableau7_2025[[#This Row],[Temps travail]]&gt;TempsTravail,Tableau7_2025[[#This Row],[Temps travail]]-TempsTravail,0)</f>
        <v>8.3333333333333592E-3</v>
      </c>
      <c r="G5" s="43">
        <f>IF(Tableau7_2025[[#This Row],[Temps travail]]&gt;TempsTravail,Tableau7_2025[[#This Row],[Temps travail]]*24-TempsTravail*24,0)</f>
        <v>0.20000000000000107</v>
      </c>
      <c r="H5">
        <f t="shared" si="0"/>
        <v>27</v>
      </c>
      <c r="J5" s="11">
        <v>29</v>
      </c>
      <c r="K5" s="9" t="str">
        <f t="shared" si="1"/>
        <v>4:48</v>
      </c>
      <c r="L5" s="24">
        <f xml:space="preserve"> SUMIF(H:H, J5, G:G)</f>
        <v>4.7999999999999989</v>
      </c>
      <c r="N5" s="46">
        <v>27</v>
      </c>
      <c r="O5" s="53">
        <v>6.5277777777777782E-2</v>
      </c>
      <c r="P5" s="48">
        <v>1.5666666666666647</v>
      </c>
      <c r="Q5"/>
    </row>
    <row r="6" spans="1:17" x14ac:dyDescent="0.3">
      <c r="A6" s="1">
        <v>45843</v>
      </c>
      <c r="D6" s="5">
        <v>4.1666666666666664E-2</v>
      </c>
      <c r="E6" s="15">
        <f>IF(Tableau7_2025[[#This Row],[Arrivée]]&lt;&gt;"",(Tableau7_2025[[#This Row],[Départ]] - Tableau7_2025[[#This Row],[Arrivée]]) - Tableau7_2025[[#This Row],[Pause]],0)</f>
        <v>0</v>
      </c>
      <c r="F6" s="17">
        <f>IF(Tableau7_2025[[#This Row],[Temps travail]]&gt;TempsTravail,Tableau7_2025[[#This Row],[Temps travail]]-TempsTravail,0)</f>
        <v>0</v>
      </c>
      <c r="G6" s="43">
        <f>IF(Tableau7_2025[[#This Row],[Temps travail]]&gt;TempsTravail,Tableau7_2025[[#This Row],[Temps travail]]*24-TempsTravail*24,0)</f>
        <v>0</v>
      </c>
      <c r="H6">
        <f t="shared" si="0"/>
        <v>27</v>
      </c>
      <c r="J6" s="11">
        <v>30</v>
      </c>
      <c r="K6" s="9" t="str">
        <f t="shared" si="1"/>
        <v>3:36</v>
      </c>
      <c r="L6" s="24">
        <f xml:space="preserve"> SUMIF(H:H, J6, G:G)</f>
        <v>3.5999999999999961</v>
      </c>
      <c r="N6" s="46">
        <v>28</v>
      </c>
      <c r="O6" s="53">
        <v>8.611111111111111E-2</v>
      </c>
      <c r="P6" s="48">
        <v>2.0666666666666629</v>
      </c>
      <c r="Q6"/>
    </row>
    <row r="7" spans="1:17" x14ac:dyDescent="0.3">
      <c r="A7" s="1">
        <v>45844</v>
      </c>
      <c r="B7" s="3"/>
      <c r="C7" s="3"/>
      <c r="D7" s="5">
        <v>4.1666666666666664E-2</v>
      </c>
      <c r="E7" s="15">
        <f>IF(Tableau7_2025[[#This Row],[Arrivée]]&lt;&gt;"",(Tableau7_2025[[#This Row],[Départ]] - Tableau7_2025[[#This Row],[Arrivée]]) - Tableau7_2025[[#This Row],[Pause]],0)</f>
        <v>0</v>
      </c>
      <c r="F7" s="17">
        <f>IF(Tableau7_2025[[#This Row],[Temps travail]]&gt;TempsTravail,Tableau7_2025[[#This Row],[Temps travail]]-TempsTravail,0)</f>
        <v>0</v>
      </c>
      <c r="G7" s="43">
        <f>IF(Tableau7_2025[[#This Row],[Temps travail]]&gt;TempsTravail,Tableau7_2025[[#This Row],[Temps travail]]*24-TempsTravail*24,0)</f>
        <v>0</v>
      </c>
      <c r="H7">
        <f t="shared" si="0"/>
        <v>27</v>
      </c>
      <c r="J7" s="11">
        <v>31</v>
      </c>
      <c r="K7" s="9" t="str">
        <f t="shared" si="1"/>
        <v>4:21</v>
      </c>
      <c r="L7" s="24">
        <f xml:space="preserve"> SUMIF(H:H, J7, G:G)</f>
        <v>4.3499999999999961</v>
      </c>
      <c r="N7" s="46">
        <v>29</v>
      </c>
      <c r="O7" s="53">
        <v>0.2</v>
      </c>
      <c r="P7" s="48">
        <v>4.7999999999999989</v>
      </c>
      <c r="Q7"/>
    </row>
    <row r="8" spans="1:17" x14ac:dyDescent="0.3">
      <c r="A8" s="1">
        <v>45845</v>
      </c>
      <c r="B8" s="3">
        <v>0.34375</v>
      </c>
      <c r="C8" s="3">
        <v>0.69305555555555554</v>
      </c>
      <c r="D8" s="5">
        <v>4.1666666666666664E-2</v>
      </c>
      <c r="E8" s="15">
        <f>IF(Tableau7_2025[[#This Row],[Arrivée]]&lt;&gt;"",(Tableau7_2025[[#This Row],[Départ]] - Tableau7_2025[[#This Row],[Arrivée]]) - Tableau7_2025[[#This Row],[Pause]],0)</f>
        <v>0.30763888888888885</v>
      </c>
      <c r="F8" s="17">
        <f>IF(Tableau7_2025[[#This Row],[Temps travail]]&gt;TempsTravail,Tableau7_2025[[#This Row],[Temps travail]]-TempsTravail,0)</f>
        <v>1.5972222222222165E-2</v>
      </c>
      <c r="G8" s="43">
        <f>IF(Tableau7_2025[[#This Row],[Temps travail]]&gt;TempsTravail,Tableau7_2025[[#This Row],[Temps travail]]*24-TempsTravail*24,0)</f>
        <v>0.38333333333333286</v>
      </c>
      <c r="H8">
        <f t="shared" si="0"/>
        <v>28</v>
      </c>
      <c r="L8" s="25">
        <f xml:space="preserve"> SUM(L3:L7)</f>
        <v>16.383333333333319</v>
      </c>
      <c r="N8" s="46">
        <v>30</v>
      </c>
      <c r="O8" s="53">
        <v>0.15</v>
      </c>
      <c r="P8" s="48">
        <v>3.5999999999999961</v>
      </c>
      <c r="Q8"/>
    </row>
    <row r="9" spans="1:17" x14ac:dyDescent="0.3">
      <c r="A9" s="1">
        <v>45846</v>
      </c>
      <c r="B9" s="3">
        <v>0.34236111111111112</v>
      </c>
      <c r="C9" s="3">
        <v>0.68611111111111112</v>
      </c>
      <c r="D9" s="5">
        <v>4.1666666666666664E-2</v>
      </c>
      <c r="E9" s="15">
        <f>IF(Tableau7_2025[[#This Row],[Arrivée]]&lt;&gt;"",(Tableau7_2025[[#This Row],[Départ]] - Tableau7_2025[[#This Row],[Arrivée]]) - Tableau7_2025[[#This Row],[Pause]],0)</f>
        <v>0.30208333333333331</v>
      </c>
      <c r="F9" s="42">
        <f>IF(Tableau7_2025[[#This Row],[Temps travail]]&gt;TempsTravail,Tableau7_2025[[#This Row],[Temps travail]]-TempsTravail,0)</f>
        <v>1.041666666666663E-2</v>
      </c>
      <c r="G9" s="43">
        <f>IF(Tableau7_2025[[#This Row],[Temps travail]]&gt;TempsTravail,Tableau7_2025[[#This Row],[Temps travail]]*24-TempsTravail*24,0)</f>
        <v>0.25</v>
      </c>
      <c r="H9">
        <f t="shared" si="0"/>
        <v>28</v>
      </c>
      <c r="J9" s="38" t="s">
        <v>8</v>
      </c>
      <c r="K9" s="9" t="str">
        <f>IF(ISBLANK(L8), "", IF(L8&lt;0, "-" &amp; TEXT(ABS(L8)/24, "h:mm"), TEXT(L8/24, "h:mm")))</f>
        <v>16:23</v>
      </c>
      <c r="L9" s="2"/>
      <c r="N9" s="46">
        <v>31</v>
      </c>
      <c r="O9" s="53">
        <v>0.18124999999999999</v>
      </c>
      <c r="P9" s="48">
        <v>4.3499999999999961</v>
      </c>
      <c r="Q9"/>
    </row>
    <row r="10" spans="1:17" x14ac:dyDescent="0.3">
      <c r="A10" s="1">
        <v>45847</v>
      </c>
      <c r="B10" s="3">
        <v>0.34166666666666667</v>
      </c>
      <c r="C10" s="3">
        <v>0.70277777777777772</v>
      </c>
      <c r="D10" s="5">
        <v>4.1666666666666664E-2</v>
      </c>
      <c r="E10" s="15">
        <f>IF(Tableau7_2025[[#This Row],[Arrivée]]&lt;&gt;"",(Tableau7_2025[[#This Row],[Départ]] - Tableau7_2025[[#This Row],[Arrivée]]) - Tableau7_2025[[#This Row],[Pause]],0)</f>
        <v>0.31944444444444436</v>
      </c>
      <c r="F10" s="17">
        <f>IF(Tableau7_2025[[#This Row],[Temps travail]]&gt;TempsTravail,Tableau7_2025[[#This Row],[Temps travail]]-TempsTravail,0)</f>
        <v>2.7777777777777679E-2</v>
      </c>
      <c r="G10" s="43">
        <f>IF(Tableau7_2025[[#This Row],[Temps travail]]&gt;TempsTravail,Tableau7_2025[[#This Row],[Temps travail]]*24-TempsTravail*24,0)</f>
        <v>0.6666666666666643</v>
      </c>
      <c r="H10">
        <f t="shared" si="0"/>
        <v>28</v>
      </c>
      <c r="J10" s="39" t="s">
        <v>9</v>
      </c>
      <c r="K10" s="37" t="str">
        <f t="shared" si="1"/>
        <v>8:01</v>
      </c>
      <c r="L10" s="18">
        <f>SUM(L14:L22)</f>
        <v>104.01666666666657</v>
      </c>
      <c r="N10" t="s">
        <v>30</v>
      </c>
      <c r="O10" s="53">
        <v>0.68263888888888891</v>
      </c>
      <c r="P10" s="48">
        <v>16.383333333333319</v>
      </c>
      <c r="Q10"/>
    </row>
    <row r="11" spans="1:17" x14ac:dyDescent="0.3">
      <c r="A11" s="1">
        <v>45848</v>
      </c>
      <c r="B11" s="3">
        <v>0.34236111111111112</v>
      </c>
      <c r="C11" s="3">
        <v>0.69722222222222219</v>
      </c>
      <c r="D11" s="5">
        <v>4.1666666666666664E-2</v>
      </c>
      <c r="E11" s="15">
        <f>IF(Tableau7_2025[[#This Row],[Arrivée]]&lt;&gt;"",(Tableau7_2025[[#This Row],[Départ]] - Tableau7_2025[[#This Row],[Arrivée]]) - Tableau7_2025[[#This Row],[Pause]],0)</f>
        <v>0.31319444444444439</v>
      </c>
      <c r="F11" s="17">
        <f>IF(Tableau7_2025[[#This Row],[Temps travail]]&gt;TempsTravail,Tableau7_2025[[#This Row],[Temps travail]]-TempsTravail,0)</f>
        <v>2.1527777777777701E-2</v>
      </c>
      <c r="G11" s="43">
        <f>IF(Tableau7_2025[[#This Row],[Temps travail]]&gt;TempsTravail,Tableau7_2025[[#This Row],[Temps travail]]*24-TempsTravail*24,0)</f>
        <v>0.51666666666666572</v>
      </c>
      <c r="H11">
        <f t="shared" si="0"/>
        <v>28</v>
      </c>
      <c r="J11" s="24"/>
      <c r="K11" s="18"/>
      <c r="L11" s="18"/>
    </row>
    <row r="12" spans="1:17" x14ac:dyDescent="0.3">
      <c r="A12" s="1">
        <v>45849</v>
      </c>
      <c r="B12" s="3">
        <v>0.33680555555555558</v>
      </c>
      <c r="C12" s="3">
        <v>0.68055555555555558</v>
      </c>
      <c r="D12" s="5">
        <v>4.1666666666666664E-2</v>
      </c>
      <c r="E12" s="15">
        <f>IF(Tableau7_2025[[#This Row],[Arrivée]]&lt;&gt;"",(Tableau7_2025[[#This Row],[Départ]] - Tableau7_2025[[#This Row],[Arrivée]]) - Tableau7_2025[[#This Row],[Pause]],0)</f>
        <v>0.30208333333333331</v>
      </c>
      <c r="F12" s="17">
        <f>IF(Tableau7_2025[[#This Row],[Temps travail]]&gt;TempsTravail,Tableau7_2025[[#This Row],[Temps travail]]-TempsTravail,0)</f>
        <v>1.041666666666663E-2</v>
      </c>
      <c r="G12" s="43">
        <f>IF(Tableau7_2025[[#This Row],[Temps travail]]&gt;TempsTravail,Tableau7_2025[[#This Row],[Temps travail]]*24-TempsTravail*24,0)</f>
        <v>0.25</v>
      </c>
      <c r="H12">
        <f t="shared" si="0"/>
        <v>28</v>
      </c>
      <c r="K12" s="18"/>
      <c r="L12" s="18"/>
    </row>
    <row r="13" spans="1:17" x14ac:dyDescent="0.3">
      <c r="A13" s="1">
        <v>45850</v>
      </c>
      <c r="D13" s="5">
        <v>4.1666666666666664E-2</v>
      </c>
      <c r="E13" s="15">
        <f>IF(Tableau7_2025[[#This Row],[Arrivée]]&lt;&gt;"",(Tableau7_2025[[#This Row],[Départ]] - Tableau7_2025[[#This Row],[Arrivée]]) - Tableau7_2025[[#This Row],[Pause]],0)</f>
        <v>0</v>
      </c>
      <c r="F13" s="17">
        <f>IF(Tableau7_2025[[#This Row],[Temps travail]]&gt;TempsTravail,Tableau7_2025[[#This Row],[Temps travail]]-TempsTravail,0)</f>
        <v>0</v>
      </c>
      <c r="G13" s="43">
        <f>IF(Tableau7_2025[[#This Row],[Temps travail]]&gt;TempsTravail,Tableau7_2025[[#This Row],[Temps travail]]*24-TempsTravail*24,0)</f>
        <v>0</v>
      </c>
      <c r="H13">
        <f t="shared" si="0"/>
        <v>28</v>
      </c>
      <c r="K13" s="18"/>
      <c r="L13" s="18"/>
    </row>
    <row r="14" spans="1:17" x14ac:dyDescent="0.3">
      <c r="A14" s="1">
        <v>45851</v>
      </c>
      <c r="B14" s="3"/>
      <c r="C14" s="3"/>
      <c r="D14" s="5">
        <v>4.1666666666666664E-2</v>
      </c>
      <c r="E14" s="15">
        <f>IF(Tableau7_2025[[#This Row],[Arrivée]]&lt;&gt;"",(Tableau7_2025[[#This Row],[Départ]] - Tableau7_2025[[#This Row],[Arrivée]]) - Tableau7_2025[[#This Row],[Pause]],0)</f>
        <v>0</v>
      </c>
      <c r="F14" s="17">
        <f>IF(Tableau7_2025[[#This Row],[Temps travail]]&gt;TempsTravail,Tableau7_2025[[#This Row],[Temps travail]]-TempsTravail,0)</f>
        <v>0</v>
      </c>
      <c r="G14" s="43">
        <f>IF(Tableau7_2025[[#This Row],[Temps travail]]&gt;TempsTravail,Tableau7_2025[[#This Row],[Temps travail]]*24-TempsTravail*24,0)</f>
        <v>0</v>
      </c>
      <c r="H14">
        <f t="shared" si="0"/>
        <v>28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</row>
    <row r="15" spans="1:17" x14ac:dyDescent="0.3">
      <c r="A15" s="1">
        <v>45852</v>
      </c>
      <c r="B15" s="3">
        <v>0.33333333333333331</v>
      </c>
      <c r="C15" s="3">
        <v>0.6875</v>
      </c>
      <c r="D15" s="5">
        <v>4.1666666666666664E-2</v>
      </c>
      <c r="E15" s="15">
        <f>IF(Tableau7_2025[[#This Row],[Arrivée]]&lt;&gt;"",(Tableau7_2025[[#This Row],[Départ]] - Tableau7_2025[[#This Row],[Arrivée]]) - Tableau7_2025[[#This Row],[Pause]],0)</f>
        <v>0.3125</v>
      </c>
      <c r="F15" s="17">
        <f>IF(Tableau7_2025[[#This Row],[Temps travail]]&gt;TempsTravail,Tableau7_2025[[#This Row],[Temps travail]]-TempsTravail,0)</f>
        <v>2.0833333333333315E-2</v>
      </c>
      <c r="G15" s="43">
        <f>IF(Tableau7_2025[[#This Row],[Temps travail]]&gt;TempsTravail,Tableau7_2025[[#This Row],[Temps travail]]*24-TempsTravail*24,0)</f>
        <v>0.5</v>
      </c>
      <c r="H15">
        <f t="shared" si="0"/>
        <v>29</v>
      </c>
      <c r="J15" t="s">
        <v>11</v>
      </c>
      <c r="K15" s="9" t="str">
        <f t="shared" ref="K15:K22" si="2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</row>
    <row r="16" spans="1:17" x14ac:dyDescent="0.3">
      <c r="A16" s="1">
        <v>45853</v>
      </c>
      <c r="B16" s="3">
        <v>0.34305555555555556</v>
      </c>
      <c r="C16" s="3">
        <v>0.7270833333333333</v>
      </c>
      <c r="D16" s="5">
        <v>4.1666666666666664E-2</v>
      </c>
      <c r="E16" s="15">
        <f>IF(Tableau7_2025[[#This Row],[Arrivée]]&lt;&gt;"",(Tableau7_2025[[#This Row],[Départ]] - Tableau7_2025[[#This Row],[Arrivée]]) - Tableau7_2025[[#This Row],[Pause]],0)</f>
        <v>0.34236111111111106</v>
      </c>
      <c r="F16" s="17">
        <f>IF(Tableau7_2025[[#This Row],[Temps travail]]&gt;TempsTravail,Tableau7_2025[[#This Row],[Temps travail]]-TempsTravail,0)</f>
        <v>5.0694444444444375E-2</v>
      </c>
      <c r="G16" s="43">
        <f>IF(Tableau7_2025[[#This Row],[Temps travail]]&gt;TempsTravail,Tableau7_2025[[#This Row],[Temps travail]]*24-TempsTravail*24,0)</f>
        <v>1.216666666666665</v>
      </c>
      <c r="H16">
        <f t="shared" si="0"/>
        <v>29</v>
      </c>
      <c r="J16" t="s">
        <v>12</v>
      </c>
      <c r="K16" s="9" t="str">
        <f t="shared" si="2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</row>
    <row r="17" spans="1:17" x14ac:dyDescent="0.3">
      <c r="A17" s="1">
        <v>45854</v>
      </c>
      <c r="B17" s="3">
        <v>0.33263888888888887</v>
      </c>
      <c r="C17" s="28">
        <v>0.75763888888888886</v>
      </c>
      <c r="D17" s="5">
        <v>4.1666666666666664E-2</v>
      </c>
      <c r="E17" s="15">
        <f>IF(Tableau7_2025[[#This Row],[Arrivée]]&lt;&gt;"",(Tableau7_2025[[#This Row],[Départ]] - Tableau7_2025[[#This Row],[Arrivée]]) - Tableau7_2025[[#This Row],[Pause]],0)</f>
        <v>0.3833333333333333</v>
      </c>
      <c r="F17" s="17">
        <f>IF(Tableau7_2025[[#This Row],[Temps travail]]&gt;TempsTravail,Tableau7_2025[[#This Row],[Temps travail]]-TempsTravail,0)</f>
        <v>9.1666666666666619E-2</v>
      </c>
      <c r="G17" s="43">
        <f>IF(Tableau7_2025[[#This Row],[Temps travail]]&gt;TempsTravail,Tableau7_2025[[#This Row],[Temps travail]]*24-TempsTravail*24,0)</f>
        <v>2.1999999999999993</v>
      </c>
      <c r="H17">
        <f t="shared" si="0"/>
        <v>29</v>
      </c>
      <c r="J17" t="s">
        <v>13</v>
      </c>
      <c r="K17" s="9" t="str">
        <f t="shared" si="2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</row>
    <row r="18" spans="1:17" x14ac:dyDescent="0.3">
      <c r="A18" s="1">
        <v>45855</v>
      </c>
      <c r="B18" s="3">
        <v>0.33541666666666664</v>
      </c>
      <c r="C18" s="3">
        <v>0.7055555555555556</v>
      </c>
      <c r="D18" s="5">
        <v>4.1666666666666664E-2</v>
      </c>
      <c r="E18" s="15">
        <f>IF(Tableau7_2025[[#This Row],[Arrivée]]&lt;&gt;"",(Tableau7_2025[[#This Row],[Départ]] - Tableau7_2025[[#This Row],[Arrivée]]) - Tableau7_2025[[#This Row],[Pause]],0)</f>
        <v>0.32847222222222228</v>
      </c>
      <c r="F18" s="17">
        <f>IF(Tableau7_2025[[#This Row],[Temps travail]]&gt;TempsTravail,Tableau7_2025[[#This Row],[Temps travail]]-TempsTravail,0)</f>
        <v>3.6805555555555591E-2</v>
      </c>
      <c r="G18" s="43">
        <f>IF(Tableau7_2025[[#This Row],[Temps travail]]&gt;TempsTravail,Tableau7_2025[[#This Row],[Temps travail]]*24-TempsTravail*24,0)</f>
        <v>0.88333333333333464</v>
      </c>
      <c r="H18">
        <f t="shared" si="0"/>
        <v>29</v>
      </c>
      <c r="J18" t="s">
        <v>14</v>
      </c>
      <c r="K18" s="9" t="str">
        <f t="shared" si="2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</row>
    <row r="19" spans="1:17" x14ac:dyDescent="0.3">
      <c r="A19" s="1">
        <v>45856</v>
      </c>
      <c r="B19" s="3">
        <v>0.33611111111111114</v>
      </c>
      <c r="C19" s="28">
        <v>0.57152777777777775</v>
      </c>
      <c r="D19" s="5">
        <v>4.1666666666666664E-2</v>
      </c>
      <c r="E19" s="15">
        <f>IF(Tableau7_2025[[#This Row],[Arrivée]]&lt;&gt;"",(Tableau7_2025[[#This Row],[Départ]] - Tableau7_2025[[#This Row],[Arrivée]]) - Tableau7_2025[[#This Row],[Pause]],0)</f>
        <v>0.19374999999999995</v>
      </c>
      <c r="F19" s="17">
        <f>IF(Tableau7_2025[[#This Row],[Temps travail]]&gt;TempsTravail,Tableau7_2025[[#This Row],[Temps travail]]-TempsTravail,0)</f>
        <v>0</v>
      </c>
      <c r="G19" s="43">
        <f>IF(Tableau7_2025[[#This Row],[Temps travail]]&gt;TempsTravail,Tableau7_2025[[#This Row],[Temps travail]]*24-TempsTravail*24,0)</f>
        <v>0</v>
      </c>
      <c r="H19">
        <f t="shared" si="0"/>
        <v>29</v>
      </c>
      <c r="J19" t="s">
        <v>15</v>
      </c>
      <c r="K19" s="9" t="str">
        <f t="shared" si="2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</row>
    <row r="20" spans="1:17" x14ac:dyDescent="0.3">
      <c r="A20" s="1">
        <v>45857</v>
      </c>
      <c r="D20" s="5">
        <v>4.1666666666666664E-2</v>
      </c>
      <c r="E20" s="15">
        <f>IF(Tableau7_2025[[#This Row],[Arrivée]]&lt;&gt;"",(Tableau7_2025[[#This Row],[Départ]] - Tableau7_2025[[#This Row],[Arrivée]]) - Tableau7_2025[[#This Row],[Pause]],0)</f>
        <v>0</v>
      </c>
      <c r="F20" s="17">
        <f>IF(Tableau7_2025[[#This Row],[Temps travail]]&gt;TempsTravail,Tableau7_2025[[#This Row],[Temps travail]]-TempsTravail,0)</f>
        <v>0</v>
      </c>
      <c r="G20" s="43">
        <f>IF(Tableau7_2025[[#This Row],[Temps travail]]&gt;TempsTravail,Tableau7_2025[[#This Row],[Temps travail]]*24-TempsTravail*24,0)</f>
        <v>0</v>
      </c>
      <c r="H20">
        <f t="shared" si="0"/>
        <v>29</v>
      </c>
      <c r="J20" t="s">
        <v>16</v>
      </c>
      <c r="K20" s="9" t="str">
        <f t="shared" si="2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</row>
    <row r="21" spans="1:17" x14ac:dyDescent="0.3">
      <c r="A21" s="1">
        <v>45858</v>
      </c>
      <c r="D21" s="5">
        <v>4.1666666666666664E-2</v>
      </c>
      <c r="E21" s="15">
        <f>IF(Tableau7_2025[[#This Row],[Arrivée]]&lt;&gt;"",(Tableau7_2025[[#This Row],[Départ]] - Tableau7_2025[[#This Row],[Arrivée]]) - Tableau7_2025[[#This Row],[Pause]],0)</f>
        <v>0</v>
      </c>
      <c r="F21" s="17">
        <f>IF(Tableau7_2025[[#This Row],[Temps travail]]&gt;TempsTravail,Tableau7_2025[[#This Row],[Temps travail]]-TempsTravail,0)</f>
        <v>0</v>
      </c>
      <c r="G21" s="43">
        <f>IF(Tableau7_2025[[#This Row],[Temps travail]]&gt;TempsTravail,Tableau7_2025[[#This Row],[Temps travail]]*24-TempsTravail*24,0)</f>
        <v>0</v>
      </c>
      <c r="H21">
        <f t="shared" si="0"/>
        <v>29</v>
      </c>
      <c r="J21" t="s">
        <v>17</v>
      </c>
      <c r="K21" s="9" t="str">
        <f t="shared" si="2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</row>
    <row r="22" spans="1:17" x14ac:dyDescent="0.3">
      <c r="A22" s="1">
        <v>45859</v>
      </c>
      <c r="B22" s="2">
        <v>0.33888888888888891</v>
      </c>
      <c r="C22" s="2">
        <v>0.70277777777777772</v>
      </c>
      <c r="D22" s="5">
        <v>4.1666666666666664E-2</v>
      </c>
      <c r="E22" s="15">
        <f>IF(Tableau7_2025[[#This Row],[Arrivée]]&lt;&gt;"",(Tableau7_2025[[#This Row],[Départ]] - Tableau7_2025[[#This Row],[Arrivée]]) - Tableau7_2025[[#This Row],[Pause]],0)</f>
        <v>0.32222222222222213</v>
      </c>
      <c r="F22" s="17">
        <f>IF(Tableau7_2025[[#This Row],[Temps travail]]&gt;TempsTravail,Tableau7_2025[[#This Row],[Temps travail]]-TempsTravail,0)</f>
        <v>3.0555555555555447E-2</v>
      </c>
      <c r="G22" s="43">
        <f>IF(Tableau7_2025[[#This Row],[Temps travail]]&gt;TempsTravail,Tableau7_2025[[#This Row],[Temps travail]]*24-TempsTravail*24,0)</f>
        <v>0.73333333333333073</v>
      </c>
      <c r="H22">
        <f t="shared" si="0"/>
        <v>30</v>
      </c>
      <c r="J22" t="s">
        <v>18</v>
      </c>
      <c r="K22" s="9" t="str">
        <f t="shared" si="2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</row>
    <row r="23" spans="1:17" x14ac:dyDescent="0.3">
      <c r="A23" s="1">
        <v>45860</v>
      </c>
      <c r="B23" s="3">
        <v>0.33888888888888891</v>
      </c>
      <c r="C23" s="3">
        <v>0.70902777777777781</v>
      </c>
      <c r="D23" s="5">
        <v>4.1666666666666664E-2</v>
      </c>
      <c r="E23" s="15">
        <f>IF(Tableau7_2025[[#This Row],[Arrivée]]&lt;&gt;"",(Tableau7_2025[[#This Row],[Départ]] - Tableau7_2025[[#This Row],[Arrivée]]) - Tableau7_2025[[#This Row],[Pause]],0)</f>
        <v>0.32847222222222222</v>
      </c>
      <c r="F23" s="17">
        <f>IF(Tableau7_2025[[#This Row],[Temps travail]]&gt;TempsTravail,Tableau7_2025[[#This Row],[Temps travail]]-TempsTravail,0)</f>
        <v>3.6805555555555536E-2</v>
      </c>
      <c r="G23" s="43">
        <f>IF(Tableau7_2025[[#This Row],[Temps travail]]&gt;TempsTravail,Tableau7_2025[[#This Row],[Temps travail]]*24-TempsTravail*24,0)</f>
        <v>0.88333333333333286</v>
      </c>
      <c r="H23">
        <f t="shared" si="0"/>
        <v>30</v>
      </c>
      <c r="O23" t="s">
        <v>29</v>
      </c>
      <c r="P23" s="53">
        <v>0.37430555555555556</v>
      </c>
      <c r="Q23" s="47">
        <v>8.9833333333333201</v>
      </c>
    </row>
    <row r="24" spans="1:17" x14ac:dyDescent="0.3">
      <c r="A24" s="1">
        <v>45861</v>
      </c>
      <c r="B24" s="3">
        <v>0.33611111111111114</v>
      </c>
      <c r="C24" s="3">
        <v>0.71666666666666667</v>
      </c>
      <c r="D24" s="5">
        <v>4.1666666666666664E-2</v>
      </c>
      <c r="E24" s="15">
        <f>IF(Tableau7_2025[[#This Row],[Arrivée]]&lt;&gt;"",(Tableau7_2025[[#This Row],[Départ]] - Tableau7_2025[[#This Row],[Arrivée]]) - Tableau7_2025[[#This Row],[Pause]],0)</f>
        <v>0.33888888888888885</v>
      </c>
      <c r="F24" s="17">
        <f>IF(Tableau7_2025[[#This Row],[Temps travail]]&gt;TempsTravail,Tableau7_2025[[#This Row],[Temps travail]]-TempsTravail,0)</f>
        <v>4.7222222222222165E-2</v>
      </c>
      <c r="G24" s="43">
        <f>IF(Tableau7_2025[[#This Row],[Temps travail]]&gt;TempsTravail,Tableau7_2025[[#This Row],[Temps travail]]*24-TempsTravail*24,0)</f>
        <v>1.1333333333333329</v>
      </c>
      <c r="H24">
        <f t="shared" si="0"/>
        <v>30</v>
      </c>
      <c r="N24" t="s">
        <v>36</v>
      </c>
      <c r="P24" s="53">
        <v>4.334027777777778</v>
      </c>
      <c r="Q24" s="47">
        <v>104.01666666666657</v>
      </c>
    </row>
    <row r="25" spans="1:17" x14ac:dyDescent="0.3">
      <c r="A25" s="1">
        <v>45862</v>
      </c>
      <c r="B25" s="3">
        <v>0.34444444444444444</v>
      </c>
      <c r="C25" s="3">
        <v>0.71319444444444446</v>
      </c>
      <c r="D25" s="5">
        <v>4.1666666666666664E-2</v>
      </c>
      <c r="E25" s="15">
        <f>IF(Tableau7_2025[[#This Row],[Arrivée]]&lt;&gt;"",(Tableau7_2025[[#This Row],[Départ]] - Tableau7_2025[[#This Row],[Arrivée]]) - Tableau7_2025[[#This Row],[Pause]],0)</f>
        <v>0.32708333333333334</v>
      </c>
      <c r="F25" s="17">
        <f>IF(Tableau7_2025[[#This Row],[Temps travail]]&gt;TempsTravail,Tableau7_2025[[#This Row],[Temps travail]]-TempsTravail,0)</f>
        <v>3.5416666666666652E-2</v>
      </c>
      <c r="G25" s="43">
        <f>IF(Tableau7_2025[[#This Row],[Temps travail]]&gt;TempsTravail,Tableau7_2025[[#This Row],[Temps travail]]*24-TempsTravail*24,0)</f>
        <v>0.84999999999999964</v>
      </c>
      <c r="H25">
        <f t="shared" si="0"/>
        <v>30</v>
      </c>
      <c r="N25">
        <v>2026</v>
      </c>
      <c r="O25" t="s">
        <v>33</v>
      </c>
      <c r="P25" s="53">
        <v>9.7916666666666666E-2</v>
      </c>
      <c r="Q25" s="47">
        <v>2.3499999999999979</v>
      </c>
    </row>
    <row r="26" spans="1:17" x14ac:dyDescent="0.3">
      <c r="A26" s="1">
        <v>45863</v>
      </c>
      <c r="B26" s="13">
        <v>0.3347222222222222</v>
      </c>
      <c r="C26" s="28">
        <v>0.57013888888888886</v>
      </c>
      <c r="D26" s="5">
        <v>4.1666666666666664E-2</v>
      </c>
      <c r="E26" s="15">
        <f>IF(Tableau7_2025[[#This Row],[Arrivée]]&lt;&gt;"",(Tableau7_2025[[#This Row],[Départ]] - Tableau7_2025[[#This Row],[Arrivée]]) - Tableau7_2025[[#This Row],[Pause]],0)</f>
        <v>0.19375000000000001</v>
      </c>
      <c r="F26" s="17">
        <f>IF(Tableau7_2025[[#This Row],[Temps travail]]&gt;TempsTravail,Tableau7_2025[[#This Row],[Temps travail]]-TempsTravail,0)</f>
        <v>0</v>
      </c>
      <c r="G26" s="43">
        <f>IF(Tableau7_2025[[#This Row],[Temps travail]]&gt;TempsTravail,Tableau7_2025[[#This Row],[Temps travail]]*24-TempsTravail*24,0)</f>
        <v>0</v>
      </c>
      <c r="H26">
        <f t="shared" si="0"/>
        <v>30</v>
      </c>
      <c r="O26" t="s">
        <v>34</v>
      </c>
      <c r="P26" s="53">
        <v>0</v>
      </c>
      <c r="Q26" s="47">
        <v>0</v>
      </c>
    </row>
    <row r="27" spans="1:17" x14ac:dyDescent="0.3">
      <c r="A27" s="1">
        <v>45864</v>
      </c>
      <c r="D27" s="5">
        <v>4.1666666666666664E-2</v>
      </c>
      <c r="E27" s="15">
        <f>IF(Tableau7_2025[[#This Row],[Arrivée]]&lt;&gt;"",(Tableau7_2025[[#This Row],[Départ]] - Tableau7_2025[[#This Row],[Arrivée]]) - Tableau7_2025[[#This Row],[Pause]],0)</f>
        <v>0</v>
      </c>
      <c r="F27" s="17">
        <f>IF(Tableau7_2025[[#This Row],[Temps travail]]&gt;TempsTravail,Tableau7_2025[[#This Row],[Temps travail]]-TempsTravail,0)</f>
        <v>0</v>
      </c>
      <c r="G27" s="43">
        <f>IF(Tableau7_2025[[#This Row],[Temps travail]]&gt;TempsTravail,Tableau7_2025[[#This Row],[Temps travail]]*24-TempsTravail*24,0)</f>
        <v>0</v>
      </c>
      <c r="H27">
        <f t="shared" si="0"/>
        <v>30</v>
      </c>
      <c r="N27" t="s">
        <v>37</v>
      </c>
      <c r="P27" s="53">
        <v>9.7916666666666666E-2</v>
      </c>
      <c r="Q27" s="47">
        <v>2.3499999999999979</v>
      </c>
    </row>
    <row r="28" spans="1:17" x14ac:dyDescent="0.3">
      <c r="A28" s="1">
        <v>45865</v>
      </c>
      <c r="D28" s="5">
        <v>4.1666666666666664E-2</v>
      </c>
      <c r="E28" s="15">
        <f>IF(Tableau7_2025[[#This Row],[Arrivée]]&lt;&gt;"",(Tableau7_2025[[#This Row],[Départ]] - Tableau7_2025[[#This Row],[Arrivée]]) - Tableau7_2025[[#This Row],[Pause]],0)</f>
        <v>0</v>
      </c>
      <c r="F28" s="17">
        <f>IF(Tableau7_2025[[#This Row],[Temps travail]]&gt;TempsTravail,Tableau7_2025[[#This Row],[Temps travail]]-TempsTravail,0)</f>
        <v>0</v>
      </c>
      <c r="G28" s="43">
        <f>IF(Tableau7_2025[[#This Row],[Temps travail]]&gt;TempsTravail,Tableau7_2025[[#This Row],[Temps travail]]*24-TempsTravail*24,0)</f>
        <v>0</v>
      </c>
      <c r="H28">
        <f t="shared" ref="H28:H32" si="3">WEEKNUM(A28,2)</f>
        <v>30</v>
      </c>
      <c r="N28" t="s">
        <v>30</v>
      </c>
      <c r="P28" s="53">
        <v>4.4319444444444445</v>
      </c>
      <c r="Q28" s="47">
        <v>106.36666666666656</v>
      </c>
    </row>
    <row r="29" spans="1:17" x14ac:dyDescent="0.3">
      <c r="A29" s="1">
        <v>45866</v>
      </c>
      <c r="B29" s="2">
        <v>0.34097222222222223</v>
      </c>
      <c r="C29" s="2">
        <v>0.69930555555555551</v>
      </c>
      <c r="D29" s="5">
        <v>4.1666666666666664E-2</v>
      </c>
      <c r="E29" s="15">
        <f>IF(Tableau7_2025[[#This Row],[Arrivée]]&lt;&gt;"",(Tableau7_2025[[#This Row],[Départ]] - Tableau7_2025[[#This Row],[Arrivée]]) - Tableau7_2025[[#This Row],[Pause]],0)</f>
        <v>0.3166666666666666</v>
      </c>
      <c r="F29" s="17">
        <f>IF(Tableau7_2025[[#This Row],[Temps travail]]&gt;TempsTravail,Tableau7_2025[[#This Row],[Temps travail]]-TempsTravail,0)</f>
        <v>2.4999999999999911E-2</v>
      </c>
      <c r="G29" s="43">
        <f>IF(Tableau7_2025[[#This Row],[Temps travail]]&gt;TempsTravail,Tableau7_2025[[#This Row],[Temps travail]]*24-TempsTravail*24,0)</f>
        <v>0.59999999999999787</v>
      </c>
      <c r="H29">
        <f t="shared" si="3"/>
        <v>31</v>
      </c>
    </row>
    <row r="30" spans="1:17" x14ac:dyDescent="0.3">
      <c r="A30" s="1">
        <v>45867</v>
      </c>
      <c r="B30" s="3">
        <v>0.34097222222222223</v>
      </c>
      <c r="C30" s="3">
        <v>0.71458333333333335</v>
      </c>
      <c r="D30" s="5">
        <v>4.1666666666666664E-2</v>
      </c>
      <c r="E30" s="15">
        <f>IF(Tableau7_2025[[#This Row],[Arrivée]]&lt;&gt;"",(Tableau7_2025[[#This Row],[Départ]] - Tableau7_2025[[#This Row],[Arrivée]]) - Tableau7_2025[[#This Row],[Pause]],0)</f>
        <v>0.33194444444444443</v>
      </c>
      <c r="F30" s="17">
        <f>IF(Tableau7_2025[[#This Row],[Temps travail]]&gt;TempsTravail,Tableau7_2025[[#This Row],[Temps travail]]-TempsTravail,0)</f>
        <v>4.0277777777777746E-2</v>
      </c>
      <c r="G30" s="43">
        <f>IF(Tableau7_2025[[#This Row],[Temps travail]]&gt;TempsTravail,Tableau7_2025[[#This Row],[Temps travail]]*24-TempsTravail*24,0)</f>
        <v>0.96666666666666679</v>
      </c>
      <c r="H30">
        <f t="shared" si="3"/>
        <v>31</v>
      </c>
    </row>
    <row r="31" spans="1:17" x14ac:dyDescent="0.3">
      <c r="A31" s="1">
        <v>45868</v>
      </c>
      <c r="B31" s="3">
        <v>0.34305555555555556</v>
      </c>
      <c r="C31" s="3">
        <v>0.73124999999999996</v>
      </c>
      <c r="D31" s="5">
        <v>4.1666666666666664E-2</v>
      </c>
      <c r="E31" s="15">
        <f>IF(Tableau7_2025[[#This Row],[Arrivée]]&lt;&gt;"",(Tableau7_2025[[#This Row],[Départ]] - Tableau7_2025[[#This Row],[Arrivée]]) - Tableau7_2025[[#This Row],[Pause]],0)</f>
        <v>0.34652777777777771</v>
      </c>
      <c r="F31" s="17">
        <f>IF(Tableau7_2025[[#This Row],[Temps travail]]&gt;TempsTravail,Tableau7_2025[[#This Row],[Temps travail]]-TempsTravail,0)</f>
        <v>5.4861111111111027E-2</v>
      </c>
      <c r="G31" s="43">
        <f>IF(Tableau7_2025[[#This Row],[Temps travail]]&gt;TempsTravail,Tableau7_2025[[#This Row],[Temps travail]]*24-TempsTravail*24,0)</f>
        <v>1.3166666666666647</v>
      </c>
      <c r="H31">
        <f t="shared" si="3"/>
        <v>31</v>
      </c>
    </row>
    <row r="32" spans="1:17" x14ac:dyDescent="0.3">
      <c r="A32" s="1">
        <v>45869</v>
      </c>
      <c r="B32" s="2">
        <v>0.34513888888888888</v>
      </c>
      <c r="C32" s="3">
        <v>0.73958333333333337</v>
      </c>
      <c r="D32" s="5">
        <v>4.1666666666666664E-2</v>
      </c>
      <c r="E32" s="15">
        <f>IF(Tableau7_2025[[#This Row],[Arrivée]]&lt;&gt;"",(Tableau7_2025[[#This Row],[Départ]] - Tableau7_2025[[#This Row],[Arrivée]]) - Tableau7_2025[[#This Row],[Pause]],0)</f>
        <v>0.3527777777777778</v>
      </c>
      <c r="F32" s="17">
        <f>IF(Tableau7_2025[[#This Row],[Temps travail]]&gt;TempsTravail,Tableau7_2025[[#This Row],[Temps travail]]-TempsTravail,0)</f>
        <v>6.1111111111111116E-2</v>
      </c>
      <c r="G32" s="43">
        <f>IF(Tableau7_2025[[#This Row],[Temps travail]]&gt;TempsTravail,Tableau7_2025[[#This Row],[Temps travail]]*24-TempsTravail*24,0)</f>
        <v>1.4666666666666668</v>
      </c>
      <c r="H32">
        <f t="shared" si="3"/>
        <v>31</v>
      </c>
    </row>
  </sheetData>
  <conditionalFormatting sqref="F1:F9">
    <cfRule type="expression" dxfId="55" priority="1">
      <formula>$G$2&lt;0</formula>
    </cfRule>
    <cfRule type="cellIs" dxfId="54" priority="2" operator="lessThan">
      <formula>0</formula>
    </cfRule>
    <cfRule type="expression" dxfId="53" priority="3">
      <formula>#REF!</formula>
    </cfRule>
  </conditionalFormatting>
  <conditionalFormatting sqref="F3 F5 F7 F11 F13 F15 F17 F19 F21 F23 F25 F27 F29:F32">
    <cfRule type="expression" dxfId="52" priority="4">
      <formula>$G$3&lt;0</formula>
    </cfRule>
  </conditionalFormatting>
  <conditionalFormatting sqref="F10:F1048576">
    <cfRule type="expression" dxfId="51" priority="5">
      <formula>$G$2&lt;0</formula>
    </cfRule>
    <cfRule type="cellIs" dxfId="50" priority="9" operator="lessThan">
      <formula>0</formula>
    </cfRule>
    <cfRule type="expression" dxfId="49" priority="14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5AAAF-CE21-409F-98A3-B444DD1E718D}">
  <dimension ref="A1:Q32"/>
  <sheetViews>
    <sheetView workbookViewId="0">
      <pane ySplit="1" topLeftCell="A2" activePane="bottomLeft" state="frozen"/>
      <selection activeCell="N1" sqref="N1:P1048576"/>
      <selection pane="bottomLeft" activeCell="O10" sqref="O10"/>
    </sheetView>
  </sheetViews>
  <sheetFormatPr baseColWidth="10" defaultColWidth="9.109375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8.21875" bestFit="1" customWidth="1"/>
    <col min="8" max="8" width="8.33203125" bestFit="1" customWidth="1"/>
    <col min="10" max="10" width="10.441406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</cols>
  <sheetData>
    <row r="1" spans="1:17" x14ac:dyDescent="0.3">
      <c r="A1" s="1" t="s">
        <v>0</v>
      </c>
      <c r="B1" s="2" t="s">
        <v>1</v>
      </c>
      <c r="C1" s="2" t="s">
        <v>2</v>
      </c>
      <c r="D1" s="2" t="s">
        <v>3</v>
      </c>
      <c r="E1" s="15" t="s">
        <v>4</v>
      </c>
      <c r="F1" s="18" t="s">
        <v>5</v>
      </c>
      <c r="G1" t="s">
        <v>20</v>
      </c>
      <c r="H1" t="s">
        <v>6</v>
      </c>
      <c r="N1" s="49" t="s">
        <v>31</v>
      </c>
      <c r="O1" s="11">
        <v>2025</v>
      </c>
    </row>
    <row r="2" spans="1:17" x14ac:dyDescent="0.3">
      <c r="A2" s="1">
        <v>45870</v>
      </c>
      <c r="B2" s="3">
        <v>0.33888888888888891</v>
      </c>
      <c r="C2" s="3">
        <v>0.59513888888888888</v>
      </c>
      <c r="D2" s="4">
        <v>4.1666666666666664E-2</v>
      </c>
      <c r="E2" s="15">
        <f>IF(Tableau8_2025[[#This Row],[Arrivée]]&lt;&gt;"",(Tableau8_2025[[#This Row],[Départ]] - Tableau8_2025[[#This Row],[Arrivée]]) - Tableau8_2025[[#This Row],[Pause]],0)</f>
        <v>0.21458333333333332</v>
      </c>
      <c r="F2" s="17">
        <f>IF(Tableau8_2025[[#This Row],[Temps travail]]&gt;TempsTravail,Tableau8_2025[[#This Row],[Temps travail]]-TempsTravail,0)</f>
        <v>0</v>
      </c>
      <c r="G2" s="43">
        <f>IF(Tableau8_2025[[#This Row],[Temps travail]]&gt;TempsTravail,Tableau8_2025[[#This Row],[Temps travail]]*24-TempsTravail*24,0)</f>
        <v>0</v>
      </c>
      <c r="H2">
        <f t="shared" ref="H2:H25" si="0">WEEKNUM(A2,2)</f>
        <v>31</v>
      </c>
      <c r="J2" s="10" t="s">
        <v>6</v>
      </c>
      <c r="K2" s="8" t="s">
        <v>7</v>
      </c>
      <c r="L2" s="2"/>
      <c r="N2" s="49" t="s">
        <v>32</v>
      </c>
      <c r="O2" t="s">
        <v>25</v>
      </c>
    </row>
    <row r="3" spans="1:17" x14ac:dyDescent="0.3">
      <c r="A3" s="1">
        <v>45871</v>
      </c>
      <c r="B3" s="3"/>
      <c r="C3" s="3"/>
      <c r="D3" s="5">
        <v>4.1666666666666664E-2</v>
      </c>
      <c r="E3" s="15">
        <f>IF(Tableau8_2025[[#This Row],[Arrivée]]&lt;&gt;"",(Tableau8_2025[[#This Row],[Départ]] - Tableau8_2025[[#This Row],[Arrivée]]) - Tableau8_2025[[#This Row],[Pause]],0)</f>
        <v>0</v>
      </c>
      <c r="F3" s="17">
        <f>IF(Tableau8_2025[[#This Row],[Temps travail]]&gt;TempsTravail,Tableau8_2025[[#This Row],[Temps travail]]-TempsTravail,0)</f>
        <v>0</v>
      </c>
      <c r="G3" s="43">
        <f>IF(Tableau8_2025[[#This Row],[Temps travail]]&gt;TempsTravail,Tableau8_2025[[#This Row],[Temps travail]]*24-TempsTravail*24,0)</f>
        <v>0</v>
      </c>
      <c r="H3">
        <f t="shared" si="0"/>
        <v>31</v>
      </c>
      <c r="J3" s="11">
        <v>31</v>
      </c>
      <c r="K3" s="9" t="str">
        <f>IF(ISBLANK(L3), "", IF(L3&lt;0, "-" &amp; TEXT(ABS(L3)/24, "h:mm"), TEXT(L3/24, "h:mm")))</f>
        <v>0:00</v>
      </c>
      <c r="L3" s="24">
        <f t="shared" ref="L3:L8" si="1" xml:space="preserve"> SUMIF(H:H, J3, G:G)</f>
        <v>0</v>
      </c>
      <c r="P3"/>
      <c r="Q3"/>
    </row>
    <row r="4" spans="1:17" x14ac:dyDescent="0.3">
      <c r="A4" s="1">
        <v>45872</v>
      </c>
      <c r="B4" s="3"/>
      <c r="C4" s="3"/>
      <c r="D4" s="5">
        <v>4.1666666666666664E-2</v>
      </c>
      <c r="E4" s="15">
        <f>IF(Tableau8_2025[[#This Row],[Arrivée]]&lt;&gt;"",(Tableau8_2025[[#This Row],[Départ]] - Tableau8_2025[[#This Row],[Arrivée]]) - Tableau8_2025[[#This Row],[Pause]],0)</f>
        <v>0</v>
      </c>
      <c r="F4" s="17">
        <f>IF(Tableau8_2025[[#This Row],[Temps travail]]&gt;TempsTravail,Tableau8_2025[[#This Row],[Temps travail]]-TempsTravail,0)</f>
        <v>0</v>
      </c>
      <c r="G4" s="43">
        <f>IF(Tableau8_2025[[#This Row],[Temps travail]]&gt;TempsTravail,Tableau8_2025[[#This Row],[Temps travail]]*24-TempsTravail*24,0)</f>
        <v>0</v>
      </c>
      <c r="H4">
        <f t="shared" si="0"/>
        <v>31</v>
      </c>
      <c r="J4" s="11">
        <v>32</v>
      </c>
      <c r="K4" s="9" t="str">
        <f t="shared" ref="K4:K10" si="2">IF(ISBLANK(L4), "", IF(L4&lt;0, "-" &amp; TEXT(ABS(L4)/24, "h:mm"), TEXT(L4/24, "h:mm")))</f>
        <v>4:02</v>
      </c>
      <c r="L4" s="24">
        <f t="shared" si="1"/>
        <v>4.0333333333333297</v>
      </c>
      <c r="N4" s="55" t="s">
        <v>6</v>
      </c>
      <c r="O4" s="54" t="s">
        <v>39</v>
      </c>
      <c r="P4" s="54" t="s">
        <v>40</v>
      </c>
      <c r="Q4"/>
    </row>
    <row r="5" spans="1:17" x14ac:dyDescent="0.3">
      <c r="A5" s="1">
        <v>45873</v>
      </c>
      <c r="B5" s="3">
        <v>0.33750000000000002</v>
      </c>
      <c r="C5" s="3">
        <v>0.69652777777777775</v>
      </c>
      <c r="D5" s="5">
        <v>4.1666666666666664E-2</v>
      </c>
      <c r="E5" s="15">
        <f>IF(Tableau8_2025[[#This Row],[Arrivée]]&lt;&gt;"",(Tableau8_2025[[#This Row],[Départ]] - Tableau8_2025[[#This Row],[Arrivée]]) - Tableau8_2025[[#This Row],[Pause]],0)</f>
        <v>0.31736111111111104</v>
      </c>
      <c r="F5" s="17">
        <f>IF(Tableau8_2025[[#This Row],[Temps travail]]&gt;TempsTravail,Tableau8_2025[[#This Row],[Temps travail]]-TempsTravail,0)</f>
        <v>2.5694444444444353E-2</v>
      </c>
      <c r="G5" s="43">
        <f>IF(Tableau8_2025[[#This Row],[Temps travail]]&gt;TempsTravail,Tableau8_2025[[#This Row],[Temps travail]]*24-TempsTravail*24,0)</f>
        <v>0.61666666666666536</v>
      </c>
      <c r="H5">
        <f t="shared" si="0"/>
        <v>32</v>
      </c>
      <c r="J5" s="11">
        <v>33</v>
      </c>
      <c r="K5" s="9" t="str">
        <f t="shared" si="2"/>
        <v>4:34</v>
      </c>
      <c r="L5" s="24">
        <f t="shared" si="1"/>
        <v>4.5666666666666647</v>
      </c>
      <c r="N5" s="46">
        <v>31</v>
      </c>
      <c r="O5" s="53">
        <v>0</v>
      </c>
      <c r="P5" s="48">
        <v>0</v>
      </c>
      <c r="Q5"/>
    </row>
    <row r="6" spans="1:17" x14ac:dyDescent="0.3">
      <c r="A6" s="1">
        <v>45874</v>
      </c>
      <c r="B6" s="2">
        <v>0.3347222222222222</v>
      </c>
      <c r="C6" s="2">
        <v>0.72291666666666665</v>
      </c>
      <c r="D6" s="5">
        <v>4.1666666666666664E-2</v>
      </c>
      <c r="E6" s="15">
        <f>IF(Tableau8_2025[[#This Row],[Arrivée]]&lt;&gt;"",(Tableau8_2025[[#This Row],[Départ]] - Tableau8_2025[[#This Row],[Arrivée]]) - Tableau8_2025[[#This Row],[Pause]],0)</f>
        <v>0.34652777777777777</v>
      </c>
      <c r="F6" s="17">
        <f>IF(Tableau8_2025[[#This Row],[Temps travail]]&gt;TempsTravail,Tableau8_2025[[#This Row],[Temps travail]]-TempsTravail,0)</f>
        <v>5.4861111111111083E-2</v>
      </c>
      <c r="G6" s="43">
        <f>IF(Tableau8_2025[[#This Row],[Temps travail]]&gt;TempsTravail,Tableau8_2025[[#This Row],[Temps travail]]*24-TempsTravail*24,0)</f>
        <v>1.3166666666666664</v>
      </c>
      <c r="H6">
        <f t="shared" si="0"/>
        <v>32</v>
      </c>
      <c r="J6" s="11">
        <v>34</v>
      </c>
      <c r="K6" s="9" t="str">
        <f t="shared" si="2"/>
        <v>3:59</v>
      </c>
      <c r="L6" s="24">
        <f t="shared" si="1"/>
        <v>3.9833333333333325</v>
      </c>
      <c r="N6" s="46">
        <v>32</v>
      </c>
      <c r="O6" s="53">
        <v>0.16805555555555557</v>
      </c>
      <c r="P6" s="48">
        <v>4.0333333333333297</v>
      </c>
      <c r="Q6"/>
    </row>
    <row r="7" spans="1:17" x14ac:dyDescent="0.3">
      <c r="A7" s="1">
        <v>45875</v>
      </c>
      <c r="B7" s="3">
        <v>0.33819444444444446</v>
      </c>
      <c r="C7" s="3">
        <v>0.72083333333333333</v>
      </c>
      <c r="D7" s="5">
        <v>4.1666666666666664E-2</v>
      </c>
      <c r="E7" s="15">
        <f>IF(Tableau8_2025[[#This Row],[Arrivée]]&lt;&gt;"",(Tableau8_2025[[#This Row],[Départ]] - Tableau8_2025[[#This Row],[Arrivée]]) - Tableau8_2025[[#This Row],[Pause]],0)</f>
        <v>0.34097222222222218</v>
      </c>
      <c r="F7" s="17">
        <f>IF(Tableau8_2025[[#This Row],[Temps travail]]&gt;TempsTravail,Tableau8_2025[[#This Row],[Temps travail]]-TempsTravail,0)</f>
        <v>4.9305555555555491E-2</v>
      </c>
      <c r="G7" s="43">
        <f>IF(Tableau8_2025[[#This Row],[Temps travail]]&gt;TempsTravail,Tableau8_2025[[#This Row],[Temps travail]]*24-TempsTravail*24,0)</f>
        <v>1.1833333333333318</v>
      </c>
      <c r="H7">
        <f t="shared" si="0"/>
        <v>32</v>
      </c>
      <c r="J7" s="11">
        <v>35</v>
      </c>
      <c r="K7" s="9" t="str">
        <f t="shared" si="2"/>
        <v>2:33</v>
      </c>
      <c r="L7" s="24">
        <f t="shared" si="1"/>
        <v>2.5499999999999936</v>
      </c>
      <c r="N7" s="46">
        <v>33</v>
      </c>
      <c r="O7" s="53">
        <v>0.19027777777777777</v>
      </c>
      <c r="P7" s="48">
        <v>4.5666666666666647</v>
      </c>
      <c r="Q7"/>
    </row>
    <row r="8" spans="1:17" x14ac:dyDescent="0.3">
      <c r="A8" s="1">
        <v>45876</v>
      </c>
      <c r="B8" s="3">
        <v>0.33680555555555558</v>
      </c>
      <c r="C8" s="3">
        <v>0.70833333333333337</v>
      </c>
      <c r="D8" s="5">
        <v>4.1666666666666664E-2</v>
      </c>
      <c r="E8" s="15">
        <f>IF(Tableau8_2025[[#This Row],[Arrivée]]&lt;&gt;"",(Tableau8_2025[[#This Row],[Départ]] - Tableau8_2025[[#This Row],[Arrivée]]) - Tableau8_2025[[#This Row],[Pause]],0)</f>
        <v>0.3298611111111111</v>
      </c>
      <c r="F8" s="17">
        <f>IF(Tableau8_2025[[#This Row],[Temps travail]]&gt;TempsTravail,Tableau8_2025[[#This Row],[Temps travail]]-TempsTravail,0)</f>
        <v>3.819444444444442E-2</v>
      </c>
      <c r="G8" s="43">
        <f>IF(Tableau8_2025[[#This Row],[Temps travail]]&gt;TempsTravail,Tableau8_2025[[#This Row],[Temps travail]]*24-TempsTravail*24,0)</f>
        <v>0.91666666666666607</v>
      </c>
      <c r="H8">
        <f t="shared" si="0"/>
        <v>32</v>
      </c>
      <c r="J8" s="11">
        <v>36</v>
      </c>
      <c r="K8" s="9" t="str">
        <f t="shared" si="2"/>
        <v>0:00</v>
      </c>
      <c r="L8" s="24">
        <f t="shared" si="1"/>
        <v>0</v>
      </c>
      <c r="N8" s="46">
        <v>34</v>
      </c>
      <c r="O8" s="53">
        <v>0.16597222222222222</v>
      </c>
      <c r="P8" s="48">
        <v>3.9833333333333325</v>
      </c>
      <c r="Q8"/>
    </row>
    <row r="9" spans="1:17" x14ac:dyDescent="0.3">
      <c r="A9" s="1">
        <v>45877</v>
      </c>
      <c r="B9" s="3">
        <v>0.33541666666666664</v>
      </c>
      <c r="C9" s="3">
        <v>0.58611111111111114</v>
      </c>
      <c r="D9" s="5">
        <v>4.1666666666666664E-2</v>
      </c>
      <c r="E9" s="15">
        <f>IF(Tableau8_2025[[#This Row],[Arrivée]]&lt;&gt;"",(Tableau8_2025[[#This Row],[Départ]] - Tableau8_2025[[#This Row],[Arrivée]]) - Tableau8_2025[[#This Row],[Pause]],0)</f>
        <v>0.20902777777777784</v>
      </c>
      <c r="F9" s="42">
        <f>IF(Tableau8_2025[[#This Row],[Temps travail]]&gt;TempsTravail,Tableau8_2025[[#This Row],[Temps travail]]-TempsTravail,0)</f>
        <v>0</v>
      </c>
      <c r="G9" s="43">
        <f>IF(Tableau8_2025[[#This Row],[Temps travail]]&gt;TempsTravail,Tableau8_2025[[#This Row],[Temps travail]]*24-TempsTravail*24,0)</f>
        <v>0</v>
      </c>
      <c r="H9">
        <f t="shared" si="0"/>
        <v>32</v>
      </c>
      <c r="J9" s="38" t="s">
        <v>8</v>
      </c>
      <c r="K9" s="9" t="str">
        <f t="shared" si="2"/>
        <v>15:08</v>
      </c>
      <c r="L9" s="25">
        <f xml:space="preserve"> SUM(L3:L7)</f>
        <v>15.13333333333332</v>
      </c>
      <c r="N9" s="46">
        <v>35</v>
      </c>
      <c r="O9" s="53">
        <v>0.10625</v>
      </c>
      <c r="P9" s="48">
        <v>2.5499999999999936</v>
      </c>
      <c r="Q9"/>
    </row>
    <row r="10" spans="1:17" x14ac:dyDescent="0.3">
      <c r="A10" s="1">
        <v>45878</v>
      </c>
      <c r="B10" s="3"/>
      <c r="C10" s="3"/>
      <c r="D10" s="5">
        <v>4.1666666666666664E-2</v>
      </c>
      <c r="E10" s="15">
        <f>IF(Tableau8_2025[[#This Row],[Arrivée]]&lt;&gt;"",(Tableau8_2025[[#This Row],[Départ]] - Tableau8_2025[[#This Row],[Arrivée]]) - Tableau8_2025[[#This Row],[Pause]],0)</f>
        <v>0</v>
      </c>
      <c r="F10" s="17">
        <f>IF(Tableau8_2025[[#This Row],[Temps travail]]&gt;TempsTravail,Tableau8_2025[[#This Row],[Temps travail]]-TempsTravail,0)</f>
        <v>0</v>
      </c>
      <c r="G10" s="43">
        <f>IF(Tableau8_2025[[#This Row],[Temps travail]]&gt;TempsTravail,Tableau8_2025[[#This Row],[Temps travail]]*24-TempsTravail*24,0)</f>
        <v>0</v>
      </c>
      <c r="H10">
        <f t="shared" si="0"/>
        <v>32</v>
      </c>
      <c r="J10" s="19" t="s">
        <v>9</v>
      </c>
      <c r="K10" s="9" t="str">
        <f t="shared" si="2"/>
        <v>8:01</v>
      </c>
      <c r="L10" s="18">
        <f>SUM(L14:L22)</f>
        <v>104.01666666666657</v>
      </c>
      <c r="N10" t="s">
        <v>30</v>
      </c>
      <c r="O10" s="53">
        <v>0.63055555555555554</v>
      </c>
      <c r="P10" s="48">
        <v>15.13333333333332</v>
      </c>
      <c r="Q10"/>
    </row>
    <row r="11" spans="1:17" x14ac:dyDescent="0.3">
      <c r="A11" s="1">
        <v>45879</v>
      </c>
      <c r="B11" s="3"/>
      <c r="C11" s="3"/>
      <c r="D11" s="5">
        <v>4.1666666666666664E-2</v>
      </c>
      <c r="E11" s="15">
        <f>IF(Tableau8_2025[[#This Row],[Arrivée]]&lt;&gt;"",(Tableau8_2025[[#This Row],[Départ]] - Tableau8_2025[[#This Row],[Arrivée]]) - Tableau8_2025[[#This Row],[Pause]],0)</f>
        <v>0</v>
      </c>
      <c r="F11" s="17">
        <f>IF(Tableau8_2025[[#This Row],[Temps travail]]&gt;TempsTravail,Tableau8_2025[[#This Row],[Temps travail]]-TempsTravail,0)</f>
        <v>0</v>
      </c>
      <c r="G11" s="43">
        <f>IF(Tableau8_2025[[#This Row],[Temps travail]]&gt;TempsTravail,Tableau8_2025[[#This Row],[Temps travail]]*24-TempsTravail*24,0)</f>
        <v>0</v>
      </c>
      <c r="H11">
        <f t="shared" si="0"/>
        <v>32</v>
      </c>
      <c r="J11" s="24"/>
      <c r="K11" s="18"/>
      <c r="L11" s="18"/>
    </row>
    <row r="12" spans="1:17" x14ac:dyDescent="0.3">
      <c r="A12" s="1">
        <v>45880</v>
      </c>
      <c r="B12" s="3">
        <v>0.33958333333333335</v>
      </c>
      <c r="C12" s="3">
        <v>0.70138888888888884</v>
      </c>
      <c r="D12" s="5">
        <v>4.1666666666666664E-2</v>
      </c>
      <c r="E12" s="15">
        <f>IF(Tableau8_2025[[#This Row],[Arrivée]]&lt;&gt;"",(Tableau8_2025[[#This Row],[Départ]] - Tableau8_2025[[#This Row],[Arrivée]]) - Tableau8_2025[[#This Row],[Pause]],0)</f>
        <v>0.32013888888888881</v>
      </c>
      <c r="F12" s="17">
        <f>IF(Tableau8_2025[[#This Row],[Temps travail]]&gt;TempsTravail,Tableau8_2025[[#This Row],[Temps travail]]-TempsTravail,0)</f>
        <v>2.8472222222222121E-2</v>
      </c>
      <c r="G12" s="43">
        <f>IF(Tableau8_2025[[#This Row],[Temps travail]]&gt;TempsTravail,Tableau8_2025[[#This Row],[Temps travail]]*24-TempsTravail*24,0)</f>
        <v>0.68333333333333179</v>
      </c>
      <c r="H12">
        <f t="shared" si="0"/>
        <v>33</v>
      </c>
      <c r="K12" s="18"/>
      <c r="L12" s="18"/>
    </row>
    <row r="13" spans="1:17" x14ac:dyDescent="0.3">
      <c r="A13" s="1">
        <v>45881</v>
      </c>
      <c r="B13" s="2">
        <v>0.34236111111111112</v>
      </c>
      <c r="C13" s="2">
        <v>0.71180555555555558</v>
      </c>
      <c r="D13" s="5">
        <v>4.1666666666666664E-2</v>
      </c>
      <c r="E13" s="15">
        <f>IF(Tableau8_2025[[#This Row],[Arrivée]]&lt;&gt;"",(Tableau8_2025[[#This Row],[Départ]] - Tableau8_2025[[#This Row],[Arrivée]]) - Tableau8_2025[[#This Row],[Pause]],0)</f>
        <v>0.32777777777777778</v>
      </c>
      <c r="F13" s="17">
        <f>IF(Tableau8_2025[[#This Row],[Temps travail]]&gt;TempsTravail,Tableau8_2025[[#This Row],[Temps travail]]-TempsTravail,0)</f>
        <v>3.6111111111111094E-2</v>
      </c>
      <c r="G13" s="43">
        <f>IF(Tableau8_2025[[#This Row],[Temps travail]]&gt;TempsTravail,Tableau8_2025[[#This Row],[Temps travail]]*24-TempsTravail*24,0)</f>
        <v>0.86666666666666714</v>
      </c>
      <c r="H13">
        <f t="shared" si="0"/>
        <v>33</v>
      </c>
      <c r="K13" s="18"/>
      <c r="L13" s="18"/>
    </row>
    <row r="14" spans="1:17" x14ac:dyDescent="0.3">
      <c r="A14" s="1">
        <v>45882</v>
      </c>
      <c r="B14" s="3">
        <v>0.33958333333333335</v>
      </c>
      <c r="C14" s="3">
        <v>0.71805555555555556</v>
      </c>
      <c r="D14" s="5">
        <v>4.1666666666666664E-2</v>
      </c>
      <c r="E14" s="15">
        <f>IF(Tableau8_2025[[#This Row],[Arrivée]]&lt;&gt;"",(Tableau8_2025[[#This Row],[Départ]] - Tableau8_2025[[#This Row],[Arrivée]]) - Tableau8_2025[[#This Row],[Pause]],0)</f>
        <v>0.33680555555555552</v>
      </c>
      <c r="F14" s="17">
        <f>IF(Tableau8_2025[[#This Row],[Temps travail]]&gt;TempsTravail,Tableau8_2025[[#This Row],[Temps travail]]-TempsTravail,0)</f>
        <v>4.513888888888884E-2</v>
      </c>
      <c r="G14" s="43">
        <f>IF(Tableau8_2025[[#This Row],[Temps travail]]&gt;TempsTravail,Tableau8_2025[[#This Row],[Temps travail]]*24-TempsTravail*24,0)</f>
        <v>1.0833333333333321</v>
      </c>
      <c r="H14">
        <f t="shared" si="0"/>
        <v>33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</row>
    <row r="15" spans="1:17" x14ac:dyDescent="0.3">
      <c r="A15" s="1">
        <v>45883</v>
      </c>
      <c r="B15" s="3">
        <v>0.35694444444444445</v>
      </c>
      <c r="C15" s="3">
        <v>0.77083333333333337</v>
      </c>
      <c r="D15" s="5">
        <v>4.1666666666666664E-2</v>
      </c>
      <c r="E15" s="15">
        <f>IF(Tableau8_2025[[#This Row],[Arrivée]]&lt;&gt;"",(Tableau8_2025[[#This Row],[Départ]] - Tableau8_2025[[#This Row],[Arrivée]]) - Tableau8_2025[[#This Row],[Pause]],0)</f>
        <v>0.37222222222222223</v>
      </c>
      <c r="F15" s="17">
        <f>IF(Tableau8_2025[[#This Row],[Temps travail]]&gt;TempsTravail,Tableau8_2025[[#This Row],[Temps travail]]-TempsTravail,0)</f>
        <v>8.0555555555555547E-2</v>
      </c>
      <c r="G15" s="43">
        <f>IF(Tableau8_2025[[#This Row],[Temps travail]]&gt;TempsTravail,Tableau8_2025[[#This Row],[Temps travail]]*24-TempsTravail*24,0)</f>
        <v>1.9333333333333336</v>
      </c>
      <c r="H15">
        <f t="shared" si="0"/>
        <v>33</v>
      </c>
      <c r="J15" t="s">
        <v>11</v>
      </c>
      <c r="K15" s="9" t="str">
        <f t="shared" ref="K15:K22" si="3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</row>
    <row r="16" spans="1:17" x14ac:dyDescent="0.3">
      <c r="A16" s="1">
        <v>45884</v>
      </c>
      <c r="B16" s="3">
        <v>0.33333333333333331</v>
      </c>
      <c r="C16" s="3">
        <v>0.58333333333333337</v>
      </c>
      <c r="D16" s="5">
        <v>4.1666666666666664E-2</v>
      </c>
      <c r="E16" s="15">
        <f>IF(Tableau8_2025[[#This Row],[Arrivée]]&lt;&gt;"",(Tableau8_2025[[#This Row],[Départ]] - Tableau8_2025[[#This Row],[Arrivée]]) - Tableau8_2025[[#This Row],[Pause]],0)</f>
        <v>0.2083333333333334</v>
      </c>
      <c r="F16" s="17">
        <f>IF(Tableau8_2025[[#This Row],[Temps travail]]&gt;TempsTravail,Tableau8_2025[[#This Row],[Temps travail]]-TempsTravail,0)</f>
        <v>0</v>
      </c>
      <c r="G16" s="43">
        <f>IF(Tableau8_2025[[#This Row],[Temps travail]]&gt;TempsTravail,Tableau8_2025[[#This Row],[Temps travail]]*24-TempsTravail*24,0)</f>
        <v>0</v>
      </c>
      <c r="H16">
        <f t="shared" si="0"/>
        <v>33</v>
      </c>
      <c r="J16" t="s">
        <v>12</v>
      </c>
      <c r="K16" s="9" t="str">
        <f t="shared" si="3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</row>
    <row r="17" spans="1:17" x14ac:dyDescent="0.3">
      <c r="A17" s="1">
        <v>45885</v>
      </c>
      <c r="B17" s="3"/>
      <c r="C17" s="3"/>
      <c r="D17" s="5">
        <v>4.1666666666666664E-2</v>
      </c>
      <c r="E17" s="15">
        <f>IF(Tableau8_2025[[#This Row],[Arrivée]]&lt;&gt;"",(Tableau8_2025[[#This Row],[Départ]] - Tableau8_2025[[#This Row],[Arrivée]]) - Tableau8_2025[[#This Row],[Pause]],0)</f>
        <v>0</v>
      </c>
      <c r="F17" s="17">
        <f>IF(Tableau8_2025[[#This Row],[Temps travail]]&gt;TempsTravail,Tableau8_2025[[#This Row],[Temps travail]]-TempsTravail,0)</f>
        <v>0</v>
      </c>
      <c r="G17" s="43">
        <f>IF(Tableau8_2025[[#This Row],[Temps travail]]&gt;TempsTravail,Tableau8_2025[[#This Row],[Temps travail]]*24-TempsTravail*24,0)</f>
        <v>0</v>
      </c>
      <c r="H17">
        <f t="shared" si="0"/>
        <v>33</v>
      </c>
      <c r="J17" t="s">
        <v>13</v>
      </c>
      <c r="K17" s="9" t="str">
        <f t="shared" si="3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</row>
    <row r="18" spans="1:17" x14ac:dyDescent="0.3">
      <c r="A18" s="1">
        <v>45886</v>
      </c>
      <c r="B18" s="3"/>
      <c r="C18" s="3"/>
      <c r="D18" s="5">
        <v>4.1666666666666664E-2</v>
      </c>
      <c r="E18" s="15">
        <f>IF(Tableau8_2025[[#This Row],[Arrivée]]&lt;&gt;"",(Tableau8_2025[[#This Row],[Départ]] - Tableau8_2025[[#This Row],[Arrivée]]) - Tableau8_2025[[#This Row],[Pause]],0)</f>
        <v>0</v>
      </c>
      <c r="F18" s="17">
        <f>IF(Tableau8_2025[[#This Row],[Temps travail]]&gt;TempsTravail,Tableau8_2025[[#This Row],[Temps travail]]-TempsTravail,0)</f>
        <v>0</v>
      </c>
      <c r="G18" s="43">
        <f>IF(Tableau8_2025[[#This Row],[Temps travail]]&gt;TempsTravail,Tableau8_2025[[#This Row],[Temps travail]]*24-TempsTravail*24,0)</f>
        <v>0</v>
      </c>
      <c r="H18">
        <f t="shared" si="0"/>
        <v>33</v>
      </c>
      <c r="J18" t="s">
        <v>14</v>
      </c>
      <c r="K18" s="9" t="str">
        <f t="shared" si="3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</row>
    <row r="19" spans="1:17" x14ac:dyDescent="0.3">
      <c r="A19" s="1">
        <v>45887</v>
      </c>
      <c r="B19" s="3">
        <v>0.34027777777777779</v>
      </c>
      <c r="C19" s="3">
        <v>0.72222222222222221</v>
      </c>
      <c r="D19" s="5">
        <v>4.1666666666666664E-2</v>
      </c>
      <c r="E19" s="15">
        <f>IF(Tableau8_2025[[#This Row],[Arrivée]]&lt;&gt;"",(Tableau8_2025[[#This Row],[Départ]] - Tableau8_2025[[#This Row],[Arrivée]]) - Tableau8_2025[[#This Row],[Pause]],0)</f>
        <v>0.34027777777777773</v>
      </c>
      <c r="F19" s="17">
        <f>IF(Tableau8_2025[[#This Row],[Temps travail]]&gt;TempsTravail,Tableau8_2025[[#This Row],[Temps travail]]-TempsTravail,0)</f>
        <v>4.8611111111111049E-2</v>
      </c>
      <c r="G19" s="43">
        <f>IF(Tableau8_2025[[#This Row],[Temps travail]]&gt;TempsTravail,Tableau8_2025[[#This Row],[Temps travail]]*24-TempsTravail*24,0)</f>
        <v>1.1666666666666661</v>
      </c>
      <c r="H19">
        <f t="shared" si="0"/>
        <v>34</v>
      </c>
      <c r="J19" t="s">
        <v>15</v>
      </c>
      <c r="K19" s="9" t="str">
        <f t="shared" si="3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</row>
    <row r="20" spans="1:17" x14ac:dyDescent="0.3">
      <c r="A20" s="1">
        <v>45888</v>
      </c>
      <c r="B20" s="2">
        <v>0.33541666666666664</v>
      </c>
      <c r="C20" s="2">
        <v>0.71180555555555558</v>
      </c>
      <c r="D20" s="5">
        <v>4.1666666666666664E-2</v>
      </c>
      <c r="E20" s="15">
        <f>IF(Tableau8_2025[[#This Row],[Arrivée]]&lt;&gt;"",(Tableau8_2025[[#This Row],[Départ]] - Tableau8_2025[[#This Row],[Arrivée]]) - Tableau8_2025[[#This Row],[Pause]],0)</f>
        <v>0.33472222222222225</v>
      </c>
      <c r="F20" s="17">
        <f>IF(Tableau8_2025[[#This Row],[Temps travail]]&gt;TempsTravail,Tableau8_2025[[#This Row],[Temps travail]]-TempsTravail,0)</f>
        <v>4.3055555555555569E-2</v>
      </c>
      <c r="G20" s="43">
        <f>IF(Tableau8_2025[[#This Row],[Temps travail]]&gt;TempsTravail,Tableau8_2025[[#This Row],[Temps travail]]*24-TempsTravail*24,0)</f>
        <v>1.033333333333335</v>
      </c>
      <c r="H20">
        <f t="shared" si="0"/>
        <v>34</v>
      </c>
      <c r="J20" t="s">
        <v>16</v>
      </c>
      <c r="K20" s="9" t="str">
        <f t="shared" si="3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</row>
    <row r="21" spans="1:17" x14ac:dyDescent="0.3">
      <c r="A21" s="1">
        <v>45889</v>
      </c>
      <c r="B21" s="2">
        <v>0.33263888888888887</v>
      </c>
      <c r="C21" s="2">
        <v>0.71597222222222223</v>
      </c>
      <c r="D21" s="5">
        <v>4.1666666666666664E-2</v>
      </c>
      <c r="E21" s="15">
        <f>IF(Tableau8_2025[[#This Row],[Arrivée]]&lt;&gt;"",(Tableau8_2025[[#This Row],[Départ]] - Tableau8_2025[[#This Row],[Arrivée]]) - Tableau8_2025[[#This Row],[Pause]],0)</f>
        <v>0.34166666666666667</v>
      </c>
      <c r="F21" s="17">
        <f>IF(Tableau8_2025[[#This Row],[Temps travail]]&gt;TempsTravail,Tableau8_2025[[#This Row],[Temps travail]]-TempsTravail,0)</f>
        <v>4.9999999999999989E-2</v>
      </c>
      <c r="G21" s="43">
        <f>IF(Tableau8_2025[[#This Row],[Temps travail]]&gt;TempsTravail,Tableau8_2025[[#This Row],[Temps travail]]*24-TempsTravail*24,0)</f>
        <v>1.1999999999999993</v>
      </c>
      <c r="H21">
        <f t="shared" si="0"/>
        <v>34</v>
      </c>
      <c r="J21" t="s">
        <v>17</v>
      </c>
      <c r="K21" s="9" t="str">
        <f t="shared" si="3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</row>
    <row r="22" spans="1:17" x14ac:dyDescent="0.3">
      <c r="A22" s="1">
        <v>45890</v>
      </c>
      <c r="B22" s="2">
        <v>0.33819444444444446</v>
      </c>
      <c r="C22" s="2">
        <v>0.6958333333333333</v>
      </c>
      <c r="D22" s="5">
        <v>4.1666666666666664E-2</v>
      </c>
      <c r="E22" s="15">
        <f>IF(Tableau8_2025[[#This Row],[Arrivée]]&lt;&gt;"",(Tableau8_2025[[#This Row],[Départ]] - Tableau8_2025[[#This Row],[Arrivée]]) - Tableau8_2025[[#This Row],[Pause]],0)</f>
        <v>0.31597222222222215</v>
      </c>
      <c r="F22" s="17">
        <f>IF(Tableau8_2025[[#This Row],[Temps travail]]&gt;TempsTravail,Tableau8_2025[[#This Row],[Temps travail]]-TempsTravail,0)</f>
        <v>2.4305555555555469E-2</v>
      </c>
      <c r="G22" s="43">
        <f>IF(Tableau8_2025[[#This Row],[Temps travail]]&gt;TempsTravail,Tableau8_2025[[#This Row],[Temps travail]]*24-TempsTravail*24,0)</f>
        <v>0.58333333333333215</v>
      </c>
      <c r="H22">
        <f t="shared" si="0"/>
        <v>34</v>
      </c>
      <c r="J22" t="s">
        <v>18</v>
      </c>
      <c r="K22" s="9" t="str">
        <f t="shared" si="3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</row>
    <row r="23" spans="1:17" x14ac:dyDescent="0.3">
      <c r="A23" s="1">
        <v>45891</v>
      </c>
      <c r="B23" s="3">
        <v>0.33194444444444443</v>
      </c>
      <c r="C23" s="3">
        <v>0.58750000000000002</v>
      </c>
      <c r="D23" s="5">
        <v>4.1666666666666664E-2</v>
      </c>
      <c r="E23" s="15">
        <f>IF(Tableau8_2025[[#This Row],[Arrivée]]&lt;&gt;"",(Tableau8_2025[[#This Row],[Départ]] - Tableau8_2025[[#This Row],[Arrivée]]) - Tableau8_2025[[#This Row],[Pause]],0)</f>
        <v>0.21388888888888893</v>
      </c>
      <c r="F23" s="17">
        <f>IF(Tableau8_2025[[#This Row],[Temps travail]]&gt;TempsTravail,Tableau8_2025[[#This Row],[Temps travail]]-TempsTravail,0)</f>
        <v>0</v>
      </c>
      <c r="G23" s="43">
        <f>IF(Tableau8_2025[[#This Row],[Temps travail]]&gt;TempsTravail,Tableau8_2025[[#This Row],[Temps travail]]*24-TempsTravail*24,0)</f>
        <v>0</v>
      </c>
      <c r="H23">
        <f t="shared" si="0"/>
        <v>34</v>
      </c>
      <c r="O23" t="s">
        <v>29</v>
      </c>
      <c r="P23" s="53">
        <v>0.37430555555555556</v>
      </c>
      <c r="Q23" s="47">
        <v>8.9833333333333201</v>
      </c>
    </row>
    <row r="24" spans="1:17" x14ac:dyDescent="0.3">
      <c r="A24" s="1">
        <v>45892</v>
      </c>
      <c r="B24" s="3"/>
      <c r="C24" s="3"/>
      <c r="D24" s="5">
        <v>4.1666666666666664E-2</v>
      </c>
      <c r="E24" s="15">
        <f>IF(Tableau8_2025[[#This Row],[Arrivée]]&lt;&gt;"",(Tableau8_2025[[#This Row],[Départ]] - Tableau8_2025[[#This Row],[Arrivée]]) - Tableau8_2025[[#This Row],[Pause]],0)</f>
        <v>0</v>
      </c>
      <c r="F24" s="17">
        <f>IF(Tableau8_2025[[#This Row],[Temps travail]]&gt;TempsTravail,Tableau8_2025[[#This Row],[Temps travail]]-TempsTravail,0)</f>
        <v>0</v>
      </c>
      <c r="G24" s="43">
        <f>IF(Tableau8_2025[[#This Row],[Temps travail]]&gt;TempsTravail,Tableau8_2025[[#This Row],[Temps travail]]*24-TempsTravail*24,0)</f>
        <v>0</v>
      </c>
      <c r="H24">
        <f t="shared" si="0"/>
        <v>34</v>
      </c>
      <c r="N24" t="s">
        <v>36</v>
      </c>
      <c r="P24" s="53">
        <v>4.334027777777778</v>
      </c>
      <c r="Q24" s="47">
        <v>104.01666666666657</v>
      </c>
    </row>
    <row r="25" spans="1:17" x14ac:dyDescent="0.3">
      <c r="A25" s="1">
        <v>45893</v>
      </c>
      <c r="B25" s="3"/>
      <c r="C25" s="3"/>
      <c r="D25" s="5">
        <v>4.1666666666666664E-2</v>
      </c>
      <c r="E25" s="15">
        <f>IF(Tableau8_2025[[#This Row],[Arrivée]]&lt;&gt;"",(Tableau8_2025[[#This Row],[Départ]] - Tableau8_2025[[#This Row],[Arrivée]]) - Tableau8_2025[[#This Row],[Pause]],0)</f>
        <v>0</v>
      </c>
      <c r="F25" s="17">
        <f>IF(Tableau8_2025[[#This Row],[Temps travail]]&gt;TempsTravail,Tableau8_2025[[#This Row],[Temps travail]]-TempsTravail,0)</f>
        <v>0</v>
      </c>
      <c r="G25" s="43">
        <f>IF(Tableau8_2025[[#This Row],[Temps travail]]&gt;TempsTravail,Tableau8_2025[[#This Row],[Temps travail]]*24-TempsTravail*24,0)</f>
        <v>0</v>
      </c>
      <c r="H25">
        <f t="shared" si="0"/>
        <v>34</v>
      </c>
      <c r="N25">
        <v>2026</v>
      </c>
      <c r="O25" t="s">
        <v>33</v>
      </c>
      <c r="P25" s="53">
        <v>9.7916666666666666E-2</v>
      </c>
      <c r="Q25" s="47">
        <v>2.3499999999999979</v>
      </c>
    </row>
    <row r="26" spans="1:17" x14ac:dyDescent="0.3">
      <c r="A26" s="1">
        <v>45894</v>
      </c>
      <c r="B26" s="44">
        <v>0.34027777777777779</v>
      </c>
      <c r="C26" s="3">
        <v>0.70138888888888884</v>
      </c>
      <c r="D26" s="5">
        <v>4.1666666666666664E-2</v>
      </c>
      <c r="E26" s="15">
        <f>IF(Tableau8_2025[[#This Row],[Arrivée]]&lt;&gt;"",(Tableau8_2025[[#This Row],[Départ]] - Tableau8_2025[[#This Row],[Arrivée]]) - Tableau8_2025[[#This Row],[Pause]],0)</f>
        <v>0.31944444444444436</v>
      </c>
      <c r="F26" s="17">
        <f>IF(Tableau8_2025[[#This Row],[Temps travail]]&gt;TempsTravail,Tableau8_2025[[#This Row],[Temps travail]]-TempsTravail,0)</f>
        <v>2.7777777777777679E-2</v>
      </c>
      <c r="G26" s="43">
        <f>IF(Tableau8_2025[[#This Row],[Temps travail]]&gt;TempsTravail,Tableau8_2025[[#This Row],[Temps travail]]*24-TempsTravail*24,0)</f>
        <v>0.6666666666666643</v>
      </c>
      <c r="H26">
        <f t="shared" ref="H26:H32" si="4">WEEKNUM(A26,2)</f>
        <v>35</v>
      </c>
      <c r="O26" t="s">
        <v>34</v>
      </c>
      <c r="P26" s="53">
        <v>0</v>
      </c>
      <c r="Q26" s="47">
        <v>0</v>
      </c>
    </row>
    <row r="27" spans="1:17" x14ac:dyDescent="0.3">
      <c r="A27" s="1">
        <v>45895</v>
      </c>
      <c r="B27" s="2">
        <v>0.33750000000000002</v>
      </c>
      <c r="C27" s="2">
        <v>0.69236111111111109</v>
      </c>
      <c r="D27" s="5">
        <v>4.1666666666666664E-2</v>
      </c>
      <c r="E27" s="15">
        <f>IF(Tableau8_2025[[#This Row],[Arrivée]]&lt;&gt;"",(Tableau8_2025[[#This Row],[Départ]] - Tableau8_2025[[#This Row],[Arrivée]]) - Tableau8_2025[[#This Row],[Pause]],0)</f>
        <v>0.31319444444444439</v>
      </c>
      <c r="F27" s="17">
        <f>IF(Tableau8_2025[[#This Row],[Temps travail]]&gt;TempsTravail,Tableau8_2025[[#This Row],[Temps travail]]-TempsTravail,0)</f>
        <v>2.1527777777777701E-2</v>
      </c>
      <c r="G27" s="43">
        <f>IF(Tableau8_2025[[#This Row],[Temps travail]]&gt;TempsTravail,Tableau8_2025[[#This Row],[Temps travail]]*24-TempsTravail*24,0)</f>
        <v>0.51666666666666572</v>
      </c>
      <c r="H27">
        <f t="shared" si="4"/>
        <v>35</v>
      </c>
      <c r="N27" t="s">
        <v>37</v>
      </c>
      <c r="P27" s="53">
        <v>9.7916666666666666E-2</v>
      </c>
      <c r="Q27" s="47">
        <v>2.3499999999999979</v>
      </c>
    </row>
    <row r="28" spans="1:17" x14ac:dyDescent="0.3">
      <c r="A28" s="1">
        <v>45896</v>
      </c>
      <c r="B28" s="2">
        <v>0.33819444444444446</v>
      </c>
      <c r="C28" s="2">
        <v>0.70694444444444449</v>
      </c>
      <c r="D28" s="5">
        <v>4.1666666666666664E-2</v>
      </c>
      <c r="E28" s="15">
        <f>IF(Tableau8_2025[[#This Row],[Arrivée]]&lt;&gt;"",(Tableau8_2025[[#This Row],[Départ]] - Tableau8_2025[[#This Row],[Arrivée]]) - Tableau8_2025[[#This Row],[Pause]],0)</f>
        <v>0.32708333333333334</v>
      </c>
      <c r="F28" s="17">
        <f>IF(Tableau8_2025[[#This Row],[Temps travail]]&gt;TempsTravail,Tableau8_2025[[#This Row],[Temps travail]]-TempsTravail,0)</f>
        <v>3.5416666666666652E-2</v>
      </c>
      <c r="G28" s="43">
        <f>IF(Tableau8_2025[[#This Row],[Temps travail]]&gt;TempsTravail,Tableau8_2025[[#This Row],[Temps travail]]*24-TempsTravail*24,0)</f>
        <v>0.84999999999999964</v>
      </c>
      <c r="H28">
        <f t="shared" si="4"/>
        <v>35</v>
      </c>
      <c r="N28" t="s">
        <v>30</v>
      </c>
      <c r="P28" s="53">
        <v>4.4319444444444445</v>
      </c>
      <c r="Q28" s="47">
        <v>106.36666666666656</v>
      </c>
    </row>
    <row r="29" spans="1:17" x14ac:dyDescent="0.3">
      <c r="A29" s="1">
        <v>45897</v>
      </c>
      <c r="B29" s="2">
        <v>0.33680555555555558</v>
      </c>
      <c r="C29" s="2">
        <v>0.68819444444444444</v>
      </c>
      <c r="D29" s="5">
        <v>4.1666666666666664E-2</v>
      </c>
      <c r="E29" s="15">
        <f>IF(Tableau8_2025[[#This Row],[Arrivée]]&lt;&gt;"",(Tableau8_2025[[#This Row],[Départ]] - Tableau8_2025[[#This Row],[Arrivée]]) - Tableau8_2025[[#This Row],[Pause]],0)</f>
        <v>0.30972222222222218</v>
      </c>
      <c r="F29" s="17">
        <f>IF(Tableau8_2025[[#This Row],[Temps travail]]&gt;TempsTravail,Tableau8_2025[[#This Row],[Temps travail]]-TempsTravail,0)</f>
        <v>1.8055555555555491E-2</v>
      </c>
      <c r="G29" s="43">
        <f>IF(Tableau8_2025[[#This Row],[Temps travail]]&gt;TempsTravail,Tableau8_2025[[#This Row],[Temps travail]]*24-TempsTravail*24,0)</f>
        <v>0.43333333333333179</v>
      </c>
      <c r="H29">
        <f t="shared" si="4"/>
        <v>35</v>
      </c>
    </row>
    <row r="30" spans="1:17" x14ac:dyDescent="0.3">
      <c r="A30" s="1">
        <v>45898</v>
      </c>
      <c r="B30" s="3">
        <v>0.35347222222222224</v>
      </c>
      <c r="C30" s="3">
        <v>0.69027777777777777</v>
      </c>
      <c r="D30" s="5">
        <v>4.1666666666666664E-2</v>
      </c>
      <c r="E30" s="15">
        <f>IF(Tableau8_2025[[#This Row],[Arrivée]]&lt;&gt;"",(Tableau8_2025[[#This Row],[Départ]] - Tableau8_2025[[#This Row],[Arrivée]]) - Tableau8_2025[[#This Row],[Pause]],0)</f>
        <v>0.29513888888888884</v>
      </c>
      <c r="F30" s="17">
        <f>IF(Tableau8_2025[[#This Row],[Temps travail]]&gt;TempsTravail,Tableau8_2025[[#This Row],[Temps travail]]-TempsTravail,0)</f>
        <v>3.4722222222221544E-3</v>
      </c>
      <c r="G30" s="43">
        <f>IF(Tableau8_2025[[#This Row],[Temps travail]]&gt;TempsTravail,Tableau8_2025[[#This Row],[Temps travail]]*24-TempsTravail*24,0)</f>
        <v>8.3333333333332149E-2</v>
      </c>
      <c r="H30">
        <f t="shared" si="4"/>
        <v>35</v>
      </c>
    </row>
    <row r="31" spans="1:17" x14ac:dyDescent="0.3">
      <c r="A31" s="1">
        <v>45899</v>
      </c>
      <c r="B31" s="3"/>
      <c r="C31" s="3"/>
      <c r="D31" s="5">
        <v>4.1666666666666664E-2</v>
      </c>
      <c r="E31" s="15">
        <f>IF(Tableau8_2025[[#This Row],[Arrivée]]&lt;&gt;"",(Tableau8_2025[[#This Row],[Départ]] - Tableau8_2025[[#This Row],[Arrivée]]) - Tableau8_2025[[#This Row],[Pause]],0)</f>
        <v>0</v>
      </c>
      <c r="F31" s="17">
        <f>IF(Tableau8_2025[[#This Row],[Temps travail]]&gt;TempsTravail,Tableau8_2025[[#This Row],[Temps travail]]-TempsTravail,0)</f>
        <v>0</v>
      </c>
      <c r="G31" s="43">
        <f>IF(Tableau8_2025[[#This Row],[Temps travail]]&gt;TempsTravail,Tableau8_2025[[#This Row],[Temps travail]]*24-TempsTravail*24,0)</f>
        <v>0</v>
      </c>
      <c r="H31">
        <f t="shared" si="4"/>
        <v>35</v>
      </c>
    </row>
    <row r="32" spans="1:17" x14ac:dyDescent="0.3">
      <c r="A32" s="1">
        <v>45900</v>
      </c>
      <c r="D32" s="5">
        <v>4.1666666666666664E-2</v>
      </c>
      <c r="E32" s="15">
        <f>IF(Tableau8_2025[[#This Row],[Arrivée]]&lt;&gt;"",(Tableau8_2025[[#This Row],[Départ]] - Tableau8_2025[[#This Row],[Arrivée]]) - Tableau8_2025[[#This Row],[Pause]],0)</f>
        <v>0</v>
      </c>
      <c r="F32" s="17">
        <f>IF(Tableau8_2025[[#This Row],[Temps travail]]&gt;TempsTravail,Tableau8_2025[[#This Row],[Temps travail]]-TempsTravail,0)</f>
        <v>0</v>
      </c>
      <c r="G32" s="43">
        <f>IF(Tableau8_2025[[#This Row],[Temps travail]]&gt;TempsTravail,Tableau8_2025[[#This Row],[Temps travail]]*24-TempsTravail*24,0)</f>
        <v>0</v>
      </c>
      <c r="H32">
        <f t="shared" si="4"/>
        <v>35</v>
      </c>
    </row>
  </sheetData>
  <conditionalFormatting sqref="F1:F9">
    <cfRule type="expression" dxfId="48" priority="1">
      <formula>$G$2&lt;0</formula>
    </cfRule>
    <cfRule type="cellIs" dxfId="47" priority="2" operator="lessThan">
      <formula>0</formula>
    </cfRule>
    <cfRule type="expression" dxfId="46" priority="3">
      <formula>#REF!</formula>
    </cfRule>
  </conditionalFormatting>
  <conditionalFormatting sqref="F3 F5 F7 F11 F13 F15 F17 F19 F21 F23 F25 F27 F29 F31">
    <cfRule type="expression" dxfId="45" priority="4">
      <formula>$G$3&lt;0</formula>
    </cfRule>
  </conditionalFormatting>
  <conditionalFormatting sqref="F10:F1048576">
    <cfRule type="expression" dxfId="44" priority="5">
      <formula>$G$2&lt;0</formula>
    </cfRule>
    <cfRule type="cellIs" dxfId="43" priority="9" operator="lessThan">
      <formula>0</formula>
    </cfRule>
    <cfRule type="expression" dxfId="42" priority="15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E026-DF8E-484D-8CBC-768F1B45F51C}">
  <dimension ref="A1:Q31"/>
  <sheetViews>
    <sheetView workbookViewId="0">
      <pane ySplit="1" topLeftCell="A2" activePane="bottomLeft" state="frozen"/>
      <selection activeCell="N1" sqref="N1:P1048576"/>
      <selection pane="bottomLeft" activeCell="O8" sqref="O8"/>
    </sheetView>
  </sheetViews>
  <sheetFormatPr baseColWidth="10" defaultColWidth="9.109375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12" bestFit="1" customWidth="1"/>
    <col min="8" max="8" width="8.33203125" bestFit="1" customWidth="1"/>
    <col min="10" max="10" width="10.441406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</cols>
  <sheetData>
    <row r="1" spans="1:17" x14ac:dyDescent="0.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G1" t="s">
        <v>20</v>
      </c>
      <c r="H1" t="s">
        <v>6</v>
      </c>
      <c r="N1" s="49" t="s">
        <v>31</v>
      </c>
      <c r="O1" s="11">
        <v>2025</v>
      </c>
    </row>
    <row r="2" spans="1:17" x14ac:dyDescent="0.3">
      <c r="A2" s="1">
        <v>45901</v>
      </c>
      <c r="B2" s="3">
        <v>0.34444444444444444</v>
      </c>
      <c r="C2" s="3">
        <v>0.71597222222222223</v>
      </c>
      <c r="D2" s="4">
        <v>4.1666666666666664E-2</v>
      </c>
      <c r="E2" s="15">
        <f>IF(Tableau9_2025[[#This Row],[Arrivée]]&lt;&gt;"",(Tableau9_2025[[#This Row],[Départ]] - Tableau9_2025[[#This Row],[Arrivée]]) - Tableau9_2025[[#This Row],[Pause]],0)</f>
        <v>0.3298611111111111</v>
      </c>
      <c r="F2" s="17">
        <f>IF(Tableau9_2025[[#This Row],[Temps travail]]&gt;TempsTravail,Tableau9_2025[[#This Row],[Temps travail]]-TempsTravail,0)</f>
        <v>3.819444444444442E-2</v>
      </c>
      <c r="G2" s="43">
        <f>IF(Tableau9_2025[[#This Row],[Temps travail]]&gt;TempsTravail,Tableau9_2025[[#This Row],[Temps travail]]*24-TempsTravail*24,0)</f>
        <v>0.91666666666666607</v>
      </c>
      <c r="H2">
        <f t="shared" ref="H2:H31" si="0">WEEKNUM(A2,2)</f>
        <v>36</v>
      </c>
      <c r="J2" s="10" t="s">
        <v>6</v>
      </c>
      <c r="K2" s="8" t="s">
        <v>7</v>
      </c>
      <c r="L2" s="2"/>
      <c r="N2" s="49" t="s">
        <v>32</v>
      </c>
      <c r="O2" t="s">
        <v>26</v>
      </c>
    </row>
    <row r="3" spans="1:17" x14ac:dyDescent="0.3">
      <c r="A3" s="1">
        <v>45902</v>
      </c>
      <c r="B3" s="3">
        <v>0.34444444444444444</v>
      </c>
      <c r="C3" s="3">
        <v>0.68611111111111112</v>
      </c>
      <c r="D3" s="5">
        <v>4.1666666666666664E-2</v>
      </c>
      <c r="E3" s="15">
        <f>IF(Tableau9_2025[[#This Row],[Arrivée]]&lt;&gt;"",(Tableau9_2025[[#This Row],[Départ]] - Tableau9_2025[[#This Row],[Arrivée]]) - Tableau9_2025[[#This Row],[Pause]],0)</f>
        <v>0.3</v>
      </c>
      <c r="F3" s="17">
        <f>IF(Tableau9_2025[[#This Row],[Temps travail]]&gt;TempsTravail,Tableau9_2025[[#This Row],[Temps travail]]-TempsTravail,0)</f>
        <v>8.3333333333333037E-3</v>
      </c>
      <c r="G3" s="43">
        <f>IF(Tableau9_2025[[#This Row],[Temps travail]]&gt;TempsTravail,Tableau9_2025[[#This Row],[Temps travail]]*24-TempsTravail*24,0)</f>
        <v>0.19999999999999929</v>
      </c>
      <c r="H3">
        <f t="shared" si="0"/>
        <v>36</v>
      </c>
      <c r="J3" s="11">
        <v>36</v>
      </c>
      <c r="K3" s="9" t="str">
        <f>IF(ISBLANK(L3), "", IF(L3&lt;0, "-" &amp; TEXT(ABS(L3)/24, "h:mm"), TEXT(L3/24, "h:mm")))</f>
        <v>2:48</v>
      </c>
      <c r="L3" s="24">
        <f xml:space="preserve"> SUMIF(H:H, J3, G:G)</f>
        <v>2.7999999999999972</v>
      </c>
      <c r="P3"/>
      <c r="Q3"/>
    </row>
    <row r="4" spans="1:17" x14ac:dyDescent="0.3">
      <c r="A4" s="1">
        <v>45903</v>
      </c>
      <c r="B4" s="3">
        <v>0.3347222222222222</v>
      </c>
      <c r="C4" s="3">
        <v>0.71319444444444446</v>
      </c>
      <c r="D4" s="5">
        <v>4.1666666666666664E-2</v>
      </c>
      <c r="E4" s="15">
        <f>IF(Tableau9_2025[[#This Row],[Arrivée]]&lt;&gt;"",(Tableau9_2025[[#This Row],[Départ]] - Tableau9_2025[[#This Row],[Arrivée]]) - Tableau9_2025[[#This Row],[Pause]],0)</f>
        <v>0.33680555555555558</v>
      </c>
      <c r="F4" s="17">
        <f>IF(Tableau9_2025[[#This Row],[Temps travail]]&gt;TempsTravail,Tableau9_2025[[#This Row],[Temps travail]]-TempsTravail,0)</f>
        <v>4.5138888888888895E-2</v>
      </c>
      <c r="G4" s="43">
        <f>IF(Tableau9_2025[[#This Row],[Temps travail]]&gt;TempsTravail,Tableau9_2025[[#This Row],[Temps travail]]*24-TempsTravail*24,0)</f>
        <v>1.0833333333333339</v>
      </c>
      <c r="H4">
        <f t="shared" si="0"/>
        <v>36</v>
      </c>
      <c r="J4" s="11">
        <v>37</v>
      </c>
      <c r="K4" s="9" t="str">
        <f t="shared" ref="K4:K9" si="1">IF(ISBLANK(L4), "", IF(L4&lt;0, "-" &amp; TEXT(ABS(L4)/24, "h:mm"), TEXT(L4/24, "h:mm")))</f>
        <v>3:15</v>
      </c>
      <c r="L4" s="24">
        <f xml:space="preserve"> SUMIF(H:H, J4, G:G)</f>
        <v>3.2499999999999973</v>
      </c>
      <c r="N4" s="55" t="s">
        <v>6</v>
      </c>
      <c r="O4" s="54" t="s">
        <v>39</v>
      </c>
      <c r="P4" s="54" t="s">
        <v>40</v>
      </c>
      <c r="Q4"/>
    </row>
    <row r="5" spans="1:17" x14ac:dyDescent="0.3">
      <c r="A5" s="1">
        <v>45904</v>
      </c>
      <c r="B5" s="3">
        <v>0.34375</v>
      </c>
      <c r="C5" s="3">
        <v>0.70208333333333328</v>
      </c>
      <c r="D5" s="5">
        <v>4.1666666666666664E-2</v>
      </c>
      <c r="E5" s="15">
        <f>IF(Tableau9_2025[[#This Row],[Arrivée]]&lt;&gt;"",(Tableau9_2025[[#This Row],[Départ]] - Tableau9_2025[[#This Row],[Arrivée]]) - Tableau9_2025[[#This Row],[Pause]],0)</f>
        <v>0.3166666666666666</v>
      </c>
      <c r="F5" s="17">
        <f>IF(Tableau9_2025[[#This Row],[Temps travail]]&gt;TempsTravail,Tableau9_2025[[#This Row],[Temps travail]]-TempsTravail,0)</f>
        <v>2.4999999999999911E-2</v>
      </c>
      <c r="G5" s="43">
        <f>IF(Tableau9_2025[[#This Row],[Temps travail]]&gt;TempsTravail,Tableau9_2025[[#This Row],[Temps travail]]*24-TempsTravail*24,0)</f>
        <v>0.59999999999999787</v>
      </c>
      <c r="H5">
        <f t="shared" si="0"/>
        <v>36</v>
      </c>
      <c r="J5" s="11">
        <v>38</v>
      </c>
      <c r="K5" s="9" t="str">
        <f t="shared" si="1"/>
        <v>3:57</v>
      </c>
      <c r="L5" s="24">
        <f xml:space="preserve"> SUMIF(H:H, J5, G:G)</f>
        <v>3.9499999999999993</v>
      </c>
      <c r="N5" s="46">
        <v>36</v>
      </c>
      <c r="O5" s="53">
        <v>0.11666666666666667</v>
      </c>
      <c r="P5" s="48">
        <v>2.7999999999999972</v>
      </c>
      <c r="Q5"/>
    </row>
    <row r="6" spans="1:17" x14ac:dyDescent="0.3">
      <c r="A6" s="1">
        <v>45905</v>
      </c>
      <c r="B6" s="2">
        <v>0.34305555555555556</v>
      </c>
      <c r="C6" s="2">
        <v>0.62847222222222221</v>
      </c>
      <c r="D6" s="5">
        <v>4.1666666666666664E-2</v>
      </c>
      <c r="E6" s="15">
        <f>IF(Tableau9_2025[[#This Row],[Arrivée]]&lt;&gt;"",(Tableau9_2025[[#This Row],[Départ]] - Tableau9_2025[[#This Row],[Arrivée]]) - Tableau9_2025[[#This Row],[Pause]],0)</f>
        <v>0.24374999999999999</v>
      </c>
      <c r="F6" s="17">
        <f>IF(Tableau9_2025[[#This Row],[Temps travail]]&gt;TempsTravail,Tableau9_2025[[#This Row],[Temps travail]]-TempsTravail,0)</f>
        <v>0</v>
      </c>
      <c r="G6" s="43">
        <f>IF(Tableau9_2025[[#This Row],[Temps travail]]&gt;TempsTravail,Tableau9_2025[[#This Row],[Temps travail]]*24-TempsTravail*24,0)</f>
        <v>0</v>
      </c>
      <c r="H6">
        <f t="shared" si="0"/>
        <v>36</v>
      </c>
      <c r="J6" s="11">
        <v>39</v>
      </c>
      <c r="K6" s="9" t="str">
        <f t="shared" si="1"/>
        <v>2:41</v>
      </c>
      <c r="L6" s="24">
        <f xml:space="preserve"> SUMIF(H:H, J6, G:G)</f>
        <v>2.6833333333333282</v>
      </c>
      <c r="N6" s="46">
        <v>37</v>
      </c>
      <c r="O6" s="53">
        <v>0.13541666666666666</v>
      </c>
      <c r="P6" s="48">
        <v>3.2499999999999973</v>
      </c>
      <c r="Q6"/>
    </row>
    <row r="7" spans="1:17" x14ac:dyDescent="0.3">
      <c r="A7" s="1">
        <v>45906</v>
      </c>
      <c r="B7" s="3"/>
      <c r="C7" s="3"/>
      <c r="D7" s="5">
        <v>4.1666666666666664E-2</v>
      </c>
      <c r="E7" s="15">
        <f>IF(Tableau9_2025[[#This Row],[Arrivée]]&lt;&gt;"",(Tableau9_2025[[#This Row],[Départ]] - Tableau9_2025[[#This Row],[Arrivée]]) - Tableau9_2025[[#This Row],[Pause]],0)</f>
        <v>0</v>
      </c>
      <c r="F7" s="17">
        <f>IF(Tableau9_2025[[#This Row],[Temps travail]]&gt;TempsTravail,Tableau9_2025[[#This Row],[Temps travail]]-TempsTravail,0)</f>
        <v>0</v>
      </c>
      <c r="G7" s="43">
        <f>IF(Tableau9_2025[[#This Row],[Temps travail]]&gt;TempsTravail,Tableau9_2025[[#This Row],[Temps travail]]*24-TempsTravail*24,0)</f>
        <v>0</v>
      </c>
      <c r="H7">
        <f t="shared" si="0"/>
        <v>36</v>
      </c>
      <c r="J7" s="11">
        <v>40</v>
      </c>
      <c r="K7" s="9" t="str">
        <f t="shared" si="1"/>
        <v>0:40</v>
      </c>
      <c r="L7" s="24">
        <f xml:space="preserve"> SUMIF(H:H, J7, G:G)</f>
        <v>0.6666666666666643</v>
      </c>
      <c r="N7" s="46">
        <v>38</v>
      </c>
      <c r="O7" s="53">
        <v>0.16458333333333333</v>
      </c>
      <c r="P7" s="48">
        <v>3.9499999999999993</v>
      </c>
      <c r="Q7"/>
    </row>
    <row r="8" spans="1:17" x14ac:dyDescent="0.3">
      <c r="A8" s="1">
        <v>45907</v>
      </c>
      <c r="B8" s="3"/>
      <c r="C8" s="3"/>
      <c r="D8" s="5">
        <v>4.1666666666666664E-2</v>
      </c>
      <c r="E8" s="15">
        <f>IF(Tableau9_2025[[#This Row],[Arrivée]]&lt;&gt;"",(Tableau9_2025[[#This Row],[Départ]] - Tableau9_2025[[#This Row],[Arrivée]]) - Tableau9_2025[[#This Row],[Pause]],0)</f>
        <v>0</v>
      </c>
      <c r="F8" s="42">
        <f>IF(Tableau9_2025[[#This Row],[Temps travail]]&gt;TempsTravail,Tableau9_2025[[#This Row],[Temps travail]]-TempsTravail,0)</f>
        <v>0</v>
      </c>
      <c r="G8" s="43">
        <f>IF(Tableau9_2025[[#This Row],[Temps travail]]&gt;TempsTravail,Tableau9_2025[[#This Row],[Temps travail]]*24-TempsTravail*24,0)</f>
        <v>0</v>
      </c>
      <c r="H8">
        <f t="shared" si="0"/>
        <v>36</v>
      </c>
      <c r="J8" s="11"/>
      <c r="K8" s="9" t="str">
        <f t="shared" si="1"/>
        <v/>
      </c>
      <c r="L8" s="24"/>
      <c r="N8" s="46">
        <v>39</v>
      </c>
      <c r="O8" s="53">
        <v>0.11180555555555556</v>
      </c>
      <c r="P8" s="48">
        <v>2.6833333333333282</v>
      </c>
      <c r="Q8"/>
    </row>
    <row r="9" spans="1:17" x14ac:dyDescent="0.3">
      <c r="A9" s="1">
        <v>45908</v>
      </c>
      <c r="B9" s="3">
        <v>0.33541666666666664</v>
      </c>
      <c r="C9" s="3">
        <v>0.69305555555555554</v>
      </c>
      <c r="D9" s="5">
        <v>4.1666666666666664E-2</v>
      </c>
      <c r="E9" s="15">
        <f>IF(Tableau9_2025[[#This Row],[Arrivée]]&lt;&gt;"",(Tableau9_2025[[#This Row],[Départ]] - Tableau9_2025[[#This Row],[Arrivée]]) - Tableau9_2025[[#This Row],[Pause]],0)</f>
        <v>0.31597222222222221</v>
      </c>
      <c r="F9" s="17">
        <f>IF(Tableau9_2025[[#This Row],[Temps travail]]&gt;TempsTravail,Tableau9_2025[[#This Row],[Temps travail]]-TempsTravail,0)</f>
        <v>2.4305555555555525E-2</v>
      </c>
      <c r="G9" s="43">
        <f>IF(Tableau9_2025[[#This Row],[Temps travail]]&gt;TempsTravail,Tableau9_2025[[#This Row],[Temps travail]]*24-TempsTravail*24,0)</f>
        <v>0.58333333333333304</v>
      </c>
      <c r="H9">
        <f t="shared" si="0"/>
        <v>37</v>
      </c>
      <c r="J9" s="40" t="s">
        <v>8</v>
      </c>
      <c r="K9" s="41" t="str">
        <f t="shared" si="1"/>
        <v>13:21</v>
      </c>
      <c r="L9" s="25">
        <f xml:space="preserve"> SUM(L3:L7)</f>
        <v>13.349999999999985</v>
      </c>
      <c r="N9" s="46">
        <v>40</v>
      </c>
      <c r="O9" s="53">
        <v>2.7777777777777776E-2</v>
      </c>
      <c r="P9" s="48">
        <v>0.6666666666666643</v>
      </c>
      <c r="Q9"/>
    </row>
    <row r="10" spans="1:17" x14ac:dyDescent="0.3">
      <c r="A10" s="1">
        <v>45909</v>
      </c>
      <c r="B10" s="3">
        <v>0.33333333333333331</v>
      </c>
      <c r="C10" s="3">
        <v>0.69444444444444442</v>
      </c>
      <c r="D10" s="5">
        <v>4.1666666666666664E-2</v>
      </c>
      <c r="E10" s="15">
        <f>IF(Tableau9_2025[[#This Row],[Arrivée]]&lt;&gt;"",(Tableau9_2025[[#This Row],[Départ]] - Tableau9_2025[[#This Row],[Arrivée]]) - Tableau9_2025[[#This Row],[Pause]],0)</f>
        <v>0.31944444444444442</v>
      </c>
      <c r="F10" s="17">
        <f>IF(Tableau9_2025[[#This Row],[Temps travail]]&gt;TempsTravail,Tableau9_2025[[#This Row],[Temps travail]]-TempsTravail,0)</f>
        <v>2.7777777777777735E-2</v>
      </c>
      <c r="G10" s="43">
        <f>IF(Tableau9_2025[[#This Row],[Temps travail]]&gt;TempsTravail,Tableau9_2025[[#This Row],[Temps travail]]*24-TempsTravail*24,0)</f>
        <v>0.66666666666666607</v>
      </c>
      <c r="H10">
        <f t="shared" si="0"/>
        <v>37</v>
      </c>
      <c r="J10" s="39" t="s">
        <v>9</v>
      </c>
      <c r="K10" s="37" t="str">
        <f>IF(ISBLANK(L10), "", IF(L10&lt;0, "-" &amp; TEXT(ABS(L10)/24, "[h]:mm"), TEXT(L10/24, "[h]:mm")))</f>
        <v>104:01</v>
      </c>
      <c r="L10" s="18">
        <f>SUM(L14:L22)</f>
        <v>104.01666666666657</v>
      </c>
      <c r="N10" t="s">
        <v>30</v>
      </c>
      <c r="O10" s="53">
        <v>0.55625000000000002</v>
      </c>
      <c r="P10" s="48">
        <v>13.349999999999985</v>
      </c>
      <c r="Q10"/>
    </row>
    <row r="11" spans="1:17" x14ac:dyDescent="0.3">
      <c r="A11" s="1">
        <v>45910</v>
      </c>
      <c r="B11" s="3">
        <v>0.32361111111111113</v>
      </c>
      <c r="C11" s="3">
        <v>0.69305555555555554</v>
      </c>
      <c r="D11" s="5">
        <v>4.1666666666666664E-2</v>
      </c>
      <c r="E11" s="15">
        <f>IF(Tableau9_2025[[#This Row],[Arrivée]]&lt;&gt;"",(Tableau9_2025[[#This Row],[Départ]] - Tableau9_2025[[#This Row],[Arrivée]]) - Tableau9_2025[[#This Row],[Pause]],0)</f>
        <v>0.32777777777777772</v>
      </c>
      <c r="F11" s="17">
        <f>IF(Tableau9_2025[[#This Row],[Temps travail]]&gt;TempsTravail,Tableau9_2025[[#This Row],[Temps travail]]-TempsTravail,0)</f>
        <v>3.6111111111111038E-2</v>
      </c>
      <c r="G11" s="43">
        <f>IF(Tableau9_2025[[#This Row],[Temps travail]]&gt;TempsTravail,Tableau9_2025[[#This Row],[Temps travail]]*24-TempsTravail*24,0)</f>
        <v>0.86666666666666536</v>
      </c>
      <c r="H11">
        <f t="shared" si="0"/>
        <v>37</v>
      </c>
      <c r="J11" s="24"/>
      <c r="K11" s="18"/>
      <c r="L11" s="18"/>
    </row>
    <row r="12" spans="1:17" x14ac:dyDescent="0.3">
      <c r="A12" s="1">
        <v>45911</v>
      </c>
      <c r="B12" s="3">
        <v>0.33263888888888887</v>
      </c>
      <c r="C12" s="3">
        <v>0.71319444444444446</v>
      </c>
      <c r="D12" s="5">
        <v>4.1666666666666664E-2</v>
      </c>
      <c r="E12" s="15">
        <f>IF(Tableau9_2025[[#This Row],[Arrivée]]&lt;&gt;"",(Tableau9_2025[[#This Row],[Départ]] - Tableau9_2025[[#This Row],[Arrivée]]) - Tableau9_2025[[#This Row],[Pause]],0)</f>
        <v>0.33888888888888891</v>
      </c>
      <c r="F12" s="17">
        <f>IF(Tableau9_2025[[#This Row],[Temps travail]]&gt;TempsTravail,Tableau9_2025[[#This Row],[Temps travail]]-TempsTravail,0)</f>
        <v>4.7222222222222221E-2</v>
      </c>
      <c r="G12" s="43">
        <f>IF(Tableau9_2025[[#This Row],[Temps travail]]&gt;TempsTravail,Tableau9_2025[[#This Row],[Temps travail]]*24-TempsTravail*24,0)</f>
        <v>1.1333333333333329</v>
      </c>
      <c r="H12">
        <f t="shared" si="0"/>
        <v>37</v>
      </c>
      <c r="K12" s="18"/>
      <c r="L12" s="18"/>
    </row>
    <row r="13" spans="1:17" x14ac:dyDescent="0.3">
      <c r="A13" s="1">
        <v>45912</v>
      </c>
      <c r="B13" s="2">
        <v>0.33055555555555555</v>
      </c>
      <c r="C13" s="2">
        <v>0.58333333333333337</v>
      </c>
      <c r="D13" s="5">
        <v>4.1666666666666664E-2</v>
      </c>
      <c r="E13" s="15">
        <f>IF(Tableau9_2025[[#This Row],[Arrivée]]&lt;&gt;"",(Tableau9_2025[[#This Row],[Départ]] - Tableau9_2025[[#This Row],[Arrivée]]) - Tableau9_2025[[#This Row],[Pause]],0)</f>
        <v>0.21111111111111117</v>
      </c>
      <c r="F13" s="17">
        <f>IF(Tableau9_2025[[#This Row],[Temps travail]]&gt;TempsTravail,Tableau9_2025[[#This Row],[Temps travail]]-TempsTravail,0)</f>
        <v>0</v>
      </c>
      <c r="G13" s="43">
        <f>IF(Tableau9_2025[[#This Row],[Temps travail]]&gt;TempsTravail,Tableau9_2025[[#This Row],[Temps travail]]*24-TempsTravail*24,0)</f>
        <v>0</v>
      </c>
      <c r="H13">
        <f t="shared" si="0"/>
        <v>37</v>
      </c>
      <c r="K13" s="18"/>
      <c r="L13" s="18"/>
    </row>
    <row r="14" spans="1:17" x14ac:dyDescent="0.3">
      <c r="A14" s="1">
        <v>45913</v>
      </c>
      <c r="B14" s="3"/>
      <c r="C14" s="3"/>
      <c r="D14" s="5">
        <v>4.1666666666666664E-2</v>
      </c>
      <c r="E14" s="15">
        <f>IF(Tableau9_2025[[#This Row],[Arrivée]]&lt;&gt;"",(Tableau9_2025[[#This Row],[Départ]] - Tableau9_2025[[#This Row],[Arrivée]]) - Tableau9_2025[[#This Row],[Pause]],0)</f>
        <v>0</v>
      </c>
      <c r="F14" s="17">
        <f>IF(Tableau9_2025[[#This Row],[Temps travail]]&gt;TempsTravail,Tableau9_2025[[#This Row],[Temps travail]]-TempsTravail,0)</f>
        <v>0</v>
      </c>
      <c r="G14" s="43">
        <f>IF(Tableau9_2025[[#This Row],[Temps travail]]&gt;TempsTravail,Tableau9_2025[[#This Row],[Temps travail]]*24-TempsTravail*24,0)</f>
        <v>0</v>
      </c>
      <c r="H14">
        <f t="shared" si="0"/>
        <v>37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</row>
    <row r="15" spans="1:17" x14ac:dyDescent="0.3">
      <c r="A15" s="1">
        <v>45914</v>
      </c>
      <c r="B15" s="3"/>
      <c r="C15" s="3"/>
      <c r="D15" s="5">
        <v>4.1666666666666664E-2</v>
      </c>
      <c r="E15" s="15">
        <f>IF(Tableau9_2025[[#This Row],[Arrivée]]&lt;&gt;"",(Tableau9_2025[[#This Row],[Départ]] - Tableau9_2025[[#This Row],[Arrivée]]) - Tableau9_2025[[#This Row],[Pause]],0)</f>
        <v>0</v>
      </c>
      <c r="F15" s="17">
        <f>IF(Tableau9_2025[[#This Row],[Temps travail]]&gt;TempsTravail,Tableau9_2025[[#This Row],[Temps travail]]-TempsTravail,0)</f>
        <v>0</v>
      </c>
      <c r="G15" s="43">
        <f>IF(Tableau9_2025[[#This Row],[Temps travail]]&gt;TempsTravail,Tableau9_2025[[#This Row],[Temps travail]]*24-TempsTravail*24,0)</f>
        <v>0</v>
      </c>
      <c r="H15">
        <f t="shared" si="0"/>
        <v>37</v>
      </c>
      <c r="J15" t="s">
        <v>11</v>
      </c>
      <c r="K15" s="9" t="str">
        <f t="shared" ref="K15:K22" si="2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</row>
    <row r="16" spans="1:17" x14ac:dyDescent="0.3">
      <c r="A16" s="1">
        <v>45915</v>
      </c>
      <c r="B16" s="3">
        <v>0.33750000000000002</v>
      </c>
      <c r="C16" s="3">
        <v>0.70486111111111116</v>
      </c>
      <c r="D16" s="5">
        <v>4.1666666666666664E-2</v>
      </c>
      <c r="E16" s="15">
        <f>IF(Tableau9_2025[[#This Row],[Arrivée]]&lt;&gt;"",(Tableau9_2025[[#This Row],[Départ]] - Tableau9_2025[[#This Row],[Arrivée]]) - Tableau9_2025[[#This Row],[Pause]],0)</f>
        <v>0.32569444444444445</v>
      </c>
      <c r="F16" s="17">
        <f>IF(Tableau9_2025[[#This Row],[Temps travail]]&gt;TempsTravail,Tableau9_2025[[#This Row],[Temps travail]]-TempsTravail,0)</f>
        <v>3.4027777777777768E-2</v>
      </c>
      <c r="G16" s="43">
        <f>IF(Tableau9_2025[[#This Row],[Temps travail]]&gt;TempsTravail,Tableau9_2025[[#This Row],[Temps travail]]*24-TempsTravail*24,0)</f>
        <v>0.81666666666666643</v>
      </c>
      <c r="H16">
        <f t="shared" si="0"/>
        <v>38</v>
      </c>
      <c r="J16" t="s">
        <v>12</v>
      </c>
      <c r="K16" s="9" t="str">
        <f t="shared" si="2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</row>
    <row r="17" spans="1:17" x14ac:dyDescent="0.3">
      <c r="A17" s="1">
        <v>45916</v>
      </c>
      <c r="B17" s="3">
        <v>0.33680555555555558</v>
      </c>
      <c r="C17" s="3">
        <v>0.70972222222222225</v>
      </c>
      <c r="D17" s="5">
        <v>4.1666666666666664E-2</v>
      </c>
      <c r="E17" s="15">
        <f>IF(Tableau9_2025[[#This Row],[Arrivée]]&lt;&gt;"",(Tableau9_2025[[#This Row],[Départ]] - Tableau9_2025[[#This Row],[Arrivée]]) - Tableau9_2025[[#This Row],[Pause]],0)</f>
        <v>0.33124999999999999</v>
      </c>
      <c r="F17" s="17">
        <f>IF(Tableau9_2025[[#This Row],[Temps travail]]&gt;TempsTravail,Tableau9_2025[[#This Row],[Temps travail]]-TempsTravail,0)</f>
        <v>3.9583333333333304E-2</v>
      </c>
      <c r="G17" s="43">
        <f>IF(Tableau9_2025[[#This Row],[Temps travail]]&gt;TempsTravail,Tableau9_2025[[#This Row],[Temps travail]]*24-TempsTravail*24,0)</f>
        <v>0.94999999999999929</v>
      </c>
      <c r="H17">
        <f t="shared" si="0"/>
        <v>38</v>
      </c>
      <c r="J17" t="s">
        <v>13</v>
      </c>
      <c r="K17" s="9" t="str">
        <f t="shared" si="2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</row>
    <row r="18" spans="1:17" x14ac:dyDescent="0.3">
      <c r="A18" s="1">
        <v>45917</v>
      </c>
      <c r="B18" s="3">
        <v>0.33958333333333335</v>
      </c>
      <c r="C18" s="3">
        <v>0.68611111111111112</v>
      </c>
      <c r="D18" s="5">
        <v>4.1666666666666664E-2</v>
      </c>
      <c r="E18" s="15">
        <f>IF(Tableau9_2025[[#This Row],[Arrivée]]&lt;&gt;"",(Tableau9_2025[[#This Row],[Départ]] - Tableau9_2025[[#This Row],[Arrivée]]) - Tableau9_2025[[#This Row],[Pause]],0)</f>
        <v>0.30486111111111108</v>
      </c>
      <c r="F18" s="17">
        <f>IF(Tableau9_2025[[#This Row],[Temps travail]]&gt;TempsTravail,Tableau9_2025[[#This Row],[Temps travail]]-TempsTravail,0)</f>
        <v>1.3194444444444398E-2</v>
      </c>
      <c r="G18" s="43">
        <f>IF(Tableau9_2025[[#This Row],[Temps travail]]&gt;TempsTravail,Tableau9_2025[[#This Row],[Temps travail]]*24-TempsTravail*24,0)</f>
        <v>0.31666666666666643</v>
      </c>
      <c r="H18">
        <f t="shared" si="0"/>
        <v>38</v>
      </c>
      <c r="J18" t="s">
        <v>14</v>
      </c>
      <c r="K18" s="9" t="str">
        <f t="shared" si="2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</row>
    <row r="19" spans="1:17" x14ac:dyDescent="0.3">
      <c r="A19" s="1">
        <v>45918</v>
      </c>
      <c r="B19" s="3">
        <v>0.33541666666666664</v>
      </c>
      <c r="C19" s="3">
        <v>0.74652777777777779</v>
      </c>
      <c r="D19" s="5">
        <v>4.1666666666666664E-2</v>
      </c>
      <c r="E19" s="15">
        <f>IF(Tableau9_2025[[#This Row],[Arrivée]]&lt;&gt;"",(Tableau9_2025[[#This Row],[Départ]] - Tableau9_2025[[#This Row],[Arrivée]]) - Tableau9_2025[[#This Row],[Pause]],0)</f>
        <v>0.36944444444444446</v>
      </c>
      <c r="F19" s="17">
        <f>IF(Tableau9_2025[[#This Row],[Temps travail]]&gt;TempsTravail,Tableau9_2025[[#This Row],[Temps travail]]-TempsTravail,0)</f>
        <v>7.7777777777777779E-2</v>
      </c>
      <c r="G19" s="43">
        <f>IF(Tableau9_2025[[#This Row],[Temps travail]]&gt;TempsTravail,Tableau9_2025[[#This Row],[Temps travail]]*24-TempsTravail*24,0)</f>
        <v>1.8666666666666671</v>
      </c>
      <c r="H19">
        <f t="shared" si="0"/>
        <v>38</v>
      </c>
      <c r="J19" t="s">
        <v>15</v>
      </c>
      <c r="K19" s="9" t="str">
        <f t="shared" si="2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</row>
    <row r="20" spans="1:17" x14ac:dyDescent="0.3">
      <c r="A20" s="1">
        <v>45919</v>
      </c>
      <c r="B20" s="2">
        <v>0.32083333333333336</v>
      </c>
      <c r="C20" s="2">
        <v>0.57499999999999996</v>
      </c>
      <c r="D20" s="5">
        <v>4.1666666666666664E-2</v>
      </c>
      <c r="E20" s="15">
        <f>IF(Tableau9_2025[[#This Row],[Arrivée]]&lt;&gt;"",(Tableau9_2025[[#This Row],[Départ]] - Tableau9_2025[[#This Row],[Arrivée]]) - Tableau9_2025[[#This Row],[Pause]],0)</f>
        <v>0.21249999999999994</v>
      </c>
      <c r="F20" s="17">
        <f>IF(Tableau9_2025[[#This Row],[Temps travail]]&gt;TempsTravail,Tableau9_2025[[#This Row],[Temps travail]]-TempsTravail,0)</f>
        <v>0</v>
      </c>
      <c r="G20" s="43">
        <f>IF(Tableau9_2025[[#This Row],[Temps travail]]&gt;TempsTravail,Tableau9_2025[[#This Row],[Temps travail]]*24-TempsTravail*24,0)</f>
        <v>0</v>
      </c>
      <c r="H20">
        <f t="shared" si="0"/>
        <v>38</v>
      </c>
      <c r="J20" t="s">
        <v>16</v>
      </c>
      <c r="K20" s="9" t="str">
        <f t="shared" si="2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</row>
    <row r="21" spans="1:17" x14ac:dyDescent="0.3">
      <c r="A21" s="1">
        <v>45920</v>
      </c>
      <c r="D21" s="5">
        <v>4.1666666666666664E-2</v>
      </c>
      <c r="E21" s="15">
        <f>IF(Tableau9_2025[[#This Row],[Arrivée]]&lt;&gt;"",(Tableau9_2025[[#This Row],[Départ]] - Tableau9_2025[[#This Row],[Arrivée]]) - Tableau9_2025[[#This Row],[Pause]],0)</f>
        <v>0</v>
      </c>
      <c r="F21" s="17">
        <f>IF(Tableau9_2025[[#This Row],[Temps travail]]&gt;TempsTravail,Tableau9_2025[[#This Row],[Temps travail]]-TempsTravail,0)</f>
        <v>0</v>
      </c>
      <c r="G21" s="43">
        <f>IF(Tableau9_2025[[#This Row],[Temps travail]]&gt;TempsTravail,Tableau9_2025[[#This Row],[Temps travail]]*24-TempsTravail*24,0)</f>
        <v>0</v>
      </c>
      <c r="H21">
        <f t="shared" si="0"/>
        <v>38</v>
      </c>
      <c r="J21" t="s">
        <v>17</v>
      </c>
      <c r="K21" s="9" t="str">
        <f t="shared" si="2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</row>
    <row r="22" spans="1:17" x14ac:dyDescent="0.3">
      <c r="A22" s="1">
        <v>45921</v>
      </c>
      <c r="D22" s="5">
        <v>4.1666666666666664E-2</v>
      </c>
      <c r="E22" s="15">
        <f>IF(Tableau9_2025[[#This Row],[Arrivée]]&lt;&gt;"",(Tableau9_2025[[#This Row],[Départ]] - Tableau9_2025[[#This Row],[Arrivée]]) - Tableau9_2025[[#This Row],[Pause]],0)</f>
        <v>0</v>
      </c>
      <c r="F22" s="17">
        <f>IF(Tableau9_2025[[#This Row],[Temps travail]]&gt;TempsTravail,Tableau9_2025[[#This Row],[Temps travail]]-TempsTravail,0)</f>
        <v>0</v>
      </c>
      <c r="G22" s="43">
        <f>IF(Tableau9_2025[[#This Row],[Temps travail]]&gt;TempsTravail,Tableau9_2025[[#This Row],[Temps travail]]*24-TempsTravail*24,0)</f>
        <v>0</v>
      </c>
      <c r="H22">
        <f t="shared" si="0"/>
        <v>38</v>
      </c>
      <c r="J22" t="s">
        <v>18</v>
      </c>
      <c r="K22" s="9" t="str">
        <f t="shared" si="2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</row>
    <row r="23" spans="1:17" x14ac:dyDescent="0.3">
      <c r="A23" s="1">
        <v>45922</v>
      </c>
      <c r="B23" s="3">
        <v>0.33611111111111114</v>
      </c>
      <c r="C23" s="3">
        <v>0.69930555555555551</v>
      </c>
      <c r="D23" s="5">
        <v>4.1666666666666664E-2</v>
      </c>
      <c r="E23" s="15">
        <f>IF(Tableau9_2025[[#This Row],[Arrivée]]&lt;&gt;"",(Tableau9_2025[[#This Row],[Départ]] - Tableau9_2025[[#This Row],[Arrivée]]) - Tableau9_2025[[#This Row],[Pause]],0)</f>
        <v>0.32152777777777769</v>
      </c>
      <c r="F23" s="17">
        <f>IF(Tableau9_2025[[#This Row],[Temps travail]]&gt;TempsTravail,Tableau9_2025[[#This Row],[Temps travail]]-TempsTravail,0)</f>
        <v>2.9861111111111005E-2</v>
      </c>
      <c r="G23" s="43">
        <f>IF(Tableau9_2025[[#This Row],[Temps travail]]&gt;TempsTravail,Tableau9_2025[[#This Row],[Temps travail]]*24-TempsTravail*24,0)</f>
        <v>0.71666666666666501</v>
      </c>
      <c r="H23">
        <f t="shared" si="0"/>
        <v>39</v>
      </c>
      <c r="O23" t="s">
        <v>29</v>
      </c>
      <c r="P23" s="53">
        <v>0.37430555555555556</v>
      </c>
      <c r="Q23" s="47">
        <v>8.9833333333333201</v>
      </c>
    </row>
    <row r="24" spans="1:17" x14ac:dyDescent="0.3">
      <c r="A24" s="1">
        <v>45923</v>
      </c>
      <c r="B24" s="3">
        <v>0.33263888888888887</v>
      </c>
      <c r="C24" s="3">
        <v>0.69097222222222221</v>
      </c>
      <c r="D24" s="5">
        <v>4.1666666666666664E-2</v>
      </c>
      <c r="E24" s="15">
        <f>IF(Tableau9_2025[[#This Row],[Arrivée]]&lt;&gt;"",(Tableau9_2025[[#This Row],[Départ]] - Tableau9_2025[[#This Row],[Arrivée]]) - Tableau9_2025[[#This Row],[Pause]],0)</f>
        <v>0.31666666666666665</v>
      </c>
      <c r="F24" s="17">
        <f>IF(Tableau9_2025[[#This Row],[Temps travail]]&gt;TempsTravail,Tableau9_2025[[#This Row],[Temps travail]]-TempsTravail,0)</f>
        <v>2.4999999999999967E-2</v>
      </c>
      <c r="G24" s="43">
        <f>IF(Tableau9_2025[[#This Row],[Temps travail]]&gt;TempsTravail,Tableau9_2025[[#This Row],[Temps travail]]*24-TempsTravail*24,0)</f>
        <v>0.59999999999999964</v>
      </c>
      <c r="H24">
        <f t="shared" si="0"/>
        <v>39</v>
      </c>
      <c r="N24" t="s">
        <v>36</v>
      </c>
      <c r="P24" s="53">
        <v>4.334027777777778</v>
      </c>
      <c r="Q24" s="47">
        <v>104.01666666666657</v>
      </c>
    </row>
    <row r="25" spans="1:17" x14ac:dyDescent="0.3">
      <c r="A25" s="1">
        <v>45924</v>
      </c>
      <c r="B25" s="3">
        <v>0.33888888888888891</v>
      </c>
      <c r="C25" s="3">
        <v>0.70208333333333328</v>
      </c>
      <c r="D25" s="5">
        <v>4.1666666666666664E-2</v>
      </c>
      <c r="E25" s="15">
        <f>IF(Tableau9_2025[[#This Row],[Arrivée]]&lt;&gt;"",(Tableau9_2025[[#This Row],[Départ]] - Tableau9_2025[[#This Row],[Arrivée]]) - Tableau9_2025[[#This Row],[Pause]],0)</f>
        <v>0.32152777777777769</v>
      </c>
      <c r="F25" s="17">
        <f>IF(Tableau9_2025[[#This Row],[Temps travail]]&gt;TempsTravail,Tableau9_2025[[#This Row],[Temps travail]]-TempsTravail,0)</f>
        <v>2.9861111111111005E-2</v>
      </c>
      <c r="G25" s="43">
        <f>IF(Tableau9_2025[[#This Row],[Temps travail]]&gt;TempsTravail,Tableau9_2025[[#This Row],[Temps travail]]*24-TempsTravail*24,0)</f>
        <v>0.71666666666666501</v>
      </c>
      <c r="H25">
        <f t="shared" si="0"/>
        <v>39</v>
      </c>
      <c r="N25">
        <v>2026</v>
      </c>
      <c r="O25" t="s">
        <v>33</v>
      </c>
      <c r="P25" s="53">
        <v>9.7916666666666666E-2</v>
      </c>
      <c r="Q25" s="47">
        <v>2.3499999999999979</v>
      </c>
    </row>
    <row r="26" spans="1:17" x14ac:dyDescent="0.3">
      <c r="A26" s="1">
        <v>45925</v>
      </c>
      <c r="B26" s="13">
        <v>0.33819444444444446</v>
      </c>
      <c r="C26" s="3">
        <v>0.69861111111111107</v>
      </c>
      <c r="D26" s="5">
        <v>4.1666666666666664E-2</v>
      </c>
      <c r="E26" s="15">
        <f>IF(Tableau9_2025[[#This Row],[Arrivée]]&lt;&gt;"",(Tableau9_2025[[#This Row],[Départ]] - Tableau9_2025[[#This Row],[Arrivée]]) - Tableau9_2025[[#This Row],[Pause]],0)</f>
        <v>0.31874999999999992</v>
      </c>
      <c r="F26" s="17">
        <f>IF(Tableau9_2025[[#This Row],[Temps travail]]&gt;TempsTravail,Tableau9_2025[[#This Row],[Temps travail]]-TempsTravail,0)</f>
        <v>2.7083333333333237E-2</v>
      </c>
      <c r="G26" s="43">
        <f>IF(Tableau9_2025[[#This Row],[Temps travail]]&gt;TempsTravail,Tableau9_2025[[#This Row],[Temps travail]]*24-TempsTravail*24,0)</f>
        <v>0.64999999999999858</v>
      </c>
      <c r="H26">
        <f t="shared" si="0"/>
        <v>39</v>
      </c>
      <c r="O26" t="s">
        <v>34</v>
      </c>
      <c r="P26" s="53">
        <v>0</v>
      </c>
      <c r="Q26" s="47">
        <v>0</v>
      </c>
    </row>
    <row r="27" spans="1:17" x14ac:dyDescent="0.3">
      <c r="A27" s="1">
        <v>45926</v>
      </c>
      <c r="B27" s="2">
        <v>0.32222222222222224</v>
      </c>
      <c r="C27" s="2">
        <v>0.57916666666666672</v>
      </c>
      <c r="D27" s="5">
        <v>4.1666666666666664E-2</v>
      </c>
      <c r="E27" s="15">
        <f>IF(Tableau9_2025[[#This Row],[Arrivée]]&lt;&gt;"",(Tableau9_2025[[#This Row],[Départ]] - Tableau9_2025[[#This Row],[Arrivée]]) - Tableau9_2025[[#This Row],[Pause]],0)</f>
        <v>0.21527777777777782</v>
      </c>
      <c r="F27" s="17">
        <f>IF(Tableau9_2025[[#This Row],[Temps travail]]&gt;TempsTravail,Tableau9_2025[[#This Row],[Temps travail]]-TempsTravail,0)</f>
        <v>0</v>
      </c>
      <c r="G27" s="43">
        <f>IF(Tableau9_2025[[#This Row],[Temps travail]]&gt;TempsTravail,Tableau9_2025[[#This Row],[Temps travail]]*24-TempsTravail*24,0)</f>
        <v>0</v>
      </c>
      <c r="H27">
        <f t="shared" si="0"/>
        <v>39</v>
      </c>
      <c r="N27" t="s">
        <v>37</v>
      </c>
      <c r="P27" s="53">
        <v>9.7916666666666666E-2</v>
      </c>
      <c r="Q27" s="47">
        <v>2.3499999999999979</v>
      </c>
    </row>
    <row r="28" spans="1:17" x14ac:dyDescent="0.3">
      <c r="A28" s="1">
        <v>45927</v>
      </c>
      <c r="D28" s="5">
        <v>4.1666666666666664E-2</v>
      </c>
      <c r="E28" s="15">
        <f>IF(Tableau9_2025[[#This Row],[Arrivée]]&lt;&gt;"",(Tableau9_2025[[#This Row],[Départ]] - Tableau9_2025[[#This Row],[Arrivée]]) - Tableau9_2025[[#This Row],[Pause]],0)</f>
        <v>0</v>
      </c>
      <c r="F28" s="17">
        <f>IF(Tableau9_2025[[#This Row],[Temps travail]]&gt;TempsTravail,Tableau9_2025[[#This Row],[Temps travail]]-TempsTravail,0)</f>
        <v>0</v>
      </c>
      <c r="G28" s="43">
        <f>IF(Tableau9_2025[[#This Row],[Temps travail]]&gt;TempsTravail,Tableau9_2025[[#This Row],[Temps travail]]*24-TempsTravail*24,0)</f>
        <v>0</v>
      </c>
      <c r="H28">
        <f t="shared" si="0"/>
        <v>39</v>
      </c>
      <c r="N28" t="s">
        <v>30</v>
      </c>
      <c r="P28" s="53">
        <v>4.4319444444444445</v>
      </c>
      <c r="Q28" s="47">
        <v>106.36666666666656</v>
      </c>
    </row>
    <row r="29" spans="1:17" x14ac:dyDescent="0.3">
      <c r="A29" s="1">
        <v>45928</v>
      </c>
      <c r="D29" s="5">
        <v>4.1666666666666664E-2</v>
      </c>
      <c r="E29" s="15">
        <f>IF(Tableau9_2025[[#This Row],[Arrivée]]&lt;&gt;"",(Tableau9_2025[[#This Row],[Départ]] - Tableau9_2025[[#This Row],[Arrivée]]) - Tableau9_2025[[#This Row],[Pause]],0)</f>
        <v>0</v>
      </c>
      <c r="F29" s="17">
        <f>IF(Tableau9_2025[[#This Row],[Temps travail]]&gt;TempsTravail,Tableau9_2025[[#This Row],[Temps travail]]-TempsTravail,0)</f>
        <v>0</v>
      </c>
      <c r="G29" s="43">
        <f>IF(Tableau9_2025[[#This Row],[Temps travail]]&gt;TempsTravail,Tableau9_2025[[#This Row],[Temps travail]]*24-TempsTravail*24,0)</f>
        <v>0</v>
      </c>
      <c r="H29">
        <f t="shared" si="0"/>
        <v>39</v>
      </c>
    </row>
    <row r="30" spans="1:17" x14ac:dyDescent="0.3">
      <c r="A30" s="1">
        <v>45929</v>
      </c>
      <c r="B30" s="3">
        <v>0.34166666666666667</v>
      </c>
      <c r="C30" s="3">
        <v>0.70277777777777772</v>
      </c>
      <c r="D30" s="5">
        <v>4.1666666666666664E-2</v>
      </c>
      <c r="E30" s="15">
        <f>IF(Tableau9_2025[[#This Row],[Arrivée]]&lt;&gt;"",(Tableau9_2025[[#This Row],[Départ]] - Tableau9_2025[[#This Row],[Arrivée]]) - Tableau9_2025[[#This Row],[Pause]],0)</f>
        <v>0.31944444444444436</v>
      </c>
      <c r="F30" s="17">
        <f>IF(Tableau9_2025[[#This Row],[Temps travail]]&gt;TempsTravail,Tableau9_2025[[#This Row],[Temps travail]]-TempsTravail,0)</f>
        <v>2.7777777777777679E-2</v>
      </c>
      <c r="G30" s="43">
        <f>IF(Tableau9_2025[[#This Row],[Temps travail]]&gt;TempsTravail,Tableau9_2025[[#This Row],[Temps travail]]*24-TempsTravail*24,0)</f>
        <v>0.6666666666666643</v>
      </c>
      <c r="H30">
        <f t="shared" si="0"/>
        <v>40</v>
      </c>
    </row>
    <row r="31" spans="1:17" x14ac:dyDescent="0.3">
      <c r="A31" s="1">
        <v>45930</v>
      </c>
      <c r="B31" s="3">
        <v>0.33333333333333331</v>
      </c>
      <c r="C31" s="3">
        <v>0.66666666666666663</v>
      </c>
      <c r="D31" s="5">
        <v>4.1666666666666664E-2</v>
      </c>
      <c r="E31" s="15">
        <f>IF(Tableau9_2025[[#This Row],[Arrivée]]&lt;&gt;"",(Tableau9_2025[[#This Row],[Départ]] - Tableau9_2025[[#This Row],[Arrivée]]) - Tableau9_2025[[#This Row],[Pause]],0)</f>
        <v>0.29166666666666663</v>
      </c>
      <c r="F31" s="17">
        <f>IF(Tableau9_2025[[#This Row],[Temps travail]]&gt;TempsTravail,Tableau9_2025[[#This Row],[Temps travail]]-TempsTravail,0)</f>
        <v>0</v>
      </c>
      <c r="G31" s="43">
        <f>IF(Tableau9_2025[[#This Row],[Temps travail]]&gt;TempsTravail,Tableau9_2025[[#This Row],[Temps travail]]*24-TempsTravail*24,0)</f>
        <v>0</v>
      </c>
      <c r="H31">
        <f t="shared" si="0"/>
        <v>40</v>
      </c>
    </row>
  </sheetData>
  <conditionalFormatting sqref="F1:F8">
    <cfRule type="expression" dxfId="41" priority="1">
      <formula>$G$2&lt;0</formula>
    </cfRule>
    <cfRule type="cellIs" dxfId="40" priority="2" operator="lessThan">
      <formula>0</formula>
    </cfRule>
    <cfRule type="expression" dxfId="39" priority="3">
      <formula>#REF!</formula>
    </cfRule>
  </conditionalFormatting>
  <conditionalFormatting sqref="F3 F5 F7 F9 F11 F13 F15 F17 F19 F21 F23 F25 F27 F29 F31">
    <cfRule type="expression" dxfId="38" priority="4">
      <formula>$G$3&lt;0</formula>
    </cfRule>
  </conditionalFormatting>
  <conditionalFormatting sqref="F9:F1048576">
    <cfRule type="expression" dxfId="37" priority="5">
      <formula>$G$2&lt;0</formula>
    </cfRule>
    <cfRule type="cellIs" dxfId="36" priority="9" operator="lessThan">
      <formula>0</formula>
    </cfRule>
    <cfRule type="expression" dxfId="35" priority="16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1E4E2-51AE-4AE5-A17C-96A49A144502}">
  <dimension ref="A1:Q32"/>
  <sheetViews>
    <sheetView workbookViewId="0">
      <pane ySplit="1" topLeftCell="A2" activePane="bottomLeft" state="frozen"/>
      <selection activeCell="N1" sqref="N1:P1048576"/>
      <selection pane="bottomLeft" activeCell="N8" sqref="N8"/>
    </sheetView>
  </sheetViews>
  <sheetFormatPr baseColWidth="10" defaultColWidth="9.109375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8.21875" bestFit="1" customWidth="1"/>
    <col min="8" max="8" width="8.33203125" bestFit="1" customWidth="1"/>
    <col min="10" max="10" width="10.441406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</cols>
  <sheetData>
    <row r="1" spans="1:17" x14ac:dyDescent="0.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G1" t="s">
        <v>20</v>
      </c>
      <c r="H1" t="s">
        <v>6</v>
      </c>
      <c r="N1" s="49" t="s">
        <v>31</v>
      </c>
      <c r="O1" s="11">
        <v>2025</v>
      </c>
    </row>
    <row r="2" spans="1:17" x14ac:dyDescent="0.3">
      <c r="A2" s="1">
        <v>45931</v>
      </c>
      <c r="B2" s="3">
        <v>0.33263888888888887</v>
      </c>
      <c r="C2" s="3">
        <v>0.70277777777777772</v>
      </c>
      <c r="D2" s="4">
        <v>4.1666666666666664E-2</v>
      </c>
      <c r="E2" s="15">
        <f>IF(Tableau10_2025[[#This Row],[Arrivée]]&lt;&gt;"",(Tableau10_2025[[#This Row],[Départ]] - Tableau10_2025[[#This Row],[Arrivée]]) - Tableau10_2025[[#This Row],[Pause]],0)</f>
        <v>0.32847222222222217</v>
      </c>
      <c r="F2" s="42">
        <f>IF(Tableau10_2025[[#This Row],[Temps travail]]&gt;TempsTravail,Tableau10_2025[[#This Row],[Temps travail]]-TempsTravail,0)</f>
        <v>3.680555555555548E-2</v>
      </c>
      <c r="G2" s="43">
        <f>IF(Tableau10_2025[[#This Row],[Temps travail]]&gt;TempsTravail,Tableau10_2025[[#This Row],[Temps travail]]*24-TempsTravail*24,0)</f>
        <v>0.88333333333333197</v>
      </c>
      <c r="H2">
        <f t="shared" ref="H2:H24" si="0">WEEKNUM(A2,2)</f>
        <v>40</v>
      </c>
      <c r="J2" s="10" t="s">
        <v>6</v>
      </c>
      <c r="K2" s="8" t="s">
        <v>7</v>
      </c>
      <c r="L2" s="2"/>
      <c r="N2" s="49" t="s">
        <v>32</v>
      </c>
      <c r="O2" t="s">
        <v>27</v>
      </c>
    </row>
    <row r="3" spans="1:17" x14ac:dyDescent="0.3">
      <c r="A3" s="1">
        <v>45932</v>
      </c>
      <c r="B3" s="3">
        <v>0.32916666666666666</v>
      </c>
      <c r="C3" s="3">
        <v>0.6958333333333333</v>
      </c>
      <c r="D3" s="5">
        <v>4.1666666666666664E-2</v>
      </c>
      <c r="E3" s="15">
        <f>IF(Tableau10_2025[[#This Row],[Arrivée]]&lt;&gt;"",(Tableau10_2025[[#This Row],[Départ]] - Tableau10_2025[[#This Row],[Arrivée]]) - Tableau10_2025[[#This Row],[Pause]],0)</f>
        <v>0.32499999999999996</v>
      </c>
      <c r="F3" s="17">
        <f>IF(Tableau10_2025[[#This Row],[Temps travail]]&gt;TempsTravail,Tableau10_2025[[#This Row],[Temps travail]]-TempsTravail,0)</f>
        <v>3.333333333333327E-2</v>
      </c>
      <c r="G3" s="43">
        <f>IF(Tableau10_2025[[#This Row],[Temps travail]]&gt;TempsTravail,Tableau10_2025[[#This Row],[Temps travail]]*24-TempsTravail*24,0)</f>
        <v>0.79999999999999893</v>
      </c>
      <c r="H3">
        <f t="shared" si="0"/>
        <v>40</v>
      </c>
      <c r="J3" s="11">
        <v>40</v>
      </c>
      <c r="K3" s="9" t="str">
        <f>IF(ISBLANK(L3), "", IF(L3&lt;0, "-" &amp; TEXT(ABS(L3)/24, "h:mm"), TEXT(L3/24, "h:mm")))</f>
        <v>1:41</v>
      </c>
      <c r="L3" s="24">
        <f xml:space="preserve"> SUMIF(H:H, J3, G:G)</f>
        <v>1.6833333333333309</v>
      </c>
      <c r="P3"/>
      <c r="Q3"/>
    </row>
    <row r="4" spans="1:17" x14ac:dyDescent="0.3">
      <c r="A4" s="1">
        <v>45933</v>
      </c>
      <c r="B4" s="3">
        <v>0.33333333333333331</v>
      </c>
      <c r="C4" s="3">
        <v>0.66666666666666663</v>
      </c>
      <c r="D4" s="5">
        <v>4.1666666666666664E-2</v>
      </c>
      <c r="E4" s="15">
        <f>IF(Tableau10_2025[[#This Row],[Arrivée]]&lt;&gt;"",(Tableau10_2025[[#This Row],[Départ]] - Tableau10_2025[[#This Row],[Arrivée]]) - Tableau10_2025[[#This Row],[Pause]],0)</f>
        <v>0.29166666666666663</v>
      </c>
      <c r="F4" s="17">
        <f>IF(Tableau10_2025[[#This Row],[Temps travail]]&gt;TempsTravail,Tableau10_2025[[#This Row],[Temps travail]]-TempsTravail,0)</f>
        <v>0</v>
      </c>
      <c r="G4" s="43">
        <f>IF(Tableau10_2025[[#This Row],[Temps travail]]&gt;TempsTravail,Tableau10_2025[[#This Row],[Temps travail]]*24-TempsTravail*24,0)</f>
        <v>0</v>
      </c>
      <c r="H4">
        <f t="shared" si="0"/>
        <v>40</v>
      </c>
      <c r="J4" s="11">
        <v>41</v>
      </c>
      <c r="K4" s="9" t="str">
        <f t="shared" ref="K4:K9" si="1">IF(ISBLANK(L4), "", IF(L4&lt;0, "-" &amp; TEXT(ABS(L4)/24, "h:mm"), TEXT(L4/24, "h:mm")))</f>
        <v>1:18</v>
      </c>
      <c r="L4" s="24">
        <f xml:space="preserve"> SUMIF(H:H, J4, G:G)</f>
        <v>1.2999999999999998</v>
      </c>
      <c r="N4" s="55" t="s">
        <v>6</v>
      </c>
      <c r="O4" s="54" t="s">
        <v>39</v>
      </c>
      <c r="P4" s="54" t="s">
        <v>40</v>
      </c>
      <c r="Q4"/>
    </row>
    <row r="5" spans="1:17" x14ac:dyDescent="0.3">
      <c r="A5" s="1">
        <v>45934</v>
      </c>
      <c r="B5" s="3"/>
      <c r="C5" s="3"/>
      <c r="D5" s="5">
        <v>4.1666666666666664E-2</v>
      </c>
      <c r="E5" s="15">
        <f>IF(Tableau10_2025[[#This Row],[Arrivée]]&lt;&gt;"",(Tableau10_2025[[#This Row],[Départ]] - Tableau10_2025[[#This Row],[Arrivée]]) - Tableau10_2025[[#This Row],[Pause]],0)</f>
        <v>0</v>
      </c>
      <c r="F5" s="17">
        <f>IF(Tableau10_2025[[#This Row],[Temps travail]]&gt;TempsTravail,Tableau10_2025[[#This Row],[Temps travail]]-TempsTravail,0)</f>
        <v>0</v>
      </c>
      <c r="G5" s="43">
        <f>IF(Tableau10_2025[[#This Row],[Temps travail]]&gt;TempsTravail,Tableau10_2025[[#This Row],[Temps travail]]*24-TempsTravail*24,0)</f>
        <v>0</v>
      </c>
      <c r="H5">
        <f t="shared" si="0"/>
        <v>40</v>
      </c>
      <c r="J5" s="11">
        <v>42</v>
      </c>
      <c r="K5" s="9" t="str">
        <f t="shared" si="1"/>
        <v>4:00</v>
      </c>
      <c r="L5" s="24">
        <f xml:space="preserve"> SUMIF(H:H, J5, G:G)</f>
        <v>3.9999999999999973</v>
      </c>
      <c r="N5" s="46">
        <v>40</v>
      </c>
      <c r="O5" s="53">
        <v>7.013888888888889E-2</v>
      </c>
      <c r="P5" s="48">
        <v>1.6833333333333309</v>
      </c>
      <c r="Q5"/>
    </row>
    <row r="6" spans="1:17" x14ac:dyDescent="0.3">
      <c r="A6" s="1">
        <v>45935</v>
      </c>
      <c r="D6" s="5">
        <v>4.1666666666666664E-2</v>
      </c>
      <c r="E6" s="15">
        <f>IF(Tableau10_2025[[#This Row],[Arrivée]]&lt;&gt;"",(Tableau10_2025[[#This Row],[Départ]] - Tableau10_2025[[#This Row],[Arrivée]]) - Tableau10_2025[[#This Row],[Pause]],0)</f>
        <v>0</v>
      </c>
      <c r="F6" s="17">
        <f>IF(Tableau10_2025[[#This Row],[Temps travail]]&gt;TempsTravail,Tableau10_2025[[#This Row],[Temps travail]]-TempsTravail,0)</f>
        <v>0</v>
      </c>
      <c r="G6" s="43">
        <f>IF(Tableau10_2025[[#This Row],[Temps travail]]&gt;TempsTravail,Tableau10_2025[[#This Row],[Temps travail]]*24-TempsTravail*24,0)</f>
        <v>0</v>
      </c>
      <c r="H6">
        <f t="shared" si="0"/>
        <v>40</v>
      </c>
      <c r="J6" s="11">
        <v>43</v>
      </c>
      <c r="K6" s="9" t="str">
        <f t="shared" si="1"/>
        <v>6:26</v>
      </c>
      <c r="L6" s="24">
        <f xml:space="preserve"> SUMIF(H:H, J6, G:G)</f>
        <v>6.4333333333333318</v>
      </c>
      <c r="N6" s="46">
        <v>41</v>
      </c>
      <c r="O6" s="53">
        <v>5.4166666666666669E-2</v>
      </c>
      <c r="P6" s="48">
        <v>1.2999999999999998</v>
      </c>
      <c r="Q6"/>
    </row>
    <row r="7" spans="1:17" x14ac:dyDescent="0.3">
      <c r="A7" s="1">
        <v>45936</v>
      </c>
      <c r="B7" s="3">
        <v>0.33750000000000002</v>
      </c>
      <c r="C7" s="3">
        <v>0.70902777777777781</v>
      </c>
      <c r="D7" s="5">
        <v>4.1666666666666664E-2</v>
      </c>
      <c r="E7" s="15">
        <f>IF(Tableau10_2025[[#This Row],[Arrivée]]&lt;&gt;"",(Tableau10_2025[[#This Row],[Départ]] - Tableau10_2025[[#This Row],[Arrivée]]) - Tableau10_2025[[#This Row],[Pause]],0)</f>
        <v>0.3298611111111111</v>
      </c>
      <c r="F7" s="17">
        <f>IF(Tableau10_2025[[#This Row],[Temps travail]]&gt;TempsTravail,Tableau10_2025[[#This Row],[Temps travail]]-TempsTravail,0)</f>
        <v>3.819444444444442E-2</v>
      </c>
      <c r="G7" s="43">
        <f>IF(Tableau10_2025[[#This Row],[Temps travail]]&gt;TempsTravail,Tableau10_2025[[#This Row],[Temps travail]]*24-TempsTravail*24,0)</f>
        <v>0.91666666666666607</v>
      </c>
      <c r="H7">
        <f t="shared" si="0"/>
        <v>41</v>
      </c>
      <c r="J7" s="11">
        <v>44</v>
      </c>
      <c r="K7" s="9" t="str">
        <f t="shared" si="1"/>
        <v>6:29</v>
      </c>
      <c r="L7" s="24">
        <f xml:space="preserve"> SUMIF(H:H, J7, G:G)</f>
        <v>6.4833333333333343</v>
      </c>
      <c r="N7" s="46">
        <v>42</v>
      </c>
      <c r="O7" s="53">
        <v>0.16666666666666666</v>
      </c>
      <c r="P7" s="48">
        <v>3.9999999999999973</v>
      </c>
      <c r="Q7"/>
    </row>
    <row r="8" spans="1:17" x14ac:dyDescent="0.3">
      <c r="A8" s="1">
        <v>45937</v>
      </c>
      <c r="B8" s="3">
        <v>0.33333333333333331</v>
      </c>
      <c r="C8" s="3">
        <v>0.66666666666666663</v>
      </c>
      <c r="D8" s="5">
        <v>4.1666666666666664E-2</v>
      </c>
      <c r="E8" s="15">
        <f>IF(Tableau10_2025[[#This Row],[Arrivée]]&lt;&gt;"",(Tableau10_2025[[#This Row],[Départ]] - Tableau10_2025[[#This Row],[Arrivée]]) - Tableau10_2025[[#This Row],[Pause]],0)</f>
        <v>0.29166666666666663</v>
      </c>
      <c r="F8" s="17">
        <f>IF(Tableau10_2025[[#This Row],[Temps travail]]&gt;TempsTravail,Tableau10_2025[[#This Row],[Temps travail]]-TempsTravail,0)</f>
        <v>0</v>
      </c>
      <c r="G8" s="43">
        <f>IF(Tableau10_2025[[#This Row],[Temps travail]]&gt;TempsTravail,Tableau10_2025[[#This Row],[Temps travail]]*24-TempsTravail*24,0)</f>
        <v>0</v>
      </c>
      <c r="H8">
        <f t="shared" si="0"/>
        <v>41</v>
      </c>
      <c r="J8" s="11"/>
      <c r="K8" s="9" t="str">
        <f t="shared" si="1"/>
        <v/>
      </c>
      <c r="L8" s="24"/>
      <c r="N8" s="46">
        <v>43</v>
      </c>
      <c r="O8" s="53">
        <v>0.26805555555555555</v>
      </c>
      <c r="P8" s="48">
        <v>6.4333333333333318</v>
      </c>
      <c r="Q8"/>
    </row>
    <row r="9" spans="1:17" x14ac:dyDescent="0.3">
      <c r="A9" s="1">
        <v>45938</v>
      </c>
      <c r="B9" s="3">
        <v>0.52083333333333337</v>
      </c>
      <c r="C9" s="3">
        <v>0.75347222222222221</v>
      </c>
      <c r="D9" s="5">
        <v>4.1666666666666664E-2</v>
      </c>
      <c r="E9" s="15">
        <f>IF(Tableau10_2025[[#This Row],[Arrivée]]&lt;&gt;"",(Tableau10_2025[[#This Row],[Départ]] - Tableau10_2025[[#This Row],[Arrivée]]) - Tableau10_2025[[#This Row],[Pause]],0)</f>
        <v>0.19097222222222218</v>
      </c>
      <c r="F9" s="17">
        <f>IF(Tableau10_2025[[#This Row],[Temps travail]]&gt;TempsTravail,Tableau10_2025[[#This Row],[Temps travail]]-TempsTravail,0)</f>
        <v>0</v>
      </c>
      <c r="G9" s="43">
        <f>IF(Tableau10_2025[[#This Row],[Temps travail]]&gt;TempsTravail,Tableau10_2025[[#This Row],[Temps travail]]*24-TempsTravail*24,0)</f>
        <v>0</v>
      </c>
      <c r="H9">
        <f t="shared" si="0"/>
        <v>41</v>
      </c>
      <c r="J9" s="38" t="s">
        <v>8</v>
      </c>
      <c r="K9" s="9" t="str">
        <f t="shared" si="1"/>
        <v>19:54</v>
      </c>
      <c r="L9" s="25">
        <f xml:space="preserve"> SUM(L3:L7)</f>
        <v>19.899999999999995</v>
      </c>
      <c r="N9" s="46">
        <v>44</v>
      </c>
      <c r="O9" s="53">
        <v>0.27013888888888887</v>
      </c>
      <c r="P9" s="48">
        <v>6.4833333333333343</v>
      </c>
      <c r="Q9"/>
    </row>
    <row r="10" spans="1:17" x14ac:dyDescent="0.3">
      <c r="A10" s="1">
        <v>45939</v>
      </c>
      <c r="B10" s="3">
        <v>0.33333333333333331</v>
      </c>
      <c r="C10" s="3">
        <v>0.68263888888888891</v>
      </c>
      <c r="D10" s="5">
        <v>4.1666666666666664E-2</v>
      </c>
      <c r="E10" s="15">
        <f>IF(Tableau10_2025[[#This Row],[Arrivée]]&lt;&gt;"",(Tableau10_2025[[#This Row],[Départ]] - Tableau10_2025[[#This Row],[Arrivée]]) - Tableau10_2025[[#This Row],[Pause]],0)</f>
        <v>0.30763888888888891</v>
      </c>
      <c r="F10" s="17">
        <f>IF(Tableau10_2025[[#This Row],[Temps travail]]&gt;TempsTravail,Tableau10_2025[[#This Row],[Temps travail]]-TempsTravail,0)</f>
        <v>1.5972222222222221E-2</v>
      </c>
      <c r="G10" s="43">
        <f>IF(Tableau10_2025[[#This Row],[Temps travail]]&gt;TempsTravail,Tableau10_2025[[#This Row],[Temps travail]]*24-TempsTravail*24,0)</f>
        <v>0.38333333333333375</v>
      </c>
      <c r="H10">
        <f t="shared" si="0"/>
        <v>41</v>
      </c>
      <c r="J10" s="39" t="s">
        <v>9</v>
      </c>
      <c r="K10" s="37" t="str">
        <f>IF(ISBLANK(L10), "", IF(L10&lt;0, "-" &amp; TEXT(ABS(L10)/24, "[h]:mm"), TEXT(L10/24, "[h]:mm")))</f>
        <v>104:01</v>
      </c>
      <c r="L10" s="18">
        <f>SUM(L14:L22)</f>
        <v>104.01666666666657</v>
      </c>
      <c r="N10" t="s">
        <v>30</v>
      </c>
      <c r="O10" s="53">
        <v>0.82916666666666661</v>
      </c>
      <c r="P10" s="48">
        <v>19.899999999999995</v>
      </c>
      <c r="Q10"/>
    </row>
    <row r="11" spans="1:17" x14ac:dyDescent="0.3">
      <c r="A11" s="1">
        <v>45940</v>
      </c>
      <c r="B11" s="3">
        <v>0.35069444444444442</v>
      </c>
      <c r="C11" s="3">
        <v>0.58888888888888891</v>
      </c>
      <c r="D11" s="5">
        <v>4.1666666666666664E-2</v>
      </c>
      <c r="E11" s="15">
        <f>IF(Tableau10_2025[[#This Row],[Arrivée]]&lt;&gt;"",(Tableau10_2025[[#This Row],[Départ]] - Tableau10_2025[[#This Row],[Arrivée]]) - Tableau10_2025[[#This Row],[Pause]],0)</f>
        <v>0.19652777777777783</v>
      </c>
      <c r="F11" s="17">
        <f>IF(Tableau10_2025[[#This Row],[Temps travail]]&gt;TempsTravail,Tableau10_2025[[#This Row],[Temps travail]]-TempsTravail,0)</f>
        <v>0</v>
      </c>
      <c r="G11" s="43">
        <f>IF(Tableau10_2025[[#This Row],[Temps travail]]&gt;TempsTravail,Tableau10_2025[[#This Row],[Temps travail]]*24-TempsTravail*24,0)</f>
        <v>0</v>
      </c>
      <c r="H11">
        <f t="shared" si="0"/>
        <v>41</v>
      </c>
      <c r="J11" s="24"/>
      <c r="K11" s="18"/>
      <c r="L11" s="18"/>
    </row>
    <row r="12" spans="1:17" x14ac:dyDescent="0.3">
      <c r="A12" s="1">
        <v>45941</v>
      </c>
      <c r="B12" s="3"/>
      <c r="C12" s="3"/>
      <c r="D12" s="5">
        <v>4.1666666666666664E-2</v>
      </c>
      <c r="E12" s="15">
        <f>IF(Tableau10_2025[[#This Row],[Arrivée]]&lt;&gt;"",(Tableau10_2025[[#This Row],[Départ]] - Tableau10_2025[[#This Row],[Arrivée]]) - Tableau10_2025[[#This Row],[Pause]],0)</f>
        <v>0</v>
      </c>
      <c r="F12" s="17">
        <f>IF(Tableau10_2025[[#This Row],[Temps travail]]&gt;TempsTravail,Tableau10_2025[[#This Row],[Temps travail]]-TempsTravail,0)</f>
        <v>0</v>
      </c>
      <c r="G12" s="43">
        <f>IF(Tableau10_2025[[#This Row],[Temps travail]]&gt;TempsTravail,Tableau10_2025[[#This Row],[Temps travail]]*24-TempsTravail*24,0)</f>
        <v>0</v>
      </c>
      <c r="H12">
        <f t="shared" si="0"/>
        <v>41</v>
      </c>
      <c r="K12" s="18"/>
      <c r="L12" s="18"/>
    </row>
    <row r="13" spans="1:17" x14ac:dyDescent="0.3">
      <c r="A13" s="1">
        <v>45942</v>
      </c>
      <c r="D13" s="5">
        <v>4.1666666666666664E-2</v>
      </c>
      <c r="E13" s="15">
        <f>IF(Tableau10_2025[[#This Row],[Arrivée]]&lt;&gt;"",(Tableau10_2025[[#This Row],[Départ]] - Tableau10_2025[[#This Row],[Arrivée]]) - Tableau10_2025[[#This Row],[Pause]],0)</f>
        <v>0</v>
      </c>
      <c r="F13" s="17">
        <f>IF(Tableau10_2025[[#This Row],[Temps travail]]&gt;TempsTravail,Tableau10_2025[[#This Row],[Temps travail]]-TempsTravail,0)</f>
        <v>0</v>
      </c>
      <c r="G13" s="43">
        <f>IF(Tableau10_2025[[#This Row],[Temps travail]]&gt;TempsTravail,Tableau10_2025[[#This Row],[Temps travail]]*24-TempsTravail*24,0)</f>
        <v>0</v>
      </c>
      <c r="H13">
        <f t="shared" si="0"/>
        <v>41</v>
      </c>
      <c r="K13" s="18"/>
      <c r="L13" s="18"/>
    </row>
    <row r="14" spans="1:17" x14ac:dyDescent="0.3">
      <c r="A14" s="1">
        <v>45943</v>
      </c>
      <c r="B14" s="3">
        <v>0.3298611111111111</v>
      </c>
      <c r="C14" s="3">
        <v>0.71319444444444446</v>
      </c>
      <c r="D14" s="5">
        <v>4.1666666666666664E-2</v>
      </c>
      <c r="E14" s="15">
        <f>IF(Tableau10_2025[[#This Row],[Arrivée]]&lt;&gt;"",(Tableau10_2025[[#This Row],[Départ]] - Tableau10_2025[[#This Row],[Arrivée]]) - Tableau10_2025[[#This Row],[Pause]],0)</f>
        <v>0.34166666666666667</v>
      </c>
      <c r="F14" s="17">
        <f>IF(Tableau10_2025[[#This Row],[Temps travail]]&gt;TempsTravail,Tableau10_2025[[#This Row],[Temps travail]]-TempsTravail,0)</f>
        <v>4.9999999999999989E-2</v>
      </c>
      <c r="G14" s="43">
        <f>IF(Tableau10_2025[[#This Row],[Temps travail]]&gt;TempsTravail,Tableau10_2025[[#This Row],[Temps travail]]*24-TempsTravail*24,0)</f>
        <v>1.1999999999999993</v>
      </c>
      <c r="H14">
        <f t="shared" si="0"/>
        <v>42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</row>
    <row r="15" spans="1:17" x14ac:dyDescent="0.3">
      <c r="A15" s="1">
        <v>45944</v>
      </c>
      <c r="B15" s="3">
        <v>0.3263888888888889</v>
      </c>
      <c r="C15" s="3">
        <v>0.71180555555555558</v>
      </c>
      <c r="D15" s="5">
        <v>4.1666666666666664E-2</v>
      </c>
      <c r="E15" s="15">
        <f>IF(Tableau10_2025[[#This Row],[Arrivée]]&lt;&gt;"",(Tableau10_2025[[#This Row],[Départ]] - Tableau10_2025[[#This Row],[Arrivée]]) - Tableau10_2025[[#This Row],[Pause]],0)</f>
        <v>0.34375</v>
      </c>
      <c r="F15" s="17">
        <f>IF(Tableau10_2025[[#This Row],[Temps travail]]&gt;TempsTravail,Tableau10_2025[[#This Row],[Temps travail]]-TempsTravail,0)</f>
        <v>5.2083333333333315E-2</v>
      </c>
      <c r="G15" s="43">
        <f>IF(Tableau10_2025[[#This Row],[Temps travail]]&gt;TempsTravail,Tableau10_2025[[#This Row],[Temps travail]]*24-TempsTravail*24,0)</f>
        <v>1.25</v>
      </c>
      <c r="H15">
        <f t="shared" si="0"/>
        <v>42</v>
      </c>
      <c r="J15" t="s">
        <v>11</v>
      </c>
      <c r="K15" s="9" t="str">
        <f t="shared" ref="K15:K22" si="2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</row>
    <row r="16" spans="1:17" x14ac:dyDescent="0.3">
      <c r="A16" s="1">
        <v>45945</v>
      </c>
      <c r="B16" s="3">
        <v>0.33263888888888887</v>
      </c>
      <c r="C16" s="3">
        <v>0.7006944444444444</v>
      </c>
      <c r="D16" s="5">
        <v>4.1666666666666664E-2</v>
      </c>
      <c r="E16" s="15">
        <f>IF(Tableau10_2025[[#This Row],[Arrivée]]&lt;&gt;"",(Tableau10_2025[[#This Row],[Départ]] - Tableau10_2025[[#This Row],[Arrivée]]) - Tableau10_2025[[#This Row],[Pause]],0)</f>
        <v>0.32638888888888884</v>
      </c>
      <c r="F16" s="17">
        <f>IF(Tableau10_2025[[#This Row],[Temps travail]]&gt;TempsTravail,Tableau10_2025[[#This Row],[Temps travail]]-TempsTravail,0)</f>
        <v>3.4722222222222154E-2</v>
      </c>
      <c r="G16" s="43">
        <f>IF(Tableau10_2025[[#This Row],[Temps travail]]&gt;TempsTravail,Tableau10_2025[[#This Row],[Temps travail]]*24-TempsTravail*24,0)</f>
        <v>0.83333333333333215</v>
      </c>
      <c r="H16">
        <f t="shared" si="0"/>
        <v>42</v>
      </c>
      <c r="J16" t="s">
        <v>12</v>
      </c>
      <c r="K16" s="9" t="str">
        <f t="shared" si="2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</row>
    <row r="17" spans="1:17" x14ac:dyDescent="0.3">
      <c r="A17" s="1">
        <v>45946</v>
      </c>
      <c r="B17" s="3">
        <v>0.33333333333333331</v>
      </c>
      <c r="C17" s="3">
        <v>0.69652777777777775</v>
      </c>
      <c r="D17" s="5">
        <v>4.1666666666666664E-2</v>
      </c>
      <c r="E17" s="15">
        <f>IF(Tableau10_2025[[#This Row],[Arrivée]]&lt;&gt;"",(Tableau10_2025[[#This Row],[Départ]] - Tableau10_2025[[#This Row],[Arrivée]]) - Tableau10_2025[[#This Row],[Pause]],0)</f>
        <v>0.32152777777777775</v>
      </c>
      <c r="F17" s="17">
        <f>IF(Tableau10_2025[[#This Row],[Temps travail]]&gt;TempsTravail,Tableau10_2025[[#This Row],[Temps travail]]-TempsTravail,0)</f>
        <v>2.9861111111111061E-2</v>
      </c>
      <c r="G17" s="43">
        <f>IF(Tableau10_2025[[#This Row],[Temps travail]]&gt;TempsTravail,Tableau10_2025[[#This Row],[Temps travail]]*24-TempsTravail*24,0)</f>
        <v>0.7166666666666659</v>
      </c>
      <c r="H17">
        <f t="shared" si="0"/>
        <v>42</v>
      </c>
      <c r="J17" t="s">
        <v>13</v>
      </c>
      <c r="K17" s="9" t="str">
        <f t="shared" si="2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</row>
    <row r="18" spans="1:17" x14ac:dyDescent="0.3">
      <c r="A18" s="1">
        <v>45947</v>
      </c>
      <c r="B18" s="3">
        <v>0.33263888888888887</v>
      </c>
      <c r="C18" s="3">
        <v>0.59513888888888888</v>
      </c>
      <c r="D18" s="5">
        <v>4.1666666666666664E-2</v>
      </c>
      <c r="E18" s="15">
        <f>IF(Tableau10_2025[[#This Row],[Arrivée]]&lt;&gt;"",(Tableau10_2025[[#This Row],[Départ]] - Tableau10_2025[[#This Row],[Arrivée]]) - Tableau10_2025[[#This Row],[Pause]],0)</f>
        <v>0.22083333333333335</v>
      </c>
      <c r="F18" s="17">
        <f>IF(Tableau10_2025[[#This Row],[Temps travail]]&gt;TempsTravail,Tableau10_2025[[#This Row],[Temps travail]]-TempsTravail,0)</f>
        <v>0</v>
      </c>
      <c r="G18" s="43">
        <f>IF(Tableau10_2025[[#This Row],[Temps travail]]&gt;TempsTravail,Tableau10_2025[[#This Row],[Temps travail]]*24-TempsTravail*24,0)</f>
        <v>0</v>
      </c>
      <c r="H18">
        <f t="shared" si="0"/>
        <v>42</v>
      </c>
      <c r="J18" t="s">
        <v>14</v>
      </c>
      <c r="K18" s="9" t="str">
        <f t="shared" si="2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</row>
    <row r="19" spans="1:17" x14ac:dyDescent="0.3">
      <c r="A19" s="1">
        <v>45948</v>
      </c>
      <c r="B19" s="3"/>
      <c r="C19" s="3"/>
      <c r="D19" s="5">
        <v>4.1666666666666664E-2</v>
      </c>
      <c r="E19" s="15">
        <f>IF(Tableau10_2025[[#This Row],[Arrivée]]&lt;&gt;"",(Tableau10_2025[[#This Row],[Départ]] - Tableau10_2025[[#This Row],[Arrivée]]) - Tableau10_2025[[#This Row],[Pause]],0)</f>
        <v>0</v>
      </c>
      <c r="F19" s="17">
        <f>IF(Tableau10_2025[[#This Row],[Temps travail]]&gt;TempsTravail,Tableau10_2025[[#This Row],[Temps travail]]-TempsTravail,0)</f>
        <v>0</v>
      </c>
      <c r="G19" s="43">
        <f>IF(Tableau10_2025[[#This Row],[Temps travail]]&gt;TempsTravail,Tableau10_2025[[#This Row],[Temps travail]]*24-TempsTravail*24,0)</f>
        <v>0</v>
      </c>
      <c r="H19">
        <f t="shared" si="0"/>
        <v>42</v>
      </c>
      <c r="J19" t="s">
        <v>15</v>
      </c>
      <c r="K19" s="9" t="str">
        <f t="shared" si="2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</row>
    <row r="20" spans="1:17" x14ac:dyDescent="0.3">
      <c r="A20" s="1">
        <v>45949</v>
      </c>
      <c r="D20" s="5">
        <v>4.1666666666666664E-2</v>
      </c>
      <c r="E20" s="15">
        <f>IF(Tableau10_2025[[#This Row],[Arrivée]]&lt;&gt;"",(Tableau10_2025[[#This Row],[Départ]] - Tableau10_2025[[#This Row],[Arrivée]]) - Tableau10_2025[[#This Row],[Pause]],0)</f>
        <v>0</v>
      </c>
      <c r="F20" s="17">
        <f>IF(Tableau10_2025[[#This Row],[Temps travail]]&gt;TempsTravail,Tableau10_2025[[#This Row],[Temps travail]]-TempsTravail,0)</f>
        <v>0</v>
      </c>
      <c r="G20" s="43">
        <f>IF(Tableau10_2025[[#This Row],[Temps travail]]&gt;TempsTravail,Tableau10_2025[[#This Row],[Temps travail]]*24-TempsTravail*24,0)</f>
        <v>0</v>
      </c>
      <c r="H20">
        <f t="shared" si="0"/>
        <v>42</v>
      </c>
      <c r="J20" t="s">
        <v>16</v>
      </c>
      <c r="K20" s="9" t="str">
        <f t="shared" si="2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</row>
    <row r="21" spans="1:17" x14ac:dyDescent="0.3">
      <c r="A21" s="1">
        <v>45950</v>
      </c>
      <c r="B21" s="2">
        <v>0.33402777777777776</v>
      </c>
      <c r="C21" s="2">
        <v>0.71458333333333335</v>
      </c>
      <c r="D21" s="5">
        <v>4.1666666666666664E-2</v>
      </c>
      <c r="E21" s="15">
        <f>IF(Tableau10_2025[[#This Row],[Arrivée]]&lt;&gt;"",(Tableau10_2025[[#This Row],[Départ]] - Tableau10_2025[[#This Row],[Arrivée]]) - Tableau10_2025[[#This Row],[Pause]],0)</f>
        <v>0.33888888888888891</v>
      </c>
      <c r="F21" s="17">
        <f>IF(Tableau10_2025[[#This Row],[Temps travail]]&gt;TempsTravail,Tableau10_2025[[#This Row],[Temps travail]]-TempsTravail,0)</f>
        <v>4.7222222222222221E-2</v>
      </c>
      <c r="G21" s="43">
        <f>IF(Tableau10_2025[[#This Row],[Temps travail]]&gt;TempsTravail,Tableau10_2025[[#This Row],[Temps travail]]*24-TempsTravail*24,0)</f>
        <v>1.1333333333333329</v>
      </c>
      <c r="H21">
        <f t="shared" si="0"/>
        <v>43</v>
      </c>
      <c r="J21" t="s">
        <v>17</v>
      </c>
      <c r="K21" s="9" t="str">
        <f t="shared" si="2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</row>
    <row r="22" spans="1:17" x14ac:dyDescent="0.3">
      <c r="A22" s="1">
        <v>45951</v>
      </c>
      <c r="B22" s="2">
        <v>0.32777777777777778</v>
      </c>
      <c r="C22" s="2">
        <v>0.7368055555555556</v>
      </c>
      <c r="D22" s="5">
        <v>4.1666666666666664E-2</v>
      </c>
      <c r="E22" s="15">
        <f>IF(Tableau10_2025[[#This Row],[Arrivée]]&lt;&gt;"",(Tableau10_2025[[#This Row],[Départ]] - Tableau10_2025[[#This Row],[Arrivée]]) - Tableau10_2025[[#This Row],[Pause]],0)</f>
        <v>0.36736111111111114</v>
      </c>
      <c r="F22" s="17">
        <f>IF(Tableau10_2025[[#This Row],[Temps travail]]&gt;TempsTravail,Tableau10_2025[[#This Row],[Temps travail]]-TempsTravail,0)</f>
        <v>7.5694444444444453E-2</v>
      </c>
      <c r="G22" s="43">
        <f>IF(Tableau10_2025[[#This Row],[Temps travail]]&gt;TempsTravail,Tableau10_2025[[#This Row],[Temps travail]]*24-TempsTravail*24,0)</f>
        <v>1.8166666666666664</v>
      </c>
      <c r="H22">
        <f t="shared" si="0"/>
        <v>43</v>
      </c>
      <c r="J22" t="s">
        <v>18</v>
      </c>
      <c r="K22" s="9" t="str">
        <f t="shared" si="2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</row>
    <row r="23" spans="1:17" x14ac:dyDescent="0.3">
      <c r="A23" s="1">
        <v>45952</v>
      </c>
      <c r="B23" s="3">
        <v>0.33750000000000002</v>
      </c>
      <c r="C23" s="3">
        <v>0.74027777777777781</v>
      </c>
      <c r="D23" s="5">
        <v>4.1666666666666664E-2</v>
      </c>
      <c r="E23" s="15">
        <f>IF(Tableau10_2025[[#This Row],[Arrivée]]&lt;&gt;"",(Tableau10_2025[[#This Row],[Départ]] - Tableau10_2025[[#This Row],[Arrivée]]) - Tableau10_2025[[#This Row],[Pause]],0)</f>
        <v>0.3611111111111111</v>
      </c>
      <c r="F23" s="17">
        <f>IF(Tableau10_2025[[#This Row],[Temps travail]]&gt;TempsTravail,Tableau10_2025[[#This Row],[Temps travail]]-TempsTravail,0)</f>
        <v>6.944444444444442E-2</v>
      </c>
      <c r="G23" s="43">
        <f>IF(Tableau10_2025[[#This Row],[Temps travail]]&gt;TempsTravail,Tableau10_2025[[#This Row],[Temps travail]]*24-TempsTravail*24,0)</f>
        <v>1.6666666666666661</v>
      </c>
      <c r="H23">
        <f t="shared" si="0"/>
        <v>43</v>
      </c>
      <c r="O23" t="s">
        <v>29</v>
      </c>
      <c r="P23" s="53">
        <v>0.37430555555555556</v>
      </c>
      <c r="Q23" s="47">
        <v>8.9833333333333201</v>
      </c>
    </row>
    <row r="24" spans="1:17" x14ac:dyDescent="0.3">
      <c r="A24" s="1">
        <v>45953</v>
      </c>
      <c r="B24" s="3">
        <v>0.33402777777777776</v>
      </c>
      <c r="C24" s="3">
        <v>0.74305555555555558</v>
      </c>
      <c r="D24" s="5">
        <v>4.1666666666666664E-2</v>
      </c>
      <c r="E24" s="15">
        <f>IF(Tableau10_2025[[#This Row],[Arrivée]]&lt;&gt;"",(Tableau10_2025[[#This Row],[Départ]] - Tableau10_2025[[#This Row],[Arrivée]]) - Tableau10_2025[[#This Row],[Pause]],0)</f>
        <v>0.36736111111111114</v>
      </c>
      <c r="F24" s="17">
        <f>IF(Tableau10_2025[[#This Row],[Temps travail]]&gt;TempsTravail,Tableau10_2025[[#This Row],[Temps travail]]-TempsTravail,0)</f>
        <v>7.5694444444444453E-2</v>
      </c>
      <c r="G24" s="43">
        <f>IF(Tableau10_2025[[#This Row],[Temps travail]]&gt;TempsTravail,Tableau10_2025[[#This Row],[Temps travail]]*24-TempsTravail*24,0)</f>
        <v>1.8166666666666664</v>
      </c>
      <c r="H24">
        <f t="shared" si="0"/>
        <v>43</v>
      </c>
      <c r="N24" t="s">
        <v>36</v>
      </c>
      <c r="P24" s="53">
        <v>4.334027777777778</v>
      </c>
      <c r="Q24" s="47">
        <v>104.01666666666657</v>
      </c>
    </row>
    <row r="25" spans="1:17" x14ac:dyDescent="0.3">
      <c r="A25" s="1">
        <v>45954</v>
      </c>
      <c r="B25" s="3">
        <v>0.30069444444444443</v>
      </c>
      <c r="C25" s="3">
        <v>0.59097222222222223</v>
      </c>
      <c r="D25" s="5">
        <v>4.1666666666666664E-2</v>
      </c>
      <c r="E25" s="15">
        <f>IF(Tableau10_2025[[#This Row],[Arrivée]]&lt;&gt;"",(Tableau10_2025[[#This Row],[Départ]] - Tableau10_2025[[#This Row],[Arrivée]]) - Tableau10_2025[[#This Row],[Pause]],0)</f>
        <v>0.24861111111111114</v>
      </c>
      <c r="F25" s="17">
        <f>IF(Tableau10_2025[[#This Row],[Temps travail]]&gt;TempsTravail,Tableau10_2025[[#This Row],[Temps travail]]-TempsTravail,0)</f>
        <v>0</v>
      </c>
      <c r="G25" s="43">
        <f>IF(Tableau10_2025[[#This Row],[Temps travail]]&gt;TempsTravail,Tableau10_2025[[#This Row],[Temps travail]]*24-TempsTravail*24,0)</f>
        <v>0</v>
      </c>
      <c r="H25">
        <f t="shared" ref="H25:H32" si="3">WEEKNUM(A25,2)</f>
        <v>43</v>
      </c>
      <c r="N25">
        <v>2026</v>
      </c>
      <c r="O25" t="s">
        <v>33</v>
      </c>
      <c r="P25" s="53">
        <v>9.7916666666666666E-2</v>
      </c>
      <c r="Q25" s="47">
        <v>2.3499999999999979</v>
      </c>
    </row>
    <row r="26" spans="1:17" x14ac:dyDescent="0.3">
      <c r="A26" s="1">
        <v>45955</v>
      </c>
      <c r="B26" s="13"/>
      <c r="C26" s="3"/>
      <c r="D26" s="5">
        <v>4.1666666666666664E-2</v>
      </c>
      <c r="E26" s="15">
        <f>IF(Tableau10_2025[[#This Row],[Arrivée]]&lt;&gt;"",(Tableau10_2025[[#This Row],[Départ]] - Tableau10_2025[[#This Row],[Arrivée]]) - Tableau10_2025[[#This Row],[Pause]],0)</f>
        <v>0</v>
      </c>
      <c r="F26" s="17">
        <f>IF(Tableau10_2025[[#This Row],[Temps travail]]&gt;TempsTravail,Tableau10_2025[[#This Row],[Temps travail]]-TempsTravail,0)</f>
        <v>0</v>
      </c>
      <c r="G26" s="43">
        <f>IF(Tableau10_2025[[#This Row],[Temps travail]]&gt;TempsTravail,Tableau10_2025[[#This Row],[Temps travail]]*24-TempsTravail*24,0)</f>
        <v>0</v>
      </c>
      <c r="H26">
        <f t="shared" si="3"/>
        <v>43</v>
      </c>
      <c r="O26" t="s">
        <v>34</v>
      </c>
      <c r="P26" s="53">
        <v>0</v>
      </c>
      <c r="Q26" s="47">
        <v>0</v>
      </c>
    </row>
    <row r="27" spans="1:17" x14ac:dyDescent="0.3">
      <c r="A27" s="1">
        <v>45956</v>
      </c>
      <c r="D27" s="5">
        <v>4.1666666666666664E-2</v>
      </c>
      <c r="E27" s="15">
        <f>IF(Tableau10_2025[[#This Row],[Arrivée]]&lt;&gt;"",(Tableau10_2025[[#This Row],[Départ]] - Tableau10_2025[[#This Row],[Arrivée]]) - Tableau10_2025[[#This Row],[Pause]],0)</f>
        <v>0</v>
      </c>
      <c r="F27" s="17">
        <f>IF(Tableau10_2025[[#This Row],[Temps travail]]&gt;TempsTravail,Tableau10_2025[[#This Row],[Temps travail]]-TempsTravail,0)</f>
        <v>0</v>
      </c>
      <c r="G27" s="43">
        <f>IF(Tableau10_2025[[#This Row],[Temps travail]]&gt;TempsTravail,Tableau10_2025[[#This Row],[Temps travail]]*24-TempsTravail*24,0)</f>
        <v>0</v>
      </c>
      <c r="H27">
        <f t="shared" si="3"/>
        <v>43</v>
      </c>
      <c r="N27" t="s">
        <v>37</v>
      </c>
      <c r="P27" s="53">
        <v>9.7916666666666666E-2</v>
      </c>
      <c r="Q27" s="47">
        <v>2.3499999999999979</v>
      </c>
    </row>
    <row r="28" spans="1:17" x14ac:dyDescent="0.3">
      <c r="A28" s="1">
        <v>45957</v>
      </c>
      <c r="B28" s="2">
        <v>0.33124999999999999</v>
      </c>
      <c r="C28" s="2">
        <v>0.71111111111111114</v>
      </c>
      <c r="D28" s="5">
        <v>4.1666666666666664E-2</v>
      </c>
      <c r="E28" s="15">
        <f>IF(Tableau10_2025[[#This Row],[Arrivée]]&lt;&gt;"",(Tableau10_2025[[#This Row],[Départ]] - Tableau10_2025[[#This Row],[Arrivée]]) - Tableau10_2025[[#This Row],[Pause]],0)</f>
        <v>0.33819444444444446</v>
      </c>
      <c r="F28" s="17">
        <f>IF(Tableau10_2025[[#This Row],[Temps travail]]&gt;TempsTravail,Tableau10_2025[[#This Row],[Temps travail]]-TempsTravail,0)</f>
        <v>4.6527777777777779E-2</v>
      </c>
      <c r="G28" s="43">
        <f>IF(Tableau10_2025[[#This Row],[Temps travail]]&gt;TempsTravail,Tableau10_2025[[#This Row],[Temps travail]]*24-TempsTravail*24,0)</f>
        <v>1.1166666666666671</v>
      </c>
      <c r="H28">
        <f t="shared" si="3"/>
        <v>44</v>
      </c>
      <c r="N28" t="s">
        <v>30</v>
      </c>
      <c r="P28" s="53">
        <v>4.4319444444444445</v>
      </c>
      <c r="Q28" s="47">
        <v>106.36666666666656</v>
      </c>
    </row>
    <row r="29" spans="1:17" x14ac:dyDescent="0.3">
      <c r="A29" s="1">
        <v>45958</v>
      </c>
      <c r="B29" s="2">
        <v>0.34652777777777777</v>
      </c>
      <c r="C29" s="2">
        <v>0.72222222222222221</v>
      </c>
      <c r="D29" s="5">
        <v>4.1666666666666664E-2</v>
      </c>
      <c r="E29" s="15">
        <f>IF(Tableau10_2025[[#This Row],[Arrivée]]&lt;&gt;"",(Tableau10_2025[[#This Row],[Départ]] - Tableau10_2025[[#This Row],[Arrivée]]) - Tableau10_2025[[#This Row],[Pause]],0)</f>
        <v>0.33402777777777776</v>
      </c>
      <c r="F29" s="17">
        <f>IF(Tableau10_2025[[#This Row],[Temps travail]]&gt;TempsTravail,Tableau10_2025[[#This Row],[Temps travail]]-TempsTravail,0)</f>
        <v>4.2361111111111072E-2</v>
      </c>
      <c r="G29" s="43">
        <f>IF(Tableau10_2025[[#This Row],[Temps travail]]&gt;TempsTravail,Tableau10_2025[[#This Row],[Temps travail]]*24-TempsTravail*24,0)</f>
        <v>1.0166666666666657</v>
      </c>
      <c r="H29">
        <f t="shared" si="3"/>
        <v>44</v>
      </c>
    </row>
    <row r="30" spans="1:17" x14ac:dyDescent="0.3">
      <c r="A30" s="1">
        <v>45959</v>
      </c>
      <c r="B30" s="3">
        <v>0.33402777777777776</v>
      </c>
      <c r="C30" s="3">
        <v>0.71736111111111112</v>
      </c>
      <c r="D30" s="5">
        <v>4.1666666666666664E-2</v>
      </c>
      <c r="E30" s="15">
        <f>IF(Tableau10_2025[[#This Row],[Arrivée]]&lt;&gt;"",(Tableau10_2025[[#This Row],[Départ]] - Tableau10_2025[[#This Row],[Arrivée]]) - Tableau10_2025[[#This Row],[Pause]],0)</f>
        <v>0.34166666666666667</v>
      </c>
      <c r="F30" s="17">
        <f>IF(Tableau10_2025[[#This Row],[Temps travail]]&gt;TempsTravail,Tableau10_2025[[#This Row],[Temps travail]]-TempsTravail,0)</f>
        <v>4.9999999999999989E-2</v>
      </c>
      <c r="G30" s="43">
        <f>IF(Tableau10_2025[[#This Row],[Temps travail]]&gt;TempsTravail,Tableau10_2025[[#This Row],[Temps travail]]*24-TempsTravail*24,0)</f>
        <v>1.1999999999999993</v>
      </c>
      <c r="H30">
        <f t="shared" si="3"/>
        <v>44</v>
      </c>
    </row>
    <row r="31" spans="1:17" x14ac:dyDescent="0.3">
      <c r="A31" s="1">
        <v>45960</v>
      </c>
      <c r="B31" s="3">
        <v>0.3347222222222222</v>
      </c>
      <c r="C31" s="3">
        <v>0.7993055555555556</v>
      </c>
      <c r="D31" s="5">
        <v>4.1666666666666664E-2</v>
      </c>
      <c r="E31" s="15">
        <f>IF(Tableau10_2025[[#This Row],[Arrivée]]&lt;&gt;"",(Tableau10_2025[[#This Row],[Départ]] - Tableau10_2025[[#This Row],[Arrivée]]) - Tableau10_2025[[#This Row],[Pause]],0)</f>
        <v>0.42291666666666672</v>
      </c>
      <c r="F31" s="17">
        <f>IF(Tableau10_2025[[#This Row],[Temps travail]]&gt;TempsTravail,Tableau10_2025[[#This Row],[Temps travail]]-TempsTravail,0)</f>
        <v>0.13125000000000003</v>
      </c>
      <c r="G31" s="43">
        <f>IF(Tableau10_2025[[#This Row],[Temps travail]]&gt;TempsTravail,Tableau10_2025[[#This Row],[Temps travail]]*24-TempsTravail*24,0)</f>
        <v>3.1500000000000021</v>
      </c>
      <c r="H31">
        <f t="shared" si="3"/>
        <v>44</v>
      </c>
    </row>
    <row r="32" spans="1:17" x14ac:dyDescent="0.3">
      <c r="A32" s="1">
        <v>45961</v>
      </c>
      <c r="B32" s="2">
        <v>0.32500000000000001</v>
      </c>
      <c r="C32" s="2">
        <v>0.54236111111111107</v>
      </c>
      <c r="D32" s="5">
        <v>4.1666666666666664E-2</v>
      </c>
      <c r="E32" s="15">
        <f>IF(Tableau10_2025[[#This Row],[Arrivée]]&lt;&gt;"",(Tableau10_2025[[#This Row],[Départ]] - Tableau10_2025[[#This Row],[Arrivée]]) - Tableau10_2025[[#This Row],[Pause]],0)</f>
        <v>0.1756944444444444</v>
      </c>
      <c r="F32" s="17">
        <f>IF(Tableau10_2025[[#This Row],[Temps travail]]&gt;TempsTravail,Tableau10_2025[[#This Row],[Temps travail]]-TempsTravail,0)</f>
        <v>0</v>
      </c>
      <c r="G32" s="43">
        <f>IF(Tableau10_2025[[#This Row],[Temps travail]]&gt;TempsTravail,Tableau10_2025[[#This Row],[Temps travail]]*24-TempsTravail*24,0)</f>
        <v>0</v>
      </c>
      <c r="H32">
        <f t="shared" si="3"/>
        <v>44</v>
      </c>
    </row>
  </sheetData>
  <conditionalFormatting sqref="F1:F2">
    <cfRule type="expression" dxfId="34" priority="1">
      <formula>$G$2&lt;0</formula>
    </cfRule>
    <cfRule type="cellIs" dxfId="33" priority="2" operator="lessThan">
      <formula>0</formula>
    </cfRule>
    <cfRule type="expression" dxfId="32" priority="3">
      <formula>#REF!</formula>
    </cfRule>
  </conditionalFormatting>
  <conditionalFormatting sqref="F3 F5 F7 F9 F11 F13 F15 F17 F19 F21 F23 F25 F27 F29 F31">
    <cfRule type="expression" dxfId="31" priority="4">
      <formula>$G$3&lt;0</formula>
    </cfRule>
  </conditionalFormatting>
  <conditionalFormatting sqref="F3:F1048576">
    <cfRule type="expression" dxfId="30" priority="5">
      <formula>$G$2&lt;0</formula>
    </cfRule>
    <cfRule type="cellIs" dxfId="29" priority="9" operator="lessThan">
      <formula>0</formula>
    </cfRule>
    <cfRule type="expression" dxfId="28" priority="17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F6884-5ABF-4440-9A01-D5B6B7D9CCCF}">
  <dimension ref="A1:Q31"/>
  <sheetViews>
    <sheetView workbookViewId="0">
      <pane ySplit="1" topLeftCell="A2" activePane="bottomLeft" state="frozen"/>
      <selection activeCell="N1" sqref="N1:P1048576"/>
      <selection pane="bottomLeft" activeCell="O9" sqref="O9"/>
    </sheetView>
  </sheetViews>
  <sheetFormatPr baseColWidth="10" defaultColWidth="9.109375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8.21875" bestFit="1" customWidth="1"/>
    <col min="8" max="8" width="8.33203125" bestFit="1" customWidth="1"/>
    <col min="10" max="10" width="10.441406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</cols>
  <sheetData>
    <row r="1" spans="1:17" x14ac:dyDescent="0.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G1" t="s">
        <v>20</v>
      </c>
      <c r="H1" t="s">
        <v>6</v>
      </c>
      <c r="N1" s="49" t="s">
        <v>31</v>
      </c>
      <c r="O1" s="11">
        <v>2025</v>
      </c>
    </row>
    <row r="2" spans="1:17" x14ac:dyDescent="0.3">
      <c r="A2" s="1">
        <v>45962</v>
      </c>
      <c r="B2" s="3"/>
      <c r="C2" s="3"/>
      <c r="D2" s="4">
        <v>4.1666666666666664E-2</v>
      </c>
      <c r="E2" s="15">
        <f>IF(Tableau11_2025[[#This Row],[Arrivée]]&lt;&gt;"",(Tableau11_2025[[#This Row],[Départ]] - Tableau11_2025[[#This Row],[Arrivée]]) - Tableau11_2025[[#This Row],[Pause]],0)</f>
        <v>0</v>
      </c>
      <c r="F2" s="42">
        <f>IF(Tableau11_2025[[#This Row],[Temps travail]]&gt;TempsTravail,Tableau11_2025[[#This Row],[Temps travail]]-TempsTravail,0)</f>
        <v>0</v>
      </c>
      <c r="G2" s="43">
        <f>IF(Tableau11_2025[[#This Row],[Temps travail]]&gt;TempsTravail,Tableau11_2025[[#This Row],[Temps travail]]*24-TempsTravail*24,0)</f>
        <v>0</v>
      </c>
      <c r="H2">
        <f t="shared" ref="H2:H31" si="0">WEEKNUM(A2,2)</f>
        <v>44</v>
      </c>
      <c r="J2" s="10" t="s">
        <v>6</v>
      </c>
      <c r="K2" s="8" t="s">
        <v>7</v>
      </c>
      <c r="L2" s="2"/>
      <c r="N2" s="49" t="s">
        <v>32</v>
      </c>
      <c r="O2" t="s">
        <v>28</v>
      </c>
    </row>
    <row r="3" spans="1:17" x14ac:dyDescent="0.3">
      <c r="A3" s="1">
        <v>45963</v>
      </c>
      <c r="B3" s="3"/>
      <c r="C3" s="3"/>
      <c r="D3" s="5">
        <v>4.1666666666666664E-2</v>
      </c>
      <c r="E3" s="15">
        <f>IF(Tableau11_2025[[#This Row],[Arrivée]]&lt;&gt;"",(Tableau11_2025[[#This Row],[Départ]] - Tableau11_2025[[#This Row],[Arrivée]]) - Tableau11_2025[[#This Row],[Pause]],0)</f>
        <v>0</v>
      </c>
      <c r="F3" s="17">
        <f>IF(Tableau11_2025[[#This Row],[Temps travail]]&gt;TempsTravail,Tableau11_2025[[#This Row],[Temps travail]]-TempsTravail,0)</f>
        <v>0</v>
      </c>
      <c r="G3" s="43">
        <f>IF(Tableau11_2025[[#This Row],[Temps travail]]&gt;TempsTravail,Tableau11_2025[[#This Row],[Temps travail]]*24-TempsTravail*24,0)</f>
        <v>0</v>
      </c>
      <c r="H3">
        <f t="shared" si="0"/>
        <v>44</v>
      </c>
      <c r="J3" s="11">
        <v>44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  <c r="P3"/>
      <c r="Q3"/>
    </row>
    <row r="4" spans="1:17" x14ac:dyDescent="0.3">
      <c r="A4" s="1">
        <v>45964</v>
      </c>
      <c r="B4" s="3">
        <v>0.33958333333333335</v>
      </c>
      <c r="C4" s="3">
        <v>0.69444444444444442</v>
      </c>
      <c r="D4" s="5">
        <v>4.1666666666666664E-2</v>
      </c>
      <c r="E4" s="15">
        <f>IF(Tableau11_2025[[#This Row],[Arrivée]]&lt;&gt;"",(Tableau11_2025[[#This Row],[Départ]] - Tableau11_2025[[#This Row],[Arrivée]]) - Tableau11_2025[[#This Row],[Pause]],0)</f>
        <v>0.31319444444444439</v>
      </c>
      <c r="F4" s="17">
        <f>IF(Tableau11_2025[[#This Row],[Temps travail]]&gt;TempsTravail,Tableau11_2025[[#This Row],[Temps travail]]-TempsTravail,0)</f>
        <v>2.1527777777777701E-2</v>
      </c>
      <c r="G4" s="43">
        <f>IF(Tableau11_2025[[#This Row],[Temps travail]]&gt;TempsTravail,Tableau11_2025[[#This Row],[Temps travail]]*24-TempsTravail*24,0)</f>
        <v>0.51666666666666572</v>
      </c>
      <c r="H4">
        <f t="shared" si="0"/>
        <v>45</v>
      </c>
      <c r="J4" s="11">
        <v>45</v>
      </c>
      <c r="K4" s="9" t="str">
        <f t="shared" ref="K4:K9" si="1">IF(ISBLANK(L4), "", IF(L4&lt;0, "-" &amp; TEXT(ABS(L4)/24, "h:mm"), TEXT(L4/24, "h:mm")))</f>
        <v>2:52</v>
      </c>
      <c r="L4" s="24">
        <f xml:space="preserve"> SUMIF(H:H, J4, G:G)</f>
        <v>2.8666666666666636</v>
      </c>
      <c r="N4" s="55" t="s">
        <v>6</v>
      </c>
      <c r="O4" s="54" t="s">
        <v>39</v>
      </c>
      <c r="P4" s="54" t="s">
        <v>40</v>
      </c>
      <c r="Q4"/>
    </row>
    <row r="5" spans="1:17" x14ac:dyDescent="0.3">
      <c r="A5" s="1">
        <v>45965</v>
      </c>
      <c r="B5" s="3">
        <v>0.34513888888888888</v>
      </c>
      <c r="C5" s="3">
        <v>0.69791666666666663</v>
      </c>
      <c r="D5" s="5">
        <v>4.1666666666666664E-2</v>
      </c>
      <c r="E5" s="15">
        <f>IF(Tableau11_2025[[#This Row],[Arrivée]]&lt;&gt;"",(Tableau11_2025[[#This Row],[Départ]] - Tableau11_2025[[#This Row],[Arrivée]]) - Tableau11_2025[[#This Row],[Pause]],0)</f>
        <v>0.31111111111111106</v>
      </c>
      <c r="F5" s="17">
        <f>IF(Tableau11_2025[[#This Row],[Temps travail]]&gt;TempsTravail,Tableau11_2025[[#This Row],[Temps travail]]-TempsTravail,0)</f>
        <v>1.9444444444444375E-2</v>
      </c>
      <c r="G5" s="43">
        <f>IF(Tableau11_2025[[#This Row],[Temps travail]]&gt;TempsTravail,Tableau11_2025[[#This Row],[Temps travail]]*24-TempsTravail*24,0)</f>
        <v>0.46666666666666501</v>
      </c>
      <c r="H5">
        <f t="shared" si="0"/>
        <v>45</v>
      </c>
      <c r="J5" s="11">
        <v>46</v>
      </c>
      <c r="K5" s="9" t="str">
        <f t="shared" si="1"/>
        <v>1:30</v>
      </c>
      <c r="L5" s="24">
        <f xml:space="preserve"> SUMIF(H:H, J5, G:G)</f>
        <v>1.4999999999999982</v>
      </c>
      <c r="N5" s="46">
        <v>44</v>
      </c>
      <c r="O5" s="53">
        <v>0</v>
      </c>
      <c r="P5" s="48">
        <v>0</v>
      </c>
      <c r="Q5"/>
    </row>
    <row r="6" spans="1:17" x14ac:dyDescent="0.3">
      <c r="A6" s="1">
        <v>45966</v>
      </c>
      <c r="B6" s="2">
        <v>0.33611111111111114</v>
      </c>
      <c r="C6" s="2">
        <v>0.70833333333333337</v>
      </c>
      <c r="D6" s="5">
        <v>4.1666666666666664E-2</v>
      </c>
      <c r="E6" s="15">
        <f>IF(Tableau11_2025[[#This Row],[Arrivée]]&lt;&gt;"",(Tableau11_2025[[#This Row],[Départ]] - Tableau11_2025[[#This Row],[Arrivée]]) - Tableau11_2025[[#This Row],[Pause]],0)</f>
        <v>0.33055555555555555</v>
      </c>
      <c r="F6" s="17">
        <f>IF(Tableau11_2025[[#This Row],[Temps travail]]&gt;TempsTravail,Tableau11_2025[[#This Row],[Temps travail]]-TempsTravail,0)</f>
        <v>3.8888888888888862E-2</v>
      </c>
      <c r="G6" s="43">
        <f>IF(Tableau11_2025[[#This Row],[Temps travail]]&gt;TempsTravail,Tableau11_2025[[#This Row],[Temps travail]]*24-TempsTravail*24,0)</f>
        <v>0.93333333333333357</v>
      </c>
      <c r="H6">
        <f t="shared" si="0"/>
        <v>45</v>
      </c>
      <c r="J6" s="11">
        <v>47</v>
      </c>
      <c r="K6" s="9" t="str">
        <f t="shared" si="1"/>
        <v>3:51</v>
      </c>
      <c r="L6" s="24">
        <f xml:space="preserve"> SUMIF(H:H, J6, G:G)</f>
        <v>3.8499999999999961</v>
      </c>
      <c r="N6" s="46">
        <v>45</v>
      </c>
      <c r="O6" s="53">
        <v>0.11944444444444445</v>
      </c>
      <c r="P6" s="48">
        <v>2.8666666666666636</v>
      </c>
      <c r="Q6"/>
    </row>
    <row r="7" spans="1:17" x14ac:dyDescent="0.3">
      <c r="A7" s="1">
        <v>45967</v>
      </c>
      <c r="B7" s="3">
        <v>0.34166666666666667</v>
      </c>
      <c r="C7" s="3">
        <v>0.71458333333333335</v>
      </c>
      <c r="D7" s="5">
        <v>4.1666666666666664E-2</v>
      </c>
      <c r="E7" s="15">
        <f>IF(Tableau11_2025[[#This Row],[Arrivée]]&lt;&gt;"",(Tableau11_2025[[#This Row],[Départ]] - Tableau11_2025[[#This Row],[Arrivée]]) - Tableau11_2025[[#This Row],[Pause]],0)</f>
        <v>0.33124999999999999</v>
      </c>
      <c r="F7" s="17">
        <f>IF(Tableau11_2025[[#This Row],[Temps travail]]&gt;TempsTravail,Tableau11_2025[[#This Row],[Temps travail]]-TempsTravail,0)</f>
        <v>3.9583333333333304E-2</v>
      </c>
      <c r="G7" s="43">
        <f>IF(Tableau11_2025[[#This Row],[Temps travail]]&gt;TempsTravail,Tableau11_2025[[#This Row],[Temps travail]]*24-TempsTravail*24,0)</f>
        <v>0.94999999999999929</v>
      </c>
      <c r="H7">
        <f t="shared" si="0"/>
        <v>45</v>
      </c>
      <c r="J7" s="11">
        <v>48</v>
      </c>
      <c r="K7" s="9" t="str">
        <f t="shared" si="1"/>
        <v>2:19</v>
      </c>
      <c r="L7" s="24">
        <f xml:space="preserve"> SUMIF(H:H, J7, G:G)</f>
        <v>2.3166666666666611</v>
      </c>
      <c r="N7" s="46">
        <v>46</v>
      </c>
      <c r="O7" s="53">
        <v>6.25E-2</v>
      </c>
      <c r="P7" s="48">
        <v>1.4999999999999982</v>
      </c>
      <c r="Q7"/>
    </row>
    <row r="8" spans="1:17" x14ac:dyDescent="0.3">
      <c r="A8" s="1">
        <v>45968</v>
      </c>
      <c r="B8" s="3">
        <v>0.34027777777777779</v>
      </c>
      <c r="C8" s="3">
        <v>0.57916666666666672</v>
      </c>
      <c r="D8" s="5">
        <v>4.1666666666666664E-2</v>
      </c>
      <c r="E8" s="15">
        <f>IF(Tableau11_2025[[#This Row],[Arrivée]]&lt;&gt;"",(Tableau11_2025[[#This Row],[Départ]] - Tableau11_2025[[#This Row],[Arrivée]]) - Tableau11_2025[[#This Row],[Pause]],0)</f>
        <v>0.19722222222222227</v>
      </c>
      <c r="F8" s="17">
        <f>IF(Tableau11_2025[[#This Row],[Temps travail]]&gt;TempsTravail,Tableau11_2025[[#This Row],[Temps travail]]-TempsTravail,0)</f>
        <v>0</v>
      </c>
      <c r="G8" s="43">
        <f>IF(Tableau11_2025[[#This Row],[Temps travail]]&gt;TempsTravail,Tableau11_2025[[#This Row],[Temps travail]]*24-TempsTravail*24,0)</f>
        <v>0</v>
      </c>
      <c r="H8">
        <f t="shared" si="0"/>
        <v>45</v>
      </c>
      <c r="J8" s="11"/>
      <c r="K8" s="9" t="str">
        <f t="shared" si="1"/>
        <v/>
      </c>
      <c r="L8" s="24"/>
      <c r="N8" s="46">
        <v>47</v>
      </c>
      <c r="O8" s="53">
        <v>0.16041666666666668</v>
      </c>
      <c r="P8" s="48">
        <v>3.8499999999999961</v>
      </c>
      <c r="Q8"/>
    </row>
    <row r="9" spans="1:17" x14ac:dyDescent="0.3">
      <c r="A9" s="1">
        <v>45969</v>
      </c>
      <c r="B9" s="3"/>
      <c r="C9" s="3"/>
      <c r="D9" s="5">
        <v>4.1666666666666664E-2</v>
      </c>
      <c r="E9" s="15">
        <f>IF(Tableau11_2025[[#This Row],[Arrivée]]&lt;&gt;"",(Tableau11_2025[[#This Row],[Départ]] - Tableau11_2025[[#This Row],[Arrivée]]) - Tableau11_2025[[#This Row],[Pause]],0)</f>
        <v>0</v>
      </c>
      <c r="F9" s="17">
        <f>IF(Tableau11_2025[[#This Row],[Temps travail]]&gt;TempsTravail,Tableau11_2025[[#This Row],[Temps travail]]-TempsTravail,0)</f>
        <v>0</v>
      </c>
      <c r="G9" s="43">
        <f>IF(Tableau11_2025[[#This Row],[Temps travail]]&gt;TempsTravail,Tableau11_2025[[#This Row],[Temps travail]]*24-TempsTravail*24,0)</f>
        <v>0</v>
      </c>
      <c r="H9">
        <f t="shared" si="0"/>
        <v>45</v>
      </c>
      <c r="J9" s="40" t="s">
        <v>8</v>
      </c>
      <c r="K9" s="41" t="str">
        <f t="shared" si="1"/>
        <v>10:32</v>
      </c>
      <c r="L9" s="25">
        <f xml:space="preserve"> SUM(L3:L7)</f>
        <v>10.533333333333319</v>
      </c>
      <c r="N9" s="46">
        <v>48</v>
      </c>
      <c r="O9" s="53">
        <v>9.6527777777777782E-2</v>
      </c>
      <c r="P9" s="48">
        <v>2.3166666666666611</v>
      </c>
      <c r="Q9"/>
    </row>
    <row r="10" spans="1:17" x14ac:dyDescent="0.3">
      <c r="A10" s="1">
        <v>45970</v>
      </c>
      <c r="B10" s="3"/>
      <c r="C10" s="3"/>
      <c r="D10" s="5">
        <v>4.1666666666666664E-2</v>
      </c>
      <c r="E10" s="15">
        <f>IF(Tableau11_2025[[#This Row],[Arrivée]]&lt;&gt;"",(Tableau11_2025[[#This Row],[Départ]] - Tableau11_2025[[#This Row],[Arrivée]]) - Tableau11_2025[[#This Row],[Pause]],0)</f>
        <v>0</v>
      </c>
      <c r="F10" s="17">
        <f>IF(Tableau11_2025[[#This Row],[Temps travail]]&gt;TempsTravail,Tableau11_2025[[#This Row],[Temps travail]]-TempsTravail,0)</f>
        <v>0</v>
      </c>
      <c r="G10" s="43">
        <f>IF(Tableau11_2025[[#This Row],[Temps travail]]&gt;TempsTravail,Tableau11_2025[[#This Row],[Temps travail]]*24-TempsTravail*24,0)</f>
        <v>0</v>
      </c>
      <c r="H10">
        <f t="shared" si="0"/>
        <v>45</v>
      </c>
      <c r="J10" s="39" t="s">
        <v>9</v>
      </c>
      <c r="K10" s="37" t="str">
        <f>IF(ISBLANK(L10), "", IF(L10&lt;0, "-" &amp; TEXT(ABS(L10)/24, "[h]:mm"), TEXT(L10/24, "[h]:mm")))</f>
        <v>104:01</v>
      </c>
      <c r="L10" s="18">
        <f>SUM(L14:L22)</f>
        <v>104.01666666666657</v>
      </c>
      <c r="N10" t="s">
        <v>30</v>
      </c>
      <c r="O10" s="53">
        <v>0.43888888888888888</v>
      </c>
      <c r="P10" s="48">
        <v>10.533333333333319</v>
      </c>
      <c r="Q10"/>
    </row>
    <row r="11" spans="1:17" x14ac:dyDescent="0.3">
      <c r="A11" s="1">
        <v>45971</v>
      </c>
      <c r="B11" s="3">
        <v>0.33333333333333331</v>
      </c>
      <c r="C11" s="3">
        <v>0.6875</v>
      </c>
      <c r="D11" s="5">
        <v>4.1666666666666664E-2</v>
      </c>
      <c r="E11" s="15">
        <f>IF(Tableau11_2025[[#This Row],[Arrivée]]&lt;&gt;"",(Tableau11_2025[[#This Row],[Départ]] - Tableau11_2025[[#This Row],[Arrivée]]) - Tableau11_2025[[#This Row],[Pause]],0)</f>
        <v>0.3125</v>
      </c>
      <c r="F11" s="17">
        <f>IF(Tableau11_2025[[#This Row],[Temps travail]]&gt;TempsTravail,Tableau11_2025[[#This Row],[Temps travail]]-TempsTravail,0)</f>
        <v>2.0833333333333315E-2</v>
      </c>
      <c r="G11" s="43">
        <f>IF(Tableau11_2025[[#This Row],[Temps travail]]&gt;TempsTravail,Tableau11_2025[[#This Row],[Temps travail]]*24-TempsTravail*24,0)</f>
        <v>0.5</v>
      </c>
      <c r="H11">
        <f t="shared" si="0"/>
        <v>46</v>
      </c>
      <c r="J11" s="24"/>
      <c r="K11" s="18"/>
      <c r="L11" s="18"/>
    </row>
    <row r="12" spans="1:17" x14ac:dyDescent="0.3">
      <c r="A12" s="1">
        <v>45972</v>
      </c>
      <c r="B12" s="3">
        <v>0.33333333333333331</v>
      </c>
      <c r="C12" s="3">
        <v>0.6875</v>
      </c>
      <c r="D12" s="5">
        <v>4.1666666666666664E-2</v>
      </c>
      <c r="E12" s="15">
        <f>IF(Tableau11_2025[[#This Row],[Arrivée]]&lt;&gt;"",(Tableau11_2025[[#This Row],[Départ]] - Tableau11_2025[[#This Row],[Arrivée]]) - Tableau11_2025[[#This Row],[Pause]],0)</f>
        <v>0.3125</v>
      </c>
      <c r="F12" s="17">
        <f>IF(Tableau11_2025[[#This Row],[Temps travail]]&gt;TempsTravail,Tableau11_2025[[#This Row],[Temps travail]]-TempsTravail,0)</f>
        <v>2.0833333333333315E-2</v>
      </c>
      <c r="G12" s="43">
        <f>IF(Tableau11_2025[[#This Row],[Temps travail]]&gt;TempsTravail,Tableau11_2025[[#This Row],[Temps travail]]*24-TempsTravail*24,0)</f>
        <v>0.5</v>
      </c>
      <c r="H12">
        <f t="shared" si="0"/>
        <v>46</v>
      </c>
      <c r="K12" s="18"/>
      <c r="L12" s="18"/>
    </row>
    <row r="13" spans="1:17" x14ac:dyDescent="0.3">
      <c r="A13" s="1">
        <v>45973</v>
      </c>
      <c r="B13" s="2">
        <v>0.34166666666666667</v>
      </c>
      <c r="C13" s="2">
        <v>0.68541666666666667</v>
      </c>
      <c r="D13" s="5">
        <v>4.1666666666666664E-2</v>
      </c>
      <c r="E13" s="15">
        <f>IF(Tableau11_2025[[#This Row],[Arrivée]]&lt;&gt;"",(Tableau11_2025[[#This Row],[Départ]] - Tableau11_2025[[#This Row],[Arrivée]]) - Tableau11_2025[[#This Row],[Pause]],0)</f>
        <v>0.30208333333333331</v>
      </c>
      <c r="F13" s="17">
        <f>IF(Tableau11_2025[[#This Row],[Temps travail]]&gt;TempsTravail,Tableau11_2025[[#This Row],[Temps travail]]-TempsTravail,0)</f>
        <v>1.041666666666663E-2</v>
      </c>
      <c r="G13" s="43">
        <f>IF(Tableau11_2025[[#This Row],[Temps travail]]&gt;TempsTravail,Tableau11_2025[[#This Row],[Temps travail]]*24-TempsTravail*24,0)</f>
        <v>0.25</v>
      </c>
      <c r="H13">
        <f t="shared" si="0"/>
        <v>46</v>
      </c>
      <c r="K13" s="18"/>
      <c r="L13" s="18"/>
    </row>
    <row r="14" spans="1:17" x14ac:dyDescent="0.3">
      <c r="A14" s="1">
        <v>45974</v>
      </c>
      <c r="B14" s="3">
        <v>0.35347222222222224</v>
      </c>
      <c r="C14" s="3">
        <v>0.69722222222222219</v>
      </c>
      <c r="D14" s="5">
        <v>4.1666666666666664E-2</v>
      </c>
      <c r="E14" s="15">
        <f>IF(Tableau11_2025[[#This Row],[Arrivée]]&lt;&gt;"",(Tableau11_2025[[#This Row],[Départ]] - Tableau11_2025[[#This Row],[Arrivée]]) - Tableau11_2025[[#This Row],[Pause]],0)</f>
        <v>0.30208333333333326</v>
      </c>
      <c r="F14" s="17">
        <f>IF(Tableau11_2025[[#This Row],[Temps travail]]&gt;TempsTravail,Tableau11_2025[[#This Row],[Temps travail]]-TempsTravail,0)</f>
        <v>1.0416666666666574E-2</v>
      </c>
      <c r="G14" s="43">
        <f>IF(Tableau11_2025[[#This Row],[Temps travail]]&gt;TempsTravail,Tableau11_2025[[#This Row],[Temps travail]]*24-TempsTravail*24,0)</f>
        <v>0.24999999999999822</v>
      </c>
      <c r="H14">
        <f t="shared" si="0"/>
        <v>46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</row>
    <row r="15" spans="1:17" x14ac:dyDescent="0.3">
      <c r="A15" s="1">
        <v>45975</v>
      </c>
      <c r="B15" s="3">
        <v>0.34027777777777779</v>
      </c>
      <c r="C15" s="3">
        <v>0.58958333333333335</v>
      </c>
      <c r="D15" s="5">
        <v>4.1666666666666664E-2</v>
      </c>
      <c r="E15" s="15">
        <f>IF(Tableau11_2025[[#This Row],[Arrivée]]&lt;&gt;"",(Tableau11_2025[[#This Row],[Départ]] - Tableau11_2025[[#This Row],[Arrivée]]) - Tableau11_2025[[#This Row],[Pause]],0)</f>
        <v>0.2076388888888889</v>
      </c>
      <c r="F15" s="17">
        <f>IF(Tableau11_2025[[#This Row],[Temps travail]]&gt;TempsTravail,Tableau11_2025[[#This Row],[Temps travail]]-TempsTravail,0)</f>
        <v>0</v>
      </c>
      <c r="G15" s="43">
        <f>IF(Tableau11_2025[[#This Row],[Temps travail]]&gt;TempsTravail,Tableau11_2025[[#This Row],[Temps travail]]*24-TempsTravail*24,0)</f>
        <v>0</v>
      </c>
      <c r="H15">
        <f t="shared" si="0"/>
        <v>46</v>
      </c>
      <c r="J15" t="s">
        <v>11</v>
      </c>
      <c r="K15" s="9" t="str">
        <f t="shared" ref="K15:K22" si="2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</row>
    <row r="16" spans="1:17" x14ac:dyDescent="0.3">
      <c r="A16" s="1">
        <v>45976</v>
      </c>
      <c r="B16" s="3"/>
      <c r="C16" s="3"/>
      <c r="D16" s="5">
        <v>4.1666666666666664E-2</v>
      </c>
      <c r="E16" s="15">
        <f>IF(Tableau11_2025[[#This Row],[Arrivée]]&lt;&gt;"",(Tableau11_2025[[#This Row],[Départ]] - Tableau11_2025[[#This Row],[Arrivée]]) - Tableau11_2025[[#This Row],[Pause]],0)</f>
        <v>0</v>
      </c>
      <c r="F16" s="17">
        <f>IF(Tableau11_2025[[#This Row],[Temps travail]]&gt;TempsTravail,Tableau11_2025[[#This Row],[Temps travail]]-TempsTravail,0)</f>
        <v>0</v>
      </c>
      <c r="G16" s="43">
        <f>IF(Tableau11_2025[[#This Row],[Temps travail]]&gt;TempsTravail,Tableau11_2025[[#This Row],[Temps travail]]*24-TempsTravail*24,0)</f>
        <v>0</v>
      </c>
      <c r="H16">
        <f t="shared" si="0"/>
        <v>46</v>
      </c>
      <c r="J16" t="s">
        <v>12</v>
      </c>
      <c r="K16" s="9" t="str">
        <f t="shared" si="2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</row>
    <row r="17" spans="1:17" x14ac:dyDescent="0.3">
      <c r="A17" s="1">
        <v>45977</v>
      </c>
      <c r="B17" s="3"/>
      <c r="C17" s="3"/>
      <c r="D17" s="5">
        <v>4.1666666666666664E-2</v>
      </c>
      <c r="E17" s="15">
        <f>IF(Tableau11_2025[[#This Row],[Arrivée]]&lt;&gt;"",(Tableau11_2025[[#This Row],[Départ]] - Tableau11_2025[[#This Row],[Arrivée]]) - Tableau11_2025[[#This Row],[Pause]],0)</f>
        <v>0</v>
      </c>
      <c r="F17" s="17">
        <f>IF(Tableau11_2025[[#This Row],[Temps travail]]&gt;TempsTravail,Tableau11_2025[[#This Row],[Temps travail]]-TempsTravail,0)</f>
        <v>0</v>
      </c>
      <c r="G17" s="43">
        <f>IF(Tableau11_2025[[#This Row],[Temps travail]]&gt;TempsTravail,Tableau11_2025[[#This Row],[Temps travail]]*24-TempsTravail*24,0)</f>
        <v>0</v>
      </c>
      <c r="H17">
        <f t="shared" si="0"/>
        <v>46</v>
      </c>
      <c r="J17" t="s">
        <v>13</v>
      </c>
      <c r="K17" s="9" t="str">
        <f t="shared" si="2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</row>
    <row r="18" spans="1:17" x14ac:dyDescent="0.3">
      <c r="A18" s="1">
        <v>45978</v>
      </c>
      <c r="B18" s="3">
        <v>0.34027777777777779</v>
      </c>
      <c r="C18" s="3">
        <v>0.69930555555555551</v>
      </c>
      <c r="D18" s="5">
        <v>4.1666666666666664E-2</v>
      </c>
      <c r="E18" s="15">
        <f>IF(Tableau11_2025[[#This Row],[Arrivée]]&lt;&gt;"",(Tableau11_2025[[#This Row],[Départ]] - Tableau11_2025[[#This Row],[Arrivée]]) - Tableau11_2025[[#This Row],[Pause]],0)</f>
        <v>0.31736111111111104</v>
      </c>
      <c r="F18" s="17">
        <f>IF(Tableau11_2025[[#This Row],[Temps travail]]&gt;TempsTravail,Tableau11_2025[[#This Row],[Temps travail]]-TempsTravail,0)</f>
        <v>2.5694444444444353E-2</v>
      </c>
      <c r="G18" s="43">
        <f>IF(Tableau11_2025[[#This Row],[Temps travail]]&gt;TempsTravail,Tableau11_2025[[#This Row],[Temps travail]]*24-TempsTravail*24,0)</f>
        <v>0.61666666666666536</v>
      </c>
      <c r="H18">
        <f t="shared" si="0"/>
        <v>47</v>
      </c>
      <c r="J18" t="s">
        <v>14</v>
      </c>
      <c r="K18" s="9" t="str">
        <f t="shared" si="2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</row>
    <row r="19" spans="1:17" x14ac:dyDescent="0.3">
      <c r="A19" s="1">
        <v>45979</v>
      </c>
      <c r="B19" s="3">
        <v>0.34305555555555556</v>
      </c>
      <c r="C19" s="3">
        <v>0.72569444444444442</v>
      </c>
      <c r="D19" s="5">
        <v>4.1666666666666664E-2</v>
      </c>
      <c r="E19" s="15">
        <f>IF(Tableau11_2025[[#This Row],[Arrivée]]&lt;&gt;"",(Tableau11_2025[[#This Row],[Départ]] - Tableau11_2025[[#This Row],[Arrivée]]) - Tableau11_2025[[#This Row],[Pause]],0)</f>
        <v>0.34097222222222218</v>
      </c>
      <c r="F19" s="17">
        <f>IF(Tableau11_2025[[#This Row],[Temps travail]]&gt;TempsTravail,Tableau11_2025[[#This Row],[Temps travail]]-TempsTravail,0)</f>
        <v>4.9305555555555491E-2</v>
      </c>
      <c r="G19" s="43">
        <f>IF(Tableau11_2025[[#This Row],[Temps travail]]&gt;TempsTravail,Tableau11_2025[[#This Row],[Temps travail]]*24-TempsTravail*24,0)</f>
        <v>1.1833333333333318</v>
      </c>
      <c r="H19">
        <f t="shared" si="0"/>
        <v>47</v>
      </c>
      <c r="J19" t="s">
        <v>15</v>
      </c>
      <c r="K19" s="9" t="str">
        <f t="shared" si="2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</row>
    <row r="20" spans="1:17" x14ac:dyDescent="0.3">
      <c r="A20" s="1">
        <v>45980</v>
      </c>
      <c r="B20" s="2">
        <v>0.34166666666666667</v>
      </c>
      <c r="C20" s="2">
        <v>0.7104166666666667</v>
      </c>
      <c r="D20" s="5">
        <v>4.1666666666666664E-2</v>
      </c>
      <c r="E20" s="15">
        <f>IF(Tableau11_2025[[#This Row],[Arrivée]]&lt;&gt;"",(Tableau11_2025[[#This Row],[Départ]] - Tableau11_2025[[#This Row],[Arrivée]]) - Tableau11_2025[[#This Row],[Pause]],0)</f>
        <v>0.32708333333333334</v>
      </c>
      <c r="F20" s="17">
        <f>IF(Tableau11_2025[[#This Row],[Temps travail]]&gt;TempsTravail,Tableau11_2025[[#This Row],[Temps travail]]-TempsTravail,0)</f>
        <v>3.5416666666666652E-2</v>
      </c>
      <c r="G20" s="43">
        <f>IF(Tableau11_2025[[#This Row],[Temps travail]]&gt;TempsTravail,Tableau11_2025[[#This Row],[Temps travail]]*24-TempsTravail*24,0)</f>
        <v>0.84999999999999964</v>
      </c>
      <c r="H20">
        <f t="shared" si="0"/>
        <v>47</v>
      </c>
      <c r="J20" t="s">
        <v>16</v>
      </c>
      <c r="K20" s="9" t="str">
        <f t="shared" si="2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</row>
    <row r="21" spans="1:17" x14ac:dyDescent="0.3">
      <c r="A21" s="1">
        <v>45981</v>
      </c>
      <c r="B21" s="2">
        <v>0.33402777777777776</v>
      </c>
      <c r="C21" s="2">
        <v>0.71736111111111112</v>
      </c>
      <c r="D21" s="5">
        <v>4.1666666666666664E-2</v>
      </c>
      <c r="E21" s="15">
        <f>IF(Tableau11_2025[[#This Row],[Arrivée]]&lt;&gt;"",(Tableau11_2025[[#This Row],[Départ]] - Tableau11_2025[[#This Row],[Arrivée]]) - Tableau11_2025[[#This Row],[Pause]],0)</f>
        <v>0.34166666666666667</v>
      </c>
      <c r="F21" s="17">
        <f>IF(Tableau11_2025[[#This Row],[Temps travail]]&gt;TempsTravail,Tableau11_2025[[#This Row],[Temps travail]]-TempsTravail,0)</f>
        <v>4.9999999999999989E-2</v>
      </c>
      <c r="G21" s="43">
        <f>IF(Tableau11_2025[[#This Row],[Temps travail]]&gt;TempsTravail,Tableau11_2025[[#This Row],[Temps travail]]*24-TempsTravail*24,0)</f>
        <v>1.1999999999999993</v>
      </c>
      <c r="H21">
        <f t="shared" si="0"/>
        <v>47</v>
      </c>
      <c r="J21" t="s">
        <v>17</v>
      </c>
      <c r="K21" s="9" t="str">
        <f t="shared" si="2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</row>
    <row r="22" spans="1:17" x14ac:dyDescent="0.3">
      <c r="A22" s="1">
        <v>45982</v>
      </c>
      <c r="B22" s="2">
        <v>0.33888888888888891</v>
      </c>
      <c r="C22" s="2">
        <v>0.59375</v>
      </c>
      <c r="D22" s="5">
        <v>4.1666666666666664E-2</v>
      </c>
      <c r="E22" s="15">
        <f>IF(Tableau11_2025[[#This Row],[Arrivée]]&lt;&gt;"",(Tableau11_2025[[#This Row],[Départ]] - Tableau11_2025[[#This Row],[Arrivée]]) - Tableau11_2025[[#This Row],[Pause]],0)</f>
        <v>0.21319444444444444</v>
      </c>
      <c r="F22" s="17">
        <f>IF(Tableau11_2025[[#This Row],[Temps travail]]&gt;TempsTravail,Tableau11_2025[[#This Row],[Temps travail]]-TempsTravail,0)</f>
        <v>0</v>
      </c>
      <c r="G22" s="43">
        <f>IF(Tableau11_2025[[#This Row],[Temps travail]]&gt;TempsTravail,Tableau11_2025[[#This Row],[Temps travail]]*24-TempsTravail*24,0)</f>
        <v>0</v>
      </c>
      <c r="H22">
        <f t="shared" si="0"/>
        <v>47</v>
      </c>
      <c r="J22" t="s">
        <v>18</v>
      </c>
      <c r="K22" s="9" t="str">
        <f t="shared" si="2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</row>
    <row r="23" spans="1:17" x14ac:dyDescent="0.3">
      <c r="A23" s="1">
        <v>45983</v>
      </c>
      <c r="B23" s="3"/>
      <c r="C23" s="3"/>
      <c r="D23" s="5">
        <v>4.1666666666666664E-2</v>
      </c>
      <c r="E23" s="15">
        <f>IF(Tableau11_2025[[#This Row],[Arrivée]]&lt;&gt;"",(Tableau11_2025[[#This Row],[Départ]] - Tableau11_2025[[#This Row],[Arrivée]]) - Tableau11_2025[[#This Row],[Pause]],0)</f>
        <v>0</v>
      </c>
      <c r="F23" s="17">
        <f>IF(Tableau11_2025[[#This Row],[Temps travail]]&gt;TempsTravail,Tableau11_2025[[#This Row],[Temps travail]]-TempsTravail,0)</f>
        <v>0</v>
      </c>
      <c r="G23" s="43">
        <f>IF(Tableau11_2025[[#This Row],[Temps travail]]&gt;TempsTravail,Tableau11_2025[[#This Row],[Temps travail]]*24-TempsTravail*24,0)</f>
        <v>0</v>
      </c>
      <c r="H23">
        <f t="shared" si="0"/>
        <v>47</v>
      </c>
      <c r="O23" t="s">
        <v>29</v>
      </c>
      <c r="P23" s="53">
        <v>0.37430555555555556</v>
      </c>
      <c r="Q23" s="47">
        <v>8.9833333333333201</v>
      </c>
    </row>
    <row r="24" spans="1:17" x14ac:dyDescent="0.3">
      <c r="A24" s="1">
        <v>45984</v>
      </c>
      <c r="B24" s="3"/>
      <c r="C24" s="3"/>
      <c r="D24" s="5">
        <v>4.1666666666666664E-2</v>
      </c>
      <c r="E24" s="15">
        <f>IF(Tableau11_2025[[#This Row],[Arrivée]]&lt;&gt;"",(Tableau11_2025[[#This Row],[Départ]] - Tableau11_2025[[#This Row],[Arrivée]]) - Tableau11_2025[[#This Row],[Pause]],0)</f>
        <v>0</v>
      </c>
      <c r="F24" s="17">
        <f>IF(Tableau11_2025[[#This Row],[Temps travail]]&gt;TempsTravail,Tableau11_2025[[#This Row],[Temps travail]]-TempsTravail,0)</f>
        <v>0</v>
      </c>
      <c r="G24" s="43">
        <f>IF(Tableau11_2025[[#This Row],[Temps travail]]&gt;TempsTravail,Tableau11_2025[[#This Row],[Temps travail]]*24-TempsTravail*24,0)</f>
        <v>0</v>
      </c>
      <c r="H24">
        <f t="shared" si="0"/>
        <v>47</v>
      </c>
      <c r="N24" t="s">
        <v>36</v>
      </c>
      <c r="P24" s="53">
        <v>4.334027777777778</v>
      </c>
      <c r="Q24" s="47">
        <v>104.01666666666657</v>
      </c>
    </row>
    <row r="25" spans="1:17" x14ac:dyDescent="0.3">
      <c r="A25" s="1">
        <v>45985</v>
      </c>
      <c r="B25" s="3">
        <v>0.34444444444444444</v>
      </c>
      <c r="C25" s="3">
        <v>0.72152777777777777</v>
      </c>
      <c r="D25" s="5">
        <v>4.1666666666666664E-2</v>
      </c>
      <c r="E25" s="15">
        <f>IF(Tableau11_2025[[#This Row],[Arrivée]]&lt;&gt;"",(Tableau11_2025[[#This Row],[Départ]] - Tableau11_2025[[#This Row],[Arrivée]]) - Tableau11_2025[[#This Row],[Pause]],0)</f>
        <v>0.33541666666666664</v>
      </c>
      <c r="F25" s="17">
        <f>IF(Tableau11_2025[[#This Row],[Temps travail]]&gt;TempsTravail,Tableau11_2025[[#This Row],[Temps travail]]-TempsTravail,0)</f>
        <v>4.3749999999999956E-2</v>
      </c>
      <c r="G25" s="43">
        <f>IF(Tableau11_2025[[#This Row],[Temps travail]]&gt;TempsTravail,Tableau11_2025[[#This Row],[Temps travail]]*24-TempsTravail*24,0)</f>
        <v>1.0499999999999989</v>
      </c>
      <c r="H25">
        <f t="shared" si="0"/>
        <v>48</v>
      </c>
      <c r="N25">
        <v>2026</v>
      </c>
      <c r="O25" t="s">
        <v>33</v>
      </c>
      <c r="P25" s="53">
        <v>9.7916666666666666E-2</v>
      </c>
      <c r="Q25" s="47">
        <v>2.3499999999999979</v>
      </c>
    </row>
    <row r="26" spans="1:17" x14ac:dyDescent="0.3">
      <c r="A26" s="1">
        <v>45986</v>
      </c>
      <c r="B26" s="13">
        <v>0.33333333333333331</v>
      </c>
      <c r="C26" s="3">
        <v>0.66666666666666663</v>
      </c>
      <c r="D26" s="5">
        <v>4.1666666666666664E-2</v>
      </c>
      <c r="E26" s="15">
        <f>IF(Tableau11_2025[[#This Row],[Arrivée]]&lt;&gt;"",(Tableau11_2025[[#This Row],[Départ]] - Tableau11_2025[[#This Row],[Arrivée]]) - Tableau11_2025[[#This Row],[Pause]],0)</f>
        <v>0.29166666666666663</v>
      </c>
      <c r="F26" s="17">
        <f>IF(Tableau11_2025[[#This Row],[Temps travail]]&gt;TempsTravail,Tableau11_2025[[#This Row],[Temps travail]]-TempsTravail,0)</f>
        <v>0</v>
      </c>
      <c r="G26" s="43">
        <f>IF(Tableau11_2025[[#This Row],[Temps travail]]&gt;TempsTravail,Tableau11_2025[[#This Row],[Temps travail]]*24-TempsTravail*24,0)</f>
        <v>0</v>
      </c>
      <c r="H26">
        <f t="shared" si="0"/>
        <v>48</v>
      </c>
      <c r="O26" t="s">
        <v>34</v>
      </c>
      <c r="P26" s="53">
        <v>0</v>
      </c>
      <c r="Q26" s="47">
        <v>0</v>
      </c>
    </row>
    <row r="27" spans="1:17" x14ac:dyDescent="0.3">
      <c r="A27" s="1">
        <v>45987</v>
      </c>
      <c r="B27" s="2">
        <v>0.33680555555555558</v>
      </c>
      <c r="C27" s="2">
        <v>0.69374999999999998</v>
      </c>
      <c r="D27" s="5">
        <v>4.1666666666666664E-2</v>
      </c>
      <c r="E27" s="15">
        <f>IF(Tableau11_2025[[#This Row],[Arrivée]]&lt;&gt;"",(Tableau11_2025[[#This Row],[Départ]] - Tableau11_2025[[#This Row],[Arrivée]]) - Tableau11_2025[[#This Row],[Pause]],0)</f>
        <v>0.31527777777777771</v>
      </c>
      <c r="F27" s="17">
        <f>IF(Tableau11_2025[[#This Row],[Temps travail]]&gt;TempsTravail,Tableau11_2025[[#This Row],[Temps travail]]-TempsTravail,0)</f>
        <v>2.3611111111111027E-2</v>
      </c>
      <c r="G27" s="43">
        <f>IF(Tableau11_2025[[#This Row],[Temps travail]]&gt;TempsTravail,Tableau11_2025[[#This Row],[Temps travail]]*24-TempsTravail*24,0)</f>
        <v>0.56666666666666465</v>
      </c>
      <c r="H27">
        <f t="shared" si="0"/>
        <v>48</v>
      </c>
      <c r="N27" t="s">
        <v>37</v>
      </c>
      <c r="P27" s="53">
        <v>9.7916666666666666E-2</v>
      </c>
      <c r="Q27" s="47">
        <v>2.3499999999999979</v>
      </c>
    </row>
    <row r="28" spans="1:17" x14ac:dyDescent="0.3">
      <c r="A28" s="1">
        <v>45988</v>
      </c>
      <c r="B28" s="2">
        <v>0.34027777777777779</v>
      </c>
      <c r="C28" s="2">
        <v>0.70277777777777772</v>
      </c>
      <c r="D28" s="5">
        <v>4.1666666666666664E-2</v>
      </c>
      <c r="E28" s="15">
        <f>IF(Tableau11_2025[[#This Row],[Arrivée]]&lt;&gt;"",(Tableau11_2025[[#This Row],[Départ]] - Tableau11_2025[[#This Row],[Arrivée]]) - Tableau11_2025[[#This Row],[Pause]],0)</f>
        <v>0.32083333333333325</v>
      </c>
      <c r="F28" s="17">
        <f>IF(Tableau11_2025[[#This Row],[Temps travail]]&gt;TempsTravail,Tableau11_2025[[#This Row],[Temps travail]]-TempsTravail,0)</f>
        <v>2.9166666666666563E-2</v>
      </c>
      <c r="G28" s="43">
        <f>IF(Tableau11_2025[[#This Row],[Temps travail]]&gt;TempsTravail,Tableau11_2025[[#This Row],[Temps travail]]*24-TempsTravail*24,0)</f>
        <v>0.69999999999999751</v>
      </c>
      <c r="H28">
        <f t="shared" si="0"/>
        <v>48</v>
      </c>
      <c r="N28" t="s">
        <v>30</v>
      </c>
      <c r="P28" s="53">
        <v>4.4319444444444445</v>
      </c>
      <c r="Q28" s="47">
        <v>106.36666666666656</v>
      </c>
    </row>
    <row r="29" spans="1:17" x14ac:dyDescent="0.3">
      <c r="A29" s="1">
        <v>45989</v>
      </c>
      <c r="B29" s="2">
        <v>0.33958333333333335</v>
      </c>
      <c r="C29" s="2">
        <v>0.59027777777777779</v>
      </c>
      <c r="D29" s="5">
        <v>4.1666666666666664E-2</v>
      </c>
      <c r="E29" s="15">
        <f>IF(Tableau11_2025[[#This Row],[Arrivée]]&lt;&gt;"",(Tableau11_2025[[#This Row],[Départ]] - Tableau11_2025[[#This Row],[Arrivée]]) - Tableau11_2025[[#This Row],[Pause]],0)</f>
        <v>0.20902777777777778</v>
      </c>
      <c r="F29" s="17">
        <f>IF(Tableau11_2025[[#This Row],[Temps travail]]&gt;TempsTravail,Tableau11_2025[[#This Row],[Temps travail]]-TempsTravail,0)</f>
        <v>0</v>
      </c>
      <c r="G29" s="43">
        <f>IF(Tableau11_2025[[#This Row],[Temps travail]]&gt;TempsTravail,Tableau11_2025[[#This Row],[Temps travail]]*24-TempsTravail*24,0)</f>
        <v>0</v>
      </c>
      <c r="H29">
        <f t="shared" si="0"/>
        <v>48</v>
      </c>
    </row>
    <row r="30" spans="1:17" x14ac:dyDescent="0.3">
      <c r="A30" s="1">
        <v>45990</v>
      </c>
      <c r="B30" s="3"/>
      <c r="C30" s="3"/>
      <c r="D30" s="5">
        <v>4.1666666666666664E-2</v>
      </c>
      <c r="E30" s="15">
        <f>IF(Tableau11_2025[[#This Row],[Arrivée]]&lt;&gt;"",(Tableau11_2025[[#This Row],[Départ]] - Tableau11_2025[[#This Row],[Arrivée]]) - Tableau11_2025[[#This Row],[Pause]],0)</f>
        <v>0</v>
      </c>
      <c r="F30" s="17">
        <f>IF(Tableau11_2025[[#This Row],[Temps travail]]&gt;TempsTravail,Tableau11_2025[[#This Row],[Temps travail]]-TempsTravail,0)</f>
        <v>0</v>
      </c>
      <c r="G30" s="43">
        <f>IF(Tableau11_2025[[#This Row],[Temps travail]]&gt;TempsTravail,Tableau11_2025[[#This Row],[Temps travail]]*24-TempsTravail*24,0)</f>
        <v>0</v>
      </c>
      <c r="H30">
        <f t="shared" si="0"/>
        <v>48</v>
      </c>
    </row>
    <row r="31" spans="1:17" x14ac:dyDescent="0.3">
      <c r="A31" s="1">
        <v>45991</v>
      </c>
      <c r="B31" s="3"/>
      <c r="C31" s="3"/>
      <c r="D31" s="5">
        <v>4.1666666666666664E-2</v>
      </c>
      <c r="E31" s="15">
        <f>IF(Tableau11_2025[[#This Row],[Arrivée]]&lt;&gt;"",(Tableau11_2025[[#This Row],[Départ]] - Tableau11_2025[[#This Row],[Arrivée]]) - Tableau11_2025[[#This Row],[Pause]],0)</f>
        <v>0</v>
      </c>
      <c r="F31" s="17">
        <f>IF(Tableau11_2025[[#This Row],[Temps travail]]&gt;TempsTravail,Tableau11_2025[[#This Row],[Temps travail]]-TempsTravail,0)</f>
        <v>0</v>
      </c>
      <c r="G31" s="43">
        <f>IF(Tableau11_2025[[#This Row],[Temps travail]]&gt;TempsTravail,Tableau11_2025[[#This Row],[Temps travail]]*24-TempsTravail*24,0)</f>
        <v>0</v>
      </c>
      <c r="H31">
        <f t="shared" si="0"/>
        <v>48</v>
      </c>
    </row>
  </sheetData>
  <conditionalFormatting sqref="F1:F2">
    <cfRule type="expression" dxfId="27" priority="1">
      <formula>$G$2&lt;0</formula>
    </cfRule>
    <cfRule type="cellIs" dxfId="26" priority="2" operator="lessThan">
      <formula>0</formula>
    </cfRule>
    <cfRule type="expression" dxfId="25" priority="3">
      <formula>#REF!</formula>
    </cfRule>
  </conditionalFormatting>
  <conditionalFormatting sqref="F3 F5 F7 F9 F11 F13 F15 F17 F19 F21 F23 F25 F27 F29 F31">
    <cfRule type="expression" dxfId="24" priority="4">
      <formula>$G$3&lt;0</formula>
    </cfRule>
  </conditionalFormatting>
  <conditionalFormatting sqref="F3:F1048576">
    <cfRule type="expression" dxfId="23" priority="5">
      <formula>$G$2&lt;0</formula>
    </cfRule>
    <cfRule type="cellIs" dxfId="22" priority="9" operator="lessThan">
      <formula>0</formula>
    </cfRule>
    <cfRule type="expression" dxfId="21" priority="18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57EDA-795F-47BC-A693-4339E9579E2D}">
  <dimension ref="A1:V32"/>
  <sheetViews>
    <sheetView tabSelected="1" topLeftCell="P1" zoomScale="72" zoomScaleNormal="72" workbookViewId="0">
      <pane ySplit="1" topLeftCell="A2" activePane="bottomLeft" state="frozen"/>
      <selection activeCell="N1" sqref="N1:P1048576"/>
      <selection pane="bottomLeft" activeCell="Z17" sqref="Z17"/>
    </sheetView>
  </sheetViews>
  <sheetFormatPr baseColWidth="10" defaultColWidth="11" defaultRowHeight="14.4" x14ac:dyDescent="0.3"/>
  <cols>
    <col min="1" max="1" width="10.33203125" style="1" bestFit="1" customWidth="1"/>
    <col min="2" max="3" width="8.109375" style="2" bestFit="1" customWidth="1"/>
    <col min="4" max="4" width="6" style="2" bestFit="1" customWidth="1"/>
    <col min="5" max="5" width="12.21875" style="15" bestFit="1" customWidth="1"/>
    <col min="6" max="6" width="8.109375" style="18" bestFit="1" customWidth="1"/>
    <col min="7" max="7" width="8.21875" bestFit="1" customWidth="1"/>
    <col min="8" max="8" width="8.33203125" bestFit="1" customWidth="1"/>
    <col min="10" max="10" width="10.44140625" bestFit="1" customWidth="1"/>
    <col min="11" max="11" width="12.33203125" bestFit="1" customWidth="1"/>
    <col min="12" max="12" width="12" bestFit="1" customWidth="1"/>
    <col min="14" max="15" width="15.77734375" customWidth="1"/>
    <col min="16" max="17" width="15.77734375" style="54" customWidth="1"/>
    <col min="20" max="20" width="11.44140625" bestFit="1" customWidth="1"/>
    <col min="21" max="21" width="15.5546875" bestFit="1" customWidth="1"/>
    <col min="22" max="22" width="13.77734375" bestFit="1" customWidth="1"/>
    <col min="24" max="24" width="11.5546875" bestFit="1" customWidth="1"/>
    <col min="25" max="25" width="11.44140625" bestFit="1" customWidth="1"/>
    <col min="26" max="27" width="13.77734375" bestFit="1" customWidth="1"/>
  </cols>
  <sheetData>
    <row r="1" spans="1:22" x14ac:dyDescent="0.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G1" t="s">
        <v>20</v>
      </c>
      <c r="H1" t="s">
        <v>6</v>
      </c>
      <c r="N1" s="49" t="s">
        <v>31</v>
      </c>
      <c r="O1" s="11">
        <v>2025</v>
      </c>
      <c r="S1" s="49" t="s">
        <v>32</v>
      </c>
      <c r="T1" t="s">
        <v>29</v>
      </c>
    </row>
    <row r="2" spans="1:22" x14ac:dyDescent="0.3">
      <c r="A2" s="1">
        <v>45992</v>
      </c>
      <c r="B2" s="3">
        <v>0.34375</v>
      </c>
      <c r="C2" s="3">
        <v>0.70416666666666672</v>
      </c>
      <c r="D2" s="4">
        <v>4.1666666666666664E-2</v>
      </c>
      <c r="E2" s="15">
        <f>IF(Tableau12_2025[[#This Row],[Arrivée]]&lt;&gt;"",(Tableau12_2025[[#This Row],[Départ]] - Tableau12_2025[[#This Row],[Arrivée]]) - Tableau12_2025[[#This Row],[Pause]],0)</f>
        <v>0.31875000000000003</v>
      </c>
      <c r="F2" s="42">
        <f>IF(Tableau12_2025[[#This Row],[Temps travail]]&gt;TempsTravail,Tableau12_2025[[#This Row],[Temps travail]]-TempsTravail,0)</f>
        <v>2.7083333333333348E-2</v>
      </c>
      <c r="G2" s="43">
        <f>IF(Tableau12_2025[[#This Row],[Temps travail]]&gt;TempsTravail,Tableau12_2025[[#This Row],[Temps travail]]*24-TempsTravail*24,0)</f>
        <v>0.65000000000000036</v>
      </c>
      <c r="H2">
        <f t="shared" ref="H2:H26" si="0">WEEKNUM(A2,2)</f>
        <v>49</v>
      </c>
      <c r="J2" s="10" t="s">
        <v>6</v>
      </c>
      <c r="K2" s="8" t="s">
        <v>7</v>
      </c>
      <c r="L2" s="2"/>
      <c r="N2" s="49" t="s">
        <v>32</v>
      </c>
      <c r="O2" t="s">
        <v>29</v>
      </c>
    </row>
    <row r="3" spans="1:22" x14ac:dyDescent="0.3">
      <c r="A3" s="1">
        <v>45993</v>
      </c>
      <c r="B3" s="3">
        <v>0.33333333333333331</v>
      </c>
      <c r="C3" s="3">
        <v>0.66666666666666663</v>
      </c>
      <c r="D3" s="5">
        <v>4.1666666666666664E-2</v>
      </c>
      <c r="E3" s="15">
        <f>IF(Tableau12_2025[[#This Row],[Arrivée]]&lt;&gt;"",(Tableau12_2025[[#This Row],[Départ]] - Tableau12_2025[[#This Row],[Arrivée]]) - Tableau12_2025[[#This Row],[Pause]],0)</f>
        <v>0.29166666666666663</v>
      </c>
      <c r="F3" s="17">
        <f>IF(Tableau12_2025[[#This Row],[Temps travail]]&gt;TempsTravail,Tableau12_2025[[#This Row],[Temps travail]]-TempsTravail,0)</f>
        <v>0</v>
      </c>
      <c r="G3" s="43">
        <f>IF(Tableau12_2025[[#This Row],[Temps travail]]&gt;TempsTravail,Tableau12_2025[[#This Row],[Temps travail]]*24-TempsTravail*24,0)</f>
        <v>0</v>
      </c>
      <c r="H3">
        <f t="shared" si="0"/>
        <v>49</v>
      </c>
      <c r="J3" s="11">
        <v>49</v>
      </c>
      <c r="K3" s="9" t="str">
        <f>IF(ISBLANK(L3), "", IF(L3&lt;0, "-" &amp; TEXT(ABS(L3)/24, "h:mm"), TEXT(L3/24, "h:mm")))</f>
        <v>0:39</v>
      </c>
      <c r="L3" s="24">
        <f xml:space="preserve"> SUMIF(H:H, J3, G:G)</f>
        <v>0.65000000000000036</v>
      </c>
      <c r="P3"/>
      <c r="Q3"/>
      <c r="S3" s="49" t="s">
        <v>31</v>
      </c>
      <c r="T3" s="49" t="s">
        <v>6</v>
      </c>
      <c r="U3" t="s">
        <v>42</v>
      </c>
    </row>
    <row r="4" spans="1:22" x14ac:dyDescent="0.3">
      <c r="A4" s="1">
        <v>45994</v>
      </c>
      <c r="B4" s="3">
        <v>0.33333333333333331</v>
      </c>
      <c r="C4" s="3">
        <v>0.66666666666666663</v>
      </c>
      <c r="D4" s="5">
        <v>4.1666666666666664E-2</v>
      </c>
      <c r="E4" s="15">
        <f>IF(Tableau12_2025[[#This Row],[Arrivée]]&lt;&gt;"",(Tableau12_2025[[#This Row],[Départ]] - Tableau12_2025[[#This Row],[Arrivée]]) - Tableau12_2025[[#This Row],[Pause]],0)</f>
        <v>0.29166666666666663</v>
      </c>
      <c r="F4" s="17">
        <f>IF(Tableau12_2025[[#This Row],[Temps travail]]&gt;TempsTravail,Tableau12_2025[[#This Row],[Temps travail]]-TempsTravail,0)</f>
        <v>0</v>
      </c>
      <c r="G4" s="43">
        <f>IF(Tableau12_2025[[#This Row],[Temps travail]]&gt;TempsTravail,Tableau12_2025[[#This Row],[Temps travail]]*24-TempsTravail*24,0)</f>
        <v>0</v>
      </c>
      <c r="H4">
        <f t="shared" si="0"/>
        <v>49</v>
      </c>
      <c r="J4" s="11">
        <v>50</v>
      </c>
      <c r="K4" s="9" t="str">
        <f t="shared" ref="K4:K9" si="1">IF(ISBLANK(L4), "", IF(L4&lt;0, "-" &amp; TEXT(ABS(L4)/24, "h:mm"), TEXT(L4/24, "h:mm")))</f>
        <v>2:59</v>
      </c>
      <c r="L4" s="24">
        <f xml:space="preserve"> SUMIF(H:H, J4, G:G)</f>
        <v>2.983333333333329</v>
      </c>
      <c r="N4" s="55" t="s">
        <v>6</v>
      </c>
      <c r="O4" s="54" t="s">
        <v>39</v>
      </c>
      <c r="P4" s="54" t="s">
        <v>40</v>
      </c>
      <c r="Q4"/>
      <c r="S4">
        <v>2025</v>
      </c>
      <c r="T4">
        <v>49</v>
      </c>
      <c r="U4" s="84">
        <v>0.65000000000000036</v>
      </c>
    </row>
    <row r="5" spans="1:22" x14ac:dyDescent="0.3">
      <c r="A5" s="1">
        <v>45995</v>
      </c>
      <c r="B5" s="3">
        <v>0.33333333333333331</v>
      </c>
      <c r="C5" s="3">
        <v>0.66666666666666663</v>
      </c>
      <c r="D5" s="5">
        <v>4.1666666666666664E-2</v>
      </c>
      <c r="E5" s="15">
        <f>IF(Tableau12_2025[[#This Row],[Arrivée]]&lt;&gt;"",(Tableau12_2025[[#This Row],[Départ]] - Tableau12_2025[[#This Row],[Arrivée]]) - Tableau12_2025[[#This Row],[Pause]],0)</f>
        <v>0.29166666666666663</v>
      </c>
      <c r="F5" s="17">
        <f>IF(Tableau12_2025[[#This Row],[Temps travail]]&gt;TempsTravail,Tableau12_2025[[#This Row],[Temps travail]]-TempsTravail,0)</f>
        <v>0</v>
      </c>
      <c r="G5" s="43">
        <f>IF(Tableau12_2025[[#This Row],[Temps travail]]&gt;TempsTravail,Tableau12_2025[[#This Row],[Temps travail]]*24-TempsTravail*24,0)</f>
        <v>0</v>
      </c>
      <c r="H5">
        <f t="shared" si="0"/>
        <v>49</v>
      </c>
      <c r="J5" s="11">
        <v>51</v>
      </c>
      <c r="K5" s="9" t="str">
        <f t="shared" si="1"/>
        <v>2:21</v>
      </c>
      <c r="L5" s="24">
        <f xml:space="preserve"> SUMIF(H:H, J5, G:G)</f>
        <v>2.3499999999999925</v>
      </c>
      <c r="N5" s="46">
        <v>49</v>
      </c>
      <c r="O5" s="53">
        <v>2.7083333333333334E-2</v>
      </c>
      <c r="P5" s="48">
        <v>0.65000000000000036</v>
      </c>
      <c r="Q5"/>
      <c r="T5">
        <v>50</v>
      </c>
      <c r="U5" s="84">
        <v>2.983333333333329</v>
      </c>
    </row>
    <row r="6" spans="1:22" x14ac:dyDescent="0.3">
      <c r="A6" s="1">
        <v>45996</v>
      </c>
      <c r="B6" s="2">
        <v>0.33333333333333331</v>
      </c>
      <c r="C6" s="2">
        <v>0.66666666666666663</v>
      </c>
      <c r="D6" s="5">
        <v>4.1666666666666664E-2</v>
      </c>
      <c r="E6" s="15">
        <f>IF(Tableau12_2025[[#This Row],[Arrivée]]&lt;&gt;"",(Tableau12_2025[[#This Row],[Départ]] - Tableau12_2025[[#This Row],[Arrivée]]) - Tableau12_2025[[#This Row],[Pause]],0)</f>
        <v>0.29166666666666663</v>
      </c>
      <c r="F6" s="17">
        <f>IF(Tableau12_2025[[#This Row],[Temps travail]]&gt;TempsTravail,Tableau12_2025[[#This Row],[Temps travail]]-TempsTravail,0)</f>
        <v>0</v>
      </c>
      <c r="G6" s="43">
        <f>IF(Tableau12_2025[[#This Row],[Temps travail]]&gt;TempsTravail,Tableau12_2025[[#This Row],[Temps travail]]*24-TempsTravail*24,0)</f>
        <v>0</v>
      </c>
      <c r="H6">
        <f t="shared" si="0"/>
        <v>49</v>
      </c>
      <c r="J6" s="11">
        <v>52</v>
      </c>
      <c r="K6" s="9" t="str">
        <f t="shared" si="1"/>
        <v>3:00</v>
      </c>
      <c r="L6" s="24">
        <f xml:space="preserve"> SUMIF(H:H, J6, G:G)</f>
        <v>2.9999999999999973</v>
      </c>
      <c r="N6" s="46">
        <v>50</v>
      </c>
      <c r="O6" s="53">
        <v>0.12430555555555556</v>
      </c>
      <c r="P6" s="48">
        <v>2.983333333333329</v>
      </c>
      <c r="Q6"/>
      <c r="T6">
        <v>51</v>
      </c>
      <c r="U6" s="84">
        <v>2.3499999999999925</v>
      </c>
    </row>
    <row r="7" spans="1:22" x14ac:dyDescent="0.3">
      <c r="A7" s="1">
        <v>45997</v>
      </c>
      <c r="B7" s="3"/>
      <c r="C7" s="3"/>
      <c r="D7" s="5">
        <v>4.1666666666666664E-2</v>
      </c>
      <c r="E7" s="15">
        <f>IF(Tableau12_2025[[#This Row],[Arrivée]]&lt;&gt;"",(Tableau12_2025[[#This Row],[Départ]] - Tableau12_2025[[#This Row],[Arrivée]]) - Tableau12_2025[[#This Row],[Pause]],0)</f>
        <v>0</v>
      </c>
      <c r="F7" s="17">
        <f>IF(Tableau12_2025[[#This Row],[Temps travail]]&gt;TempsTravail,Tableau12_2025[[#This Row],[Temps travail]]-TempsTravail,0)</f>
        <v>0</v>
      </c>
      <c r="G7" s="43">
        <f>IF(Tableau12_2025[[#This Row],[Temps travail]]&gt;TempsTravail,Tableau12_2025[[#This Row],[Temps travail]]*24-TempsTravail*24,0)</f>
        <v>0</v>
      </c>
      <c r="H7">
        <f t="shared" si="0"/>
        <v>49</v>
      </c>
      <c r="J7" s="11">
        <v>53</v>
      </c>
      <c r="K7" s="9" t="str">
        <f t="shared" si="1"/>
        <v>0:00</v>
      </c>
      <c r="L7" s="24">
        <f xml:space="preserve"> SUMIF(H:H, J7, G:G)</f>
        <v>0</v>
      </c>
      <c r="N7" s="46">
        <v>51</v>
      </c>
      <c r="O7" s="53">
        <v>9.7916666666666666E-2</v>
      </c>
      <c r="P7" s="48">
        <v>2.3499999999999925</v>
      </c>
      <c r="Q7"/>
      <c r="T7">
        <v>52</v>
      </c>
      <c r="U7" s="84">
        <v>2.9999999999999973</v>
      </c>
    </row>
    <row r="8" spans="1:22" x14ac:dyDescent="0.3">
      <c r="A8" s="1">
        <v>45998</v>
      </c>
      <c r="B8" s="3"/>
      <c r="C8" s="3"/>
      <c r="D8" s="5">
        <v>4.1666666666666664E-2</v>
      </c>
      <c r="E8" s="15">
        <f>IF(Tableau12_2025[[#This Row],[Arrivée]]&lt;&gt;"",(Tableau12_2025[[#This Row],[Départ]] - Tableau12_2025[[#This Row],[Arrivée]]) - Tableau12_2025[[#This Row],[Pause]],0)</f>
        <v>0</v>
      </c>
      <c r="F8" s="17">
        <f>IF(Tableau12_2025[[#This Row],[Temps travail]]&gt;TempsTravail,Tableau12_2025[[#This Row],[Temps travail]]-TempsTravail,0)</f>
        <v>0</v>
      </c>
      <c r="G8" s="43">
        <f>IF(Tableau12_2025[[#This Row],[Temps travail]]&gt;TempsTravail,Tableau12_2025[[#This Row],[Temps travail]]*24-TempsTravail*24,0)</f>
        <v>0</v>
      </c>
      <c r="H8">
        <f t="shared" si="0"/>
        <v>49</v>
      </c>
      <c r="K8" s="9" t="str">
        <f t="shared" si="1"/>
        <v/>
      </c>
      <c r="N8" s="46">
        <v>52</v>
      </c>
      <c r="O8" s="53">
        <v>0.125</v>
      </c>
      <c r="P8" s="48">
        <v>2.9999999999999973</v>
      </c>
      <c r="Q8"/>
      <c r="T8">
        <v>53</v>
      </c>
      <c r="U8" s="84">
        <v>-0.1875</v>
      </c>
    </row>
    <row r="9" spans="1:22" x14ac:dyDescent="0.3">
      <c r="A9" s="1">
        <v>45999</v>
      </c>
      <c r="B9" s="3">
        <v>0.33819444444444446</v>
      </c>
      <c r="C9" s="3">
        <v>0.6958333333333333</v>
      </c>
      <c r="D9" s="5">
        <v>4.1666666666666664E-2</v>
      </c>
      <c r="E9" s="15">
        <f>IF(Tableau12_2025[[#This Row],[Arrivée]]&lt;&gt;"",(Tableau12_2025[[#This Row],[Départ]] - Tableau12_2025[[#This Row],[Arrivée]]) - Tableau12_2025[[#This Row],[Pause]],0)</f>
        <v>0.31597222222222215</v>
      </c>
      <c r="F9" s="17">
        <f>IF(Tableau12_2025[[#This Row],[Temps travail]]&gt;TempsTravail,Tableau12_2025[[#This Row],[Temps travail]]-TempsTravail,0)</f>
        <v>2.4305555555555469E-2</v>
      </c>
      <c r="G9" s="43">
        <f>IF(Tableau12_2025[[#This Row],[Temps travail]]&gt;TempsTravail,Tableau12_2025[[#This Row],[Temps travail]]*24-TempsTravail*24,0)</f>
        <v>0.58333333333333215</v>
      </c>
      <c r="H9">
        <f t="shared" si="0"/>
        <v>50</v>
      </c>
      <c r="J9" s="40" t="s">
        <v>8</v>
      </c>
      <c r="K9" s="41" t="str">
        <f t="shared" si="1"/>
        <v>8:59</v>
      </c>
      <c r="L9" s="25">
        <f xml:space="preserve"> SUM(L3:L7)</f>
        <v>8.9833333333333201</v>
      </c>
      <c r="N9" s="46">
        <v>53</v>
      </c>
      <c r="O9" s="53">
        <v>0</v>
      </c>
      <c r="P9" s="48">
        <v>0</v>
      </c>
      <c r="Q9"/>
      <c r="S9" t="s">
        <v>36</v>
      </c>
      <c r="U9" s="84">
        <v>8.7958333333333201</v>
      </c>
    </row>
    <row r="10" spans="1:22" x14ac:dyDescent="0.3">
      <c r="A10" s="1">
        <v>46000</v>
      </c>
      <c r="B10" s="3">
        <v>0.33263888888888887</v>
      </c>
      <c r="C10" s="3">
        <v>0.69513888888888886</v>
      </c>
      <c r="D10" s="5">
        <v>4.1666666666666664E-2</v>
      </c>
      <c r="E10" s="15">
        <f>IF(Tableau12_2025[[#This Row],[Arrivée]]&lt;&gt;"",(Tableau12_2025[[#This Row],[Départ]] - Tableau12_2025[[#This Row],[Arrivée]]) - Tableau12_2025[[#This Row],[Pause]],0)</f>
        <v>0.3208333333333333</v>
      </c>
      <c r="F10" s="17">
        <f>IF(Tableau12_2025[[#This Row],[Temps travail]]&gt;TempsTravail,Tableau12_2025[[#This Row],[Temps travail]]-TempsTravail,0)</f>
        <v>2.9166666666666619E-2</v>
      </c>
      <c r="G10" s="43">
        <f>IF(Tableau12_2025[[#This Row],[Temps travail]]&gt;TempsTravail,Tableau12_2025[[#This Row],[Temps travail]]*24-TempsTravail*24,0)</f>
        <v>0.69999999999999929</v>
      </c>
      <c r="H10">
        <f t="shared" si="0"/>
        <v>50</v>
      </c>
      <c r="J10" s="39" t="s">
        <v>9</v>
      </c>
      <c r="K10" s="37" t="str">
        <f>IF(ISBLANK(L10), "", IF(L10&lt;0, "-" &amp; TEXT(ABS(L10)/24, "[h]:mm"), TEXT(L10/24, "[h]:mm")))</f>
        <v>104:01</v>
      </c>
      <c r="L10" s="18">
        <f>SUM(L14:L22)</f>
        <v>104.01666666666657</v>
      </c>
      <c r="N10" t="s">
        <v>30</v>
      </c>
      <c r="O10" s="53">
        <v>0.37430555555555556</v>
      </c>
      <c r="P10" s="48">
        <v>8.9833333333333201</v>
      </c>
      <c r="Q10"/>
      <c r="S10" t="s">
        <v>30</v>
      </c>
      <c r="U10" s="84">
        <v>8.7958333333333201</v>
      </c>
    </row>
    <row r="11" spans="1:22" x14ac:dyDescent="0.3">
      <c r="A11" s="1">
        <v>46001</v>
      </c>
      <c r="B11" s="3">
        <v>0.3298611111111111</v>
      </c>
      <c r="C11" s="3">
        <v>0.70763888888888893</v>
      </c>
      <c r="D11" s="5">
        <v>4.1666666666666664E-2</v>
      </c>
      <c r="E11" s="15">
        <f>IF(Tableau12_2025[[#This Row],[Arrivée]]&lt;&gt;"",(Tableau12_2025[[#This Row],[Départ]] - Tableau12_2025[[#This Row],[Arrivée]]) - Tableau12_2025[[#This Row],[Pause]],0)</f>
        <v>0.33611111111111114</v>
      </c>
      <c r="F11" s="17">
        <f>IF(Tableau12_2025[[#This Row],[Temps travail]]&gt;TempsTravail,Tableau12_2025[[#This Row],[Temps travail]]-TempsTravail,0)</f>
        <v>4.4444444444444453E-2</v>
      </c>
      <c r="G11" s="43">
        <f>IF(Tableau12_2025[[#This Row],[Temps travail]]&gt;TempsTravail,Tableau12_2025[[#This Row],[Temps travail]]*24-TempsTravail*24,0)</f>
        <v>1.0666666666666664</v>
      </c>
      <c r="H11">
        <f t="shared" si="0"/>
        <v>50</v>
      </c>
      <c r="J11" s="24"/>
      <c r="K11" s="18"/>
      <c r="L11" s="18"/>
    </row>
    <row r="12" spans="1:22" x14ac:dyDescent="0.3">
      <c r="A12" s="1">
        <v>46002</v>
      </c>
      <c r="B12" s="3">
        <v>0.33888888888888891</v>
      </c>
      <c r="C12" s="3">
        <v>0.69861111111111107</v>
      </c>
      <c r="D12" s="5">
        <v>4.1666666666666664E-2</v>
      </c>
      <c r="E12" s="15">
        <f>IF(Tableau12_2025[[#This Row],[Arrivée]]&lt;&gt;"",(Tableau12_2025[[#This Row],[Départ]] - Tableau12_2025[[#This Row],[Arrivée]]) - Tableau12_2025[[#This Row],[Pause]],0)</f>
        <v>0.31805555555555548</v>
      </c>
      <c r="F12" s="17">
        <f>IF(Tableau12_2025[[#This Row],[Temps travail]]&gt;TempsTravail,Tableau12_2025[[#This Row],[Temps travail]]-TempsTravail,0)</f>
        <v>2.6388888888888795E-2</v>
      </c>
      <c r="G12" s="43">
        <f>IF(Tableau12_2025[[#This Row],[Temps travail]]&gt;TempsTravail,Tableau12_2025[[#This Row],[Temps travail]]*24-TempsTravail*24,0)</f>
        <v>0.63333333333333108</v>
      </c>
      <c r="H12">
        <f t="shared" si="0"/>
        <v>50</v>
      </c>
      <c r="K12" s="18"/>
      <c r="L12" s="18"/>
    </row>
    <row r="13" spans="1:22" x14ac:dyDescent="0.3">
      <c r="A13" s="1">
        <v>46003</v>
      </c>
      <c r="B13" s="2">
        <v>0.33819444444444446</v>
      </c>
      <c r="C13" s="2">
        <v>0.54861111111111116</v>
      </c>
      <c r="D13" s="5">
        <v>4.1666666666666664E-2</v>
      </c>
      <c r="E13" s="15">
        <f>IF(Tableau12_2025[[#This Row],[Arrivée]]&lt;&gt;"",(Tableau12_2025[[#This Row],[Départ]] - Tableau12_2025[[#This Row],[Arrivée]]) - Tableau12_2025[[#This Row],[Pause]],0)</f>
        <v>0.16875000000000004</v>
      </c>
      <c r="F13" s="17">
        <f>IF(Tableau12_2025[[#This Row],[Temps travail]]&gt;TempsTravail,Tableau12_2025[[#This Row],[Temps travail]]-TempsTravail,0)</f>
        <v>0</v>
      </c>
      <c r="G13" s="43">
        <f>IF(Tableau12_2025[[#This Row],[Temps travail]]&gt;TempsTravail,Tableau12_2025[[#This Row],[Temps travail]]*24-TempsTravail*24,0)</f>
        <v>0</v>
      </c>
      <c r="H13">
        <f t="shared" si="0"/>
        <v>50</v>
      </c>
      <c r="K13" s="18"/>
      <c r="L13" s="18"/>
    </row>
    <row r="14" spans="1:22" x14ac:dyDescent="0.3">
      <c r="A14" s="1">
        <v>46004</v>
      </c>
      <c r="B14" s="3"/>
      <c r="C14" s="3"/>
      <c r="D14" s="5">
        <v>4.1666666666666664E-2</v>
      </c>
      <c r="E14" s="15">
        <f>IF(Tableau12_2025[[#This Row],[Arrivée]]&lt;&gt;"",(Tableau12_2025[[#This Row],[Départ]] - Tableau12_2025[[#This Row],[Arrivée]]) - Tableau12_2025[[#This Row],[Pause]],0)</f>
        <v>0</v>
      </c>
      <c r="F14" s="17">
        <f>IF(Tableau12_2025[[#This Row],[Temps travail]]&gt;TempsTravail,Tableau12_2025[[#This Row],[Temps travail]]-TempsTravail,0)</f>
        <v>0</v>
      </c>
      <c r="G14" s="43">
        <f>IF(Tableau12_2025[[#This Row],[Temps travail]]&gt;TempsTravail,Tableau12_2025[[#This Row],[Temps travail]]*24-TempsTravail*24,0)</f>
        <v>0</v>
      </c>
      <c r="H14">
        <f t="shared" si="0"/>
        <v>50</v>
      </c>
      <c r="J14" t="s">
        <v>10</v>
      </c>
      <c r="K14" s="9" t="str">
        <f>IF(ISBLANK(L14), "", IF(L14&lt;0, "-" &amp; TEXT(ABS(L14)/24, "h:mm"), TEXT(L14/24, "h:mm")))</f>
        <v>5:04</v>
      </c>
      <c r="L14" s="18">
        <f>'04-2025'!L9</f>
        <v>5.0666666666666638</v>
      </c>
      <c r="N14" s="49" t="s">
        <v>31</v>
      </c>
      <c r="O14" s="49" t="s">
        <v>32</v>
      </c>
      <c r="P14" s="54" t="s">
        <v>35</v>
      </c>
      <c r="Q14" s="54" t="s">
        <v>38</v>
      </c>
      <c r="S14" s="49" t="s">
        <v>31</v>
      </c>
      <c r="T14" s="49" t="s">
        <v>32</v>
      </c>
      <c r="U14" t="s">
        <v>41</v>
      </c>
      <c r="V14" t="s">
        <v>42</v>
      </c>
    </row>
    <row r="15" spans="1:22" x14ac:dyDescent="0.3">
      <c r="A15" s="1">
        <v>46005</v>
      </c>
      <c r="B15" s="3"/>
      <c r="C15" s="3"/>
      <c r="D15" s="5">
        <v>4.1666666666666664E-2</v>
      </c>
      <c r="E15" s="15">
        <f>IF(Tableau12_2025[[#This Row],[Arrivée]]&lt;&gt;"",(Tableau12_2025[[#This Row],[Départ]] - Tableau12_2025[[#This Row],[Arrivée]]) - Tableau12_2025[[#This Row],[Pause]],0)</f>
        <v>0</v>
      </c>
      <c r="F15" s="17">
        <f>IF(Tableau12_2025[[#This Row],[Temps travail]]&gt;TempsTravail,Tableau12_2025[[#This Row],[Temps travail]]-TempsTravail,0)</f>
        <v>0</v>
      </c>
      <c r="G15" s="43">
        <f>IF(Tableau12_2025[[#This Row],[Temps travail]]&gt;TempsTravail,Tableau12_2025[[#This Row],[Temps travail]]*24-TempsTravail*24,0)</f>
        <v>0</v>
      </c>
      <c r="H15">
        <f t="shared" si="0"/>
        <v>50</v>
      </c>
      <c r="J15" t="s">
        <v>11</v>
      </c>
      <c r="K15" s="9" t="str">
        <f t="shared" ref="K15:K22" si="2">IF(ISBLANK(L15), "", IF(L15&lt;0, "-" &amp; TEXT(ABS(L15)/24, "h:mm"), TEXT(L15/24, "h:mm")))</f>
        <v>6:39</v>
      </c>
      <c r="L15" s="17">
        <f>'05-2025'!L9</f>
        <v>6.6499999999999977</v>
      </c>
      <c r="N15">
        <v>2025</v>
      </c>
      <c r="O15" t="s">
        <v>21</v>
      </c>
      <c r="P15" s="53">
        <v>0.21111111111111111</v>
      </c>
      <c r="Q15" s="47">
        <v>5.0666666666666638</v>
      </c>
      <c r="S15">
        <v>2025</v>
      </c>
      <c r="T15" t="s">
        <v>21</v>
      </c>
      <c r="U15" s="15">
        <v>0.21111111111111111</v>
      </c>
      <c r="V15" s="84">
        <v>5.0666666666666638</v>
      </c>
    </row>
    <row r="16" spans="1:22" x14ac:dyDescent="0.3">
      <c r="A16" s="1">
        <v>46006</v>
      </c>
      <c r="B16" s="3">
        <v>0.34236111111111112</v>
      </c>
      <c r="C16" s="3">
        <v>0.69513888888888886</v>
      </c>
      <c r="D16" s="5">
        <v>4.1666666666666664E-2</v>
      </c>
      <c r="E16" s="15">
        <f>IF(Tableau12_2025[[#This Row],[Arrivée]]&lt;&gt;"",(Tableau12_2025[[#This Row],[Départ]] - Tableau12_2025[[#This Row],[Arrivée]]) - Tableau12_2025[[#This Row],[Pause]],0)</f>
        <v>0.31111111111111106</v>
      </c>
      <c r="F16" s="17">
        <f>IF(Tableau12_2025[[#This Row],[Temps travail]]&gt;TempsTravail,Tableau12_2025[[#This Row],[Temps travail]]-TempsTravail,0)</f>
        <v>1.9444444444444375E-2</v>
      </c>
      <c r="G16" s="43">
        <f>IF(Tableau12_2025[[#This Row],[Temps travail]]&gt;TempsTravail,Tableau12_2025[[#This Row],[Temps travail]]*24-TempsTravail*24,0)</f>
        <v>0.46666666666666501</v>
      </c>
      <c r="H16">
        <f t="shared" si="0"/>
        <v>51</v>
      </c>
      <c r="J16" t="s">
        <v>12</v>
      </c>
      <c r="K16" s="9" t="str">
        <f t="shared" si="2"/>
        <v>8:01</v>
      </c>
      <c r="L16" s="17">
        <f>'06-2025'!L9</f>
        <v>8.0166666666666551</v>
      </c>
      <c r="O16" t="s">
        <v>22</v>
      </c>
      <c r="P16" s="53">
        <v>0.27708333333333335</v>
      </c>
      <c r="Q16" s="47">
        <v>6.6499999999999977</v>
      </c>
      <c r="T16" t="s">
        <v>22</v>
      </c>
      <c r="U16" s="15">
        <v>0.27708333333333335</v>
      </c>
      <c r="V16" s="84">
        <v>6.6499999999999977</v>
      </c>
    </row>
    <row r="17" spans="1:22" x14ac:dyDescent="0.3">
      <c r="A17" s="1">
        <v>46007</v>
      </c>
      <c r="B17" s="3">
        <v>0.34097222222222223</v>
      </c>
      <c r="C17" s="3">
        <v>0.69861111111111107</v>
      </c>
      <c r="D17" s="5">
        <v>4.1666666666666664E-2</v>
      </c>
      <c r="E17" s="15">
        <f>IF(Tableau12_2025[[#This Row],[Arrivée]]&lt;&gt;"",(Tableau12_2025[[#This Row],[Départ]] - Tableau12_2025[[#This Row],[Arrivée]]) - Tableau12_2025[[#This Row],[Pause]],0)</f>
        <v>0.31597222222222215</v>
      </c>
      <c r="F17" s="17">
        <f>IF(Tableau12_2025[[#This Row],[Temps travail]]&gt;TempsTravail,Tableau12_2025[[#This Row],[Temps travail]]-TempsTravail,0)</f>
        <v>2.4305555555555469E-2</v>
      </c>
      <c r="G17" s="43">
        <f>IF(Tableau12_2025[[#This Row],[Temps travail]]&gt;TempsTravail,Tableau12_2025[[#This Row],[Temps travail]]*24-TempsTravail*24,0)</f>
        <v>0.58333333333333215</v>
      </c>
      <c r="H17">
        <f t="shared" si="0"/>
        <v>51</v>
      </c>
      <c r="J17" t="s">
        <v>13</v>
      </c>
      <c r="K17" s="9" t="str">
        <f t="shared" si="2"/>
        <v>16:23</v>
      </c>
      <c r="L17" s="17">
        <f>'07-2025'!L8</f>
        <v>16.383333333333319</v>
      </c>
      <c r="O17" t="s">
        <v>23</v>
      </c>
      <c r="P17" s="53">
        <v>0.33402777777777776</v>
      </c>
      <c r="Q17" s="47">
        <v>8.0166666666666551</v>
      </c>
      <c r="T17" t="s">
        <v>23</v>
      </c>
      <c r="U17" s="15">
        <v>0.33402777777777776</v>
      </c>
      <c r="V17" s="84">
        <v>8.0166666666666551</v>
      </c>
    </row>
    <row r="18" spans="1:22" x14ac:dyDescent="0.3">
      <c r="A18" s="1">
        <v>46008</v>
      </c>
      <c r="B18" s="3">
        <v>0.33611111111111114</v>
      </c>
      <c r="C18" s="3">
        <v>0.69722222222222219</v>
      </c>
      <c r="D18" s="5">
        <v>4.1666666666666664E-2</v>
      </c>
      <c r="E18" s="15">
        <f>IF(Tableau12_2025[[#This Row],[Arrivée]]&lt;&gt;"",(Tableau12_2025[[#This Row],[Départ]] - Tableau12_2025[[#This Row],[Arrivée]]) - Tableau12_2025[[#This Row],[Pause]],0)</f>
        <v>0.31944444444444436</v>
      </c>
      <c r="F18" s="17">
        <f>IF(Tableau12_2025[[#This Row],[Temps travail]]&gt;TempsTravail,Tableau12_2025[[#This Row],[Temps travail]]-TempsTravail,0)</f>
        <v>2.7777777777777679E-2</v>
      </c>
      <c r="G18" s="43">
        <f>IF(Tableau12_2025[[#This Row],[Temps travail]]&gt;TempsTravail,Tableau12_2025[[#This Row],[Temps travail]]*24-TempsTravail*24,0)</f>
        <v>0.6666666666666643</v>
      </c>
      <c r="H18">
        <f t="shared" si="0"/>
        <v>51</v>
      </c>
      <c r="J18" t="s">
        <v>14</v>
      </c>
      <c r="K18" s="9" t="str">
        <f t="shared" si="2"/>
        <v>15:08</v>
      </c>
      <c r="L18" s="17">
        <f>'08-2025'!L9</f>
        <v>15.13333333333332</v>
      </c>
      <c r="O18" t="s">
        <v>24</v>
      </c>
      <c r="P18" s="53">
        <v>0.68263888888888891</v>
      </c>
      <c r="Q18" s="47">
        <v>16.383333333333319</v>
      </c>
      <c r="T18" t="s">
        <v>24</v>
      </c>
      <c r="U18" s="15">
        <v>0.68263888888888891</v>
      </c>
      <c r="V18" s="84">
        <v>16.383333333333319</v>
      </c>
    </row>
    <row r="19" spans="1:22" x14ac:dyDescent="0.3">
      <c r="A19" s="1">
        <v>46009</v>
      </c>
      <c r="B19" s="3">
        <v>0.33958333333333335</v>
      </c>
      <c r="C19" s="3">
        <v>0.69930555555555551</v>
      </c>
      <c r="D19" s="5">
        <v>4.1666666666666664E-2</v>
      </c>
      <c r="E19" s="15">
        <f>IF(Tableau12_2025[[#This Row],[Arrivée]]&lt;&gt;"",(Tableau12_2025[[#This Row],[Départ]] - Tableau12_2025[[#This Row],[Arrivée]]) - Tableau12_2025[[#This Row],[Pause]],0)</f>
        <v>0.31805555555555548</v>
      </c>
      <c r="F19" s="17">
        <f>IF(Tableau12_2025[[#This Row],[Temps travail]]&gt;TempsTravail,Tableau12_2025[[#This Row],[Temps travail]]-TempsTravail,0)</f>
        <v>2.6388888888888795E-2</v>
      </c>
      <c r="G19" s="43">
        <f>IF(Tableau12_2025[[#This Row],[Temps travail]]&gt;TempsTravail,Tableau12_2025[[#This Row],[Temps travail]]*24-TempsTravail*24,0)</f>
        <v>0.63333333333333108</v>
      </c>
      <c r="H19">
        <f t="shared" si="0"/>
        <v>51</v>
      </c>
      <c r="J19" t="s">
        <v>15</v>
      </c>
      <c r="K19" s="9" t="str">
        <f t="shared" si="2"/>
        <v>13:21</v>
      </c>
      <c r="L19" s="17">
        <f>'09-2025'!L9</f>
        <v>13.349999999999985</v>
      </c>
      <c r="O19" t="s">
        <v>25</v>
      </c>
      <c r="P19" s="53">
        <v>0.63055555555555554</v>
      </c>
      <c r="Q19" s="47">
        <v>15.13333333333332</v>
      </c>
      <c r="T19" t="s">
        <v>25</v>
      </c>
      <c r="U19" s="15">
        <v>0.63055555555555542</v>
      </c>
      <c r="V19" s="84">
        <v>15.13333333333332</v>
      </c>
    </row>
    <row r="20" spans="1:22" x14ac:dyDescent="0.3">
      <c r="A20" s="1">
        <v>46010</v>
      </c>
      <c r="B20" s="2">
        <v>0.33958333333333335</v>
      </c>
      <c r="C20" s="2">
        <v>0.59861111111111109</v>
      </c>
      <c r="D20" s="5">
        <v>4.1666666666666664E-2</v>
      </c>
      <c r="E20" s="15">
        <f>IF(Tableau12_2025[[#This Row],[Arrivée]]&lt;&gt;"",(Tableau12_2025[[#This Row],[Départ]] - Tableau12_2025[[#This Row],[Arrivée]]) - Tableau12_2025[[#This Row],[Pause]],0)</f>
        <v>0.21736111111111109</v>
      </c>
      <c r="F20" s="17">
        <f>IF(Tableau12_2025[[#This Row],[Temps travail]]&gt;TempsTravail,Tableau12_2025[[#This Row],[Temps travail]]-TempsTravail,0)</f>
        <v>0</v>
      </c>
      <c r="G20" s="43">
        <f>IF(Tableau12_2025[[#This Row],[Temps travail]]&gt;TempsTravail,Tableau12_2025[[#This Row],[Temps travail]]*24-TempsTravail*24,0)</f>
        <v>0</v>
      </c>
      <c r="H20">
        <f t="shared" si="0"/>
        <v>51</v>
      </c>
      <c r="J20" t="s">
        <v>16</v>
      </c>
      <c r="K20" s="9" t="str">
        <f t="shared" si="2"/>
        <v>19:54</v>
      </c>
      <c r="L20" s="17">
        <f>'10-2025'!L9</f>
        <v>19.899999999999995</v>
      </c>
      <c r="O20" t="s">
        <v>26</v>
      </c>
      <c r="P20" s="53">
        <v>0.55625000000000002</v>
      </c>
      <c r="Q20" s="47">
        <v>13.349999999999985</v>
      </c>
      <c r="T20" t="s">
        <v>26</v>
      </c>
      <c r="U20" s="15">
        <v>0.55625000000000002</v>
      </c>
      <c r="V20" s="84">
        <v>13.349999999999985</v>
      </c>
    </row>
    <row r="21" spans="1:22" x14ac:dyDescent="0.3">
      <c r="A21" s="1">
        <v>46011</v>
      </c>
      <c r="D21" s="5">
        <v>4.1666666666666664E-2</v>
      </c>
      <c r="E21" s="15">
        <f>IF(Tableau12_2025[[#This Row],[Arrivée]]&lt;&gt;"",(Tableau12_2025[[#This Row],[Départ]] - Tableau12_2025[[#This Row],[Arrivée]]) - Tableau12_2025[[#This Row],[Pause]],0)</f>
        <v>0</v>
      </c>
      <c r="F21" s="17">
        <f>IF(Tableau12_2025[[#This Row],[Temps travail]]&gt;TempsTravail,Tableau12_2025[[#This Row],[Temps travail]]-TempsTravail,0)</f>
        <v>0</v>
      </c>
      <c r="G21" s="43">
        <f>IF(Tableau12_2025[[#This Row],[Temps travail]]&gt;TempsTravail,Tableau12_2025[[#This Row],[Temps travail]]*24-TempsTravail*24,0)</f>
        <v>0</v>
      </c>
      <c r="H21">
        <f t="shared" si="0"/>
        <v>51</v>
      </c>
      <c r="J21" t="s">
        <v>17</v>
      </c>
      <c r="K21" s="9" t="str">
        <f t="shared" si="2"/>
        <v>10:32</v>
      </c>
      <c r="L21" s="17">
        <f>'11-2025'!L9</f>
        <v>10.533333333333319</v>
      </c>
      <c r="O21" t="s">
        <v>27</v>
      </c>
      <c r="P21" s="53">
        <v>0.82916666666666672</v>
      </c>
      <c r="Q21" s="47">
        <v>19.899999999999995</v>
      </c>
      <c r="T21" t="s">
        <v>27</v>
      </c>
      <c r="U21" s="15">
        <v>0.82916666666666661</v>
      </c>
      <c r="V21" s="84">
        <v>19.899999999999995</v>
      </c>
    </row>
    <row r="22" spans="1:22" x14ac:dyDescent="0.3">
      <c r="A22" s="1">
        <v>46012</v>
      </c>
      <c r="D22" s="5">
        <v>4.1666666666666664E-2</v>
      </c>
      <c r="E22" s="15">
        <f>IF(Tableau12_2025[[#This Row],[Arrivée]]&lt;&gt;"",(Tableau12_2025[[#This Row],[Départ]] - Tableau12_2025[[#This Row],[Arrivée]]) - Tableau12_2025[[#This Row],[Pause]],0)</f>
        <v>0</v>
      </c>
      <c r="F22" s="17">
        <f>IF(Tableau12_2025[[#This Row],[Temps travail]]&gt;TempsTravail,Tableau12_2025[[#This Row],[Temps travail]]-TempsTravail,0)</f>
        <v>0</v>
      </c>
      <c r="G22" s="43">
        <f>IF(Tableau12_2025[[#This Row],[Temps travail]]&gt;TempsTravail,Tableau12_2025[[#This Row],[Temps travail]]*24-TempsTravail*24,0)</f>
        <v>0</v>
      </c>
      <c r="H22">
        <f t="shared" si="0"/>
        <v>51</v>
      </c>
      <c r="J22" t="s">
        <v>18</v>
      </c>
      <c r="K22" s="9" t="str">
        <f t="shared" si="2"/>
        <v>8:59</v>
      </c>
      <c r="L22" s="17">
        <f>'12-2025'!L9</f>
        <v>8.9833333333333201</v>
      </c>
      <c r="O22" t="s">
        <v>28</v>
      </c>
      <c r="P22" s="53">
        <v>0.43888888888888888</v>
      </c>
      <c r="Q22" s="47">
        <v>10.533333333333319</v>
      </c>
      <c r="T22" t="s">
        <v>28</v>
      </c>
      <c r="U22" s="15">
        <v>0.43888888888888888</v>
      </c>
      <c r="V22" s="84">
        <v>10.533333333333319</v>
      </c>
    </row>
    <row r="23" spans="1:22" x14ac:dyDescent="0.3">
      <c r="A23" s="1">
        <v>46013</v>
      </c>
      <c r="B23" s="3">
        <v>0.33611111111111114</v>
      </c>
      <c r="C23" s="3">
        <v>0.70625000000000004</v>
      </c>
      <c r="D23" s="5">
        <v>4.1666666666666664E-2</v>
      </c>
      <c r="E23" s="15">
        <f>IF(Tableau12_2025[[#This Row],[Arrivée]]&lt;&gt;"",(Tableau12_2025[[#This Row],[Départ]] - Tableau12_2025[[#This Row],[Arrivée]]) - Tableau12_2025[[#This Row],[Pause]],0)</f>
        <v>0.32847222222222222</v>
      </c>
      <c r="F23" s="17">
        <f>IF(Tableau12_2025[[#This Row],[Temps travail]]&gt;TempsTravail,Tableau12_2025[[#This Row],[Temps travail]]-TempsTravail,0)</f>
        <v>3.6805555555555536E-2</v>
      </c>
      <c r="G23" s="43">
        <f>IF(Tableau12_2025[[#This Row],[Temps travail]]&gt;TempsTravail,Tableau12_2025[[#This Row],[Temps travail]]*24-TempsTravail*24,0)</f>
        <v>0.88333333333333286</v>
      </c>
      <c r="H23">
        <f t="shared" si="0"/>
        <v>52</v>
      </c>
      <c r="O23" t="s">
        <v>29</v>
      </c>
      <c r="P23" s="53">
        <v>0.37430555555555556</v>
      </c>
      <c r="Q23" s="47">
        <v>8.9833333333333201</v>
      </c>
      <c r="T23" t="s">
        <v>29</v>
      </c>
      <c r="U23" s="15">
        <v>0.18680555555555556</v>
      </c>
      <c r="V23" s="84">
        <v>8.7958333333333201</v>
      </c>
    </row>
    <row r="24" spans="1:22" x14ac:dyDescent="0.3">
      <c r="A24" s="1">
        <v>46014</v>
      </c>
      <c r="B24" s="3">
        <v>0.33333333333333331</v>
      </c>
      <c r="C24" s="3">
        <v>0.69097222222222221</v>
      </c>
      <c r="D24" s="5">
        <v>4.1666666666666664E-2</v>
      </c>
      <c r="E24" s="15">
        <f>IF(Tableau12_2025[[#This Row],[Arrivée]]&lt;&gt;"",(Tableau12_2025[[#This Row],[Départ]] - Tableau12_2025[[#This Row],[Arrivée]]) - Tableau12_2025[[#This Row],[Pause]],0)</f>
        <v>0.31597222222222221</v>
      </c>
      <c r="F24" s="17">
        <f>IF(Tableau12_2025[[#This Row],[Temps travail]]&gt;TempsTravail,Tableau12_2025[[#This Row],[Temps travail]]-TempsTravail,0)</f>
        <v>2.4305555555555525E-2</v>
      </c>
      <c r="G24" s="43">
        <f>IF(Tableau12_2025[[#This Row],[Temps travail]]&gt;TempsTravail,Tableau12_2025[[#This Row],[Temps travail]]*24-TempsTravail*24,0)</f>
        <v>0.58333333333333304</v>
      </c>
      <c r="H24">
        <f t="shared" si="0"/>
        <v>52</v>
      </c>
      <c r="N24" t="s">
        <v>36</v>
      </c>
      <c r="P24" s="53">
        <v>4.334027777777778</v>
      </c>
      <c r="Q24" s="47">
        <v>104.01666666666657</v>
      </c>
      <c r="S24" t="s">
        <v>36</v>
      </c>
      <c r="U24" s="15">
        <v>4.146527777777778</v>
      </c>
      <c r="V24" s="84">
        <v>103.82916666666657</v>
      </c>
    </row>
    <row r="25" spans="1:22" x14ac:dyDescent="0.3">
      <c r="A25" s="1">
        <v>46015</v>
      </c>
      <c r="B25" s="3">
        <v>0.3215277777777778</v>
      </c>
      <c r="C25" s="3">
        <v>0.69791666666666663</v>
      </c>
      <c r="D25" s="5">
        <v>4.1666666666666664E-2</v>
      </c>
      <c r="E25" s="15">
        <f>IF(Tableau12_2025[[#This Row],[Arrivée]]&lt;&gt;"",(Tableau12_2025[[#This Row],[Départ]] - Tableau12_2025[[#This Row],[Arrivée]]) - Tableau12_2025[[#This Row],[Pause]],0)</f>
        <v>0.33472222222222214</v>
      </c>
      <c r="F25" s="17">
        <f>IF(Tableau12_2025[[#This Row],[Temps travail]]&gt;TempsTravail,Tableau12_2025[[#This Row],[Temps travail]]-TempsTravail,0)</f>
        <v>4.3055555555555458E-2</v>
      </c>
      <c r="G25" s="43">
        <f>IF(Tableau12_2025[[#This Row],[Temps travail]]&gt;TempsTravail,Tableau12_2025[[#This Row],[Temps travail]]*24-TempsTravail*24,0)</f>
        <v>1.0333333333333314</v>
      </c>
      <c r="H25">
        <f t="shared" si="0"/>
        <v>52</v>
      </c>
      <c r="N25">
        <v>2026</v>
      </c>
      <c r="O25" t="s">
        <v>33</v>
      </c>
      <c r="P25" s="53">
        <v>9.7916666666666666E-2</v>
      </c>
      <c r="Q25" s="47">
        <v>2.3499999999999979</v>
      </c>
      <c r="S25">
        <v>2026</v>
      </c>
      <c r="T25" t="s">
        <v>33</v>
      </c>
      <c r="U25" s="15">
        <v>9.7916666666666666E-2</v>
      </c>
      <c r="V25" s="84">
        <v>2.3499999999999979</v>
      </c>
    </row>
    <row r="26" spans="1:22" x14ac:dyDescent="0.3">
      <c r="A26" s="1">
        <v>46016</v>
      </c>
      <c r="B26" s="13">
        <v>0.33333333333333331</v>
      </c>
      <c r="C26" s="3">
        <v>0.6875</v>
      </c>
      <c r="D26" s="5">
        <v>4.1666666666666664E-2</v>
      </c>
      <c r="E26" s="15">
        <f>IF(Tableau12_2025[[#This Row],[Arrivée]]&lt;&gt;"",(Tableau12_2025[[#This Row],[Départ]] - Tableau12_2025[[#This Row],[Arrivée]]) - Tableau12_2025[[#This Row],[Pause]],0)</f>
        <v>0.3125</v>
      </c>
      <c r="F26" s="17">
        <f>IF(Tableau12_2025[[#This Row],[Temps travail]]&gt;TempsTravail,Tableau12_2025[[#This Row],[Temps travail]]-TempsTravail,0)</f>
        <v>2.0833333333333315E-2</v>
      </c>
      <c r="G26" s="43">
        <f>IF(Tableau12_2025[[#This Row],[Temps travail]]&gt;TempsTravail,Tableau12_2025[[#This Row],[Temps travail]]*24-TempsTravail*24,0)</f>
        <v>0.5</v>
      </c>
      <c r="H26">
        <f t="shared" si="0"/>
        <v>52</v>
      </c>
      <c r="O26" t="s">
        <v>34</v>
      </c>
      <c r="P26" s="53">
        <v>0</v>
      </c>
      <c r="Q26" s="47">
        <v>0</v>
      </c>
      <c r="T26" t="s">
        <v>34</v>
      </c>
      <c r="U26" s="15">
        <v>0</v>
      </c>
      <c r="V26" s="84">
        <v>0</v>
      </c>
    </row>
    <row r="27" spans="1:22" x14ac:dyDescent="0.3">
      <c r="A27" s="1">
        <v>46017</v>
      </c>
      <c r="D27" s="5">
        <v>4.1666666666666664E-2</v>
      </c>
      <c r="E27" s="83">
        <f>IF(Tableau12_2025[[#This Row],[Arrivée]]&lt;&gt;"",(Tableau12_2025[[#This Row],[Départ]] - Tableau12_2025[[#This Row],[Arrivée]]) - Tableau12_2025[[#This Row],[Pause]],0)</f>
        <v>0</v>
      </c>
      <c r="F27" s="17">
        <f>IF(Tableau12_2025[[#This Row],[Temps travail]]&gt;TempsTravail,Tableau12_2025[[#This Row],[Temps travail]]-TempsTravail,0)</f>
        <v>0</v>
      </c>
      <c r="G27" s="43">
        <f>IF(Tableau12_2025[[#This Row],[Temps travail]]&gt;TempsTravail,Tableau12_2025[[#This Row],[Temps travail]]*24-TempsTravail*24,0)</f>
        <v>0</v>
      </c>
      <c r="H27">
        <f t="shared" ref="H27:H32" si="3">WEEKNUM(A27,2)</f>
        <v>52</v>
      </c>
      <c r="K27" s="15"/>
      <c r="N27" t="s">
        <v>37</v>
      </c>
      <c r="P27" s="53">
        <v>9.7916666666666666E-2</v>
      </c>
      <c r="Q27" s="47">
        <v>2.3499999999999979</v>
      </c>
      <c r="S27" t="s">
        <v>37</v>
      </c>
      <c r="U27" s="15">
        <v>9.7916666666666666E-2</v>
      </c>
      <c r="V27" s="84">
        <v>2.3499999999999979</v>
      </c>
    </row>
    <row r="28" spans="1:22" x14ac:dyDescent="0.3">
      <c r="A28" s="1">
        <v>46018</v>
      </c>
      <c r="D28" s="5">
        <v>4.1666666666666664E-2</v>
      </c>
      <c r="E28" s="83">
        <f>IF(Tableau12_2025[[#This Row],[Arrivée]]&lt;&gt;"",(Tableau12_2025[[#This Row],[Départ]] - Tableau12_2025[[#This Row],[Arrivée]]) - Tableau12_2025[[#This Row],[Pause]],0)</f>
        <v>0</v>
      </c>
      <c r="F28" s="17">
        <f>IF(Tableau12_2025[[#This Row],[Temps travail]]&gt;TempsTravail,Tableau12_2025[[#This Row],[Temps travail]]-TempsTravail,0)</f>
        <v>0</v>
      </c>
      <c r="G28" s="43">
        <f>IF(Tableau12_2025[[#This Row],[Temps travail]]&gt;TempsTravail,Tableau12_2025[[#This Row],[Temps travail]]*24-TempsTravail*24,0)</f>
        <v>0</v>
      </c>
      <c r="H28">
        <f t="shared" si="3"/>
        <v>52</v>
      </c>
      <c r="N28" t="s">
        <v>30</v>
      </c>
      <c r="P28" s="53">
        <v>4.4319444444444445</v>
      </c>
      <c r="Q28" s="47">
        <v>106.36666666666656</v>
      </c>
      <c r="S28" t="s">
        <v>30</v>
      </c>
      <c r="U28" s="15">
        <v>4.2444444444444445</v>
      </c>
      <c r="V28" s="84">
        <v>106.17916666666656</v>
      </c>
    </row>
    <row r="29" spans="1:22" x14ac:dyDescent="0.3">
      <c r="A29" s="1">
        <v>46019</v>
      </c>
      <c r="D29" s="5">
        <v>4.1666666666666664E-2</v>
      </c>
      <c r="E29" s="83">
        <f>IF(Tableau12_2025[[#This Row],[Arrivée]]&lt;&gt;"",(Tableau12_2025[[#This Row],[Départ]] - Tableau12_2025[[#This Row],[Arrivée]]) - Tableau12_2025[[#This Row],[Pause]],0)</f>
        <v>0</v>
      </c>
      <c r="F29" s="17">
        <f>IF(Tableau12_2025[[#This Row],[Temps travail]]&gt;TempsTravail,Tableau12_2025[[#This Row],[Temps travail]]-TempsTravail,0)</f>
        <v>0</v>
      </c>
      <c r="G29" s="43">
        <f>IF(Tableau12_2025[[#This Row],[Temps travail]]&gt;TempsTravail,Tableau12_2025[[#This Row],[Temps travail]]*24-TempsTravail*24,0)</f>
        <v>0</v>
      </c>
      <c r="H29">
        <f t="shared" si="3"/>
        <v>52</v>
      </c>
    </row>
    <row r="30" spans="1:22" x14ac:dyDescent="0.3">
      <c r="A30" s="1">
        <v>46020</v>
      </c>
      <c r="B30" s="3"/>
      <c r="C30" s="3"/>
      <c r="D30" s="5">
        <v>4.1666666666666664E-2</v>
      </c>
      <c r="E30" s="83">
        <f>IF(Tableau12_2025[[#This Row],[Arrivée]]&lt;&gt;"",(Tableau12_2025[[#This Row],[Départ]] - Tableau12_2025[[#This Row],[Arrivée]]) - Tableau12_2025[[#This Row],[Pause]],0)</f>
        <v>0</v>
      </c>
      <c r="F30" s="17">
        <f>IF(Tableau12_2025[[#This Row],[Temps travail]]&gt;TempsTravail,Tableau12_2025[[#This Row],[Temps travail]]-TempsTravail,0)</f>
        <v>0</v>
      </c>
      <c r="G30" s="43">
        <f>IF(Tableau12_2025[[#This Row],[Temps travail]]&gt;TempsTravail,Tableau12_2025[[#This Row],[Temps travail]]*24-TempsTravail*24,0)</f>
        <v>0</v>
      </c>
      <c r="H30">
        <f t="shared" si="3"/>
        <v>53</v>
      </c>
    </row>
    <row r="31" spans="1:22" x14ac:dyDescent="0.3">
      <c r="A31" s="1">
        <v>46021</v>
      </c>
      <c r="B31" s="3"/>
      <c r="C31" s="3"/>
      <c r="D31" s="5">
        <v>4.1666666666666664E-2</v>
      </c>
      <c r="E31" s="83">
        <f>IF(Tableau12_2025[[#This Row],[Arrivée]]&lt;&gt;"",(Tableau12_2025[[#This Row],[Départ]] - Tableau12_2025[[#This Row],[Arrivée]]) - Tableau12_2025[[#This Row],[Pause]],0)</f>
        <v>0</v>
      </c>
      <c r="F31" s="17">
        <f>IF(Tableau12_2025[[#This Row],[Temps travail]]&gt;TempsTravail,Tableau12_2025[[#This Row],[Temps travail]]-TempsTravail,0)</f>
        <v>0</v>
      </c>
      <c r="G31" s="43">
        <f>IF(Tableau12_2025[[#This Row],[Temps travail]]&gt;TempsTravail,Tableau12_2025[[#This Row],[Temps travail]]*24-TempsTravail*24,0)</f>
        <v>0</v>
      </c>
      <c r="H31">
        <f t="shared" si="3"/>
        <v>53</v>
      </c>
    </row>
    <row r="32" spans="1:22" x14ac:dyDescent="0.3">
      <c r="A32" s="1">
        <v>46022</v>
      </c>
      <c r="D32" s="5">
        <v>4.1666666666666664E-2</v>
      </c>
      <c r="E32" s="83">
        <f>IF(Tableau12_2025[[#This Row],[Arrivée]]&lt;&gt;"",(Tableau12_2025[[#This Row],[Départ]] - Tableau12_2025[[#This Row],[Arrivée]]) - Tableau12_2025[[#This Row],[Pause]],0)</f>
        <v>0</v>
      </c>
      <c r="F32" s="17">
        <f>IF(Tableau12_2025[[#This Row],[Temps travail]]&gt;TempsTravail,Tableau12_2025[[#This Row],[Temps travail]]-TempsTravail,0)</f>
        <v>0</v>
      </c>
      <c r="G32" s="43">
        <f>IF(Tableau12_2025[[#This Row],[Temps travail]]&gt;TempsTravail,Tableau12_2025[[#This Row],[Temps travail]]*24-TempsTravail*24,0)</f>
        <v>0</v>
      </c>
      <c r="H32">
        <f t="shared" si="3"/>
        <v>53</v>
      </c>
    </row>
  </sheetData>
  <conditionalFormatting sqref="F1:F2">
    <cfRule type="expression" dxfId="20" priority="1">
      <formula>$G$2&lt;0</formula>
    </cfRule>
    <cfRule type="cellIs" dxfId="19" priority="2" operator="lessThan">
      <formula>0</formula>
    </cfRule>
    <cfRule type="expression" dxfId="18" priority="3">
      <formula>#REF!</formula>
    </cfRule>
  </conditionalFormatting>
  <conditionalFormatting sqref="F3 F5 F7 F9 F11 F13 F15 F17 F19 F21 F23 F25:F32">
    <cfRule type="expression" dxfId="17" priority="4">
      <formula>$G$3&lt;0</formula>
    </cfRule>
  </conditionalFormatting>
  <conditionalFormatting sqref="F3:F1048576">
    <cfRule type="expression" dxfId="16" priority="5">
      <formula>$G$2&lt;0</formula>
    </cfRule>
    <cfRule type="cellIs" dxfId="15" priority="9" operator="lessThan">
      <formula>0</formula>
    </cfRule>
    <cfRule type="expression" dxfId="14" priority="19">
      <formula>#REF!</formula>
    </cfRule>
  </conditionalFormatting>
  <pageMargins left="0.7" right="0.7" top="0.75" bottom="0.75" header="0.3" footer="0.3"/>
  <tableParts count="1">
    <tablePart r:id="rId5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2F0C7-E8D6-45CA-9250-3A4B61C7B007}">
  <dimension ref="A2:R55"/>
  <sheetViews>
    <sheetView showGridLines="0" showZeros="0" workbookViewId="0">
      <pane ySplit="2" topLeftCell="A3" activePane="bottomLeft" state="frozen"/>
      <selection activeCell="P12" sqref="P12"/>
      <selection pane="bottomLeft" activeCell="B10" sqref="B10"/>
    </sheetView>
  </sheetViews>
  <sheetFormatPr baseColWidth="10" defaultColWidth="10.44140625" defaultRowHeight="13.2" outlineLevelCol="1" x14ac:dyDescent="0.25"/>
  <cols>
    <col min="1" max="1" width="2.77734375" style="60" customWidth="1"/>
    <col min="2" max="2" width="11" style="62" bestFit="1" customWidth="1"/>
    <col min="3" max="4" width="8.77734375" style="72" bestFit="1" customWidth="1"/>
    <col min="5" max="5" width="6" style="72" hidden="1" customWidth="1" outlineLevel="1"/>
    <col min="6" max="6" width="12.21875" style="65" hidden="1" customWidth="1" outlineLevel="1"/>
    <col min="7" max="7" width="8.21875" style="79" bestFit="1" customWidth="1" collapsed="1"/>
    <col min="8" max="8" width="8.21875" style="60" hidden="1" customWidth="1" outlineLevel="1"/>
    <col min="9" max="9" width="8.44140625" style="60" bestFit="1" customWidth="1" collapsed="1"/>
    <col min="10" max="10" width="2.77734375" style="60" customWidth="1"/>
    <col min="11" max="11" width="4.77734375" style="60" customWidth="1"/>
    <col min="12" max="13" width="15.77734375" style="60" customWidth="1"/>
    <col min="14" max="15" width="15.77734375" style="61" customWidth="1"/>
    <col min="16" max="16" width="4.77734375" style="60" customWidth="1"/>
    <col min="17" max="17" width="19.5546875" style="60" bestFit="1" customWidth="1"/>
    <col min="18" max="18" width="10.5546875" style="60" bestFit="1" customWidth="1"/>
    <col min="19" max="19" width="17.5546875" style="60" bestFit="1" customWidth="1"/>
    <col min="20" max="16384" width="10.44140625" style="60"/>
  </cols>
  <sheetData>
    <row r="2" spans="2:15" x14ac:dyDescent="0.25">
      <c r="B2" s="56" t="s">
        <v>0</v>
      </c>
      <c r="C2" s="57" t="s">
        <v>1</v>
      </c>
      <c r="D2" s="57" t="s">
        <v>2</v>
      </c>
      <c r="E2" s="57" t="s">
        <v>3</v>
      </c>
      <c r="F2" s="58" t="s">
        <v>4</v>
      </c>
      <c r="G2" s="59" t="s">
        <v>5</v>
      </c>
      <c r="H2" s="59" t="s">
        <v>20</v>
      </c>
      <c r="I2" s="60" t="s">
        <v>6</v>
      </c>
      <c r="L2" s="80" t="s">
        <v>31</v>
      </c>
      <c r="M2" s="82">
        <v>2026</v>
      </c>
    </row>
    <row r="3" spans="2:15" x14ac:dyDescent="0.25">
      <c r="B3" s="62">
        <v>46023</v>
      </c>
      <c r="C3" s="63"/>
      <c r="D3" s="63"/>
      <c r="E3" s="64">
        <v>4.1666666666666664E-2</v>
      </c>
      <c r="F3" s="65">
        <f>IF(Tableau1_2026[[#This Row],[Arrivée]]&lt;&gt;"",(Tableau1_2026[[#This Row],[Départ]] - Tableau1_2026[[#This Row],[Arrivée]]) - Tableau1_2026[[#This Row],[Pause]],0)</f>
        <v>0</v>
      </c>
      <c r="G3" s="66">
        <f>IF(Tableau1_2026[[#This Row],[Temps travail]]&gt;TempsTravail,Tableau1_2026[[#This Row],[Temps travail]]-TempsTravail,0)</f>
        <v>0</v>
      </c>
      <c r="H3" s="67">
        <f>IF(Tableau1_2026[[#This Row],[Temps travail]]&gt;TempsTravail,Tableau1_2026[[#This Row],[Temps travail]]*24-TempsTravail*24,0)</f>
        <v>0</v>
      </c>
      <c r="I3" s="60">
        <f t="shared" ref="I3:I32" si="0">WEEKNUM(B3,2)</f>
        <v>1</v>
      </c>
      <c r="L3" s="80" t="s">
        <v>32</v>
      </c>
      <c r="M3" s="60" t="s">
        <v>33</v>
      </c>
    </row>
    <row r="4" spans="2:15" x14ac:dyDescent="0.25">
      <c r="B4" s="62">
        <v>46024</v>
      </c>
      <c r="C4" s="63"/>
      <c r="D4" s="63"/>
      <c r="E4" s="68">
        <v>4.1666666666666664E-2</v>
      </c>
      <c r="F4" s="65">
        <f>IF(Tableau1_2026[[#This Row],[Arrivée]]&lt;&gt;"",(Tableau1_2026[[#This Row],[Départ]] - Tableau1_2026[[#This Row],[Arrivée]]) - Tableau1_2026[[#This Row],[Pause]],0)</f>
        <v>0</v>
      </c>
      <c r="G4" s="66">
        <f>IF(Tableau1_2026[[#This Row],[Temps travail]]&gt;TempsTravail,Tableau1_2026[[#This Row],[Temps travail]]-TempsTravail,0)</f>
        <v>0</v>
      </c>
      <c r="H4" s="67">
        <f>IF(Tableau1_2026[[#This Row],[Temps travail]]&gt;TempsTravail,Tableau1_2026[[#This Row],[Temps travail]]*24-TempsTravail*24,0)</f>
        <v>0</v>
      </c>
      <c r="I4" s="60">
        <f t="shared" si="0"/>
        <v>1</v>
      </c>
      <c r="N4" s="60"/>
      <c r="O4" s="60"/>
    </row>
    <row r="5" spans="2:15" x14ac:dyDescent="0.25">
      <c r="B5" s="62">
        <v>46025</v>
      </c>
      <c r="C5" s="63"/>
      <c r="D5" s="63"/>
      <c r="E5" s="68">
        <v>4.1666666666666664E-2</v>
      </c>
      <c r="F5" s="65">
        <f>IF(Tableau1_2026[[#This Row],[Arrivée]]&lt;&gt;"",(Tableau1_2026[[#This Row],[Départ]] - Tableau1_2026[[#This Row],[Arrivée]]) - Tableau1_2026[[#This Row],[Pause]],0)</f>
        <v>0</v>
      </c>
      <c r="G5" s="66">
        <f>IF(Tableau1_2026[[#This Row],[Temps travail]]&gt;TempsTravail,Tableau1_2026[[#This Row],[Temps travail]]-TempsTravail,0)</f>
        <v>0</v>
      </c>
      <c r="H5" s="67">
        <f>IF(Tableau1_2026[[#This Row],[Temps travail]]&gt;TempsTravail,Tableau1_2026[[#This Row],[Temps travail]]*24-TempsTravail*24,0)</f>
        <v>0</v>
      </c>
      <c r="I5" s="60">
        <f t="shared" si="0"/>
        <v>1</v>
      </c>
      <c r="L5" s="81" t="s">
        <v>6</v>
      </c>
      <c r="M5" s="61" t="s">
        <v>39</v>
      </c>
      <c r="N5" s="61" t="s">
        <v>40</v>
      </c>
      <c r="O5" s="60"/>
    </row>
    <row r="6" spans="2:15" x14ac:dyDescent="0.25">
      <c r="B6" s="62">
        <v>46026</v>
      </c>
      <c r="C6" s="63"/>
      <c r="D6" s="63"/>
      <c r="E6" s="68">
        <v>4.1666666666666664E-2</v>
      </c>
      <c r="F6" s="65">
        <f>IF(Tableau1_2026[[#This Row],[Arrivée]]&lt;&gt;"",(Tableau1_2026[[#This Row],[Départ]] - Tableau1_2026[[#This Row],[Arrivée]]) - Tableau1_2026[[#This Row],[Pause]],0)</f>
        <v>0</v>
      </c>
      <c r="G6" s="66">
        <f>IF(Tableau1_2026[[#This Row],[Temps travail]]&gt;TempsTravail,Tableau1_2026[[#This Row],[Temps travail]]-TempsTravail,0)</f>
        <v>0</v>
      </c>
      <c r="H6" s="67">
        <f>IF(Tableau1_2026[[#This Row],[Temps travail]]&gt;TempsTravail,Tableau1_2026[[#This Row],[Temps travail]]*24-TempsTravail*24,0)</f>
        <v>0</v>
      </c>
      <c r="I6" s="60">
        <f t="shared" si="0"/>
        <v>1</v>
      </c>
      <c r="L6" s="69">
        <v>1</v>
      </c>
      <c r="M6" s="70">
        <v>0</v>
      </c>
      <c r="N6" s="71">
        <v>0</v>
      </c>
      <c r="O6" s="60"/>
    </row>
    <row r="7" spans="2:15" x14ac:dyDescent="0.25">
      <c r="B7" s="62">
        <v>46027</v>
      </c>
      <c r="C7" s="72">
        <v>0.33819444444444446</v>
      </c>
      <c r="D7" s="72">
        <v>0.6958333333333333</v>
      </c>
      <c r="E7" s="68">
        <v>4.1666666666666664E-2</v>
      </c>
      <c r="F7" s="65">
        <f>IF(Tableau1_2026[[#This Row],[Arrivée]]&lt;&gt;"",(Tableau1_2026[[#This Row],[Départ]] - Tableau1_2026[[#This Row],[Arrivée]]) - Tableau1_2026[[#This Row],[Pause]],0)</f>
        <v>0.31597222222222215</v>
      </c>
      <c r="G7" s="66">
        <f>IF(Tableau1_2026[[#This Row],[Temps travail]]&gt;TempsTravail,Tableau1_2026[[#This Row],[Temps travail]]-TempsTravail,0)</f>
        <v>2.4305555555555469E-2</v>
      </c>
      <c r="H7" s="67">
        <f>IF(Tableau1_2026[[#This Row],[Temps travail]]&gt;TempsTravail,Tableau1_2026[[#This Row],[Temps travail]]*24-TempsTravail*24,0)</f>
        <v>0.58333333333333215</v>
      </c>
      <c r="I7" s="60">
        <f t="shared" si="0"/>
        <v>2</v>
      </c>
      <c r="L7" s="69">
        <v>2</v>
      </c>
      <c r="M7" s="70">
        <v>9.7916666666666666E-2</v>
      </c>
      <c r="N7" s="71">
        <v>2.3499999999999979</v>
      </c>
      <c r="O7" s="60"/>
    </row>
    <row r="8" spans="2:15" x14ac:dyDescent="0.25">
      <c r="B8" s="62">
        <v>46028</v>
      </c>
      <c r="C8" s="72">
        <v>0.33263888888888887</v>
      </c>
      <c r="D8" s="72">
        <v>0.69513888888888886</v>
      </c>
      <c r="E8" s="68">
        <v>4.1666666666666664E-2</v>
      </c>
      <c r="F8" s="65">
        <f>IF(Tableau1_2026[[#This Row],[Arrivée]]&lt;&gt;"",(Tableau1_2026[[#This Row],[Départ]] - Tableau1_2026[[#This Row],[Arrivée]]) - Tableau1_2026[[#This Row],[Pause]],0)</f>
        <v>0.3208333333333333</v>
      </c>
      <c r="G8" s="66">
        <f>IF(Tableau1_2026[[#This Row],[Temps travail]]&gt;TempsTravail,Tableau1_2026[[#This Row],[Temps travail]]-TempsTravail,0)</f>
        <v>2.9166666666666619E-2</v>
      </c>
      <c r="H8" s="67">
        <f>IF(Tableau1_2026[[#This Row],[Temps travail]]&gt;TempsTravail,Tableau1_2026[[#This Row],[Temps travail]]*24-TempsTravail*24,0)</f>
        <v>0.69999999999999929</v>
      </c>
      <c r="I8" s="60">
        <f t="shared" si="0"/>
        <v>2</v>
      </c>
      <c r="L8" s="69">
        <v>3</v>
      </c>
      <c r="M8" s="70">
        <v>0</v>
      </c>
      <c r="N8" s="71">
        <v>0</v>
      </c>
      <c r="O8" s="60"/>
    </row>
    <row r="9" spans="2:15" x14ac:dyDescent="0.25">
      <c r="B9" s="62">
        <v>46029</v>
      </c>
      <c r="C9" s="73">
        <v>0.3298611111111111</v>
      </c>
      <c r="D9" s="63">
        <v>0.70763888888888893</v>
      </c>
      <c r="E9" s="68">
        <v>4.1666666666666664E-2</v>
      </c>
      <c r="F9" s="65">
        <f>IF(Tableau1_2026[[#This Row],[Arrivée]]&lt;&gt;"",(Tableau1_2026[[#This Row],[Départ]] - Tableau1_2026[[#This Row],[Arrivée]]) - Tableau1_2026[[#This Row],[Pause]],0)</f>
        <v>0.33611111111111114</v>
      </c>
      <c r="G9" s="66">
        <f>IF(Tableau1_2026[[#This Row],[Temps travail]]&gt;TempsTravail,Tableau1_2026[[#This Row],[Temps travail]]-TempsTravail,0)</f>
        <v>4.4444444444444453E-2</v>
      </c>
      <c r="H9" s="67">
        <f>IF(Tableau1_2026[[#This Row],[Temps travail]]&gt;TempsTravail,Tableau1_2026[[#This Row],[Temps travail]]*24-TempsTravail*24,0)</f>
        <v>1.0666666666666664</v>
      </c>
      <c r="I9" s="60">
        <f t="shared" si="0"/>
        <v>2</v>
      </c>
      <c r="L9" s="69">
        <v>4</v>
      </c>
      <c r="M9" s="70">
        <v>0</v>
      </c>
      <c r="N9" s="71">
        <v>0</v>
      </c>
      <c r="O9" s="60"/>
    </row>
    <row r="10" spans="2:15" x14ac:dyDescent="0.25">
      <c r="B10" s="62">
        <v>46030</v>
      </c>
      <c r="C10" s="63"/>
      <c r="D10" s="63"/>
      <c r="E10" s="68">
        <v>4.1666666666666664E-2</v>
      </c>
      <c r="F10" s="65">
        <f>IF(Tableau1_2026[[#This Row],[Arrivée]]&lt;&gt;"",(Tableau1_2026[[#This Row],[Départ]] - Tableau1_2026[[#This Row],[Arrivée]]) - Tableau1_2026[[#This Row],[Pause]],0)</f>
        <v>0</v>
      </c>
      <c r="G10" s="66">
        <f>IF(Tableau1_2026[[#This Row],[Temps travail]]&gt;TempsTravail,Tableau1_2026[[#This Row],[Temps travail]]-TempsTravail,0)</f>
        <v>0</v>
      </c>
      <c r="H10" s="67">
        <f>IF(Tableau1_2026[[#This Row],[Temps travail]]&gt;TempsTravail,Tableau1_2026[[#This Row],[Temps travail]]*24-TempsTravail*24,0)</f>
        <v>0</v>
      </c>
      <c r="I10" s="60">
        <f t="shared" si="0"/>
        <v>2</v>
      </c>
      <c r="L10" s="69">
        <v>5</v>
      </c>
      <c r="M10" s="70">
        <v>0</v>
      </c>
      <c r="N10" s="71">
        <v>0</v>
      </c>
      <c r="O10" s="60"/>
    </row>
    <row r="11" spans="2:15" x14ac:dyDescent="0.25">
      <c r="B11" s="62">
        <v>46031</v>
      </c>
      <c r="C11" s="63"/>
      <c r="D11" s="63"/>
      <c r="E11" s="68">
        <v>4.1666666666666664E-2</v>
      </c>
      <c r="F11" s="65">
        <f>IF(Tableau1_2026[[#This Row],[Arrivée]]&lt;&gt;"",(Tableau1_2026[[#This Row],[Départ]] - Tableau1_2026[[#This Row],[Arrivée]]) - Tableau1_2026[[#This Row],[Pause]],0)</f>
        <v>0</v>
      </c>
      <c r="G11" s="66">
        <f>IF(Tableau1_2026[[#This Row],[Temps travail]]&gt;TempsTravail,Tableau1_2026[[#This Row],[Temps travail]]-TempsTravail,0)</f>
        <v>0</v>
      </c>
      <c r="H11" s="67">
        <f>IF(Tableau1_2026[[#This Row],[Temps travail]]&gt;TempsTravail,Tableau1_2026[[#This Row],[Temps travail]]*24-TempsTravail*24,0)</f>
        <v>0</v>
      </c>
      <c r="I11" s="60">
        <f t="shared" si="0"/>
        <v>2</v>
      </c>
      <c r="L11" s="60" t="s">
        <v>30</v>
      </c>
      <c r="M11" s="70">
        <v>9.7916666666666666E-2</v>
      </c>
      <c r="N11" s="71">
        <v>2.3499999999999979</v>
      </c>
      <c r="O11" s="60"/>
    </row>
    <row r="12" spans="2:15" x14ac:dyDescent="0.25">
      <c r="B12" s="62">
        <v>46032</v>
      </c>
      <c r="C12" s="63"/>
      <c r="D12" s="63"/>
      <c r="E12" s="68">
        <v>4.1666666666666664E-2</v>
      </c>
      <c r="F12" s="65">
        <f>IF(Tableau1_2026[[#This Row],[Arrivée]]&lt;&gt;"",(Tableau1_2026[[#This Row],[Départ]] - Tableau1_2026[[#This Row],[Arrivée]]) - Tableau1_2026[[#This Row],[Pause]],0)</f>
        <v>0</v>
      </c>
      <c r="G12" s="66">
        <f>IF(Tableau1_2026[[#This Row],[Temps travail]]&gt;TempsTravail,Tableau1_2026[[#This Row],[Temps travail]]-TempsTravail,0)</f>
        <v>0</v>
      </c>
      <c r="H12" s="67">
        <f>IF(Tableau1_2026[[#This Row],[Temps travail]]&gt;TempsTravail,Tableau1_2026[[#This Row],[Temps travail]]*24-TempsTravail*24,0)</f>
        <v>0</v>
      </c>
      <c r="I12" s="60">
        <f t="shared" si="0"/>
        <v>2</v>
      </c>
    </row>
    <row r="13" spans="2:15" x14ac:dyDescent="0.25">
      <c r="B13" s="62">
        <v>46033</v>
      </c>
      <c r="C13" s="63"/>
      <c r="D13" s="63"/>
      <c r="E13" s="68">
        <v>4.1666666666666664E-2</v>
      </c>
      <c r="F13" s="65">
        <f>IF(Tableau1_2026[[#This Row],[Arrivée]]&lt;&gt;"",(Tableau1_2026[[#This Row],[Départ]] - Tableau1_2026[[#This Row],[Arrivée]]) - Tableau1_2026[[#This Row],[Pause]],0)</f>
        <v>0</v>
      </c>
      <c r="G13" s="66">
        <f>IF(Tableau1_2026[[#This Row],[Temps travail]]&gt;TempsTravail,Tableau1_2026[[#This Row],[Temps travail]]-TempsTravail,0)</f>
        <v>0</v>
      </c>
      <c r="H13" s="67">
        <f>IF(Tableau1_2026[[#This Row],[Temps travail]]&gt;TempsTravail,Tableau1_2026[[#This Row],[Temps travail]]*24-TempsTravail*24,0)</f>
        <v>0</v>
      </c>
      <c r="I13" s="60">
        <f t="shared" si="0"/>
        <v>2</v>
      </c>
    </row>
    <row r="14" spans="2:15" x14ac:dyDescent="0.25">
      <c r="B14" s="62">
        <v>46034</v>
      </c>
      <c r="E14" s="68">
        <v>4.1666666666666664E-2</v>
      </c>
      <c r="F14" s="65">
        <f>IF(Tableau1_2026[[#This Row],[Arrivée]]&lt;&gt;"",(Tableau1_2026[[#This Row],[Départ]] - Tableau1_2026[[#This Row],[Arrivée]]) - Tableau1_2026[[#This Row],[Pause]],0)</f>
        <v>0</v>
      </c>
      <c r="G14" s="66">
        <f>IF(Tableau1_2026[[#This Row],[Temps travail]]&gt;TempsTravail,Tableau1_2026[[#This Row],[Temps travail]]-TempsTravail,0)</f>
        <v>0</v>
      </c>
      <c r="H14" s="67">
        <f>IF(Tableau1_2026[[#This Row],[Temps travail]]&gt;TempsTravail,Tableau1_2026[[#This Row],[Temps travail]]*24-TempsTravail*24,0)</f>
        <v>0</v>
      </c>
      <c r="I14" s="60">
        <f t="shared" si="0"/>
        <v>3</v>
      </c>
    </row>
    <row r="15" spans="2:15" x14ac:dyDescent="0.25">
      <c r="B15" s="62">
        <v>46035</v>
      </c>
      <c r="E15" s="68">
        <v>4.1666666666666664E-2</v>
      </c>
      <c r="F15" s="65">
        <f>IF(Tableau1_2026[[#This Row],[Arrivée]]&lt;&gt;"",(Tableau1_2026[[#This Row],[Départ]] - Tableau1_2026[[#This Row],[Arrivée]]) - Tableau1_2026[[#This Row],[Pause]],0)</f>
        <v>0</v>
      </c>
      <c r="G15" s="66">
        <f>IF(Tableau1_2026[[#This Row],[Temps travail]]&gt;TempsTravail,Tableau1_2026[[#This Row],[Temps travail]]-TempsTravail,0)</f>
        <v>0</v>
      </c>
      <c r="H15" s="67">
        <f>IF(Tableau1_2026[[#This Row],[Temps travail]]&gt;TempsTravail,Tableau1_2026[[#This Row],[Temps travail]]*24-TempsTravail*24,0)</f>
        <v>0</v>
      </c>
      <c r="I15" s="60">
        <f t="shared" si="0"/>
        <v>3</v>
      </c>
      <c r="L15" s="80" t="s">
        <v>31</v>
      </c>
      <c r="M15" s="80" t="s">
        <v>32</v>
      </c>
      <c r="N15" s="61" t="s">
        <v>35</v>
      </c>
      <c r="O15" s="61" t="s">
        <v>38</v>
      </c>
    </row>
    <row r="16" spans="2:15" x14ac:dyDescent="0.25">
      <c r="B16" s="62">
        <v>46036</v>
      </c>
      <c r="C16" s="63"/>
      <c r="D16" s="63"/>
      <c r="E16" s="68">
        <v>4.1666666666666664E-2</v>
      </c>
      <c r="F16" s="65">
        <f>IF(Tableau1_2026[[#This Row],[Arrivée]]&lt;&gt;"",(Tableau1_2026[[#This Row],[Départ]] - Tableau1_2026[[#This Row],[Arrivée]]) - Tableau1_2026[[#This Row],[Pause]],0)</f>
        <v>0</v>
      </c>
      <c r="G16" s="66">
        <f>IF(Tableau1_2026[[#This Row],[Temps travail]]&gt;TempsTravail,Tableau1_2026[[#This Row],[Temps travail]]-TempsTravail,0)</f>
        <v>0</v>
      </c>
      <c r="H16" s="67">
        <f>IF(Tableau1_2026[[#This Row],[Temps travail]]&gt;TempsTravail,Tableau1_2026[[#This Row],[Temps travail]]*24-TempsTravail*24,0)</f>
        <v>0</v>
      </c>
      <c r="I16" s="60">
        <f t="shared" si="0"/>
        <v>3</v>
      </c>
      <c r="L16" s="60">
        <v>2025</v>
      </c>
      <c r="M16" s="60" t="s">
        <v>21</v>
      </c>
      <c r="N16" s="70">
        <v>0.21111111111111111</v>
      </c>
      <c r="O16" s="74">
        <v>5.0666666666666638</v>
      </c>
    </row>
    <row r="17" spans="2:15" x14ac:dyDescent="0.25">
      <c r="B17" s="62">
        <v>46037</v>
      </c>
      <c r="C17" s="63"/>
      <c r="D17" s="63"/>
      <c r="E17" s="68">
        <v>4.1666666666666664E-2</v>
      </c>
      <c r="F17" s="65">
        <f>IF(Tableau1_2026[[#This Row],[Arrivée]]&lt;&gt;"",(Tableau1_2026[[#This Row],[Départ]] - Tableau1_2026[[#This Row],[Arrivée]]) - Tableau1_2026[[#This Row],[Pause]],0)</f>
        <v>0</v>
      </c>
      <c r="G17" s="66">
        <f>IF(Tableau1_2026[[#This Row],[Temps travail]]&gt;TempsTravail,Tableau1_2026[[#This Row],[Temps travail]]-TempsTravail,0)</f>
        <v>0</v>
      </c>
      <c r="H17" s="67">
        <f>IF(Tableau1_2026[[#This Row],[Temps travail]]&gt;TempsTravail,Tableau1_2026[[#This Row],[Temps travail]]*24-TempsTravail*24,0)</f>
        <v>0</v>
      </c>
      <c r="I17" s="60">
        <f t="shared" si="0"/>
        <v>3</v>
      </c>
      <c r="M17" s="60" t="s">
        <v>22</v>
      </c>
      <c r="N17" s="70">
        <v>0.27708333333333335</v>
      </c>
      <c r="O17" s="74">
        <v>6.6499999999999977</v>
      </c>
    </row>
    <row r="18" spans="2:15" x14ac:dyDescent="0.25">
      <c r="B18" s="62">
        <v>46038</v>
      </c>
      <c r="C18" s="63"/>
      <c r="D18" s="63"/>
      <c r="E18" s="68">
        <v>4.1666666666666664E-2</v>
      </c>
      <c r="F18" s="65">
        <f>IF(Tableau1_2026[[#This Row],[Arrivée]]&lt;&gt;"",(Tableau1_2026[[#This Row],[Départ]] - Tableau1_2026[[#This Row],[Arrivée]]) - Tableau1_2026[[#This Row],[Pause]],0)</f>
        <v>0</v>
      </c>
      <c r="G18" s="66">
        <f>IF(Tableau1_2026[[#This Row],[Temps travail]]&gt;TempsTravail,Tableau1_2026[[#This Row],[Temps travail]]-TempsTravail,0)</f>
        <v>0</v>
      </c>
      <c r="H18" s="67">
        <f>IF(Tableau1_2026[[#This Row],[Temps travail]]&gt;TempsTravail,Tableau1_2026[[#This Row],[Temps travail]]*24-TempsTravail*24,0)</f>
        <v>0</v>
      </c>
      <c r="I18" s="60">
        <f t="shared" si="0"/>
        <v>3</v>
      </c>
      <c r="M18" s="60" t="s">
        <v>23</v>
      </c>
      <c r="N18" s="70">
        <v>0.33402777777777776</v>
      </c>
      <c r="O18" s="74">
        <v>8.0166666666666551</v>
      </c>
    </row>
    <row r="19" spans="2:15" x14ac:dyDescent="0.25">
      <c r="B19" s="62">
        <v>46039</v>
      </c>
      <c r="C19" s="63"/>
      <c r="D19" s="63"/>
      <c r="E19" s="68">
        <v>4.1666666666666664E-2</v>
      </c>
      <c r="F19" s="65">
        <f>IF(Tableau1_2026[[#This Row],[Arrivée]]&lt;&gt;"",(Tableau1_2026[[#This Row],[Départ]] - Tableau1_2026[[#This Row],[Arrivée]]) - Tableau1_2026[[#This Row],[Pause]],0)</f>
        <v>0</v>
      </c>
      <c r="G19" s="66">
        <f>IF(Tableau1_2026[[#This Row],[Temps travail]]&gt;TempsTravail,Tableau1_2026[[#This Row],[Temps travail]]-TempsTravail,0)</f>
        <v>0</v>
      </c>
      <c r="H19" s="67">
        <f>IF(Tableau1_2026[[#This Row],[Temps travail]]&gt;TempsTravail,Tableau1_2026[[#This Row],[Temps travail]]*24-TempsTravail*24,0)</f>
        <v>0</v>
      </c>
      <c r="I19" s="60">
        <f t="shared" si="0"/>
        <v>3</v>
      </c>
      <c r="M19" s="60" t="s">
        <v>24</v>
      </c>
      <c r="N19" s="70">
        <v>0.68263888888888891</v>
      </c>
      <c r="O19" s="74">
        <v>16.383333333333319</v>
      </c>
    </row>
    <row r="20" spans="2:15" x14ac:dyDescent="0.25">
      <c r="B20" s="62">
        <v>46040</v>
      </c>
      <c r="C20" s="63"/>
      <c r="D20" s="63"/>
      <c r="E20" s="68">
        <v>4.1666666666666664E-2</v>
      </c>
      <c r="F20" s="65">
        <f>IF(Tableau1_2026[[#This Row],[Arrivée]]&lt;&gt;"",(Tableau1_2026[[#This Row],[Départ]] - Tableau1_2026[[#This Row],[Arrivée]]) - Tableau1_2026[[#This Row],[Pause]],0)</f>
        <v>0</v>
      </c>
      <c r="G20" s="66">
        <f>IF(Tableau1_2026[[#This Row],[Temps travail]]&gt;TempsTravail,Tableau1_2026[[#This Row],[Temps travail]]-TempsTravail,0)</f>
        <v>0</v>
      </c>
      <c r="H20" s="67">
        <f>IF(Tableau1_2026[[#This Row],[Temps travail]]&gt;TempsTravail,Tableau1_2026[[#This Row],[Temps travail]]*24-TempsTravail*24,0)</f>
        <v>0</v>
      </c>
      <c r="I20" s="60">
        <f t="shared" si="0"/>
        <v>3</v>
      </c>
      <c r="M20" s="60" t="s">
        <v>25</v>
      </c>
      <c r="N20" s="70">
        <v>0.63055555555555554</v>
      </c>
      <c r="O20" s="74">
        <v>15.13333333333332</v>
      </c>
    </row>
    <row r="21" spans="2:15" x14ac:dyDescent="0.25">
      <c r="B21" s="62">
        <v>46041</v>
      </c>
      <c r="E21" s="68">
        <v>4.1666666666666664E-2</v>
      </c>
      <c r="F21" s="65">
        <f>IF(Tableau1_2026[[#This Row],[Arrivée]]&lt;&gt;"",(Tableau1_2026[[#This Row],[Départ]] - Tableau1_2026[[#This Row],[Arrivée]]) - Tableau1_2026[[#This Row],[Pause]],0)</f>
        <v>0</v>
      </c>
      <c r="G21" s="66">
        <f>IF(Tableau1_2026[[#This Row],[Temps travail]]&gt;TempsTravail,Tableau1_2026[[#This Row],[Temps travail]]-TempsTravail,0)</f>
        <v>0</v>
      </c>
      <c r="H21" s="67">
        <f>IF(Tableau1_2026[[#This Row],[Temps travail]]&gt;TempsTravail,Tableau1_2026[[#This Row],[Temps travail]]*24-TempsTravail*24,0)</f>
        <v>0</v>
      </c>
      <c r="I21" s="60">
        <f t="shared" si="0"/>
        <v>4</v>
      </c>
      <c r="M21" s="60" t="s">
        <v>26</v>
      </c>
      <c r="N21" s="70">
        <v>0.55625000000000002</v>
      </c>
      <c r="O21" s="74">
        <v>13.349999999999985</v>
      </c>
    </row>
    <row r="22" spans="2:15" x14ac:dyDescent="0.25">
      <c r="B22" s="62">
        <v>46042</v>
      </c>
      <c r="E22" s="68">
        <v>4.1666666666666664E-2</v>
      </c>
      <c r="F22" s="65">
        <f>IF(Tableau1_2026[[#This Row],[Arrivée]]&lt;&gt;"",(Tableau1_2026[[#This Row],[Départ]] - Tableau1_2026[[#This Row],[Arrivée]]) - Tableau1_2026[[#This Row],[Pause]],0)</f>
        <v>0</v>
      </c>
      <c r="G22" s="66">
        <f>IF(Tableau1_2026[[#This Row],[Temps travail]]&gt;TempsTravail,Tableau1_2026[[#This Row],[Temps travail]]-TempsTravail,0)</f>
        <v>0</v>
      </c>
      <c r="H22" s="67">
        <f>IF(Tableau1_2026[[#This Row],[Temps travail]]&gt;TempsTravail,Tableau1_2026[[#This Row],[Temps travail]]*24-TempsTravail*24,0)</f>
        <v>0</v>
      </c>
      <c r="I22" s="60">
        <f t="shared" si="0"/>
        <v>4</v>
      </c>
      <c r="M22" s="60" t="s">
        <v>27</v>
      </c>
      <c r="N22" s="70">
        <v>0.82916666666666672</v>
      </c>
      <c r="O22" s="74">
        <v>19.899999999999995</v>
      </c>
    </row>
    <row r="23" spans="2:15" x14ac:dyDescent="0.25">
      <c r="B23" s="62">
        <v>46043</v>
      </c>
      <c r="E23" s="68">
        <v>4.1666666666666664E-2</v>
      </c>
      <c r="F23" s="65">
        <f>IF(Tableau1_2026[[#This Row],[Arrivée]]&lt;&gt;"",(Tableau1_2026[[#This Row],[Départ]] - Tableau1_2026[[#This Row],[Arrivée]]) - Tableau1_2026[[#This Row],[Pause]],0)</f>
        <v>0</v>
      </c>
      <c r="G23" s="66">
        <f>IF(Tableau1_2026[[#This Row],[Temps travail]]&gt;TempsTravail,Tableau1_2026[[#This Row],[Temps travail]]-TempsTravail,0)</f>
        <v>0</v>
      </c>
      <c r="H23" s="67">
        <f>IF(Tableau1_2026[[#This Row],[Temps travail]]&gt;TempsTravail,Tableau1_2026[[#This Row],[Temps travail]]*24-TempsTravail*24,0)</f>
        <v>0</v>
      </c>
      <c r="I23" s="60">
        <f t="shared" si="0"/>
        <v>4</v>
      </c>
      <c r="M23" s="60" t="s">
        <v>28</v>
      </c>
      <c r="N23" s="70">
        <v>0.43888888888888888</v>
      </c>
      <c r="O23" s="74">
        <v>10.533333333333319</v>
      </c>
    </row>
    <row r="24" spans="2:15" x14ac:dyDescent="0.25">
      <c r="B24" s="62">
        <v>46044</v>
      </c>
      <c r="C24" s="63"/>
      <c r="D24" s="63"/>
      <c r="E24" s="68">
        <v>4.1666666666666664E-2</v>
      </c>
      <c r="F24" s="65">
        <f>IF(Tableau1_2026[[#This Row],[Arrivée]]&lt;&gt;"",(Tableau1_2026[[#This Row],[Départ]] - Tableau1_2026[[#This Row],[Arrivée]]) - Tableau1_2026[[#This Row],[Pause]],0)</f>
        <v>0</v>
      </c>
      <c r="G24" s="66">
        <f>IF(Tableau1_2026[[#This Row],[Temps travail]]&gt;TempsTravail,Tableau1_2026[[#This Row],[Temps travail]]-TempsTravail,0)</f>
        <v>0</v>
      </c>
      <c r="H24" s="67">
        <f>IF(Tableau1_2026[[#This Row],[Temps travail]]&gt;TempsTravail,Tableau1_2026[[#This Row],[Temps travail]]*24-TempsTravail*24,0)</f>
        <v>0</v>
      </c>
      <c r="I24" s="60">
        <f t="shared" si="0"/>
        <v>4</v>
      </c>
      <c r="M24" s="60" t="s">
        <v>29</v>
      </c>
      <c r="N24" s="70">
        <v>0.37430555555555556</v>
      </c>
      <c r="O24" s="74">
        <v>8.9833333333333201</v>
      </c>
    </row>
    <row r="25" spans="2:15" x14ac:dyDescent="0.25">
      <c r="B25" s="62">
        <v>46045</v>
      </c>
      <c r="C25" s="63"/>
      <c r="D25" s="63"/>
      <c r="E25" s="68">
        <v>4.1666666666666664E-2</v>
      </c>
      <c r="F25" s="65">
        <f>IF(Tableau1_2026[[#This Row],[Arrivée]]&lt;&gt;"",(Tableau1_2026[[#This Row],[Départ]] - Tableau1_2026[[#This Row],[Arrivée]]) - Tableau1_2026[[#This Row],[Pause]],0)</f>
        <v>0</v>
      </c>
      <c r="G25" s="66">
        <f>IF(Tableau1_2026[[#This Row],[Temps travail]]&gt;TempsTravail,Tableau1_2026[[#This Row],[Temps travail]]-TempsTravail,0)</f>
        <v>0</v>
      </c>
      <c r="H25" s="67">
        <f>IF(Tableau1_2026[[#This Row],[Temps travail]]&gt;TempsTravail,Tableau1_2026[[#This Row],[Temps travail]]*24-TempsTravail*24,0)</f>
        <v>0</v>
      </c>
      <c r="I25" s="60">
        <f t="shared" si="0"/>
        <v>4</v>
      </c>
      <c r="L25" s="60" t="s">
        <v>36</v>
      </c>
      <c r="N25" s="70">
        <v>4.334027777777778</v>
      </c>
      <c r="O25" s="74">
        <v>104.01666666666657</v>
      </c>
    </row>
    <row r="26" spans="2:15" x14ac:dyDescent="0.25">
      <c r="B26" s="62">
        <v>46046</v>
      </c>
      <c r="C26" s="63"/>
      <c r="D26" s="63"/>
      <c r="E26" s="68">
        <v>4.1666666666666664E-2</v>
      </c>
      <c r="F26" s="65">
        <f>IF(Tableau1_2026[[#This Row],[Arrivée]]&lt;&gt;"",(Tableau1_2026[[#This Row],[Départ]] - Tableau1_2026[[#This Row],[Arrivée]]) - Tableau1_2026[[#This Row],[Pause]],0)</f>
        <v>0</v>
      </c>
      <c r="G26" s="66">
        <f>IF(Tableau1_2026[[#This Row],[Temps travail]]&gt;TempsTravail,Tableau1_2026[[#This Row],[Temps travail]]-TempsTravail,0)</f>
        <v>0</v>
      </c>
      <c r="H26" s="67">
        <f>IF(Tableau1_2026[[#This Row],[Temps travail]]&gt;TempsTravail,Tableau1_2026[[#This Row],[Temps travail]]*24-TempsTravail*24,0)</f>
        <v>0</v>
      </c>
      <c r="I26" s="60">
        <f t="shared" si="0"/>
        <v>4</v>
      </c>
      <c r="L26" s="60">
        <v>2026</v>
      </c>
      <c r="M26" s="60" t="s">
        <v>33</v>
      </c>
      <c r="N26" s="70">
        <v>9.7916666666666666E-2</v>
      </c>
      <c r="O26" s="74">
        <v>2.3499999999999979</v>
      </c>
    </row>
    <row r="27" spans="2:15" x14ac:dyDescent="0.25">
      <c r="B27" s="62">
        <v>46047</v>
      </c>
      <c r="C27" s="73"/>
      <c r="D27" s="63"/>
      <c r="E27" s="68">
        <v>4.1666666666666664E-2</v>
      </c>
      <c r="F27" s="65">
        <f>IF(Tableau1_2026[[#This Row],[Arrivée]]&lt;&gt;"",(Tableau1_2026[[#This Row],[Départ]] - Tableau1_2026[[#This Row],[Arrivée]]) - Tableau1_2026[[#This Row],[Pause]],0)</f>
        <v>0</v>
      </c>
      <c r="G27" s="66">
        <f>IF(Tableau1_2026[[#This Row],[Temps travail]]&gt;TempsTravail,Tableau1_2026[[#This Row],[Temps travail]]-TempsTravail,0)</f>
        <v>0</v>
      </c>
      <c r="H27" s="67">
        <f>IF(Tableau1_2026[[#This Row],[Temps travail]]&gt;TempsTravail,Tableau1_2026[[#This Row],[Temps travail]]*24-TempsTravail*24,0)</f>
        <v>0</v>
      </c>
      <c r="I27" s="60">
        <f t="shared" si="0"/>
        <v>4</v>
      </c>
      <c r="M27" s="60" t="s">
        <v>34</v>
      </c>
      <c r="N27" s="70">
        <v>0</v>
      </c>
      <c r="O27" s="74">
        <v>0</v>
      </c>
    </row>
    <row r="28" spans="2:15" x14ac:dyDescent="0.25">
      <c r="B28" s="62">
        <v>46048</v>
      </c>
      <c r="E28" s="68">
        <v>4.1666666666666664E-2</v>
      </c>
      <c r="F28" s="65">
        <f>IF(Tableau1_2026[[#This Row],[Arrivée]]&lt;&gt;"",(Tableau1_2026[[#This Row],[Départ]] - Tableau1_2026[[#This Row],[Arrivée]]) - Tableau1_2026[[#This Row],[Pause]],0)</f>
        <v>0</v>
      </c>
      <c r="G28" s="66">
        <f>IF(Tableau1_2026[[#This Row],[Temps travail]]&gt;TempsTravail,Tableau1_2026[[#This Row],[Temps travail]]-TempsTravail,0)</f>
        <v>0</v>
      </c>
      <c r="H28" s="67">
        <f>IF(Tableau1_2026[[#This Row],[Temps travail]]&gt;TempsTravail,Tableau1_2026[[#This Row],[Temps travail]]*24-TempsTravail*24,0)</f>
        <v>0</v>
      </c>
      <c r="I28" s="60">
        <f t="shared" si="0"/>
        <v>5</v>
      </c>
      <c r="L28" s="60" t="s">
        <v>37</v>
      </c>
      <c r="N28" s="70">
        <v>9.7916666666666666E-2</v>
      </c>
      <c r="O28" s="74">
        <v>2.3499999999999979</v>
      </c>
    </row>
    <row r="29" spans="2:15" x14ac:dyDescent="0.25">
      <c r="B29" s="62">
        <v>46049</v>
      </c>
      <c r="E29" s="68">
        <v>4.1666666666666664E-2</v>
      </c>
      <c r="F29" s="65">
        <f>IF(Tableau1_2026[[#This Row],[Arrivée]]&lt;&gt;"",(Tableau1_2026[[#This Row],[Départ]] - Tableau1_2026[[#This Row],[Arrivée]]) - Tableau1_2026[[#This Row],[Pause]],0)</f>
        <v>0</v>
      </c>
      <c r="G29" s="66">
        <f>IF(Tableau1_2026[[#This Row],[Temps travail]]&gt;TempsTravail,Tableau1_2026[[#This Row],[Temps travail]]-TempsTravail,0)</f>
        <v>0</v>
      </c>
      <c r="H29" s="67">
        <f>IF(Tableau1_2026[[#This Row],[Temps travail]]&gt;TempsTravail,Tableau1_2026[[#This Row],[Temps travail]]*24-TempsTravail*24,0)</f>
        <v>0</v>
      </c>
      <c r="I29" s="60">
        <f t="shared" si="0"/>
        <v>5</v>
      </c>
      <c r="L29" s="60" t="s">
        <v>30</v>
      </c>
      <c r="N29" s="70">
        <v>4.4319444444444445</v>
      </c>
      <c r="O29" s="74">
        <v>106.36666666666656</v>
      </c>
    </row>
    <row r="30" spans="2:15" x14ac:dyDescent="0.25">
      <c r="B30" s="62">
        <v>46050</v>
      </c>
      <c r="E30" s="68">
        <v>4.1666666666666664E-2</v>
      </c>
      <c r="F30" s="65">
        <f>IF(Tableau1_2026[[#This Row],[Arrivée]]&lt;&gt;"",(Tableau1_2026[[#This Row],[Départ]] - Tableau1_2026[[#This Row],[Arrivée]]) - Tableau1_2026[[#This Row],[Pause]],0)</f>
        <v>0</v>
      </c>
      <c r="G30" s="66">
        <f>IF(Tableau1_2026[[#This Row],[Temps travail]]&gt;TempsTravail,Tableau1_2026[[#This Row],[Temps travail]]-TempsTravail,0)</f>
        <v>0</v>
      </c>
      <c r="H30" s="67">
        <f>IF(Tableau1_2026[[#This Row],[Temps travail]]&gt;TempsTravail,Tableau1_2026[[#This Row],[Temps travail]]*24-TempsTravail*24,0)</f>
        <v>0</v>
      </c>
      <c r="I30" s="60">
        <f t="shared" si="0"/>
        <v>5</v>
      </c>
    </row>
    <row r="31" spans="2:15" x14ac:dyDescent="0.25">
      <c r="B31" s="62">
        <v>46051</v>
      </c>
      <c r="C31" s="63"/>
      <c r="D31" s="63"/>
      <c r="E31" s="68">
        <v>4.1666666666666664E-2</v>
      </c>
      <c r="F31" s="65">
        <f>IF(Tableau1_2026[[#This Row],[Arrivée]]&lt;&gt;"",(Tableau1_2026[[#This Row],[Départ]] - Tableau1_2026[[#This Row],[Arrivée]]) - Tableau1_2026[[#This Row],[Pause]],0)</f>
        <v>0</v>
      </c>
      <c r="G31" s="66">
        <f>IF(Tableau1_2026[[#This Row],[Temps travail]]&gt;TempsTravail,Tableau1_2026[[#This Row],[Temps travail]]-TempsTravail,0)</f>
        <v>0</v>
      </c>
      <c r="H31" s="67">
        <f>IF(Tableau1_2026[[#This Row],[Temps travail]]&gt;TempsTravail,Tableau1_2026[[#This Row],[Temps travail]]*24-TempsTravail*24,0)</f>
        <v>0</v>
      </c>
      <c r="I31" s="60">
        <f t="shared" si="0"/>
        <v>5</v>
      </c>
    </row>
    <row r="32" spans="2:15" x14ac:dyDescent="0.25">
      <c r="B32" s="62">
        <v>46052</v>
      </c>
      <c r="C32" s="63"/>
      <c r="D32" s="63"/>
      <c r="E32" s="68">
        <v>4.1666666666666664E-2</v>
      </c>
      <c r="F32" s="65">
        <f>IF(Tableau1_2026[[#This Row],[Arrivée]]&lt;&gt;"",(Tableau1_2026[[#This Row],[Départ]] - Tableau1_2026[[#This Row],[Arrivée]]) - Tableau1_2026[[#This Row],[Pause]],0)</f>
        <v>0</v>
      </c>
      <c r="G32" s="66">
        <f>IF(Tableau1_2026[[#This Row],[Temps travail]]&gt;TempsTravail,Tableau1_2026[[#This Row],[Temps travail]]-TempsTravail,0)</f>
        <v>0</v>
      </c>
      <c r="H32" s="67">
        <f>IF(Tableau1_2026[[#This Row],[Temps travail]]&gt;TempsTravail,Tableau1_2026[[#This Row],[Temps travail]]*24-TempsTravail*24,0)</f>
        <v>0</v>
      </c>
      <c r="I32" s="60">
        <f t="shared" si="0"/>
        <v>5</v>
      </c>
    </row>
    <row r="35" spans="5:9" x14ac:dyDescent="0.25">
      <c r="E35" s="75"/>
      <c r="F35" s="76"/>
      <c r="G35" s="77"/>
      <c r="H35" s="78"/>
      <c r="I35" s="78"/>
    </row>
    <row r="36" spans="5:9" x14ac:dyDescent="0.25">
      <c r="E36" s="75"/>
      <c r="F36" s="76"/>
      <c r="G36" s="77"/>
      <c r="H36" s="78"/>
      <c r="I36" s="78"/>
    </row>
    <row r="37" spans="5:9" x14ac:dyDescent="0.25">
      <c r="E37" s="75"/>
      <c r="F37" s="76"/>
      <c r="G37" s="77"/>
      <c r="H37" s="78"/>
      <c r="I37" s="78"/>
    </row>
    <row r="38" spans="5:9" x14ac:dyDescent="0.25">
      <c r="E38" s="75"/>
      <c r="F38" s="76"/>
      <c r="G38" s="77"/>
      <c r="H38" s="78"/>
      <c r="I38" s="78"/>
    </row>
    <row r="39" spans="5:9" x14ac:dyDescent="0.25">
      <c r="E39" s="75"/>
      <c r="F39" s="76"/>
      <c r="G39" s="77"/>
      <c r="H39" s="78"/>
      <c r="I39" s="78"/>
    </row>
    <row r="40" spans="5:9" x14ac:dyDescent="0.25">
      <c r="E40" s="75"/>
      <c r="F40" s="76"/>
      <c r="G40" s="77"/>
      <c r="H40" s="78"/>
      <c r="I40" s="78"/>
    </row>
    <row r="41" spans="5:9" x14ac:dyDescent="0.25">
      <c r="E41" s="75"/>
      <c r="F41" s="76"/>
      <c r="G41" s="77"/>
      <c r="H41" s="78"/>
      <c r="I41" s="78"/>
    </row>
    <row r="42" spans="5:9" x14ac:dyDescent="0.25">
      <c r="E42" s="75"/>
      <c r="F42" s="76"/>
      <c r="G42" s="77"/>
      <c r="H42" s="78"/>
      <c r="I42" s="78"/>
    </row>
    <row r="43" spans="5:9" x14ac:dyDescent="0.25">
      <c r="E43" s="75"/>
      <c r="F43" s="76"/>
      <c r="G43" s="77"/>
      <c r="H43" s="78"/>
      <c r="I43" s="78"/>
    </row>
    <row r="44" spans="5:9" x14ac:dyDescent="0.25">
      <c r="E44" s="60"/>
      <c r="F44" s="60"/>
    </row>
    <row r="45" spans="5:9" x14ac:dyDescent="0.25">
      <c r="E45" s="60"/>
      <c r="F45" s="60"/>
    </row>
    <row r="46" spans="5:9" x14ac:dyDescent="0.25">
      <c r="E46" s="60"/>
      <c r="F46" s="60"/>
    </row>
    <row r="47" spans="5:9" x14ac:dyDescent="0.25">
      <c r="E47" s="60"/>
      <c r="F47" s="60"/>
    </row>
    <row r="48" spans="5:9" x14ac:dyDescent="0.25">
      <c r="E48" s="60"/>
      <c r="F48" s="60"/>
    </row>
    <row r="49" spans="1:18" x14ac:dyDescent="0.25">
      <c r="E49" s="60"/>
      <c r="F49" s="60"/>
    </row>
    <row r="50" spans="1:18" s="79" customFormat="1" x14ac:dyDescent="0.25">
      <c r="A50" s="60"/>
      <c r="B50" s="62"/>
      <c r="C50" s="72"/>
      <c r="D50" s="72"/>
      <c r="E50" s="60"/>
      <c r="F50" s="60"/>
      <c r="H50" s="60"/>
      <c r="I50" s="60"/>
      <c r="J50" s="60"/>
      <c r="K50" s="60"/>
      <c r="L50" s="60"/>
      <c r="M50" s="60"/>
      <c r="N50" s="61"/>
      <c r="O50" s="61"/>
      <c r="P50" s="60"/>
      <c r="Q50" s="60"/>
      <c r="R50" s="60"/>
    </row>
    <row r="51" spans="1:18" s="79" customFormat="1" x14ac:dyDescent="0.25">
      <c r="A51" s="60"/>
      <c r="B51" s="62"/>
      <c r="C51" s="72"/>
      <c r="D51" s="72"/>
      <c r="E51" s="60"/>
      <c r="F51" s="60"/>
      <c r="H51" s="60"/>
      <c r="I51" s="60"/>
      <c r="J51" s="60"/>
      <c r="K51" s="60"/>
      <c r="L51" s="60"/>
      <c r="M51" s="60"/>
      <c r="N51" s="61"/>
      <c r="O51" s="61"/>
      <c r="P51" s="60"/>
      <c r="Q51" s="60"/>
      <c r="R51" s="60"/>
    </row>
    <row r="52" spans="1:18" s="79" customFormat="1" x14ac:dyDescent="0.25">
      <c r="A52" s="60"/>
      <c r="B52" s="62"/>
      <c r="C52" s="72"/>
      <c r="D52" s="72"/>
      <c r="E52" s="60"/>
      <c r="F52" s="60"/>
      <c r="H52" s="60"/>
      <c r="I52" s="60"/>
      <c r="J52" s="60"/>
      <c r="K52" s="60"/>
      <c r="L52" s="60"/>
      <c r="M52" s="60"/>
      <c r="N52" s="61"/>
      <c r="O52" s="61"/>
      <c r="P52" s="60"/>
      <c r="Q52" s="60"/>
      <c r="R52" s="60"/>
    </row>
    <row r="53" spans="1:18" s="79" customFormat="1" x14ac:dyDescent="0.25">
      <c r="A53" s="60"/>
      <c r="B53" s="62"/>
      <c r="C53" s="72"/>
      <c r="D53" s="72"/>
      <c r="E53" s="60"/>
      <c r="F53" s="60"/>
      <c r="H53" s="60"/>
      <c r="I53" s="60"/>
      <c r="J53" s="60"/>
      <c r="K53" s="60"/>
      <c r="L53" s="60"/>
      <c r="M53" s="60"/>
      <c r="N53" s="61"/>
      <c r="O53" s="61"/>
      <c r="P53" s="60"/>
      <c r="Q53" s="60"/>
      <c r="R53" s="60"/>
    </row>
    <row r="54" spans="1:18" s="79" customFormat="1" x14ac:dyDescent="0.25">
      <c r="A54" s="60"/>
      <c r="B54" s="62"/>
      <c r="C54" s="72"/>
      <c r="D54" s="72"/>
      <c r="E54" s="60"/>
      <c r="F54" s="60"/>
      <c r="H54" s="60"/>
      <c r="I54" s="60"/>
      <c r="J54" s="60"/>
      <c r="K54" s="60"/>
      <c r="L54" s="60"/>
      <c r="M54" s="60"/>
      <c r="N54" s="61"/>
      <c r="O54" s="61"/>
      <c r="P54" s="60"/>
      <c r="Q54" s="60"/>
      <c r="R54" s="60"/>
    </row>
    <row r="55" spans="1:18" s="79" customFormat="1" x14ac:dyDescent="0.25">
      <c r="A55" s="60"/>
      <c r="B55" s="62"/>
      <c r="C55" s="72"/>
      <c r="D55" s="72"/>
      <c r="E55" s="60"/>
      <c r="F55" s="60"/>
      <c r="H55" s="60"/>
      <c r="I55" s="60"/>
      <c r="J55" s="60"/>
      <c r="K55" s="60"/>
      <c r="L55" s="60"/>
      <c r="M55" s="60"/>
      <c r="N55" s="61"/>
      <c r="O55" s="61"/>
      <c r="P55" s="60"/>
      <c r="Q55" s="60"/>
      <c r="R55" s="60"/>
    </row>
  </sheetData>
  <conditionalFormatting sqref="G1:G1048576">
    <cfRule type="expression" dxfId="13" priority="5">
      <formula>$H$3&lt;0</formula>
    </cfRule>
    <cfRule type="cellIs" dxfId="12" priority="6" operator="lessThan">
      <formula>0</formula>
    </cfRule>
    <cfRule type="expression" dxfId="11" priority="7">
      <formula>#REF!</formula>
    </cfRule>
  </conditionalFormatting>
  <conditionalFormatting sqref="G4 G6 G8 G10 G12 G14 G16 G18 G20 G22 G24 G26 G28 G30 G32">
    <cfRule type="expression" dxfId="10" priority="4">
      <formula>$H$4&lt;0</formula>
    </cfRule>
  </conditionalFormatting>
  <conditionalFormatting sqref="H2">
    <cfRule type="expression" dxfId="9" priority="1">
      <formula>$H$3&lt;0</formula>
    </cfRule>
    <cfRule type="cellIs" dxfId="8" priority="2" operator="lessThan">
      <formula>0</formula>
    </cfRule>
    <cfRule type="expression" dxfId="7" priority="3">
      <formula>#REF!</formula>
    </cfRule>
  </conditionalFormatting>
  <pageMargins left="0.7" right="0.7" top="0.75" bottom="0.75" header="0.3" footer="0.3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78A87-80B8-443E-AEF7-5E98EC12520C}">
  <dimension ref="A2:R55"/>
  <sheetViews>
    <sheetView showGridLines="0" showZeros="0" workbookViewId="0">
      <pane ySplit="2" topLeftCell="A3" activePane="bottomLeft" state="frozen"/>
      <selection activeCell="P12" sqref="P12"/>
      <selection pane="bottomLeft" activeCell="B31" sqref="B31:B32"/>
    </sheetView>
  </sheetViews>
  <sheetFormatPr baseColWidth="10" defaultColWidth="10.44140625" defaultRowHeight="13.2" outlineLevelCol="1" x14ac:dyDescent="0.25"/>
  <cols>
    <col min="1" max="1" width="2.77734375" style="60" customWidth="1"/>
    <col min="2" max="2" width="11" style="62" bestFit="1" customWidth="1"/>
    <col min="3" max="4" width="8.77734375" style="72" bestFit="1" customWidth="1"/>
    <col min="5" max="5" width="6" style="72" hidden="1" customWidth="1" outlineLevel="1"/>
    <col min="6" max="6" width="12.21875" style="65" hidden="1" customWidth="1" outlineLevel="1"/>
    <col min="7" max="7" width="8.21875" style="79" bestFit="1" customWidth="1" collapsed="1"/>
    <col min="8" max="8" width="8.21875" style="60" hidden="1" customWidth="1" outlineLevel="1"/>
    <col min="9" max="9" width="8.44140625" style="60" bestFit="1" customWidth="1" collapsed="1"/>
    <col min="10" max="10" width="2.77734375" style="60" customWidth="1"/>
    <col min="11" max="11" width="4.77734375" style="60" customWidth="1"/>
    <col min="12" max="13" width="15.77734375" style="60" customWidth="1"/>
    <col min="14" max="15" width="15.77734375" style="61" customWidth="1"/>
    <col min="16" max="16" width="4.77734375" style="60" customWidth="1"/>
    <col min="17" max="17" width="19.5546875" style="60" bestFit="1" customWidth="1"/>
    <col min="18" max="18" width="10.5546875" style="60" bestFit="1" customWidth="1"/>
    <col min="19" max="19" width="17.5546875" style="60" bestFit="1" customWidth="1"/>
    <col min="20" max="16384" width="10.44140625" style="60"/>
  </cols>
  <sheetData>
    <row r="2" spans="2:15" x14ac:dyDescent="0.25">
      <c r="B2" s="56" t="s">
        <v>0</v>
      </c>
      <c r="C2" s="57" t="s">
        <v>1</v>
      </c>
      <c r="D2" s="57" t="s">
        <v>2</v>
      </c>
      <c r="E2" s="57" t="s">
        <v>3</v>
      </c>
      <c r="F2" s="58" t="s">
        <v>4</v>
      </c>
      <c r="G2" s="59" t="s">
        <v>5</v>
      </c>
      <c r="H2" s="59" t="s">
        <v>20</v>
      </c>
      <c r="I2" s="60" t="s">
        <v>6</v>
      </c>
      <c r="L2" s="80" t="s">
        <v>31</v>
      </c>
      <c r="M2" s="82">
        <v>2026</v>
      </c>
    </row>
    <row r="3" spans="2:15" x14ac:dyDescent="0.25">
      <c r="B3" s="62">
        <v>46054</v>
      </c>
      <c r="C3" s="63"/>
      <c r="D3" s="63"/>
      <c r="E3" s="64">
        <v>4.1666666666666664E-2</v>
      </c>
      <c r="F3" s="65">
        <f>IF(Tableau2_2026[[#This Row],[Arrivée]]&lt;&gt;"",(Tableau2_2026[[#This Row],[Départ]] - Tableau2_2026[[#This Row],[Arrivée]]) - Tableau2_2026[[#This Row],[Pause]],0)</f>
        <v>0</v>
      </c>
      <c r="G3" s="66">
        <f>IF(Tableau2_2026[[#This Row],[Temps travail]]&gt;TempsTravail,Tableau2_2026[[#This Row],[Temps travail]]-TempsTravail,0)</f>
        <v>0</v>
      </c>
      <c r="H3" s="67">
        <f>IF(Tableau2_2026[[#This Row],[Temps travail]]&gt;TempsTravail,Tableau2_2026[[#This Row],[Temps travail]]*24-TempsTravail*24,0)</f>
        <v>0</v>
      </c>
      <c r="I3" s="60">
        <f t="shared" ref="I3:I30" si="0">WEEKNUM(B3,2)</f>
        <v>5</v>
      </c>
      <c r="L3" s="80" t="s">
        <v>32</v>
      </c>
      <c r="M3" s="60" t="s">
        <v>34</v>
      </c>
    </row>
    <row r="4" spans="2:15" x14ac:dyDescent="0.25">
      <c r="B4" s="62">
        <v>46055</v>
      </c>
      <c r="C4" s="63"/>
      <c r="D4" s="63"/>
      <c r="E4" s="68">
        <v>4.1666666666666664E-2</v>
      </c>
      <c r="F4" s="65">
        <f>IF(Tableau2_2026[[#This Row],[Arrivée]]&lt;&gt;"",(Tableau2_2026[[#This Row],[Départ]] - Tableau2_2026[[#This Row],[Arrivée]]) - Tableau2_2026[[#This Row],[Pause]],0)</f>
        <v>0</v>
      </c>
      <c r="G4" s="66">
        <f>IF(Tableau2_2026[[#This Row],[Temps travail]]&gt;TempsTravail,Tableau2_2026[[#This Row],[Temps travail]]-TempsTravail,0)</f>
        <v>0</v>
      </c>
      <c r="H4" s="67">
        <f>IF(Tableau2_2026[[#This Row],[Temps travail]]&gt;TempsTravail,Tableau2_2026[[#This Row],[Temps travail]]*24-TempsTravail*24,0)</f>
        <v>0</v>
      </c>
      <c r="I4" s="60">
        <f t="shared" si="0"/>
        <v>6</v>
      </c>
      <c r="N4" s="60"/>
      <c r="O4" s="60"/>
    </row>
    <row r="5" spans="2:15" x14ac:dyDescent="0.25">
      <c r="B5" s="62">
        <v>46056</v>
      </c>
      <c r="C5" s="63"/>
      <c r="D5" s="63"/>
      <c r="E5" s="68">
        <v>4.1666666666666664E-2</v>
      </c>
      <c r="F5" s="65">
        <f>IF(Tableau2_2026[[#This Row],[Arrivée]]&lt;&gt;"",(Tableau2_2026[[#This Row],[Départ]] - Tableau2_2026[[#This Row],[Arrivée]]) - Tableau2_2026[[#This Row],[Pause]],0)</f>
        <v>0</v>
      </c>
      <c r="G5" s="66">
        <f>IF(Tableau2_2026[[#This Row],[Temps travail]]&gt;TempsTravail,Tableau2_2026[[#This Row],[Temps travail]]-TempsTravail,0)</f>
        <v>0</v>
      </c>
      <c r="H5" s="67">
        <f>IF(Tableau2_2026[[#This Row],[Temps travail]]&gt;TempsTravail,Tableau2_2026[[#This Row],[Temps travail]]*24-TempsTravail*24,0)</f>
        <v>0</v>
      </c>
      <c r="I5" s="60">
        <f t="shared" si="0"/>
        <v>6</v>
      </c>
      <c r="L5" s="81" t="s">
        <v>6</v>
      </c>
      <c r="M5" s="61" t="s">
        <v>39</v>
      </c>
      <c r="N5" s="61" t="s">
        <v>40</v>
      </c>
      <c r="O5" s="60"/>
    </row>
    <row r="6" spans="2:15" x14ac:dyDescent="0.25">
      <c r="B6" s="62">
        <v>46057</v>
      </c>
      <c r="C6" s="63"/>
      <c r="D6" s="63"/>
      <c r="E6" s="68">
        <v>4.1666666666666664E-2</v>
      </c>
      <c r="F6" s="65">
        <f>IF(Tableau2_2026[[#This Row],[Arrivée]]&lt;&gt;"",(Tableau2_2026[[#This Row],[Départ]] - Tableau2_2026[[#This Row],[Arrivée]]) - Tableau2_2026[[#This Row],[Pause]],0)</f>
        <v>0</v>
      </c>
      <c r="G6" s="66">
        <f>IF(Tableau2_2026[[#This Row],[Temps travail]]&gt;TempsTravail,Tableau2_2026[[#This Row],[Temps travail]]-TempsTravail,0)</f>
        <v>0</v>
      </c>
      <c r="H6" s="67">
        <f>IF(Tableau2_2026[[#This Row],[Temps travail]]&gt;TempsTravail,Tableau2_2026[[#This Row],[Temps travail]]*24-TempsTravail*24,0)</f>
        <v>0</v>
      </c>
      <c r="I6" s="60">
        <f t="shared" si="0"/>
        <v>6</v>
      </c>
      <c r="L6" s="69">
        <v>5</v>
      </c>
      <c r="M6" s="70">
        <v>0</v>
      </c>
      <c r="N6" s="71">
        <v>0</v>
      </c>
      <c r="O6" s="60"/>
    </row>
    <row r="7" spans="2:15" x14ac:dyDescent="0.25">
      <c r="B7" s="62">
        <v>46058</v>
      </c>
      <c r="E7" s="68">
        <v>4.1666666666666664E-2</v>
      </c>
      <c r="F7" s="65">
        <f>IF(Tableau2_2026[[#This Row],[Arrivée]]&lt;&gt;"",(Tableau2_2026[[#This Row],[Départ]] - Tableau2_2026[[#This Row],[Arrivée]]) - Tableau2_2026[[#This Row],[Pause]],0)</f>
        <v>0</v>
      </c>
      <c r="G7" s="66">
        <f>IF(Tableau2_2026[[#This Row],[Temps travail]]&gt;TempsTravail,Tableau2_2026[[#This Row],[Temps travail]]-TempsTravail,0)</f>
        <v>0</v>
      </c>
      <c r="H7" s="67">
        <f>IF(Tableau2_2026[[#This Row],[Temps travail]]&gt;TempsTravail,Tableau2_2026[[#This Row],[Temps travail]]*24-TempsTravail*24,0)</f>
        <v>0</v>
      </c>
      <c r="I7" s="60">
        <f t="shared" si="0"/>
        <v>6</v>
      </c>
      <c r="L7" s="69">
        <v>6</v>
      </c>
      <c r="M7" s="70">
        <v>0</v>
      </c>
      <c r="N7" s="71">
        <v>0</v>
      </c>
      <c r="O7" s="60"/>
    </row>
    <row r="8" spans="2:15" x14ac:dyDescent="0.25">
      <c r="B8" s="62">
        <v>46059</v>
      </c>
      <c r="E8" s="68">
        <v>4.1666666666666664E-2</v>
      </c>
      <c r="F8" s="65">
        <f>IF(Tableau2_2026[[#This Row],[Arrivée]]&lt;&gt;"",(Tableau2_2026[[#This Row],[Départ]] - Tableau2_2026[[#This Row],[Arrivée]]) - Tableau2_2026[[#This Row],[Pause]],0)</f>
        <v>0</v>
      </c>
      <c r="G8" s="66">
        <f>IF(Tableau2_2026[[#This Row],[Temps travail]]&gt;TempsTravail,Tableau2_2026[[#This Row],[Temps travail]]-TempsTravail,0)</f>
        <v>0</v>
      </c>
      <c r="H8" s="67">
        <f>IF(Tableau2_2026[[#This Row],[Temps travail]]&gt;TempsTravail,Tableau2_2026[[#This Row],[Temps travail]]*24-TempsTravail*24,0)</f>
        <v>0</v>
      </c>
      <c r="I8" s="60">
        <f t="shared" si="0"/>
        <v>6</v>
      </c>
      <c r="L8" s="69">
        <v>7</v>
      </c>
      <c r="M8" s="70">
        <v>0</v>
      </c>
      <c r="N8" s="71">
        <v>0</v>
      </c>
      <c r="O8" s="60"/>
    </row>
    <row r="9" spans="2:15" x14ac:dyDescent="0.25">
      <c r="B9" s="62">
        <v>46060</v>
      </c>
      <c r="C9" s="73"/>
      <c r="D9" s="63"/>
      <c r="E9" s="68">
        <v>4.1666666666666664E-2</v>
      </c>
      <c r="F9" s="65">
        <f>IF(Tableau2_2026[[#This Row],[Arrivée]]&lt;&gt;"",(Tableau2_2026[[#This Row],[Départ]] - Tableau2_2026[[#This Row],[Arrivée]]) - Tableau2_2026[[#This Row],[Pause]],0)</f>
        <v>0</v>
      </c>
      <c r="G9" s="66">
        <f>IF(Tableau2_2026[[#This Row],[Temps travail]]&gt;TempsTravail,Tableau2_2026[[#This Row],[Temps travail]]-TempsTravail,0)</f>
        <v>0</v>
      </c>
      <c r="H9" s="67">
        <f>IF(Tableau2_2026[[#This Row],[Temps travail]]&gt;TempsTravail,Tableau2_2026[[#This Row],[Temps travail]]*24-TempsTravail*24,0)</f>
        <v>0</v>
      </c>
      <c r="I9" s="60">
        <f t="shared" si="0"/>
        <v>6</v>
      </c>
      <c r="L9" s="69">
        <v>8</v>
      </c>
      <c r="M9" s="70">
        <v>0</v>
      </c>
      <c r="N9" s="71">
        <v>0</v>
      </c>
      <c r="O9" s="60"/>
    </row>
    <row r="10" spans="2:15" x14ac:dyDescent="0.25">
      <c r="B10" s="62">
        <v>46061</v>
      </c>
      <c r="C10" s="63"/>
      <c r="D10" s="63"/>
      <c r="E10" s="68">
        <v>4.1666666666666664E-2</v>
      </c>
      <c r="F10" s="65">
        <f>IF(Tableau2_2026[[#This Row],[Arrivée]]&lt;&gt;"",(Tableau2_2026[[#This Row],[Départ]] - Tableau2_2026[[#This Row],[Arrivée]]) - Tableau2_2026[[#This Row],[Pause]],0)</f>
        <v>0</v>
      </c>
      <c r="G10" s="66">
        <f>IF(Tableau2_2026[[#This Row],[Temps travail]]&gt;TempsTravail,Tableau2_2026[[#This Row],[Temps travail]]-TempsTravail,0)</f>
        <v>0</v>
      </c>
      <c r="H10" s="67">
        <f>IF(Tableau2_2026[[#This Row],[Temps travail]]&gt;TempsTravail,Tableau2_2026[[#This Row],[Temps travail]]*24-TempsTravail*24,0)</f>
        <v>0</v>
      </c>
      <c r="I10" s="60">
        <f t="shared" si="0"/>
        <v>6</v>
      </c>
      <c r="L10" s="69">
        <v>9</v>
      </c>
      <c r="M10" s="70">
        <v>0</v>
      </c>
      <c r="N10" s="71">
        <v>0</v>
      </c>
      <c r="O10" s="60"/>
    </row>
    <row r="11" spans="2:15" x14ac:dyDescent="0.25">
      <c r="B11" s="62">
        <v>46062</v>
      </c>
      <c r="C11" s="63"/>
      <c r="D11" s="63"/>
      <c r="E11" s="68">
        <v>4.1666666666666664E-2</v>
      </c>
      <c r="F11" s="65">
        <f>IF(Tableau2_2026[[#This Row],[Arrivée]]&lt;&gt;"",(Tableau2_2026[[#This Row],[Départ]] - Tableau2_2026[[#This Row],[Arrivée]]) - Tableau2_2026[[#This Row],[Pause]],0)</f>
        <v>0</v>
      </c>
      <c r="G11" s="66">
        <f>IF(Tableau2_2026[[#This Row],[Temps travail]]&gt;TempsTravail,Tableau2_2026[[#This Row],[Temps travail]]-TempsTravail,0)</f>
        <v>0</v>
      </c>
      <c r="H11" s="67">
        <f>IF(Tableau2_2026[[#This Row],[Temps travail]]&gt;TempsTravail,Tableau2_2026[[#This Row],[Temps travail]]*24-TempsTravail*24,0)</f>
        <v>0</v>
      </c>
      <c r="I11" s="60">
        <f t="shared" si="0"/>
        <v>7</v>
      </c>
      <c r="L11" s="60" t="s">
        <v>30</v>
      </c>
      <c r="M11" s="70">
        <v>0</v>
      </c>
      <c r="N11" s="71">
        <v>0</v>
      </c>
      <c r="O11" s="60"/>
    </row>
    <row r="12" spans="2:15" x14ac:dyDescent="0.25">
      <c r="B12" s="62">
        <v>46063</v>
      </c>
      <c r="C12" s="63"/>
      <c r="D12" s="63"/>
      <c r="E12" s="68">
        <v>4.1666666666666664E-2</v>
      </c>
      <c r="F12" s="65">
        <f>IF(Tableau2_2026[[#This Row],[Arrivée]]&lt;&gt;"",(Tableau2_2026[[#This Row],[Départ]] - Tableau2_2026[[#This Row],[Arrivée]]) - Tableau2_2026[[#This Row],[Pause]],0)</f>
        <v>0</v>
      </c>
      <c r="G12" s="66">
        <f>IF(Tableau2_2026[[#This Row],[Temps travail]]&gt;TempsTravail,Tableau2_2026[[#This Row],[Temps travail]]-TempsTravail,0)</f>
        <v>0</v>
      </c>
      <c r="H12" s="67">
        <f>IF(Tableau2_2026[[#This Row],[Temps travail]]&gt;TempsTravail,Tableau2_2026[[#This Row],[Temps travail]]*24-TempsTravail*24,0)</f>
        <v>0</v>
      </c>
      <c r="I12" s="60">
        <f t="shared" si="0"/>
        <v>7</v>
      </c>
    </row>
    <row r="13" spans="2:15" x14ac:dyDescent="0.25">
      <c r="B13" s="62">
        <v>46064</v>
      </c>
      <c r="C13" s="63"/>
      <c r="D13" s="63"/>
      <c r="E13" s="68">
        <v>4.1666666666666664E-2</v>
      </c>
      <c r="F13" s="65">
        <f>IF(Tableau2_2026[[#This Row],[Arrivée]]&lt;&gt;"",(Tableau2_2026[[#This Row],[Départ]] - Tableau2_2026[[#This Row],[Arrivée]]) - Tableau2_2026[[#This Row],[Pause]],0)</f>
        <v>0</v>
      </c>
      <c r="G13" s="66">
        <f>IF(Tableau2_2026[[#This Row],[Temps travail]]&gt;TempsTravail,Tableau2_2026[[#This Row],[Temps travail]]-TempsTravail,0)</f>
        <v>0</v>
      </c>
      <c r="H13" s="67">
        <f>IF(Tableau2_2026[[#This Row],[Temps travail]]&gt;TempsTravail,Tableau2_2026[[#This Row],[Temps travail]]*24-TempsTravail*24,0)</f>
        <v>0</v>
      </c>
      <c r="I13" s="60">
        <f t="shared" si="0"/>
        <v>7</v>
      </c>
    </row>
    <row r="14" spans="2:15" x14ac:dyDescent="0.25">
      <c r="B14" s="62">
        <v>46065</v>
      </c>
      <c r="E14" s="68">
        <v>4.1666666666666664E-2</v>
      </c>
      <c r="F14" s="65">
        <f>IF(Tableau2_2026[[#This Row],[Arrivée]]&lt;&gt;"",(Tableau2_2026[[#This Row],[Départ]] - Tableau2_2026[[#This Row],[Arrivée]]) - Tableau2_2026[[#This Row],[Pause]],0)</f>
        <v>0</v>
      </c>
      <c r="G14" s="66">
        <f>IF(Tableau2_2026[[#This Row],[Temps travail]]&gt;TempsTravail,Tableau2_2026[[#This Row],[Temps travail]]-TempsTravail,0)</f>
        <v>0</v>
      </c>
      <c r="H14" s="67">
        <f>IF(Tableau2_2026[[#This Row],[Temps travail]]&gt;TempsTravail,Tableau2_2026[[#This Row],[Temps travail]]*24-TempsTravail*24,0)</f>
        <v>0</v>
      </c>
      <c r="I14" s="60">
        <f t="shared" si="0"/>
        <v>7</v>
      </c>
    </row>
    <row r="15" spans="2:15" x14ac:dyDescent="0.25">
      <c r="B15" s="62">
        <v>46066</v>
      </c>
      <c r="E15" s="68">
        <v>4.1666666666666664E-2</v>
      </c>
      <c r="F15" s="65">
        <f>IF(Tableau2_2026[[#This Row],[Arrivée]]&lt;&gt;"",(Tableau2_2026[[#This Row],[Départ]] - Tableau2_2026[[#This Row],[Arrivée]]) - Tableau2_2026[[#This Row],[Pause]],0)</f>
        <v>0</v>
      </c>
      <c r="G15" s="66">
        <f>IF(Tableau2_2026[[#This Row],[Temps travail]]&gt;TempsTravail,Tableau2_2026[[#This Row],[Temps travail]]-TempsTravail,0)</f>
        <v>0</v>
      </c>
      <c r="H15" s="67">
        <f>IF(Tableau2_2026[[#This Row],[Temps travail]]&gt;TempsTravail,Tableau2_2026[[#This Row],[Temps travail]]*24-TempsTravail*24,0)</f>
        <v>0</v>
      </c>
      <c r="I15" s="60">
        <f t="shared" si="0"/>
        <v>7</v>
      </c>
      <c r="L15" s="80" t="s">
        <v>31</v>
      </c>
      <c r="M15" s="80" t="s">
        <v>32</v>
      </c>
      <c r="N15" s="61" t="s">
        <v>35</v>
      </c>
      <c r="O15" s="61" t="s">
        <v>38</v>
      </c>
    </row>
    <row r="16" spans="2:15" x14ac:dyDescent="0.25">
      <c r="B16" s="62">
        <v>46067</v>
      </c>
      <c r="C16" s="63"/>
      <c r="D16" s="63"/>
      <c r="E16" s="68">
        <v>4.1666666666666664E-2</v>
      </c>
      <c r="F16" s="65">
        <f>IF(Tableau2_2026[[#This Row],[Arrivée]]&lt;&gt;"",(Tableau2_2026[[#This Row],[Départ]] - Tableau2_2026[[#This Row],[Arrivée]]) - Tableau2_2026[[#This Row],[Pause]],0)</f>
        <v>0</v>
      </c>
      <c r="G16" s="66">
        <f>IF(Tableau2_2026[[#This Row],[Temps travail]]&gt;TempsTravail,Tableau2_2026[[#This Row],[Temps travail]]-TempsTravail,0)</f>
        <v>0</v>
      </c>
      <c r="H16" s="67">
        <f>IF(Tableau2_2026[[#This Row],[Temps travail]]&gt;TempsTravail,Tableau2_2026[[#This Row],[Temps travail]]*24-TempsTravail*24,0)</f>
        <v>0</v>
      </c>
      <c r="I16" s="60">
        <f t="shared" si="0"/>
        <v>7</v>
      </c>
      <c r="L16" s="60">
        <v>2025</v>
      </c>
      <c r="M16" s="60" t="s">
        <v>21</v>
      </c>
      <c r="N16" s="70">
        <v>0.21111111111111111</v>
      </c>
      <c r="O16" s="74">
        <v>5.0666666666666638</v>
      </c>
    </row>
    <row r="17" spans="2:15" x14ac:dyDescent="0.25">
      <c r="B17" s="62">
        <v>46068</v>
      </c>
      <c r="C17" s="63"/>
      <c r="D17" s="63"/>
      <c r="E17" s="68">
        <v>4.1666666666666664E-2</v>
      </c>
      <c r="F17" s="65">
        <f>IF(Tableau2_2026[[#This Row],[Arrivée]]&lt;&gt;"",(Tableau2_2026[[#This Row],[Départ]] - Tableau2_2026[[#This Row],[Arrivée]]) - Tableau2_2026[[#This Row],[Pause]],0)</f>
        <v>0</v>
      </c>
      <c r="G17" s="66">
        <f>IF(Tableau2_2026[[#This Row],[Temps travail]]&gt;TempsTravail,Tableau2_2026[[#This Row],[Temps travail]]-TempsTravail,0)</f>
        <v>0</v>
      </c>
      <c r="H17" s="67">
        <f>IF(Tableau2_2026[[#This Row],[Temps travail]]&gt;TempsTravail,Tableau2_2026[[#This Row],[Temps travail]]*24-TempsTravail*24,0)</f>
        <v>0</v>
      </c>
      <c r="I17" s="60">
        <f t="shared" si="0"/>
        <v>7</v>
      </c>
      <c r="M17" s="60" t="s">
        <v>22</v>
      </c>
      <c r="N17" s="70">
        <v>0.27708333333333335</v>
      </c>
      <c r="O17" s="74">
        <v>6.6499999999999977</v>
      </c>
    </row>
    <row r="18" spans="2:15" x14ac:dyDescent="0.25">
      <c r="B18" s="62">
        <v>46069</v>
      </c>
      <c r="C18" s="63"/>
      <c r="D18" s="63"/>
      <c r="E18" s="68">
        <v>4.1666666666666664E-2</v>
      </c>
      <c r="F18" s="65">
        <f>IF(Tableau2_2026[[#This Row],[Arrivée]]&lt;&gt;"",(Tableau2_2026[[#This Row],[Départ]] - Tableau2_2026[[#This Row],[Arrivée]]) - Tableau2_2026[[#This Row],[Pause]],0)</f>
        <v>0</v>
      </c>
      <c r="G18" s="66">
        <f>IF(Tableau2_2026[[#This Row],[Temps travail]]&gt;TempsTravail,Tableau2_2026[[#This Row],[Temps travail]]-TempsTravail,0)</f>
        <v>0</v>
      </c>
      <c r="H18" s="67">
        <f>IF(Tableau2_2026[[#This Row],[Temps travail]]&gt;TempsTravail,Tableau2_2026[[#This Row],[Temps travail]]*24-TempsTravail*24,0)</f>
        <v>0</v>
      </c>
      <c r="I18" s="60">
        <f t="shared" si="0"/>
        <v>8</v>
      </c>
      <c r="M18" s="60" t="s">
        <v>23</v>
      </c>
      <c r="N18" s="70">
        <v>0.33402777777777776</v>
      </c>
      <c r="O18" s="74">
        <v>8.0166666666666551</v>
      </c>
    </row>
    <row r="19" spans="2:15" x14ac:dyDescent="0.25">
      <c r="B19" s="62">
        <v>46070</v>
      </c>
      <c r="C19" s="63"/>
      <c r="D19" s="63"/>
      <c r="E19" s="68">
        <v>4.1666666666666664E-2</v>
      </c>
      <c r="F19" s="65">
        <f>IF(Tableau2_2026[[#This Row],[Arrivée]]&lt;&gt;"",(Tableau2_2026[[#This Row],[Départ]] - Tableau2_2026[[#This Row],[Arrivée]]) - Tableau2_2026[[#This Row],[Pause]],0)</f>
        <v>0</v>
      </c>
      <c r="G19" s="66">
        <f>IF(Tableau2_2026[[#This Row],[Temps travail]]&gt;TempsTravail,Tableau2_2026[[#This Row],[Temps travail]]-TempsTravail,0)</f>
        <v>0</v>
      </c>
      <c r="H19" s="67">
        <f>IF(Tableau2_2026[[#This Row],[Temps travail]]&gt;TempsTravail,Tableau2_2026[[#This Row],[Temps travail]]*24-TempsTravail*24,0)</f>
        <v>0</v>
      </c>
      <c r="I19" s="60">
        <f t="shared" si="0"/>
        <v>8</v>
      </c>
      <c r="M19" s="60" t="s">
        <v>24</v>
      </c>
      <c r="N19" s="70">
        <v>0.68263888888888891</v>
      </c>
      <c r="O19" s="74">
        <v>16.383333333333319</v>
      </c>
    </row>
    <row r="20" spans="2:15" x14ac:dyDescent="0.25">
      <c r="B20" s="62">
        <v>46071</v>
      </c>
      <c r="C20" s="63"/>
      <c r="D20" s="63"/>
      <c r="E20" s="68">
        <v>4.1666666666666664E-2</v>
      </c>
      <c r="F20" s="65">
        <f>IF(Tableau2_2026[[#This Row],[Arrivée]]&lt;&gt;"",(Tableau2_2026[[#This Row],[Départ]] - Tableau2_2026[[#This Row],[Arrivée]]) - Tableau2_2026[[#This Row],[Pause]],0)</f>
        <v>0</v>
      </c>
      <c r="G20" s="66">
        <f>IF(Tableau2_2026[[#This Row],[Temps travail]]&gt;TempsTravail,Tableau2_2026[[#This Row],[Temps travail]]-TempsTravail,0)</f>
        <v>0</v>
      </c>
      <c r="H20" s="67">
        <f>IF(Tableau2_2026[[#This Row],[Temps travail]]&gt;TempsTravail,Tableau2_2026[[#This Row],[Temps travail]]*24-TempsTravail*24,0)</f>
        <v>0</v>
      </c>
      <c r="I20" s="60">
        <f t="shared" si="0"/>
        <v>8</v>
      </c>
      <c r="M20" s="60" t="s">
        <v>25</v>
      </c>
      <c r="N20" s="70">
        <v>0.63055555555555554</v>
      </c>
      <c r="O20" s="74">
        <v>15.13333333333332</v>
      </c>
    </row>
    <row r="21" spans="2:15" x14ac:dyDescent="0.25">
      <c r="B21" s="62">
        <v>46072</v>
      </c>
      <c r="E21" s="68">
        <v>4.1666666666666664E-2</v>
      </c>
      <c r="F21" s="65">
        <f>IF(Tableau2_2026[[#This Row],[Arrivée]]&lt;&gt;"",(Tableau2_2026[[#This Row],[Départ]] - Tableau2_2026[[#This Row],[Arrivée]]) - Tableau2_2026[[#This Row],[Pause]],0)</f>
        <v>0</v>
      </c>
      <c r="G21" s="66">
        <f>IF(Tableau2_2026[[#This Row],[Temps travail]]&gt;TempsTravail,Tableau2_2026[[#This Row],[Temps travail]]-TempsTravail,0)</f>
        <v>0</v>
      </c>
      <c r="H21" s="67">
        <f>IF(Tableau2_2026[[#This Row],[Temps travail]]&gt;TempsTravail,Tableau2_2026[[#This Row],[Temps travail]]*24-TempsTravail*24,0)</f>
        <v>0</v>
      </c>
      <c r="I21" s="60">
        <f t="shared" si="0"/>
        <v>8</v>
      </c>
      <c r="M21" s="60" t="s">
        <v>26</v>
      </c>
      <c r="N21" s="70">
        <v>0.55625000000000002</v>
      </c>
      <c r="O21" s="74">
        <v>13.349999999999985</v>
      </c>
    </row>
    <row r="22" spans="2:15" x14ac:dyDescent="0.25">
      <c r="B22" s="62">
        <v>46073</v>
      </c>
      <c r="E22" s="68">
        <v>4.1666666666666664E-2</v>
      </c>
      <c r="F22" s="65">
        <f>IF(Tableau2_2026[[#This Row],[Arrivée]]&lt;&gt;"",(Tableau2_2026[[#This Row],[Départ]] - Tableau2_2026[[#This Row],[Arrivée]]) - Tableau2_2026[[#This Row],[Pause]],0)</f>
        <v>0</v>
      </c>
      <c r="G22" s="66">
        <f>IF(Tableau2_2026[[#This Row],[Temps travail]]&gt;TempsTravail,Tableau2_2026[[#This Row],[Temps travail]]-TempsTravail,0)</f>
        <v>0</v>
      </c>
      <c r="H22" s="67">
        <f>IF(Tableau2_2026[[#This Row],[Temps travail]]&gt;TempsTravail,Tableau2_2026[[#This Row],[Temps travail]]*24-TempsTravail*24,0)</f>
        <v>0</v>
      </c>
      <c r="I22" s="60">
        <f t="shared" si="0"/>
        <v>8</v>
      </c>
      <c r="M22" s="60" t="s">
        <v>27</v>
      </c>
      <c r="N22" s="70">
        <v>0.82916666666666672</v>
      </c>
      <c r="O22" s="74">
        <v>19.899999999999995</v>
      </c>
    </row>
    <row r="23" spans="2:15" x14ac:dyDescent="0.25">
      <c r="B23" s="62">
        <v>46074</v>
      </c>
      <c r="E23" s="68">
        <v>4.1666666666666664E-2</v>
      </c>
      <c r="F23" s="65">
        <f>IF(Tableau2_2026[[#This Row],[Arrivée]]&lt;&gt;"",(Tableau2_2026[[#This Row],[Départ]] - Tableau2_2026[[#This Row],[Arrivée]]) - Tableau2_2026[[#This Row],[Pause]],0)</f>
        <v>0</v>
      </c>
      <c r="G23" s="66">
        <f>IF(Tableau2_2026[[#This Row],[Temps travail]]&gt;TempsTravail,Tableau2_2026[[#This Row],[Temps travail]]-TempsTravail,0)</f>
        <v>0</v>
      </c>
      <c r="H23" s="67">
        <f>IF(Tableau2_2026[[#This Row],[Temps travail]]&gt;TempsTravail,Tableau2_2026[[#This Row],[Temps travail]]*24-TempsTravail*24,0)</f>
        <v>0</v>
      </c>
      <c r="I23" s="60">
        <f t="shared" si="0"/>
        <v>8</v>
      </c>
      <c r="M23" s="60" t="s">
        <v>28</v>
      </c>
      <c r="N23" s="70">
        <v>0.43888888888888888</v>
      </c>
      <c r="O23" s="74">
        <v>10.533333333333319</v>
      </c>
    </row>
    <row r="24" spans="2:15" x14ac:dyDescent="0.25">
      <c r="B24" s="62">
        <v>46075</v>
      </c>
      <c r="C24" s="63"/>
      <c r="D24" s="63"/>
      <c r="E24" s="68">
        <v>4.1666666666666664E-2</v>
      </c>
      <c r="F24" s="65">
        <f>IF(Tableau2_2026[[#This Row],[Arrivée]]&lt;&gt;"",(Tableau2_2026[[#This Row],[Départ]] - Tableau2_2026[[#This Row],[Arrivée]]) - Tableau2_2026[[#This Row],[Pause]],0)</f>
        <v>0</v>
      </c>
      <c r="G24" s="66">
        <f>IF(Tableau2_2026[[#This Row],[Temps travail]]&gt;TempsTravail,Tableau2_2026[[#This Row],[Temps travail]]-TempsTravail,0)</f>
        <v>0</v>
      </c>
      <c r="H24" s="67">
        <f>IF(Tableau2_2026[[#This Row],[Temps travail]]&gt;TempsTravail,Tableau2_2026[[#This Row],[Temps travail]]*24-TempsTravail*24,0)</f>
        <v>0</v>
      </c>
      <c r="I24" s="60">
        <f t="shared" si="0"/>
        <v>8</v>
      </c>
      <c r="M24" s="60" t="s">
        <v>29</v>
      </c>
      <c r="N24" s="70">
        <v>0.37430555555555556</v>
      </c>
      <c r="O24" s="74">
        <v>8.9833333333333201</v>
      </c>
    </row>
    <row r="25" spans="2:15" x14ac:dyDescent="0.25">
      <c r="B25" s="62">
        <v>46076</v>
      </c>
      <c r="C25" s="63"/>
      <c r="D25" s="63"/>
      <c r="E25" s="68">
        <v>4.1666666666666664E-2</v>
      </c>
      <c r="F25" s="65">
        <f>IF(Tableau2_2026[[#This Row],[Arrivée]]&lt;&gt;"",(Tableau2_2026[[#This Row],[Départ]] - Tableau2_2026[[#This Row],[Arrivée]]) - Tableau2_2026[[#This Row],[Pause]],0)</f>
        <v>0</v>
      </c>
      <c r="G25" s="66">
        <f>IF(Tableau2_2026[[#This Row],[Temps travail]]&gt;TempsTravail,Tableau2_2026[[#This Row],[Temps travail]]-TempsTravail,0)</f>
        <v>0</v>
      </c>
      <c r="H25" s="67">
        <f>IF(Tableau2_2026[[#This Row],[Temps travail]]&gt;TempsTravail,Tableau2_2026[[#This Row],[Temps travail]]*24-TempsTravail*24,0)</f>
        <v>0</v>
      </c>
      <c r="I25" s="60">
        <f t="shared" si="0"/>
        <v>9</v>
      </c>
      <c r="L25" s="60" t="s">
        <v>36</v>
      </c>
      <c r="N25" s="70">
        <v>4.334027777777778</v>
      </c>
      <c r="O25" s="74">
        <v>104.01666666666657</v>
      </c>
    </row>
    <row r="26" spans="2:15" x14ac:dyDescent="0.25">
      <c r="B26" s="62">
        <v>46077</v>
      </c>
      <c r="C26" s="63"/>
      <c r="D26" s="63"/>
      <c r="E26" s="68">
        <v>4.1666666666666664E-2</v>
      </c>
      <c r="F26" s="65">
        <f>IF(Tableau2_2026[[#This Row],[Arrivée]]&lt;&gt;"",(Tableau2_2026[[#This Row],[Départ]] - Tableau2_2026[[#This Row],[Arrivée]]) - Tableau2_2026[[#This Row],[Pause]],0)</f>
        <v>0</v>
      </c>
      <c r="G26" s="66">
        <f>IF(Tableau2_2026[[#This Row],[Temps travail]]&gt;TempsTravail,Tableau2_2026[[#This Row],[Temps travail]]-TempsTravail,0)</f>
        <v>0</v>
      </c>
      <c r="H26" s="67">
        <f>IF(Tableau2_2026[[#This Row],[Temps travail]]&gt;TempsTravail,Tableau2_2026[[#This Row],[Temps travail]]*24-TempsTravail*24,0)</f>
        <v>0</v>
      </c>
      <c r="I26" s="60">
        <f t="shared" si="0"/>
        <v>9</v>
      </c>
      <c r="L26" s="60">
        <v>2026</v>
      </c>
      <c r="M26" s="60" t="s">
        <v>33</v>
      </c>
      <c r="N26" s="70">
        <v>9.7916666666666666E-2</v>
      </c>
      <c r="O26" s="74">
        <v>2.3499999999999979</v>
      </c>
    </row>
    <row r="27" spans="2:15" x14ac:dyDescent="0.25">
      <c r="B27" s="62">
        <v>46078</v>
      </c>
      <c r="C27" s="73"/>
      <c r="D27" s="63"/>
      <c r="E27" s="68">
        <v>4.1666666666666664E-2</v>
      </c>
      <c r="F27" s="65">
        <f>IF(Tableau2_2026[[#This Row],[Arrivée]]&lt;&gt;"",(Tableau2_2026[[#This Row],[Départ]] - Tableau2_2026[[#This Row],[Arrivée]]) - Tableau2_2026[[#This Row],[Pause]],0)</f>
        <v>0</v>
      </c>
      <c r="G27" s="66">
        <f>IF(Tableau2_2026[[#This Row],[Temps travail]]&gt;TempsTravail,Tableau2_2026[[#This Row],[Temps travail]]-TempsTravail,0)</f>
        <v>0</v>
      </c>
      <c r="H27" s="67">
        <f>IF(Tableau2_2026[[#This Row],[Temps travail]]&gt;TempsTravail,Tableau2_2026[[#This Row],[Temps travail]]*24-TempsTravail*24,0)</f>
        <v>0</v>
      </c>
      <c r="I27" s="60">
        <f t="shared" si="0"/>
        <v>9</v>
      </c>
      <c r="M27" s="60" t="s">
        <v>34</v>
      </c>
      <c r="N27" s="70">
        <v>0</v>
      </c>
      <c r="O27" s="74">
        <v>0</v>
      </c>
    </row>
    <row r="28" spans="2:15" x14ac:dyDescent="0.25">
      <c r="B28" s="62">
        <v>46079</v>
      </c>
      <c r="E28" s="68">
        <v>4.1666666666666664E-2</v>
      </c>
      <c r="F28" s="65">
        <f>IF(Tableau2_2026[[#This Row],[Arrivée]]&lt;&gt;"",(Tableau2_2026[[#This Row],[Départ]] - Tableau2_2026[[#This Row],[Arrivée]]) - Tableau2_2026[[#This Row],[Pause]],0)</f>
        <v>0</v>
      </c>
      <c r="G28" s="66">
        <f>IF(Tableau2_2026[[#This Row],[Temps travail]]&gt;TempsTravail,Tableau2_2026[[#This Row],[Temps travail]]-TempsTravail,0)</f>
        <v>0</v>
      </c>
      <c r="H28" s="67">
        <f>IF(Tableau2_2026[[#This Row],[Temps travail]]&gt;TempsTravail,Tableau2_2026[[#This Row],[Temps travail]]*24-TempsTravail*24,0)</f>
        <v>0</v>
      </c>
      <c r="I28" s="60">
        <f t="shared" si="0"/>
        <v>9</v>
      </c>
      <c r="L28" s="60" t="s">
        <v>37</v>
      </c>
      <c r="N28" s="70">
        <v>9.7916666666666666E-2</v>
      </c>
      <c r="O28" s="74">
        <v>2.3499999999999979</v>
      </c>
    </row>
    <row r="29" spans="2:15" x14ac:dyDescent="0.25">
      <c r="B29" s="62">
        <v>46080</v>
      </c>
      <c r="E29" s="68">
        <v>4.1666666666666664E-2</v>
      </c>
      <c r="F29" s="65">
        <f>IF(Tableau2_2026[[#This Row],[Arrivée]]&lt;&gt;"",(Tableau2_2026[[#This Row],[Départ]] - Tableau2_2026[[#This Row],[Arrivée]]) - Tableau2_2026[[#This Row],[Pause]],0)</f>
        <v>0</v>
      </c>
      <c r="G29" s="66">
        <f>IF(Tableau2_2026[[#This Row],[Temps travail]]&gt;TempsTravail,Tableau2_2026[[#This Row],[Temps travail]]-TempsTravail,0)</f>
        <v>0</v>
      </c>
      <c r="H29" s="67">
        <f>IF(Tableau2_2026[[#This Row],[Temps travail]]&gt;TempsTravail,Tableau2_2026[[#This Row],[Temps travail]]*24-TempsTravail*24,0)</f>
        <v>0</v>
      </c>
      <c r="I29" s="60">
        <f t="shared" si="0"/>
        <v>9</v>
      </c>
      <c r="L29" s="60" t="s">
        <v>30</v>
      </c>
      <c r="N29" s="70">
        <v>4.4319444444444445</v>
      </c>
      <c r="O29" s="74">
        <v>106.36666666666656</v>
      </c>
    </row>
    <row r="30" spans="2:15" x14ac:dyDescent="0.25">
      <c r="B30" s="62">
        <v>46081</v>
      </c>
      <c r="E30" s="68">
        <v>4.1666666666666664E-2</v>
      </c>
      <c r="F30" s="65">
        <f>IF(Tableau2_2026[[#This Row],[Arrivée]]&lt;&gt;"",(Tableau2_2026[[#This Row],[Départ]] - Tableau2_2026[[#This Row],[Arrivée]]) - Tableau2_2026[[#This Row],[Pause]],0)</f>
        <v>0</v>
      </c>
      <c r="G30" s="66">
        <f>IF(Tableau2_2026[[#This Row],[Temps travail]]&gt;TempsTravail,Tableau2_2026[[#This Row],[Temps travail]]-TempsTravail,0)</f>
        <v>0</v>
      </c>
      <c r="H30" s="67">
        <f>IF(Tableau2_2026[[#This Row],[Temps travail]]&gt;TempsTravail,Tableau2_2026[[#This Row],[Temps travail]]*24-TempsTravail*24,0)</f>
        <v>0</v>
      </c>
      <c r="I30" s="60">
        <f t="shared" si="0"/>
        <v>9</v>
      </c>
    </row>
    <row r="33" spans="5:9" x14ac:dyDescent="0.25">
      <c r="E33" s="75"/>
      <c r="F33" s="76"/>
      <c r="G33" s="77"/>
      <c r="H33" s="78"/>
      <c r="I33" s="78"/>
    </row>
    <row r="34" spans="5:9" x14ac:dyDescent="0.25">
      <c r="E34" s="75"/>
      <c r="F34" s="76"/>
      <c r="G34" s="77"/>
      <c r="H34" s="78"/>
      <c r="I34" s="78"/>
    </row>
    <row r="35" spans="5:9" x14ac:dyDescent="0.25">
      <c r="E35" s="75"/>
      <c r="F35" s="76"/>
      <c r="G35" s="77"/>
      <c r="H35" s="78"/>
      <c r="I35" s="78"/>
    </row>
    <row r="36" spans="5:9" x14ac:dyDescent="0.25">
      <c r="E36" s="75"/>
      <c r="F36" s="76"/>
      <c r="G36" s="77"/>
      <c r="H36" s="78"/>
      <c r="I36" s="78"/>
    </row>
    <row r="37" spans="5:9" x14ac:dyDescent="0.25">
      <c r="E37" s="75"/>
      <c r="F37" s="76"/>
      <c r="G37" s="77"/>
      <c r="H37" s="78"/>
      <c r="I37" s="78"/>
    </row>
    <row r="38" spans="5:9" x14ac:dyDescent="0.25">
      <c r="E38" s="75"/>
      <c r="F38" s="76"/>
      <c r="G38" s="77"/>
      <c r="H38" s="78"/>
      <c r="I38" s="78"/>
    </row>
    <row r="39" spans="5:9" x14ac:dyDescent="0.25">
      <c r="E39" s="75"/>
      <c r="F39" s="76"/>
      <c r="G39" s="77"/>
      <c r="H39" s="78"/>
      <c r="I39" s="78"/>
    </row>
    <row r="40" spans="5:9" x14ac:dyDescent="0.25">
      <c r="E40" s="75"/>
      <c r="F40" s="76"/>
      <c r="G40" s="77"/>
      <c r="H40" s="78"/>
      <c r="I40" s="78"/>
    </row>
    <row r="41" spans="5:9" x14ac:dyDescent="0.25">
      <c r="E41" s="75"/>
      <c r="F41" s="76"/>
      <c r="G41" s="77"/>
      <c r="H41" s="78"/>
      <c r="I41" s="78"/>
    </row>
    <row r="42" spans="5:9" x14ac:dyDescent="0.25">
      <c r="E42" s="60"/>
      <c r="F42" s="60"/>
    </row>
    <row r="43" spans="5:9" x14ac:dyDescent="0.25">
      <c r="E43" s="60"/>
      <c r="F43" s="60"/>
    </row>
    <row r="44" spans="5:9" x14ac:dyDescent="0.25">
      <c r="E44" s="60"/>
      <c r="F44" s="60"/>
    </row>
    <row r="45" spans="5:9" x14ac:dyDescent="0.25">
      <c r="E45" s="60"/>
      <c r="F45" s="60"/>
    </row>
    <row r="46" spans="5:9" x14ac:dyDescent="0.25">
      <c r="E46" s="60"/>
      <c r="F46" s="60"/>
    </row>
    <row r="47" spans="5:9" x14ac:dyDescent="0.25">
      <c r="E47" s="60"/>
      <c r="F47" s="60"/>
    </row>
    <row r="48" spans="5:9" x14ac:dyDescent="0.25">
      <c r="E48" s="60"/>
      <c r="F48" s="60"/>
    </row>
    <row r="49" spans="1:18" x14ac:dyDescent="0.25">
      <c r="E49" s="60"/>
      <c r="F49" s="60"/>
    </row>
    <row r="50" spans="1:18" s="79" customFormat="1" x14ac:dyDescent="0.25">
      <c r="A50" s="60"/>
      <c r="B50" s="62"/>
      <c r="C50" s="72"/>
      <c r="D50" s="72"/>
      <c r="E50" s="60"/>
      <c r="F50" s="60"/>
      <c r="H50" s="60"/>
      <c r="I50" s="60"/>
      <c r="J50" s="60"/>
      <c r="K50" s="60"/>
      <c r="L50" s="60"/>
      <c r="M50" s="60"/>
      <c r="N50" s="61"/>
      <c r="O50" s="61"/>
      <c r="P50" s="60"/>
      <c r="Q50" s="60"/>
      <c r="R50" s="60"/>
    </row>
    <row r="51" spans="1:18" s="79" customFormat="1" x14ac:dyDescent="0.25">
      <c r="A51" s="60"/>
      <c r="B51" s="62"/>
      <c r="C51" s="72"/>
      <c r="D51" s="72"/>
      <c r="E51" s="60"/>
      <c r="F51" s="60"/>
      <c r="H51" s="60"/>
      <c r="I51" s="60"/>
      <c r="J51" s="60"/>
      <c r="K51" s="60"/>
      <c r="L51" s="60"/>
      <c r="M51" s="60"/>
      <c r="N51" s="61"/>
      <c r="O51" s="61"/>
      <c r="P51" s="60"/>
      <c r="Q51" s="60"/>
      <c r="R51" s="60"/>
    </row>
    <row r="52" spans="1:18" s="79" customFormat="1" x14ac:dyDescent="0.25">
      <c r="A52" s="60"/>
      <c r="B52" s="62"/>
      <c r="C52" s="72"/>
      <c r="D52" s="72"/>
      <c r="E52" s="60"/>
      <c r="F52" s="60"/>
      <c r="H52" s="60"/>
      <c r="I52" s="60"/>
      <c r="J52" s="60"/>
      <c r="K52" s="60"/>
      <c r="L52" s="60"/>
      <c r="M52" s="60"/>
      <c r="N52" s="61"/>
      <c r="O52" s="61"/>
      <c r="P52" s="60"/>
      <c r="Q52" s="60"/>
      <c r="R52" s="60"/>
    </row>
    <row r="53" spans="1:18" s="79" customFormat="1" x14ac:dyDescent="0.25">
      <c r="A53" s="60"/>
      <c r="B53" s="62"/>
      <c r="C53" s="72"/>
      <c r="D53" s="72"/>
      <c r="E53" s="60"/>
      <c r="F53" s="60"/>
      <c r="H53" s="60"/>
      <c r="I53" s="60"/>
      <c r="J53" s="60"/>
      <c r="K53" s="60"/>
      <c r="L53" s="60"/>
      <c r="M53" s="60"/>
      <c r="N53" s="61"/>
      <c r="O53" s="61"/>
      <c r="P53" s="60"/>
      <c r="Q53" s="60"/>
      <c r="R53" s="60"/>
    </row>
    <row r="54" spans="1:18" s="79" customFormat="1" x14ac:dyDescent="0.25">
      <c r="A54" s="60"/>
      <c r="B54" s="62"/>
      <c r="C54" s="72"/>
      <c r="D54" s="72"/>
      <c r="E54" s="72"/>
      <c r="F54" s="65"/>
      <c r="H54" s="60"/>
      <c r="I54" s="60"/>
      <c r="J54" s="60"/>
      <c r="K54" s="60"/>
      <c r="L54" s="60"/>
      <c r="M54" s="60"/>
      <c r="N54" s="61"/>
      <c r="O54" s="61"/>
      <c r="P54" s="60"/>
      <c r="Q54" s="60"/>
      <c r="R54" s="60"/>
    </row>
    <row r="55" spans="1:18" s="79" customFormat="1" x14ac:dyDescent="0.25">
      <c r="A55" s="60"/>
      <c r="B55" s="62"/>
      <c r="C55" s="72"/>
      <c r="D55" s="72"/>
      <c r="E55" s="72"/>
      <c r="F55" s="65"/>
      <c r="H55" s="60"/>
      <c r="I55" s="60"/>
      <c r="J55" s="60"/>
      <c r="K55" s="60"/>
      <c r="L55" s="60"/>
      <c r="M55" s="60"/>
      <c r="N55" s="61"/>
      <c r="O55" s="61"/>
      <c r="P55" s="60"/>
      <c r="Q55" s="60"/>
      <c r="R55" s="60"/>
    </row>
  </sheetData>
  <conditionalFormatting sqref="G1:G1048576">
    <cfRule type="expression" dxfId="6" priority="5">
      <formula>$H$3&lt;0</formula>
    </cfRule>
    <cfRule type="cellIs" dxfId="5" priority="6" operator="lessThan">
      <formula>0</formula>
    </cfRule>
    <cfRule type="expression" dxfId="4" priority="7">
      <formula>#REF!</formula>
    </cfRule>
  </conditionalFormatting>
  <conditionalFormatting sqref="G4 G6 G8 G10 G12 G14 G16 G18 G20 G22 G24 G26 G28 G30">
    <cfRule type="expression" dxfId="3" priority="4">
      <formula>$H$4&lt;0</formula>
    </cfRule>
  </conditionalFormatting>
  <conditionalFormatting sqref="H2">
    <cfRule type="expression" dxfId="2" priority="1">
      <formula>$H$3&lt;0</formula>
    </cfRule>
    <cfRule type="cellIs" dxfId="1" priority="2" operator="lessThan">
      <formula>0</formula>
    </cfRule>
    <cfRule type="expression" dxfId="0" priority="3">
      <formula>#REF!</formula>
    </cfRule>
  </conditionalFormatting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373AB7-E76D-4193-9B53-E0AB794B66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Tableaux</vt:lpstr>
      <vt:lpstr>04-2025</vt:lpstr>
      <vt:lpstr>05-2025</vt:lpstr>
      <vt:lpstr>06-2025</vt:lpstr>
      <vt:lpstr>07-2025</vt:lpstr>
      <vt:lpstr>08-2025</vt:lpstr>
      <vt:lpstr>09-2025</vt:lpstr>
      <vt:lpstr>10-2025</vt:lpstr>
      <vt:lpstr>11-2025</vt:lpstr>
      <vt:lpstr>12-2025</vt:lpstr>
      <vt:lpstr>01-2026</vt:lpstr>
      <vt:lpstr>02-2026</vt:lpstr>
      <vt:lpstr>Pause</vt:lpstr>
      <vt:lpstr>TempsTravail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Mathilde EMERAUD</dc:creator>
  <cp:keywords/>
  <dc:description/>
  <cp:lastModifiedBy>Damaste .</cp:lastModifiedBy>
  <cp:revision/>
  <dcterms:created xsi:type="dcterms:W3CDTF">2025-05-15T19:08:32Z</dcterms:created>
  <dcterms:modified xsi:type="dcterms:W3CDTF">2026-01-08T10:46:15Z</dcterms:modified>
  <cp:category/>
  <cp:contentStatus/>
</cp:coreProperties>
</file>