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CB7D5E75-AA36-41D1-8165-8C22442AC557}" xr6:coauthVersionLast="47" xr6:coauthVersionMax="47" xr10:uidLastSave="{00000000-0000-0000-0000-000000000000}"/>
  <bookViews>
    <workbookView xWindow="-108" yWindow="-108" windowWidth="23256" windowHeight="12576" activeTab="1" xr2:uid="{4D7FE128-DDFE-4C0D-8CA5-DE887172E21B}"/>
  </bookViews>
  <sheets>
    <sheet name="IMMO" sheetId="1" r:id="rId1"/>
    <sheet name="Fiche" sheetId="2" r:id="rId2"/>
  </sheets>
  <definedNames>
    <definedName name="_Annuite">Fiche!$F$25</definedName>
    <definedName name="_Duree">Fiche!$F$21</definedName>
    <definedName name="_MisService">Fiche!$D$23</definedName>
    <definedName name="_NumImmo">Fiche!$E$8</definedName>
    <definedName name="CoutAcquis">Fiche!$C$18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6" i="2" l="1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E35" i="2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34" i="2"/>
  <c r="E33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N4" i="1"/>
  <c r="N5" i="1"/>
  <c r="H4" i="1"/>
  <c r="I4" i="1" s="1"/>
  <c r="H5" i="1"/>
  <c r="O5" i="1" s="1"/>
  <c r="F23" i="2"/>
  <c r="F24" i="2"/>
  <c r="D23" i="2"/>
  <c r="D21" i="2"/>
  <c r="F21" i="2"/>
  <c r="F19" i="2"/>
  <c r="F17" i="2"/>
  <c r="C17" i="2"/>
  <c r="C16" i="2"/>
  <c r="D12" i="2"/>
  <c r="D10" i="2"/>
  <c r="A32" i="2" l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O4" i="1"/>
  <c r="F25" i="2"/>
  <c r="I5" i="1"/>
  <c r="C18" i="2"/>
  <c r="A43" i="2" l="1"/>
  <c r="E32" i="2"/>
  <c r="A44" i="2" l="1"/>
  <c r="A45" i="2" l="1"/>
  <c r="A46" i="2" l="1"/>
</calcChain>
</file>

<file path=xl/sharedStrings.xml><?xml version="1.0" encoding="utf-8"?>
<sst xmlns="http://schemas.openxmlformats.org/spreadsheetml/2006/main" count="47" uniqueCount="41">
  <si>
    <t>FICHE DES IMMOBILISATIONS</t>
  </si>
  <si>
    <t>N* fiche</t>
  </si>
  <si>
    <t>Nature immobilisation</t>
  </si>
  <si>
    <t>Nom immobilisation</t>
  </si>
  <si>
    <t>N*Compte</t>
  </si>
  <si>
    <t>N* compte d'amortissemt</t>
  </si>
  <si>
    <t>Prix d'achat</t>
  </si>
  <si>
    <t>Frais access</t>
  </si>
  <si>
    <t>Cout d'achat</t>
  </si>
  <si>
    <t>Cout de revient</t>
  </si>
  <si>
    <t>Date d'acquisition</t>
  </si>
  <si>
    <t>Date mise en service</t>
  </si>
  <si>
    <t>Duree</t>
  </si>
  <si>
    <t>Type d'amortissement</t>
  </si>
  <si>
    <t>Taux</t>
  </si>
  <si>
    <t>Annuite</t>
  </si>
  <si>
    <t>01/2025</t>
  </si>
  <si>
    <t>Autres installations et agencmts</t>
  </si>
  <si>
    <t>Amenagement en beton station rte kgsi</t>
  </si>
  <si>
    <t>Lineaire</t>
  </si>
  <si>
    <t>02/2025</t>
  </si>
  <si>
    <t>Amenagement en beton station rte Po</t>
  </si>
  <si>
    <t xml:space="preserve">FICHE D'IMMOBILISATION </t>
  </si>
  <si>
    <t>NATURE DE L'IMMOBILISATION:</t>
  </si>
  <si>
    <t>Nom de l'immobilisation:</t>
  </si>
  <si>
    <t>Frais/achat</t>
  </si>
  <si>
    <t>Cout d'acquisition</t>
  </si>
  <si>
    <t>Date d'acquisition :</t>
  </si>
  <si>
    <r>
      <t>Date</t>
    </r>
    <r>
      <rPr>
        <b/>
        <i/>
        <sz val="12"/>
        <color indexed="8"/>
        <rFont val="Calibri"/>
        <family val="2"/>
      </rPr>
      <t xml:space="preserve"> de mise</t>
    </r>
    <r>
      <rPr>
        <b/>
        <sz val="12"/>
        <color indexed="8"/>
        <rFont val="Calibri"/>
        <family val="2"/>
      </rPr>
      <t xml:space="preserve"> en service :</t>
    </r>
  </si>
  <si>
    <t>Annuité:</t>
  </si>
  <si>
    <t>Tableau d'amortissement</t>
  </si>
  <si>
    <t>Année</t>
  </si>
  <si>
    <t>Valeur d'acquisition</t>
  </si>
  <si>
    <t>Amortissements</t>
  </si>
  <si>
    <t>Cumul des amortissements</t>
  </si>
  <si>
    <t>Valeur Comptable nette</t>
  </si>
  <si>
    <t>Le Chef Comptable</t>
  </si>
  <si>
    <t>N*</t>
  </si>
  <si>
    <t>N° Compte d'amortissement</t>
  </si>
  <si>
    <t>N° Compte Comptable</t>
  </si>
  <si>
    <t>Durée d'utilité du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</si>
</sst>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]dd/mm/yyyy;@" x16r2:formatCode16="[$-fr-BF,1]dd/mm/yyyy;@"/>
    <numFmt numFmtId="165" formatCode="_-* #,##0_-;\-* #,##0_-;_-* &quot;-&quot;??_-;_-@_-"/>
    <numFmt numFmtId="166" formatCode="[$-40C]d\-mmm\-yyyy;@"/>
    <numFmt numFmtId="167" formatCode="&quot;(&quot;0&quot; mois)&quot;"/>
    <numFmt numFmtId="168" formatCode="@* &quot;: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3" fillId="2" borderId="0" xfId="0" applyFont="1" applyFill="1" applyAlignment="1">
      <alignment horizontal="centerContinuous"/>
    </xf>
    <xf numFmtId="0" fontId="3" fillId="2" borderId="0" xfId="0" applyFont="1" applyFill="1" applyAlignment="1">
      <alignment horizontal="center"/>
    </xf>
    <xf numFmtId="41" fontId="3" fillId="2" borderId="0" xfId="2" applyFont="1" applyFill="1" applyAlignment="1">
      <alignment horizontal="centerContinuous"/>
    </xf>
    <xf numFmtId="164" fontId="3" fillId="2" borderId="0" xfId="0" applyNumberFormat="1" applyFont="1" applyFill="1" applyAlignment="1">
      <alignment horizontal="centerContinuous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1" fontId="0" fillId="0" borderId="0" xfId="2" applyFont="1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/>
    <xf numFmtId="41" fontId="0" fillId="0" borderId="0" xfId="2" applyFont="1"/>
    <xf numFmtId="164" fontId="0" fillId="0" borderId="0" xfId="0" applyNumberFormat="1"/>
    <xf numFmtId="0" fontId="5" fillId="0" borderId="1" xfId="0" applyFont="1" applyBorder="1"/>
    <xf numFmtId="0" fontId="0" fillId="0" borderId="2" xfId="0" applyBorder="1"/>
    <xf numFmtId="0" fontId="6" fillId="0" borderId="1" xfId="0" applyFont="1" applyBorder="1"/>
    <xf numFmtId="0" fontId="0" fillId="0" borderId="3" xfId="0" applyBorder="1"/>
    <xf numFmtId="0" fontId="6" fillId="3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7" fillId="0" borderId="0" xfId="0" applyFont="1"/>
    <xf numFmtId="165" fontId="7" fillId="0" borderId="0" xfId="1" applyNumberFormat="1" applyFont="1"/>
    <xf numFmtId="0" fontId="8" fillId="0" borderId="4" xfId="0" applyFont="1" applyBorder="1"/>
    <xf numFmtId="0" fontId="9" fillId="4" borderId="0" xfId="0" quotePrefix="1" applyFont="1" applyFill="1"/>
    <xf numFmtId="0" fontId="10" fillId="5" borderId="0" xfId="0" applyFont="1" applyFill="1"/>
    <xf numFmtId="165" fontId="10" fillId="5" borderId="0" xfId="0" applyNumberFormat="1" applyFont="1" applyFill="1"/>
    <xf numFmtId="0" fontId="0" fillId="0" borderId="4" xfId="0" applyBorder="1"/>
    <xf numFmtId="166" fontId="7" fillId="0" borderId="0" xfId="0" applyNumberFormat="1" applyFont="1" applyAlignment="1">
      <alignment horizontal="left"/>
    </xf>
    <xf numFmtId="0" fontId="10" fillId="0" borderId="0" xfId="0" applyFont="1"/>
    <xf numFmtId="166" fontId="7" fillId="0" borderId="0" xfId="0" applyNumberFormat="1" applyFont="1"/>
    <xf numFmtId="0" fontId="7" fillId="0" borderId="4" xfId="0" applyFont="1" applyBorder="1"/>
    <xf numFmtId="166" fontId="10" fillId="0" borderId="0" xfId="0" applyNumberFormat="1" applyFont="1" applyAlignment="1">
      <alignment horizontal="left"/>
    </xf>
    <xf numFmtId="9" fontId="10" fillId="0" borderId="0" xfId="1" applyNumberFormat="1" applyFont="1" applyAlignment="1">
      <alignment horizontal="left"/>
    </xf>
    <xf numFmtId="165" fontId="14" fillId="7" borderId="0" xfId="1" applyNumberFormat="1" applyFont="1" applyFill="1" applyAlignment="1">
      <alignment horizontal="left"/>
    </xf>
    <xf numFmtId="0" fontId="14" fillId="0" borderId="0" xfId="0" applyFont="1" applyAlignment="1">
      <alignment horizontal="right"/>
    </xf>
    <xf numFmtId="165" fontId="14" fillId="0" borderId="0" xfId="1" applyNumberFormat="1" applyFont="1" applyFill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16" fillId="0" borderId="0" xfId="0" applyFont="1"/>
    <xf numFmtId="0" fontId="0" fillId="0" borderId="0" xfId="0" applyAlignment="1">
      <alignment horizontal="right"/>
    </xf>
    <xf numFmtId="0" fontId="11" fillId="6" borderId="0" xfId="0" quotePrefix="1" applyFont="1" applyFill="1" applyAlignment="1">
      <alignment horizontal="center" wrapText="1"/>
    </xf>
    <xf numFmtId="0" fontId="4" fillId="0" borderId="0" xfId="0" applyFont="1" applyAlignment="1">
      <alignment horizontal="center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5" fillId="5" borderId="0" xfId="0" applyFont="1" applyFill="1" applyAlignment="1">
      <alignment horizontal="center"/>
    </xf>
    <xf numFmtId="10" fontId="0" fillId="0" borderId="0" xfId="3" applyNumberFormat="1" applyFont="1"/>
    <xf numFmtId="3" fontId="10" fillId="0" borderId="0" xfId="0" applyNumberFormat="1" applyFont="1"/>
    <xf numFmtId="0" fontId="5" fillId="0" borderId="2" xfId="0" applyFont="1" applyBorder="1"/>
    <xf numFmtId="0" fontId="2" fillId="0" borderId="5" xfId="0" applyFont="1" applyBorder="1" applyAlignment="1">
      <alignment horizontal="centerContinuous" vertical="center" wrapText="1"/>
    </xf>
    <xf numFmtId="0" fontId="17" fillId="0" borderId="12" xfId="0" applyFont="1" applyBorder="1" applyAlignment="1">
      <alignment horizontal="right"/>
    </xf>
    <xf numFmtId="167" fontId="17" fillId="0" borderId="13" xfId="0" applyNumberFormat="1" applyFont="1" applyBorder="1" applyAlignment="1">
      <alignment horizontal="left"/>
    </xf>
    <xf numFmtId="0" fontId="17" fillId="0" borderId="14" xfId="0" applyFont="1" applyBorder="1" applyAlignment="1">
      <alignment horizontal="right"/>
    </xf>
    <xf numFmtId="167" fontId="17" fillId="0" borderId="15" xfId="0" applyNumberFormat="1" applyFont="1" applyBorder="1" applyAlignment="1">
      <alignment horizontal="left"/>
    </xf>
    <xf numFmtId="0" fontId="17" fillId="0" borderId="16" xfId="0" applyFont="1" applyBorder="1" applyAlignment="1">
      <alignment horizontal="right"/>
    </xf>
    <xf numFmtId="167" fontId="17" fillId="0" borderId="17" xfId="0" applyNumberFormat="1" applyFont="1" applyBorder="1" applyAlignment="1">
      <alignment horizontal="left"/>
    </xf>
    <xf numFmtId="3" fontId="17" fillId="0" borderId="6" xfId="0" applyNumberFormat="1" applyFont="1" applyBorder="1"/>
    <xf numFmtId="3" fontId="17" fillId="0" borderId="8" xfId="0" applyNumberFormat="1" applyFont="1" applyBorder="1"/>
    <xf numFmtId="3" fontId="17" fillId="0" borderId="10" xfId="0" applyNumberFormat="1" applyFont="1" applyBorder="1"/>
    <xf numFmtId="3" fontId="17" fillId="0" borderId="6" xfId="0" applyNumberFormat="1" applyFont="1" applyBorder="1" applyAlignment="1">
      <alignment horizontal="right" indent="1"/>
    </xf>
    <xf numFmtId="3" fontId="17" fillId="0" borderId="8" xfId="0" applyNumberFormat="1" applyFont="1" applyBorder="1" applyAlignment="1">
      <alignment horizontal="right" indent="1"/>
    </xf>
    <xf numFmtId="3" fontId="17" fillId="0" borderId="10" xfId="0" applyNumberFormat="1" applyFont="1" applyBorder="1" applyAlignment="1">
      <alignment horizontal="right" indent="1"/>
    </xf>
    <xf numFmtId="3" fontId="17" fillId="0" borderId="6" xfId="2" applyNumberFormat="1" applyFont="1" applyBorder="1"/>
    <xf numFmtId="3" fontId="17" fillId="0" borderId="7" xfId="0" applyNumberFormat="1" applyFont="1" applyBorder="1"/>
    <xf numFmtId="3" fontId="17" fillId="0" borderId="8" xfId="2" applyNumberFormat="1" applyFont="1" applyBorder="1"/>
    <xf numFmtId="3" fontId="17" fillId="0" borderId="9" xfId="0" applyNumberFormat="1" applyFont="1" applyBorder="1"/>
    <xf numFmtId="3" fontId="17" fillId="0" borderId="11" xfId="0" applyNumberFormat="1" applyFont="1" applyBorder="1"/>
    <xf numFmtId="168" fontId="8" fillId="0" borderId="4" xfId="0" quotePrefix="1" applyNumberFormat="1" applyFont="1" applyBorder="1"/>
    <xf numFmtId="168" fontId="8" fillId="0" borderId="4" xfId="0" quotePrefix="1" applyNumberFormat="1" applyFont="1" applyBorder="1" applyAlignment="1">
      <alignment horizontal="center" vertical="center"/>
    </xf>
    <xf numFmtId="168" fontId="10" fillId="0" borderId="4" xfId="0" applyNumberFormat="1" applyFont="1" applyBorder="1" applyAlignment="1">
      <alignment horizontal="left"/>
    </xf>
    <xf numFmtId="168" fontId="7" fillId="0" borderId="4" xfId="0" applyNumberFormat="1" applyFont="1" applyBorder="1"/>
    <xf numFmtId="168" fontId="7" fillId="0" borderId="4" xfId="0" applyNumberFormat="1" applyFont="1" applyBorder="1" applyAlignment="1">
      <alignment horizontal="right"/>
    </xf>
    <xf numFmtId="168" fontId="14" fillId="7" borderId="4" xfId="0" applyNumberFormat="1" applyFont="1" applyFill="1" applyBorder="1" applyAlignment="1">
      <alignment horizontal="right"/>
    </xf>
  </cellXfs>
  <cellStyles count="4">
    <cellStyle name="Milliers" xfId="1" builtinId="3"/>
    <cellStyle name="Milliers [0]" xfId="2" builtinId="6"/>
    <cellStyle name="Normal" xfId="0" builtinId="0"/>
    <cellStyle name="Pourcentage" xfId="3" builtinId="5"/>
  </cellStyles>
  <dxfs count="15"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_-;\-* #,##0_-;_-* &quot;-&quot;_-;_-@_-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[$]dd/mm/yyyy;@" x16r2:formatCode16="[$-fr-BF,1]dd/mm/yyyy;@"/>
    </dxf>
    <dxf>
      <numFmt numFmtId="164" formatCode="[$]dd/mm/yyyy;@" x16r2:formatCode16="[$-fr-BF,1]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5153A0-8FAE-4ABF-B956-1B4D9139BDE6}" name="t_Immo" displayName="t_Immo" ref="A3:O5" totalsRowShown="0" headerRowDxfId="6">
  <autoFilter ref="A3:O5" xr:uid="{F45153A0-8FAE-4ABF-B956-1B4D9139BDE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3828AB31-D0D5-4470-864E-0E865E06675C}" name="N* fiche" dataDxfId="14"/>
    <tableColumn id="2" xr3:uid="{94FF7A54-4B03-46CF-91AC-3B6819E9CB3A}" name="Nature immobilisation"/>
    <tableColumn id="3" xr3:uid="{D1D339F4-741E-4078-9423-C5A29D567E4A}" name="Nom immobilisation"/>
    <tableColumn id="4" xr3:uid="{56E53037-0282-4FC9-807B-6AD6EB755C7F}" name="N*Compte" dataDxfId="13"/>
    <tableColumn id="5" xr3:uid="{5BB2870A-E4A9-4DC1-A007-CC0213D52182}" name="N* compte d'amortissemt" dataDxfId="12"/>
    <tableColumn id="6" xr3:uid="{C4C0773B-46F9-4D48-8EC4-2D32AE8AFC22}" name="Prix d'achat" dataDxfId="11" dataCellStyle="Milliers [0]"/>
    <tableColumn id="7" xr3:uid="{0D81101E-9165-408A-930D-A0DF24F53992}" name="Frais access" dataDxfId="10" dataCellStyle="Milliers [0]"/>
    <tableColumn id="8" xr3:uid="{523E8F21-C7AF-4530-BC64-1B33DEF3B64D}" name="Cout d'achat" dataDxfId="5" dataCellStyle="Milliers [0]">
      <calculatedColumnFormula>SUM(t_Immo[[#This Row],[Prix d''achat]:[Frais access]])</calculatedColumnFormula>
    </tableColumn>
    <tableColumn id="9" xr3:uid="{734A7656-9756-4BB0-87C5-0E7AA4EEE5E1}" name="Cout de revient" dataDxfId="4" dataCellStyle="Milliers [0]">
      <calculatedColumnFormula>t_Immo[[#This Row],[Cout d''achat]]</calculatedColumnFormula>
    </tableColumn>
    <tableColumn id="10" xr3:uid="{1777C409-6E65-4071-AE5F-88D153E6DF52}" name="Date d'acquisition" dataDxfId="9"/>
    <tableColumn id="11" xr3:uid="{8351CC07-846D-45A7-9AC3-59803CB6CAAE}" name="Date mise en service" dataDxfId="8"/>
    <tableColumn id="12" xr3:uid="{2694C795-9E63-4318-9840-A22BD04233F4}" name="Duree" dataDxfId="7" dataCellStyle="Milliers [0]"/>
    <tableColumn id="13" xr3:uid="{02AF268F-E3F4-40BB-90B4-A82DFB7BE3EF}" name="Type d'amortissement"/>
    <tableColumn id="14" xr3:uid="{D59338F0-D8A8-4DBA-81E6-CA27F418370A}" name="Taux" dataDxfId="3" dataCellStyle="Pourcentage">
      <calculatedColumnFormula>t_Immo[[#This Row],[Duree]]/100</calculatedColumnFormula>
    </tableColumn>
    <tableColumn id="15" xr3:uid="{4213567C-E54C-46E2-81AC-08CED201C9D6}" name="Annuite" dataDxfId="2" dataCellStyle="Milliers [0]">
      <calculatedColumnFormula>t_Immo[[#This Row],[Cout d''achat]]*t_Immo[[#This Row],[Taux]]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525B4-2DEC-494B-BD72-0C8355642CAF}">
  <sheetPr>
    <pageSetUpPr fitToPage="1"/>
  </sheetPr>
  <dimension ref="A1:O5"/>
  <sheetViews>
    <sheetView showGridLines="0" workbookViewId="0">
      <selection activeCell="K5" sqref="K5"/>
    </sheetView>
  </sheetViews>
  <sheetFormatPr baseColWidth="10" defaultRowHeight="14.4" x14ac:dyDescent="0.3"/>
  <cols>
    <col min="1" max="1" width="11.5546875" style="9"/>
    <col min="2" max="2" width="27.109375" bestFit="1" customWidth="1"/>
    <col min="3" max="3" width="33.21875" bestFit="1" customWidth="1"/>
    <col min="4" max="4" width="11.6640625" style="6" customWidth="1"/>
    <col min="5" max="5" width="24" style="6" customWidth="1"/>
    <col min="6" max="6" width="13.6640625" style="10" customWidth="1"/>
    <col min="7" max="7" width="13.77734375" style="10" customWidth="1"/>
    <col min="8" max="8" width="14.5546875" style="10" customWidth="1"/>
    <col min="9" max="9" width="16.6640625" style="10" customWidth="1"/>
    <col min="10" max="10" width="17.44140625" style="11" customWidth="1"/>
    <col min="11" max="11" width="19.5546875" style="11" customWidth="1"/>
    <col min="13" max="13" width="20.88671875" customWidth="1"/>
    <col min="15" max="15" width="11.5546875" style="10"/>
    <col min="258" max="258" width="27.109375" bestFit="1" customWidth="1"/>
    <col min="259" max="259" width="33.21875" bestFit="1" customWidth="1"/>
    <col min="261" max="261" width="22.33203125" bestFit="1" customWidth="1"/>
    <col min="265" max="265" width="14.77734375" bestFit="1" customWidth="1"/>
    <col min="266" max="266" width="15.5546875" bestFit="1" customWidth="1"/>
    <col min="267" max="267" width="17.77734375" bestFit="1" customWidth="1"/>
    <col min="269" max="269" width="19.109375" bestFit="1" customWidth="1"/>
    <col min="514" max="514" width="27.109375" bestFit="1" customWidth="1"/>
    <col min="515" max="515" width="33.21875" bestFit="1" customWidth="1"/>
    <col min="517" max="517" width="22.33203125" bestFit="1" customWidth="1"/>
    <col min="521" max="521" width="14.77734375" bestFit="1" customWidth="1"/>
    <col min="522" max="522" width="15.5546875" bestFit="1" customWidth="1"/>
    <col min="523" max="523" width="17.77734375" bestFit="1" customWidth="1"/>
    <col min="525" max="525" width="19.109375" bestFit="1" customWidth="1"/>
    <col min="770" max="770" width="27.109375" bestFit="1" customWidth="1"/>
    <col min="771" max="771" width="33.21875" bestFit="1" customWidth="1"/>
    <col min="773" max="773" width="22.33203125" bestFit="1" customWidth="1"/>
    <col min="777" max="777" width="14.77734375" bestFit="1" customWidth="1"/>
    <col min="778" max="778" width="15.5546875" bestFit="1" customWidth="1"/>
    <col min="779" max="779" width="17.77734375" bestFit="1" customWidth="1"/>
    <col min="781" max="781" width="19.109375" bestFit="1" customWidth="1"/>
    <col min="1026" max="1026" width="27.109375" bestFit="1" customWidth="1"/>
    <col min="1027" max="1027" width="33.21875" bestFit="1" customWidth="1"/>
    <col min="1029" max="1029" width="22.33203125" bestFit="1" customWidth="1"/>
    <col min="1033" max="1033" width="14.77734375" bestFit="1" customWidth="1"/>
    <col min="1034" max="1034" width="15.5546875" bestFit="1" customWidth="1"/>
    <col min="1035" max="1035" width="17.77734375" bestFit="1" customWidth="1"/>
    <col min="1037" max="1037" width="19.109375" bestFit="1" customWidth="1"/>
    <col min="1282" max="1282" width="27.109375" bestFit="1" customWidth="1"/>
    <col min="1283" max="1283" width="33.21875" bestFit="1" customWidth="1"/>
    <col min="1285" max="1285" width="22.33203125" bestFit="1" customWidth="1"/>
    <col min="1289" max="1289" width="14.77734375" bestFit="1" customWidth="1"/>
    <col min="1290" max="1290" width="15.5546875" bestFit="1" customWidth="1"/>
    <col min="1291" max="1291" width="17.77734375" bestFit="1" customWidth="1"/>
    <col min="1293" max="1293" width="19.109375" bestFit="1" customWidth="1"/>
    <col min="1538" max="1538" width="27.109375" bestFit="1" customWidth="1"/>
    <col min="1539" max="1539" width="33.21875" bestFit="1" customWidth="1"/>
    <col min="1541" max="1541" width="22.33203125" bestFit="1" customWidth="1"/>
    <col min="1545" max="1545" width="14.77734375" bestFit="1" customWidth="1"/>
    <col min="1546" max="1546" width="15.5546875" bestFit="1" customWidth="1"/>
    <col min="1547" max="1547" width="17.77734375" bestFit="1" customWidth="1"/>
    <col min="1549" max="1549" width="19.109375" bestFit="1" customWidth="1"/>
    <col min="1794" max="1794" width="27.109375" bestFit="1" customWidth="1"/>
    <col min="1795" max="1795" width="33.21875" bestFit="1" customWidth="1"/>
    <col min="1797" max="1797" width="22.33203125" bestFit="1" customWidth="1"/>
    <col min="1801" max="1801" width="14.77734375" bestFit="1" customWidth="1"/>
    <col min="1802" max="1802" width="15.5546875" bestFit="1" customWidth="1"/>
    <col min="1803" max="1803" width="17.77734375" bestFit="1" customWidth="1"/>
    <col min="1805" max="1805" width="19.109375" bestFit="1" customWidth="1"/>
    <col min="2050" max="2050" width="27.109375" bestFit="1" customWidth="1"/>
    <col min="2051" max="2051" width="33.21875" bestFit="1" customWidth="1"/>
    <col min="2053" max="2053" width="22.33203125" bestFit="1" customWidth="1"/>
    <col min="2057" max="2057" width="14.77734375" bestFit="1" customWidth="1"/>
    <col min="2058" max="2058" width="15.5546875" bestFit="1" customWidth="1"/>
    <col min="2059" max="2059" width="17.77734375" bestFit="1" customWidth="1"/>
    <col min="2061" max="2061" width="19.109375" bestFit="1" customWidth="1"/>
    <col min="2306" max="2306" width="27.109375" bestFit="1" customWidth="1"/>
    <col min="2307" max="2307" width="33.21875" bestFit="1" customWidth="1"/>
    <col min="2309" max="2309" width="22.33203125" bestFit="1" customWidth="1"/>
    <col min="2313" max="2313" width="14.77734375" bestFit="1" customWidth="1"/>
    <col min="2314" max="2314" width="15.5546875" bestFit="1" customWidth="1"/>
    <col min="2315" max="2315" width="17.77734375" bestFit="1" customWidth="1"/>
    <col min="2317" max="2317" width="19.109375" bestFit="1" customWidth="1"/>
    <col min="2562" max="2562" width="27.109375" bestFit="1" customWidth="1"/>
    <col min="2563" max="2563" width="33.21875" bestFit="1" customWidth="1"/>
    <col min="2565" max="2565" width="22.33203125" bestFit="1" customWidth="1"/>
    <col min="2569" max="2569" width="14.77734375" bestFit="1" customWidth="1"/>
    <col min="2570" max="2570" width="15.5546875" bestFit="1" customWidth="1"/>
    <col min="2571" max="2571" width="17.77734375" bestFit="1" customWidth="1"/>
    <col min="2573" max="2573" width="19.109375" bestFit="1" customWidth="1"/>
    <col min="2818" max="2818" width="27.109375" bestFit="1" customWidth="1"/>
    <col min="2819" max="2819" width="33.21875" bestFit="1" customWidth="1"/>
    <col min="2821" max="2821" width="22.33203125" bestFit="1" customWidth="1"/>
    <col min="2825" max="2825" width="14.77734375" bestFit="1" customWidth="1"/>
    <col min="2826" max="2826" width="15.5546875" bestFit="1" customWidth="1"/>
    <col min="2827" max="2827" width="17.77734375" bestFit="1" customWidth="1"/>
    <col min="2829" max="2829" width="19.109375" bestFit="1" customWidth="1"/>
    <col min="3074" max="3074" width="27.109375" bestFit="1" customWidth="1"/>
    <col min="3075" max="3075" width="33.21875" bestFit="1" customWidth="1"/>
    <col min="3077" max="3077" width="22.33203125" bestFit="1" customWidth="1"/>
    <col min="3081" max="3081" width="14.77734375" bestFit="1" customWidth="1"/>
    <col min="3082" max="3082" width="15.5546875" bestFit="1" customWidth="1"/>
    <col min="3083" max="3083" width="17.77734375" bestFit="1" customWidth="1"/>
    <col min="3085" max="3085" width="19.109375" bestFit="1" customWidth="1"/>
    <col min="3330" max="3330" width="27.109375" bestFit="1" customWidth="1"/>
    <col min="3331" max="3331" width="33.21875" bestFit="1" customWidth="1"/>
    <col min="3333" max="3333" width="22.33203125" bestFit="1" customWidth="1"/>
    <col min="3337" max="3337" width="14.77734375" bestFit="1" customWidth="1"/>
    <col min="3338" max="3338" width="15.5546875" bestFit="1" customWidth="1"/>
    <col min="3339" max="3339" width="17.77734375" bestFit="1" customWidth="1"/>
    <col min="3341" max="3341" width="19.109375" bestFit="1" customWidth="1"/>
    <col min="3586" max="3586" width="27.109375" bestFit="1" customWidth="1"/>
    <col min="3587" max="3587" width="33.21875" bestFit="1" customWidth="1"/>
    <col min="3589" max="3589" width="22.33203125" bestFit="1" customWidth="1"/>
    <col min="3593" max="3593" width="14.77734375" bestFit="1" customWidth="1"/>
    <col min="3594" max="3594" width="15.5546875" bestFit="1" customWidth="1"/>
    <col min="3595" max="3595" width="17.77734375" bestFit="1" customWidth="1"/>
    <col min="3597" max="3597" width="19.109375" bestFit="1" customWidth="1"/>
    <col min="3842" max="3842" width="27.109375" bestFit="1" customWidth="1"/>
    <col min="3843" max="3843" width="33.21875" bestFit="1" customWidth="1"/>
    <col min="3845" max="3845" width="22.33203125" bestFit="1" customWidth="1"/>
    <col min="3849" max="3849" width="14.77734375" bestFit="1" customWidth="1"/>
    <col min="3850" max="3850" width="15.5546875" bestFit="1" customWidth="1"/>
    <col min="3851" max="3851" width="17.77734375" bestFit="1" customWidth="1"/>
    <col min="3853" max="3853" width="19.109375" bestFit="1" customWidth="1"/>
    <col min="4098" max="4098" width="27.109375" bestFit="1" customWidth="1"/>
    <col min="4099" max="4099" width="33.21875" bestFit="1" customWidth="1"/>
    <col min="4101" max="4101" width="22.33203125" bestFit="1" customWidth="1"/>
    <col min="4105" max="4105" width="14.77734375" bestFit="1" customWidth="1"/>
    <col min="4106" max="4106" width="15.5546875" bestFit="1" customWidth="1"/>
    <col min="4107" max="4107" width="17.77734375" bestFit="1" customWidth="1"/>
    <col min="4109" max="4109" width="19.109375" bestFit="1" customWidth="1"/>
    <col min="4354" max="4354" width="27.109375" bestFit="1" customWidth="1"/>
    <col min="4355" max="4355" width="33.21875" bestFit="1" customWidth="1"/>
    <col min="4357" max="4357" width="22.33203125" bestFit="1" customWidth="1"/>
    <col min="4361" max="4361" width="14.77734375" bestFit="1" customWidth="1"/>
    <col min="4362" max="4362" width="15.5546875" bestFit="1" customWidth="1"/>
    <col min="4363" max="4363" width="17.77734375" bestFit="1" customWidth="1"/>
    <col min="4365" max="4365" width="19.109375" bestFit="1" customWidth="1"/>
    <col min="4610" max="4610" width="27.109375" bestFit="1" customWidth="1"/>
    <col min="4611" max="4611" width="33.21875" bestFit="1" customWidth="1"/>
    <col min="4613" max="4613" width="22.33203125" bestFit="1" customWidth="1"/>
    <col min="4617" max="4617" width="14.77734375" bestFit="1" customWidth="1"/>
    <col min="4618" max="4618" width="15.5546875" bestFit="1" customWidth="1"/>
    <col min="4619" max="4619" width="17.77734375" bestFit="1" customWidth="1"/>
    <col min="4621" max="4621" width="19.109375" bestFit="1" customWidth="1"/>
    <col min="4866" max="4866" width="27.109375" bestFit="1" customWidth="1"/>
    <col min="4867" max="4867" width="33.21875" bestFit="1" customWidth="1"/>
    <col min="4869" max="4869" width="22.33203125" bestFit="1" customWidth="1"/>
    <col min="4873" max="4873" width="14.77734375" bestFit="1" customWidth="1"/>
    <col min="4874" max="4874" width="15.5546875" bestFit="1" customWidth="1"/>
    <col min="4875" max="4875" width="17.77734375" bestFit="1" customWidth="1"/>
    <col min="4877" max="4877" width="19.109375" bestFit="1" customWidth="1"/>
    <col min="5122" max="5122" width="27.109375" bestFit="1" customWidth="1"/>
    <col min="5123" max="5123" width="33.21875" bestFit="1" customWidth="1"/>
    <col min="5125" max="5125" width="22.33203125" bestFit="1" customWidth="1"/>
    <col min="5129" max="5129" width="14.77734375" bestFit="1" customWidth="1"/>
    <col min="5130" max="5130" width="15.5546875" bestFit="1" customWidth="1"/>
    <col min="5131" max="5131" width="17.77734375" bestFit="1" customWidth="1"/>
    <col min="5133" max="5133" width="19.109375" bestFit="1" customWidth="1"/>
    <col min="5378" max="5378" width="27.109375" bestFit="1" customWidth="1"/>
    <col min="5379" max="5379" width="33.21875" bestFit="1" customWidth="1"/>
    <col min="5381" max="5381" width="22.33203125" bestFit="1" customWidth="1"/>
    <col min="5385" max="5385" width="14.77734375" bestFit="1" customWidth="1"/>
    <col min="5386" max="5386" width="15.5546875" bestFit="1" customWidth="1"/>
    <col min="5387" max="5387" width="17.77734375" bestFit="1" customWidth="1"/>
    <col min="5389" max="5389" width="19.109375" bestFit="1" customWidth="1"/>
    <col min="5634" max="5634" width="27.109375" bestFit="1" customWidth="1"/>
    <col min="5635" max="5635" width="33.21875" bestFit="1" customWidth="1"/>
    <col min="5637" max="5637" width="22.33203125" bestFit="1" customWidth="1"/>
    <col min="5641" max="5641" width="14.77734375" bestFit="1" customWidth="1"/>
    <col min="5642" max="5642" width="15.5546875" bestFit="1" customWidth="1"/>
    <col min="5643" max="5643" width="17.77734375" bestFit="1" customWidth="1"/>
    <col min="5645" max="5645" width="19.109375" bestFit="1" customWidth="1"/>
    <col min="5890" max="5890" width="27.109375" bestFit="1" customWidth="1"/>
    <col min="5891" max="5891" width="33.21875" bestFit="1" customWidth="1"/>
    <col min="5893" max="5893" width="22.33203125" bestFit="1" customWidth="1"/>
    <col min="5897" max="5897" width="14.77734375" bestFit="1" customWidth="1"/>
    <col min="5898" max="5898" width="15.5546875" bestFit="1" customWidth="1"/>
    <col min="5899" max="5899" width="17.77734375" bestFit="1" customWidth="1"/>
    <col min="5901" max="5901" width="19.109375" bestFit="1" customWidth="1"/>
    <col min="6146" max="6146" width="27.109375" bestFit="1" customWidth="1"/>
    <col min="6147" max="6147" width="33.21875" bestFit="1" customWidth="1"/>
    <col min="6149" max="6149" width="22.33203125" bestFit="1" customWidth="1"/>
    <col min="6153" max="6153" width="14.77734375" bestFit="1" customWidth="1"/>
    <col min="6154" max="6154" width="15.5546875" bestFit="1" customWidth="1"/>
    <col min="6155" max="6155" width="17.77734375" bestFit="1" customWidth="1"/>
    <col min="6157" max="6157" width="19.109375" bestFit="1" customWidth="1"/>
    <col min="6402" max="6402" width="27.109375" bestFit="1" customWidth="1"/>
    <col min="6403" max="6403" width="33.21875" bestFit="1" customWidth="1"/>
    <col min="6405" max="6405" width="22.33203125" bestFit="1" customWidth="1"/>
    <col min="6409" max="6409" width="14.77734375" bestFit="1" customWidth="1"/>
    <col min="6410" max="6410" width="15.5546875" bestFit="1" customWidth="1"/>
    <col min="6411" max="6411" width="17.77734375" bestFit="1" customWidth="1"/>
    <col min="6413" max="6413" width="19.109375" bestFit="1" customWidth="1"/>
    <col min="6658" max="6658" width="27.109375" bestFit="1" customWidth="1"/>
    <col min="6659" max="6659" width="33.21875" bestFit="1" customWidth="1"/>
    <col min="6661" max="6661" width="22.33203125" bestFit="1" customWidth="1"/>
    <col min="6665" max="6665" width="14.77734375" bestFit="1" customWidth="1"/>
    <col min="6666" max="6666" width="15.5546875" bestFit="1" customWidth="1"/>
    <col min="6667" max="6667" width="17.77734375" bestFit="1" customWidth="1"/>
    <col min="6669" max="6669" width="19.109375" bestFit="1" customWidth="1"/>
    <col min="6914" max="6914" width="27.109375" bestFit="1" customWidth="1"/>
    <col min="6915" max="6915" width="33.21875" bestFit="1" customWidth="1"/>
    <col min="6917" max="6917" width="22.33203125" bestFit="1" customWidth="1"/>
    <col min="6921" max="6921" width="14.77734375" bestFit="1" customWidth="1"/>
    <col min="6922" max="6922" width="15.5546875" bestFit="1" customWidth="1"/>
    <col min="6923" max="6923" width="17.77734375" bestFit="1" customWidth="1"/>
    <col min="6925" max="6925" width="19.109375" bestFit="1" customWidth="1"/>
    <col min="7170" max="7170" width="27.109375" bestFit="1" customWidth="1"/>
    <col min="7171" max="7171" width="33.21875" bestFit="1" customWidth="1"/>
    <col min="7173" max="7173" width="22.33203125" bestFit="1" customWidth="1"/>
    <col min="7177" max="7177" width="14.77734375" bestFit="1" customWidth="1"/>
    <col min="7178" max="7178" width="15.5546875" bestFit="1" customWidth="1"/>
    <col min="7179" max="7179" width="17.77734375" bestFit="1" customWidth="1"/>
    <col min="7181" max="7181" width="19.109375" bestFit="1" customWidth="1"/>
    <col min="7426" max="7426" width="27.109375" bestFit="1" customWidth="1"/>
    <col min="7427" max="7427" width="33.21875" bestFit="1" customWidth="1"/>
    <col min="7429" max="7429" width="22.33203125" bestFit="1" customWidth="1"/>
    <col min="7433" max="7433" width="14.77734375" bestFit="1" customWidth="1"/>
    <col min="7434" max="7434" width="15.5546875" bestFit="1" customWidth="1"/>
    <col min="7435" max="7435" width="17.77734375" bestFit="1" customWidth="1"/>
    <col min="7437" max="7437" width="19.109375" bestFit="1" customWidth="1"/>
    <col min="7682" max="7682" width="27.109375" bestFit="1" customWidth="1"/>
    <col min="7683" max="7683" width="33.21875" bestFit="1" customWidth="1"/>
    <col min="7685" max="7685" width="22.33203125" bestFit="1" customWidth="1"/>
    <col min="7689" max="7689" width="14.77734375" bestFit="1" customWidth="1"/>
    <col min="7690" max="7690" width="15.5546875" bestFit="1" customWidth="1"/>
    <col min="7691" max="7691" width="17.77734375" bestFit="1" customWidth="1"/>
    <col min="7693" max="7693" width="19.109375" bestFit="1" customWidth="1"/>
    <col min="7938" max="7938" width="27.109375" bestFit="1" customWidth="1"/>
    <col min="7939" max="7939" width="33.21875" bestFit="1" customWidth="1"/>
    <col min="7941" max="7941" width="22.33203125" bestFit="1" customWidth="1"/>
    <col min="7945" max="7945" width="14.77734375" bestFit="1" customWidth="1"/>
    <col min="7946" max="7946" width="15.5546875" bestFit="1" customWidth="1"/>
    <col min="7947" max="7947" width="17.77734375" bestFit="1" customWidth="1"/>
    <col min="7949" max="7949" width="19.109375" bestFit="1" customWidth="1"/>
    <col min="8194" max="8194" width="27.109375" bestFit="1" customWidth="1"/>
    <col min="8195" max="8195" width="33.21875" bestFit="1" customWidth="1"/>
    <col min="8197" max="8197" width="22.33203125" bestFit="1" customWidth="1"/>
    <col min="8201" max="8201" width="14.77734375" bestFit="1" customWidth="1"/>
    <col min="8202" max="8202" width="15.5546875" bestFit="1" customWidth="1"/>
    <col min="8203" max="8203" width="17.77734375" bestFit="1" customWidth="1"/>
    <col min="8205" max="8205" width="19.109375" bestFit="1" customWidth="1"/>
    <col min="8450" max="8450" width="27.109375" bestFit="1" customWidth="1"/>
    <col min="8451" max="8451" width="33.21875" bestFit="1" customWidth="1"/>
    <col min="8453" max="8453" width="22.33203125" bestFit="1" customWidth="1"/>
    <col min="8457" max="8457" width="14.77734375" bestFit="1" customWidth="1"/>
    <col min="8458" max="8458" width="15.5546875" bestFit="1" customWidth="1"/>
    <col min="8459" max="8459" width="17.77734375" bestFit="1" customWidth="1"/>
    <col min="8461" max="8461" width="19.109375" bestFit="1" customWidth="1"/>
    <col min="8706" max="8706" width="27.109375" bestFit="1" customWidth="1"/>
    <col min="8707" max="8707" width="33.21875" bestFit="1" customWidth="1"/>
    <col min="8709" max="8709" width="22.33203125" bestFit="1" customWidth="1"/>
    <col min="8713" max="8713" width="14.77734375" bestFit="1" customWidth="1"/>
    <col min="8714" max="8714" width="15.5546875" bestFit="1" customWidth="1"/>
    <col min="8715" max="8715" width="17.77734375" bestFit="1" customWidth="1"/>
    <col min="8717" max="8717" width="19.109375" bestFit="1" customWidth="1"/>
    <col min="8962" max="8962" width="27.109375" bestFit="1" customWidth="1"/>
    <col min="8963" max="8963" width="33.21875" bestFit="1" customWidth="1"/>
    <col min="8965" max="8965" width="22.33203125" bestFit="1" customWidth="1"/>
    <col min="8969" max="8969" width="14.77734375" bestFit="1" customWidth="1"/>
    <col min="8970" max="8970" width="15.5546875" bestFit="1" customWidth="1"/>
    <col min="8971" max="8971" width="17.77734375" bestFit="1" customWidth="1"/>
    <col min="8973" max="8973" width="19.109375" bestFit="1" customWidth="1"/>
    <col min="9218" max="9218" width="27.109375" bestFit="1" customWidth="1"/>
    <col min="9219" max="9219" width="33.21875" bestFit="1" customWidth="1"/>
    <col min="9221" max="9221" width="22.33203125" bestFit="1" customWidth="1"/>
    <col min="9225" max="9225" width="14.77734375" bestFit="1" customWidth="1"/>
    <col min="9226" max="9226" width="15.5546875" bestFit="1" customWidth="1"/>
    <col min="9227" max="9227" width="17.77734375" bestFit="1" customWidth="1"/>
    <col min="9229" max="9229" width="19.109375" bestFit="1" customWidth="1"/>
    <col min="9474" max="9474" width="27.109375" bestFit="1" customWidth="1"/>
    <col min="9475" max="9475" width="33.21875" bestFit="1" customWidth="1"/>
    <col min="9477" max="9477" width="22.33203125" bestFit="1" customWidth="1"/>
    <col min="9481" max="9481" width="14.77734375" bestFit="1" customWidth="1"/>
    <col min="9482" max="9482" width="15.5546875" bestFit="1" customWidth="1"/>
    <col min="9483" max="9483" width="17.77734375" bestFit="1" customWidth="1"/>
    <col min="9485" max="9485" width="19.109375" bestFit="1" customWidth="1"/>
    <col min="9730" max="9730" width="27.109375" bestFit="1" customWidth="1"/>
    <col min="9731" max="9731" width="33.21875" bestFit="1" customWidth="1"/>
    <col min="9733" max="9733" width="22.33203125" bestFit="1" customWidth="1"/>
    <col min="9737" max="9737" width="14.77734375" bestFit="1" customWidth="1"/>
    <col min="9738" max="9738" width="15.5546875" bestFit="1" customWidth="1"/>
    <col min="9739" max="9739" width="17.77734375" bestFit="1" customWidth="1"/>
    <col min="9741" max="9741" width="19.109375" bestFit="1" customWidth="1"/>
    <col min="9986" max="9986" width="27.109375" bestFit="1" customWidth="1"/>
    <col min="9987" max="9987" width="33.21875" bestFit="1" customWidth="1"/>
    <col min="9989" max="9989" width="22.33203125" bestFit="1" customWidth="1"/>
    <col min="9993" max="9993" width="14.77734375" bestFit="1" customWidth="1"/>
    <col min="9994" max="9994" width="15.5546875" bestFit="1" customWidth="1"/>
    <col min="9995" max="9995" width="17.77734375" bestFit="1" customWidth="1"/>
    <col min="9997" max="9997" width="19.109375" bestFit="1" customWidth="1"/>
    <col min="10242" max="10242" width="27.109375" bestFit="1" customWidth="1"/>
    <col min="10243" max="10243" width="33.21875" bestFit="1" customWidth="1"/>
    <col min="10245" max="10245" width="22.33203125" bestFit="1" customWidth="1"/>
    <col min="10249" max="10249" width="14.77734375" bestFit="1" customWidth="1"/>
    <col min="10250" max="10250" width="15.5546875" bestFit="1" customWidth="1"/>
    <col min="10251" max="10251" width="17.77734375" bestFit="1" customWidth="1"/>
    <col min="10253" max="10253" width="19.109375" bestFit="1" customWidth="1"/>
    <col min="10498" max="10498" width="27.109375" bestFit="1" customWidth="1"/>
    <col min="10499" max="10499" width="33.21875" bestFit="1" customWidth="1"/>
    <col min="10501" max="10501" width="22.33203125" bestFit="1" customWidth="1"/>
    <col min="10505" max="10505" width="14.77734375" bestFit="1" customWidth="1"/>
    <col min="10506" max="10506" width="15.5546875" bestFit="1" customWidth="1"/>
    <col min="10507" max="10507" width="17.77734375" bestFit="1" customWidth="1"/>
    <col min="10509" max="10509" width="19.109375" bestFit="1" customWidth="1"/>
    <col min="10754" max="10754" width="27.109375" bestFit="1" customWidth="1"/>
    <col min="10755" max="10755" width="33.21875" bestFit="1" customWidth="1"/>
    <col min="10757" max="10757" width="22.33203125" bestFit="1" customWidth="1"/>
    <col min="10761" max="10761" width="14.77734375" bestFit="1" customWidth="1"/>
    <col min="10762" max="10762" width="15.5546875" bestFit="1" customWidth="1"/>
    <col min="10763" max="10763" width="17.77734375" bestFit="1" customWidth="1"/>
    <col min="10765" max="10765" width="19.109375" bestFit="1" customWidth="1"/>
    <col min="11010" max="11010" width="27.109375" bestFit="1" customWidth="1"/>
    <col min="11011" max="11011" width="33.21875" bestFit="1" customWidth="1"/>
    <col min="11013" max="11013" width="22.33203125" bestFit="1" customWidth="1"/>
    <col min="11017" max="11017" width="14.77734375" bestFit="1" customWidth="1"/>
    <col min="11018" max="11018" width="15.5546875" bestFit="1" customWidth="1"/>
    <col min="11019" max="11019" width="17.77734375" bestFit="1" customWidth="1"/>
    <col min="11021" max="11021" width="19.109375" bestFit="1" customWidth="1"/>
    <col min="11266" max="11266" width="27.109375" bestFit="1" customWidth="1"/>
    <col min="11267" max="11267" width="33.21875" bestFit="1" customWidth="1"/>
    <col min="11269" max="11269" width="22.33203125" bestFit="1" customWidth="1"/>
    <col min="11273" max="11273" width="14.77734375" bestFit="1" customWidth="1"/>
    <col min="11274" max="11274" width="15.5546875" bestFit="1" customWidth="1"/>
    <col min="11275" max="11275" width="17.77734375" bestFit="1" customWidth="1"/>
    <col min="11277" max="11277" width="19.109375" bestFit="1" customWidth="1"/>
    <col min="11522" max="11522" width="27.109375" bestFit="1" customWidth="1"/>
    <col min="11523" max="11523" width="33.21875" bestFit="1" customWidth="1"/>
    <col min="11525" max="11525" width="22.33203125" bestFit="1" customWidth="1"/>
    <col min="11529" max="11529" width="14.77734375" bestFit="1" customWidth="1"/>
    <col min="11530" max="11530" width="15.5546875" bestFit="1" customWidth="1"/>
    <col min="11531" max="11531" width="17.77734375" bestFit="1" customWidth="1"/>
    <col min="11533" max="11533" width="19.109375" bestFit="1" customWidth="1"/>
    <col min="11778" max="11778" width="27.109375" bestFit="1" customWidth="1"/>
    <col min="11779" max="11779" width="33.21875" bestFit="1" customWidth="1"/>
    <col min="11781" max="11781" width="22.33203125" bestFit="1" customWidth="1"/>
    <col min="11785" max="11785" width="14.77734375" bestFit="1" customWidth="1"/>
    <col min="11786" max="11786" width="15.5546875" bestFit="1" customWidth="1"/>
    <col min="11787" max="11787" width="17.77734375" bestFit="1" customWidth="1"/>
    <col min="11789" max="11789" width="19.109375" bestFit="1" customWidth="1"/>
    <col min="12034" max="12034" width="27.109375" bestFit="1" customWidth="1"/>
    <col min="12035" max="12035" width="33.21875" bestFit="1" customWidth="1"/>
    <col min="12037" max="12037" width="22.33203125" bestFit="1" customWidth="1"/>
    <col min="12041" max="12041" width="14.77734375" bestFit="1" customWidth="1"/>
    <col min="12042" max="12042" width="15.5546875" bestFit="1" customWidth="1"/>
    <col min="12043" max="12043" width="17.77734375" bestFit="1" customWidth="1"/>
    <col min="12045" max="12045" width="19.109375" bestFit="1" customWidth="1"/>
    <col min="12290" max="12290" width="27.109375" bestFit="1" customWidth="1"/>
    <col min="12291" max="12291" width="33.21875" bestFit="1" customWidth="1"/>
    <col min="12293" max="12293" width="22.33203125" bestFit="1" customWidth="1"/>
    <col min="12297" max="12297" width="14.77734375" bestFit="1" customWidth="1"/>
    <col min="12298" max="12298" width="15.5546875" bestFit="1" customWidth="1"/>
    <col min="12299" max="12299" width="17.77734375" bestFit="1" customWidth="1"/>
    <col min="12301" max="12301" width="19.109375" bestFit="1" customWidth="1"/>
    <col min="12546" max="12546" width="27.109375" bestFit="1" customWidth="1"/>
    <col min="12547" max="12547" width="33.21875" bestFit="1" customWidth="1"/>
    <col min="12549" max="12549" width="22.33203125" bestFit="1" customWidth="1"/>
    <col min="12553" max="12553" width="14.77734375" bestFit="1" customWidth="1"/>
    <col min="12554" max="12554" width="15.5546875" bestFit="1" customWidth="1"/>
    <col min="12555" max="12555" width="17.77734375" bestFit="1" customWidth="1"/>
    <col min="12557" max="12557" width="19.109375" bestFit="1" customWidth="1"/>
    <col min="12802" max="12802" width="27.109375" bestFit="1" customWidth="1"/>
    <col min="12803" max="12803" width="33.21875" bestFit="1" customWidth="1"/>
    <col min="12805" max="12805" width="22.33203125" bestFit="1" customWidth="1"/>
    <col min="12809" max="12809" width="14.77734375" bestFit="1" customWidth="1"/>
    <col min="12810" max="12810" width="15.5546875" bestFit="1" customWidth="1"/>
    <col min="12811" max="12811" width="17.77734375" bestFit="1" customWidth="1"/>
    <col min="12813" max="12813" width="19.109375" bestFit="1" customWidth="1"/>
    <col min="13058" max="13058" width="27.109375" bestFit="1" customWidth="1"/>
    <col min="13059" max="13059" width="33.21875" bestFit="1" customWidth="1"/>
    <col min="13061" max="13061" width="22.33203125" bestFit="1" customWidth="1"/>
    <col min="13065" max="13065" width="14.77734375" bestFit="1" customWidth="1"/>
    <col min="13066" max="13066" width="15.5546875" bestFit="1" customWidth="1"/>
    <col min="13067" max="13067" width="17.77734375" bestFit="1" customWidth="1"/>
    <col min="13069" max="13069" width="19.109375" bestFit="1" customWidth="1"/>
    <col min="13314" max="13314" width="27.109375" bestFit="1" customWidth="1"/>
    <col min="13315" max="13315" width="33.21875" bestFit="1" customWidth="1"/>
    <col min="13317" max="13317" width="22.33203125" bestFit="1" customWidth="1"/>
    <col min="13321" max="13321" width="14.77734375" bestFit="1" customWidth="1"/>
    <col min="13322" max="13322" width="15.5546875" bestFit="1" customWidth="1"/>
    <col min="13323" max="13323" width="17.77734375" bestFit="1" customWidth="1"/>
    <col min="13325" max="13325" width="19.109375" bestFit="1" customWidth="1"/>
    <col min="13570" max="13570" width="27.109375" bestFit="1" customWidth="1"/>
    <col min="13571" max="13571" width="33.21875" bestFit="1" customWidth="1"/>
    <col min="13573" max="13573" width="22.33203125" bestFit="1" customWidth="1"/>
    <col min="13577" max="13577" width="14.77734375" bestFit="1" customWidth="1"/>
    <col min="13578" max="13578" width="15.5546875" bestFit="1" customWidth="1"/>
    <col min="13579" max="13579" width="17.77734375" bestFit="1" customWidth="1"/>
    <col min="13581" max="13581" width="19.109375" bestFit="1" customWidth="1"/>
    <col min="13826" max="13826" width="27.109375" bestFit="1" customWidth="1"/>
    <col min="13827" max="13827" width="33.21875" bestFit="1" customWidth="1"/>
    <col min="13829" max="13829" width="22.33203125" bestFit="1" customWidth="1"/>
    <col min="13833" max="13833" width="14.77734375" bestFit="1" customWidth="1"/>
    <col min="13834" max="13834" width="15.5546875" bestFit="1" customWidth="1"/>
    <col min="13835" max="13835" width="17.77734375" bestFit="1" customWidth="1"/>
    <col min="13837" max="13837" width="19.109375" bestFit="1" customWidth="1"/>
    <col min="14082" max="14082" width="27.109375" bestFit="1" customWidth="1"/>
    <col min="14083" max="14083" width="33.21875" bestFit="1" customWidth="1"/>
    <col min="14085" max="14085" width="22.33203125" bestFit="1" customWidth="1"/>
    <col min="14089" max="14089" width="14.77734375" bestFit="1" customWidth="1"/>
    <col min="14090" max="14090" width="15.5546875" bestFit="1" customWidth="1"/>
    <col min="14091" max="14091" width="17.77734375" bestFit="1" customWidth="1"/>
    <col min="14093" max="14093" width="19.109375" bestFit="1" customWidth="1"/>
    <col min="14338" max="14338" width="27.109375" bestFit="1" customWidth="1"/>
    <col min="14339" max="14339" width="33.21875" bestFit="1" customWidth="1"/>
    <col min="14341" max="14341" width="22.33203125" bestFit="1" customWidth="1"/>
    <col min="14345" max="14345" width="14.77734375" bestFit="1" customWidth="1"/>
    <col min="14346" max="14346" width="15.5546875" bestFit="1" customWidth="1"/>
    <col min="14347" max="14347" width="17.77734375" bestFit="1" customWidth="1"/>
    <col min="14349" max="14349" width="19.109375" bestFit="1" customWidth="1"/>
    <col min="14594" max="14594" width="27.109375" bestFit="1" customWidth="1"/>
    <col min="14595" max="14595" width="33.21875" bestFit="1" customWidth="1"/>
    <col min="14597" max="14597" width="22.33203125" bestFit="1" customWidth="1"/>
    <col min="14601" max="14601" width="14.77734375" bestFit="1" customWidth="1"/>
    <col min="14602" max="14602" width="15.5546875" bestFit="1" customWidth="1"/>
    <col min="14603" max="14603" width="17.77734375" bestFit="1" customWidth="1"/>
    <col min="14605" max="14605" width="19.109375" bestFit="1" customWidth="1"/>
    <col min="14850" max="14850" width="27.109375" bestFit="1" customWidth="1"/>
    <col min="14851" max="14851" width="33.21875" bestFit="1" customWidth="1"/>
    <col min="14853" max="14853" width="22.33203125" bestFit="1" customWidth="1"/>
    <col min="14857" max="14857" width="14.77734375" bestFit="1" customWidth="1"/>
    <col min="14858" max="14858" width="15.5546875" bestFit="1" customWidth="1"/>
    <col min="14859" max="14859" width="17.77734375" bestFit="1" customWidth="1"/>
    <col min="14861" max="14861" width="19.109375" bestFit="1" customWidth="1"/>
    <col min="15106" max="15106" width="27.109375" bestFit="1" customWidth="1"/>
    <col min="15107" max="15107" width="33.21875" bestFit="1" customWidth="1"/>
    <col min="15109" max="15109" width="22.33203125" bestFit="1" customWidth="1"/>
    <col min="15113" max="15113" width="14.77734375" bestFit="1" customWidth="1"/>
    <col min="15114" max="15114" width="15.5546875" bestFit="1" customWidth="1"/>
    <col min="15115" max="15115" width="17.77734375" bestFit="1" customWidth="1"/>
    <col min="15117" max="15117" width="19.109375" bestFit="1" customWidth="1"/>
    <col min="15362" max="15362" width="27.109375" bestFit="1" customWidth="1"/>
    <col min="15363" max="15363" width="33.21875" bestFit="1" customWidth="1"/>
    <col min="15365" max="15365" width="22.33203125" bestFit="1" customWidth="1"/>
    <col min="15369" max="15369" width="14.77734375" bestFit="1" customWidth="1"/>
    <col min="15370" max="15370" width="15.5546875" bestFit="1" customWidth="1"/>
    <col min="15371" max="15371" width="17.77734375" bestFit="1" customWidth="1"/>
    <col min="15373" max="15373" width="19.109375" bestFit="1" customWidth="1"/>
    <col min="15618" max="15618" width="27.109375" bestFit="1" customWidth="1"/>
    <col min="15619" max="15619" width="33.21875" bestFit="1" customWidth="1"/>
    <col min="15621" max="15621" width="22.33203125" bestFit="1" customWidth="1"/>
    <col min="15625" max="15625" width="14.77734375" bestFit="1" customWidth="1"/>
    <col min="15626" max="15626" width="15.5546875" bestFit="1" customWidth="1"/>
    <col min="15627" max="15627" width="17.77734375" bestFit="1" customWidth="1"/>
    <col min="15629" max="15629" width="19.109375" bestFit="1" customWidth="1"/>
    <col min="15874" max="15874" width="27.109375" bestFit="1" customWidth="1"/>
    <col min="15875" max="15875" width="33.21875" bestFit="1" customWidth="1"/>
    <col min="15877" max="15877" width="22.33203125" bestFit="1" customWidth="1"/>
    <col min="15881" max="15881" width="14.77734375" bestFit="1" customWidth="1"/>
    <col min="15882" max="15882" width="15.5546875" bestFit="1" customWidth="1"/>
    <col min="15883" max="15883" width="17.77734375" bestFit="1" customWidth="1"/>
    <col min="15885" max="15885" width="19.109375" bestFit="1" customWidth="1"/>
    <col min="16130" max="16130" width="27.109375" bestFit="1" customWidth="1"/>
    <col min="16131" max="16131" width="33.21875" bestFit="1" customWidth="1"/>
    <col min="16133" max="16133" width="22.33203125" bestFit="1" customWidth="1"/>
    <col min="16137" max="16137" width="14.77734375" bestFit="1" customWidth="1"/>
    <col min="16138" max="16138" width="15.5546875" bestFit="1" customWidth="1"/>
    <col min="16139" max="16139" width="17.77734375" bestFit="1" customWidth="1"/>
    <col min="16141" max="16141" width="19.109375" bestFit="1" customWidth="1"/>
  </cols>
  <sheetData>
    <row r="1" spans="1:15" ht="18" x14ac:dyDescent="0.35">
      <c r="A1" s="1" t="s">
        <v>0</v>
      </c>
      <c r="B1" s="1"/>
      <c r="C1" s="1"/>
      <c r="D1" s="2"/>
      <c r="E1" s="2"/>
      <c r="F1" s="3"/>
      <c r="G1" s="3"/>
      <c r="H1" s="3"/>
      <c r="I1" s="3"/>
      <c r="J1" s="4"/>
      <c r="K1" s="4"/>
      <c r="L1" s="1"/>
      <c r="M1" s="1"/>
      <c r="N1" s="1"/>
      <c r="O1" s="3"/>
    </row>
    <row r="3" spans="1:15" s="6" customFormat="1" x14ac:dyDescent="0.3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8" t="s">
        <v>11</v>
      </c>
      <c r="L3" s="6" t="s">
        <v>12</v>
      </c>
      <c r="M3" s="6" t="s">
        <v>13</v>
      </c>
      <c r="N3" s="6" t="s">
        <v>14</v>
      </c>
      <c r="O3" s="7" t="s">
        <v>15</v>
      </c>
    </row>
    <row r="4" spans="1:15" x14ac:dyDescent="0.3">
      <c r="A4" s="9" t="s">
        <v>16</v>
      </c>
      <c r="B4" t="s">
        <v>17</v>
      </c>
      <c r="C4" t="s">
        <v>18</v>
      </c>
      <c r="D4" s="6">
        <v>238100</v>
      </c>
      <c r="E4" s="6">
        <v>283800</v>
      </c>
      <c r="F4" s="10">
        <v>2511228</v>
      </c>
      <c r="G4" s="10">
        <v>0</v>
      </c>
      <c r="H4" s="10">
        <f>SUM(t_Immo[[#This Row],[Prix d''achat]:[Frais access]])</f>
        <v>2511228</v>
      </c>
      <c r="I4" s="10">
        <f>t_Immo[[#This Row],[Cout d''achat]]</f>
        <v>2511228</v>
      </c>
      <c r="J4" s="11">
        <v>45268</v>
      </c>
      <c r="K4" s="11">
        <v>45778</v>
      </c>
      <c r="L4" s="10">
        <v>10</v>
      </c>
      <c r="M4" t="s">
        <v>19</v>
      </c>
      <c r="N4" s="43">
        <f>t_Immo[[#This Row],[Duree]]/100</f>
        <v>0.1</v>
      </c>
      <c r="O4" s="10">
        <f>t_Immo[[#This Row],[Cout d''achat]]*t_Immo[[#This Row],[Taux]]</f>
        <v>251122.80000000002</v>
      </c>
    </row>
    <row r="5" spans="1:15" x14ac:dyDescent="0.3">
      <c r="A5" s="9" t="s">
        <v>20</v>
      </c>
      <c r="B5" t="s">
        <v>17</v>
      </c>
      <c r="C5" t="s">
        <v>21</v>
      </c>
      <c r="D5" s="6">
        <v>238100</v>
      </c>
      <c r="E5" s="6">
        <v>283800</v>
      </c>
      <c r="F5" s="10">
        <v>2808284</v>
      </c>
      <c r="G5" s="10">
        <v>0</v>
      </c>
      <c r="H5" s="10">
        <f>SUM(t_Immo[[#This Row],[Prix d''achat]:[Frais access]])</f>
        <v>2808284</v>
      </c>
      <c r="I5" s="10">
        <f>t_Immo[[#This Row],[Cout d''achat]]</f>
        <v>2808284</v>
      </c>
      <c r="J5" s="11">
        <v>45268</v>
      </c>
      <c r="K5" s="11">
        <v>45962</v>
      </c>
      <c r="L5" s="10">
        <v>10</v>
      </c>
      <c r="M5" t="s">
        <v>19</v>
      </c>
      <c r="N5" s="43">
        <f>t_Immo[[#This Row],[Duree]]/100</f>
        <v>0.1</v>
      </c>
      <c r="O5" s="10">
        <f>t_Immo[[#This Row],[Cout d''achat]]*t_Immo[[#This Row],[Taux]]</f>
        <v>280828.40000000002</v>
      </c>
    </row>
  </sheetData>
  <pageMargins left="0.25" right="0.25" top="0.31" bottom="0.26" header="0.3" footer="0.3"/>
  <pageSetup paperSize="9" scale="58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48877-9E37-40AF-A9D8-C0D194563CC4}">
  <dimension ref="A7:F50"/>
  <sheetViews>
    <sheetView showGridLines="0" tabSelected="1" topLeftCell="A24" workbookViewId="0">
      <selection activeCell="D32" sqref="D32"/>
    </sheetView>
  </sheetViews>
  <sheetFormatPr baseColWidth="10" defaultRowHeight="14.4" x14ac:dyDescent="0.3"/>
  <cols>
    <col min="1" max="1" width="5.77734375" customWidth="1"/>
    <col min="2" max="2" width="28.77734375" customWidth="1"/>
    <col min="3" max="3" width="12.6640625" bestFit="1" customWidth="1"/>
    <col min="4" max="4" width="60.21875" customWidth="1"/>
    <col min="5" max="5" width="26.21875" bestFit="1" customWidth="1"/>
    <col min="6" max="6" width="26.88671875" customWidth="1"/>
  </cols>
  <sheetData>
    <row r="7" spans="1:6" ht="25.8" x14ac:dyDescent="0.5">
      <c r="A7" s="39" t="s">
        <v>22</v>
      </c>
      <c r="B7" s="39"/>
      <c r="C7" s="39"/>
      <c r="D7" s="39"/>
      <c r="E7" s="39"/>
      <c r="F7" s="39"/>
    </row>
    <row r="8" spans="1:6" x14ac:dyDescent="0.3">
      <c r="D8" s="37" t="s">
        <v>37</v>
      </c>
      <c r="E8" s="40" t="s">
        <v>16</v>
      </c>
      <c r="F8" s="41"/>
    </row>
    <row r="10" spans="1:6" ht="17.399999999999999" x14ac:dyDescent="0.35">
      <c r="A10" s="12" t="s">
        <v>23</v>
      </c>
      <c r="B10" s="45"/>
      <c r="C10" s="13"/>
      <c r="D10" s="14" t="str">
        <f>VLOOKUP(E8,IMMO!A:O,2,FALSE)</f>
        <v>Autres installations et agencmts</v>
      </c>
      <c r="E10" s="13"/>
      <c r="F10" s="15"/>
    </row>
    <row r="12" spans="1:6" ht="17.399999999999999" x14ac:dyDescent="0.35">
      <c r="A12" s="12" t="s">
        <v>24</v>
      </c>
      <c r="B12" s="45"/>
      <c r="C12" s="15"/>
      <c r="D12" s="16" t="str">
        <f>VLOOKUP(E8,IMMO!A:O,3,FALSE)</f>
        <v>Amenagement en beton station rte kgsi</v>
      </c>
      <c r="E12" s="17"/>
      <c r="F12" s="18"/>
    </row>
    <row r="16" spans="1:6" ht="15.6" x14ac:dyDescent="0.3">
      <c r="A16" s="19" t="s">
        <v>6</v>
      </c>
      <c r="B16" s="19"/>
      <c r="C16" s="20">
        <f>INDEX(t_Immo[Prix d''achat],MATCH(_NumImmo,t_Immo[N* fiche],0))</f>
        <v>2511228</v>
      </c>
      <c r="E16" s="21"/>
    </row>
    <row r="17" spans="1:6" ht="15.6" x14ac:dyDescent="0.3">
      <c r="A17" s="19" t="s">
        <v>25</v>
      </c>
      <c r="B17" s="19"/>
      <c r="C17" s="20">
        <f>INDEX(t_Immo[Frais access],MATCH(_NumImmo,t_Immo[N* fiche],0))</f>
        <v>0</v>
      </c>
      <c r="E17" s="64" t="s">
        <v>39</v>
      </c>
      <c r="F17" s="22">
        <f>INDEX(t_Immo[N*Compte],MATCH(_NumImmo,t_Immo[N* fiche],0))</f>
        <v>238100</v>
      </c>
    </row>
    <row r="18" spans="1:6" ht="15.6" x14ac:dyDescent="0.3">
      <c r="A18" s="23" t="s">
        <v>26</v>
      </c>
      <c r="B18" s="23"/>
      <c r="C18" s="24">
        <f>SUM(C16:C17)</f>
        <v>2511228</v>
      </c>
      <c r="E18" s="25"/>
    </row>
    <row r="19" spans="1:6" x14ac:dyDescent="0.3">
      <c r="E19" s="65" t="s">
        <v>38</v>
      </c>
      <c r="F19" s="38">
        <f>INDEX(t_Immo[N* compte d''amortissemt],MATCH(_NumImmo,t_Immo[N* fiche],0))</f>
        <v>283800</v>
      </c>
    </row>
    <row r="20" spans="1:6" x14ac:dyDescent="0.3">
      <c r="E20" s="25"/>
    </row>
    <row r="21" spans="1:6" ht="15.6" x14ac:dyDescent="0.3">
      <c r="A21" s="19" t="s">
        <v>27</v>
      </c>
      <c r="B21" s="19"/>
      <c r="C21" s="19"/>
      <c r="D21" s="26">
        <f>INDEX(t_Immo[Date d''acquisition],MATCH(_NumImmo,t_Immo[N* fiche],0))</f>
        <v>45268</v>
      </c>
      <c r="E21" s="66" t="s">
        <v>40</v>
      </c>
      <c r="F21" s="44">
        <f>INDEX(t_Immo[Duree],MATCH(_NumImmo,t_Immo[N* fiche],0))</f>
        <v>10</v>
      </c>
    </row>
    <row r="22" spans="1:6" ht="15.6" x14ac:dyDescent="0.3">
      <c r="A22" s="19"/>
      <c r="B22" s="19"/>
      <c r="C22" s="19"/>
      <c r="D22" s="28"/>
      <c r="E22" s="29"/>
      <c r="F22" s="19"/>
    </row>
    <row r="23" spans="1:6" ht="15.6" x14ac:dyDescent="0.3">
      <c r="A23" s="27" t="s">
        <v>28</v>
      </c>
      <c r="B23" s="27"/>
      <c r="C23" s="19"/>
      <c r="D23" s="30">
        <f>INDEX(t_Immo[Date mise en service],MATCH(_NumImmo,t_Immo[N* fiche],0))</f>
        <v>45778</v>
      </c>
      <c r="E23" s="67" t="s">
        <v>13</v>
      </c>
      <c r="F23" s="27" t="str">
        <f>INDEX(t_Immo[Type d''amortissement],MATCH(_NumImmo,t_Immo[N* fiche],0))</f>
        <v>Lineaire</v>
      </c>
    </row>
    <row r="24" spans="1:6" ht="15.6" x14ac:dyDescent="0.3">
      <c r="A24" s="19"/>
      <c r="B24" s="19"/>
      <c r="C24" s="19"/>
      <c r="D24" s="19"/>
      <c r="E24" s="68" t="s">
        <v>14</v>
      </c>
      <c r="F24" s="31">
        <f>INDEX(t_Immo[Taux],MATCH(_NumImmo,t_Immo[N* fiche],0))</f>
        <v>0.1</v>
      </c>
    </row>
    <row r="25" spans="1:6" ht="15.6" x14ac:dyDescent="0.3">
      <c r="A25" s="19"/>
      <c r="B25" s="19"/>
      <c r="C25" s="19"/>
      <c r="D25" s="19"/>
      <c r="E25" s="69" t="s">
        <v>29</v>
      </c>
      <c r="F25" s="32">
        <f>INDEX(t_Immo[Annuite],MATCH(_NumImmo,t_Immo[N* fiche],0))</f>
        <v>251122.80000000002</v>
      </c>
    </row>
    <row r="26" spans="1:6" ht="15.6" x14ac:dyDescent="0.3">
      <c r="A26" s="19"/>
      <c r="B26" s="19"/>
      <c r="C26" s="19"/>
      <c r="D26" s="19"/>
      <c r="E26" s="33"/>
      <c r="F26" s="34"/>
    </row>
    <row r="27" spans="1:6" ht="15.6" x14ac:dyDescent="0.3">
      <c r="A27" s="19"/>
      <c r="B27" s="19"/>
      <c r="C27" s="19"/>
      <c r="D27" s="19"/>
      <c r="E27" s="33"/>
      <c r="F27" s="34"/>
    </row>
    <row r="28" spans="1:6" ht="15.6" x14ac:dyDescent="0.3">
      <c r="A28" s="19"/>
      <c r="B28" s="19"/>
      <c r="C28" s="19"/>
      <c r="D28" s="19"/>
      <c r="E28" s="33"/>
      <c r="F28" s="34"/>
    </row>
    <row r="29" spans="1:6" ht="18" x14ac:dyDescent="0.35">
      <c r="A29" s="42" t="s">
        <v>30</v>
      </c>
      <c r="B29" s="42"/>
      <c r="C29" s="42"/>
      <c r="D29" s="42"/>
      <c r="E29" s="42"/>
      <c r="F29" s="42"/>
    </row>
    <row r="31" spans="1:6" ht="28.8" x14ac:dyDescent="0.3">
      <c r="A31" s="46" t="s">
        <v>31</v>
      </c>
      <c r="B31" s="46"/>
      <c r="C31" s="35" t="s">
        <v>32</v>
      </c>
      <c r="D31" s="35" t="s">
        <v>33</v>
      </c>
      <c r="E31" s="35" t="s">
        <v>34</v>
      </c>
      <c r="F31" s="35" t="s">
        <v>35</v>
      </c>
    </row>
    <row r="32" spans="1:6" x14ac:dyDescent="0.3">
      <c r="A32" s="47">
        <f>YEAR(_MisService)</f>
        <v>2025</v>
      </c>
      <c r="B32" s="48">
        <f>IF(YEAR(_MisService)=A32,12-MONTH(_MisService)+1,IF(A32=YEAR(_MisService)+_Duree,MONTH(_MisService)-1,IF(A32&lt;&gt;"",12,"")))</f>
        <v>8</v>
      </c>
      <c r="C32" s="56">
        <f>IF(A32&lt;&gt;"",CoutAcquis,"")</f>
        <v>2511228</v>
      </c>
      <c r="D32" s="59">
        <f>IF(A32&lt;&gt;"",_Annuite/12*B32,"")</f>
        <v>167415.20000000001</v>
      </c>
      <c r="E32" s="53">
        <f>D32</f>
        <v>167415.20000000001</v>
      </c>
      <c r="F32" s="60">
        <f>IFERROR(C32-E32,"")</f>
        <v>2343812.7999999998</v>
      </c>
    </row>
    <row r="33" spans="1:6" x14ac:dyDescent="0.3">
      <c r="A33" s="49">
        <f>IFERROR(IF(A32+1&lt;=YEAR(_MisService)+_Duree,A32+1,""),"")</f>
        <v>2026</v>
      </c>
      <c r="B33" s="50">
        <f>IF(YEAR(_MisService)=A33,12-MONTH(_MisService)+1,IF(A33=YEAR(_MisService)+_Duree,MONTH(_MisService)-1,IF(A33&lt;&gt;"",12,"")))</f>
        <v>12</v>
      </c>
      <c r="C33" s="57">
        <f>IF(A33&lt;&gt;"",CoutAcquis,"")</f>
        <v>2511228</v>
      </c>
      <c r="D33" s="61">
        <f>IF(A33&lt;&gt;"",_Annuite/12*B33,"")</f>
        <v>251122.80000000002</v>
      </c>
      <c r="E33" s="54">
        <f>IFERROR(E32+D33,"")</f>
        <v>418538</v>
      </c>
      <c r="F33" s="62">
        <f t="shared" ref="F33:F46" si="0">IFERROR(C33-E33,"")</f>
        <v>2092690</v>
      </c>
    </row>
    <row r="34" spans="1:6" x14ac:dyDescent="0.3">
      <c r="A34" s="49">
        <f>IFERROR(IF(A33+1&lt;=YEAR(_MisService)+_Duree,A33+1,""),"")</f>
        <v>2027</v>
      </c>
      <c r="B34" s="50">
        <f>IF(YEAR(_MisService)=A34,12-MONTH(_MisService)+1,IF(A34=YEAR(_MisService)+_Duree,MONTH(_MisService)-1,IF(A34&lt;&gt;"",12,"")))</f>
        <v>12</v>
      </c>
      <c r="C34" s="57">
        <f>IF(A34&lt;&gt;"",CoutAcquis,"")</f>
        <v>2511228</v>
      </c>
      <c r="D34" s="61">
        <f>IF(A34&lt;&gt;"",_Annuite/12*B34,"")</f>
        <v>251122.80000000002</v>
      </c>
      <c r="E34" s="54">
        <f t="shared" ref="E34:E46" si="1">IFERROR(E33+D34,"")</f>
        <v>669660.80000000005</v>
      </c>
      <c r="F34" s="62">
        <f t="shared" si="0"/>
        <v>1841567.2</v>
      </c>
    </row>
    <row r="35" spans="1:6" x14ac:dyDescent="0.3">
      <c r="A35" s="49">
        <f>IFERROR(IF(A34+1&lt;=YEAR(_MisService)+_Duree,A34+1,""),"")</f>
        <v>2028</v>
      </c>
      <c r="B35" s="50">
        <f>IF(YEAR(_MisService)=A35,12-MONTH(_MisService)+1,IF(A35=YEAR(_MisService)+_Duree,MONTH(_MisService)-1,IF(A35&lt;&gt;"",12,"")))</f>
        <v>12</v>
      </c>
      <c r="C35" s="57">
        <f>IF(A35&lt;&gt;"",CoutAcquis,"")</f>
        <v>2511228</v>
      </c>
      <c r="D35" s="61">
        <f>IF(A35&lt;&gt;"",_Annuite/12*B35,"")</f>
        <v>251122.80000000002</v>
      </c>
      <c r="E35" s="54">
        <f t="shared" si="1"/>
        <v>920783.60000000009</v>
      </c>
      <c r="F35" s="62">
        <f t="shared" si="0"/>
        <v>1590444.4</v>
      </c>
    </row>
    <row r="36" spans="1:6" x14ac:dyDescent="0.3">
      <c r="A36" s="49">
        <f>IFERROR(IF(A35+1&lt;=YEAR(_MisService)+_Duree,A35+1,""),"")</f>
        <v>2029</v>
      </c>
      <c r="B36" s="50">
        <f>IF(YEAR(_MisService)=A36,12-MONTH(_MisService)+1,IF(A36=YEAR(_MisService)+_Duree,MONTH(_MisService)-1,IF(A36&lt;&gt;"",12,"")))</f>
        <v>12</v>
      </c>
      <c r="C36" s="57">
        <f>IF(A36&lt;&gt;"",CoutAcquis,"")</f>
        <v>2511228</v>
      </c>
      <c r="D36" s="61">
        <f>IF(A36&lt;&gt;"",_Annuite/12*B36,"")</f>
        <v>251122.80000000002</v>
      </c>
      <c r="E36" s="54">
        <f t="shared" si="1"/>
        <v>1171906.4000000001</v>
      </c>
      <c r="F36" s="62">
        <f t="shared" si="0"/>
        <v>1339321.5999999999</v>
      </c>
    </row>
    <row r="37" spans="1:6" x14ac:dyDescent="0.3">
      <c r="A37" s="49">
        <f>IFERROR(IF(A36+1&lt;=YEAR(_MisService)+_Duree,A36+1,""),"")</f>
        <v>2030</v>
      </c>
      <c r="B37" s="50">
        <f>IF(YEAR(_MisService)=A37,12-MONTH(_MisService)+1,IF(A37=YEAR(_MisService)+_Duree,MONTH(_MisService)-1,IF(A37&lt;&gt;"",12,"")))</f>
        <v>12</v>
      </c>
      <c r="C37" s="57">
        <f>IF(A37&lt;&gt;"",CoutAcquis,"")</f>
        <v>2511228</v>
      </c>
      <c r="D37" s="61">
        <f>IF(A37&lt;&gt;"",_Annuite/12*B37,"")</f>
        <v>251122.80000000002</v>
      </c>
      <c r="E37" s="54">
        <f t="shared" si="1"/>
        <v>1423029.2000000002</v>
      </c>
      <c r="F37" s="62">
        <f t="shared" si="0"/>
        <v>1088198.7999999998</v>
      </c>
    </row>
    <row r="38" spans="1:6" x14ac:dyDescent="0.3">
      <c r="A38" s="49">
        <f>IFERROR(IF(A37+1&lt;=YEAR(_MisService)+_Duree,A37+1,""),"")</f>
        <v>2031</v>
      </c>
      <c r="B38" s="50">
        <f>IF(YEAR(_MisService)=A38,12-MONTH(_MisService)+1,IF(A38=YEAR(_MisService)+_Duree,MONTH(_MisService)-1,IF(A38&lt;&gt;"",12,"")))</f>
        <v>12</v>
      </c>
      <c r="C38" s="57">
        <f>IF(A38&lt;&gt;"",CoutAcquis,"")</f>
        <v>2511228</v>
      </c>
      <c r="D38" s="61">
        <f>IF(A38&lt;&gt;"",_Annuite/12*B38,"")</f>
        <v>251122.80000000002</v>
      </c>
      <c r="E38" s="54">
        <f t="shared" si="1"/>
        <v>1674152.0000000002</v>
      </c>
      <c r="F38" s="62">
        <f t="shared" si="0"/>
        <v>837075.99999999977</v>
      </c>
    </row>
    <row r="39" spans="1:6" x14ac:dyDescent="0.3">
      <c r="A39" s="49">
        <f>IFERROR(IF(A38+1&lt;=YEAR(_MisService)+_Duree,A38+1,""),"")</f>
        <v>2032</v>
      </c>
      <c r="B39" s="50">
        <f>IF(YEAR(_MisService)=A39,12-MONTH(_MisService)+1,IF(A39=YEAR(_MisService)+_Duree,MONTH(_MisService)-1,IF(A39&lt;&gt;"",12,"")))</f>
        <v>12</v>
      </c>
      <c r="C39" s="57">
        <f>IF(A39&lt;&gt;"",CoutAcquis,"")</f>
        <v>2511228</v>
      </c>
      <c r="D39" s="54">
        <f>IF(A39&lt;&gt;"",_Annuite/12*B39,"")</f>
        <v>251122.80000000002</v>
      </c>
      <c r="E39" s="54">
        <f t="shared" si="1"/>
        <v>1925274.8000000003</v>
      </c>
      <c r="F39" s="62">
        <f t="shared" si="0"/>
        <v>585953.19999999972</v>
      </c>
    </row>
    <row r="40" spans="1:6" x14ac:dyDescent="0.3">
      <c r="A40" s="49">
        <f>IFERROR(IF(A39+1&lt;=YEAR(_MisService)+_Duree,A39+1,""),"")</f>
        <v>2033</v>
      </c>
      <c r="B40" s="50">
        <f>IF(YEAR(_MisService)=A40,12-MONTH(_MisService)+1,IF(A40=YEAR(_MisService)+_Duree,MONTH(_MisService)-1,IF(A40&lt;&gt;"",12,"")))</f>
        <v>12</v>
      </c>
      <c r="C40" s="57">
        <f>IF(A40&lt;&gt;"",CoutAcquis,"")</f>
        <v>2511228</v>
      </c>
      <c r="D40" s="54">
        <f>IF(A40&lt;&gt;"",_Annuite/12*B40,"")</f>
        <v>251122.80000000002</v>
      </c>
      <c r="E40" s="54">
        <f t="shared" si="1"/>
        <v>2176397.6</v>
      </c>
      <c r="F40" s="62">
        <f t="shared" si="0"/>
        <v>334830.39999999991</v>
      </c>
    </row>
    <row r="41" spans="1:6" x14ac:dyDescent="0.3">
      <c r="A41" s="49">
        <f>IFERROR(IF(A40+1&lt;=YEAR(_MisService)+_Duree,A40+1,""),"")</f>
        <v>2034</v>
      </c>
      <c r="B41" s="50">
        <f>IF(YEAR(_MisService)=A41,12-MONTH(_MisService)+1,IF(A41=YEAR(_MisService)+_Duree,MONTH(_MisService)-1,IF(A41&lt;&gt;"",12,"")))</f>
        <v>12</v>
      </c>
      <c r="C41" s="57">
        <f>IF(A41&lt;&gt;"",CoutAcquis,"")</f>
        <v>2511228</v>
      </c>
      <c r="D41" s="54">
        <f>IF(A41&lt;&gt;"",_Annuite/12*B41,"")</f>
        <v>251122.80000000002</v>
      </c>
      <c r="E41" s="54">
        <f t="shared" si="1"/>
        <v>2427520.4</v>
      </c>
      <c r="F41" s="62">
        <f t="shared" si="0"/>
        <v>83707.600000000093</v>
      </c>
    </row>
    <row r="42" spans="1:6" x14ac:dyDescent="0.3">
      <c r="A42" s="49">
        <f>IFERROR(IF(A41+1&lt;=YEAR(_MisService)+_Duree,A41+1,""),"")</f>
        <v>2035</v>
      </c>
      <c r="B42" s="50">
        <f>IF(YEAR(_MisService)=A42,12-MONTH(_MisService)+1,IF(A42=YEAR(_MisService)+_Duree,MONTH(_MisService)-1,IF(A42&lt;&gt;"",12,"")))</f>
        <v>4</v>
      </c>
      <c r="C42" s="57">
        <f>IF(A42&lt;&gt;"",CoutAcquis,"")</f>
        <v>2511228</v>
      </c>
      <c r="D42" s="54">
        <f>IF(A42&lt;&gt;"",_Annuite/12*B42,"")</f>
        <v>83707.600000000006</v>
      </c>
      <c r="E42" s="54">
        <f t="shared" si="1"/>
        <v>2511228</v>
      </c>
      <c r="F42" s="62">
        <f t="shared" si="0"/>
        <v>0</v>
      </c>
    </row>
    <row r="43" spans="1:6" x14ac:dyDescent="0.3">
      <c r="A43" s="49" t="str">
        <f>IFERROR(IF(A42+1&lt;=YEAR(_MisService)+_Duree,A42+1,""),"")</f>
        <v/>
      </c>
      <c r="B43" s="50" t="str">
        <f>IF(YEAR(_MisService)=A43,12-MONTH(_MisService)+1,IF(A43=YEAR(_MisService)+_Duree,MONTH(_MisService)-1,IF(A43&lt;&gt;"",12,"")))</f>
        <v/>
      </c>
      <c r="C43" s="57" t="str">
        <f>IF(A43&lt;&gt;"",CoutAcquis,"")</f>
        <v/>
      </c>
      <c r="D43" s="54" t="str">
        <f>IF(A43&lt;&gt;"",_Annuite/12*B43,"")</f>
        <v/>
      </c>
      <c r="E43" s="54" t="str">
        <f t="shared" si="1"/>
        <v/>
      </c>
      <c r="F43" s="62" t="str">
        <f t="shared" si="0"/>
        <v/>
      </c>
    </row>
    <row r="44" spans="1:6" x14ac:dyDescent="0.3">
      <c r="A44" s="49" t="str">
        <f>IFERROR(IF(A43+1&lt;=YEAR(_MisService)+_Duree,A43+1,""),"")</f>
        <v/>
      </c>
      <c r="B44" s="50" t="str">
        <f>IF(YEAR(_MisService)=A44,12-MONTH(_MisService)+1,IF(A44=YEAR(_MisService)+_Duree,MONTH(_MisService)-1,IF(A44&lt;&gt;"",12,"")))</f>
        <v/>
      </c>
      <c r="C44" s="57" t="str">
        <f>IF(A44&lt;&gt;"",CoutAcquis,"")</f>
        <v/>
      </c>
      <c r="D44" s="54" t="str">
        <f>IF(A44&lt;&gt;"",_Annuite/12*B44,"")</f>
        <v/>
      </c>
      <c r="E44" s="54" t="str">
        <f t="shared" si="1"/>
        <v/>
      </c>
      <c r="F44" s="62" t="str">
        <f t="shared" si="0"/>
        <v/>
      </c>
    </row>
    <row r="45" spans="1:6" x14ac:dyDescent="0.3">
      <c r="A45" s="49" t="str">
        <f>IFERROR(IF(A44+1&lt;=YEAR(_MisService)+_Duree,A44+1,""),"")</f>
        <v/>
      </c>
      <c r="B45" s="50" t="str">
        <f>IF(YEAR(_MisService)=A45,12-MONTH(_MisService)+1,IF(A45=YEAR(_MisService)+_Duree,MONTH(_MisService)-1,IF(A45&lt;&gt;"",12,"")))</f>
        <v/>
      </c>
      <c r="C45" s="57" t="str">
        <f>IF(A45&lt;&gt;"",CoutAcquis,"")</f>
        <v/>
      </c>
      <c r="D45" s="54" t="str">
        <f>IF(A45&lt;&gt;"",_Annuite/12*B45,"")</f>
        <v/>
      </c>
      <c r="E45" s="54" t="str">
        <f t="shared" si="1"/>
        <v/>
      </c>
      <c r="F45" s="62" t="str">
        <f t="shared" si="0"/>
        <v/>
      </c>
    </row>
    <row r="46" spans="1:6" x14ac:dyDescent="0.3">
      <c r="A46" s="51" t="str">
        <f>IFERROR(IF(A45+1&lt;=YEAR(_MisService)+_Duree,A45+1,""),"")</f>
        <v/>
      </c>
      <c r="B46" s="52" t="str">
        <f>IF(YEAR(_MisService)=A46,12-MONTH(_MisService)+1,IF(A46=YEAR(_MisService)+_Duree,MONTH(_MisService)-1,IF(A46&lt;&gt;"",12,"")))</f>
        <v/>
      </c>
      <c r="C46" s="58" t="str">
        <f>IF(A46&lt;&gt;"",CoutAcquis,"")</f>
        <v/>
      </c>
      <c r="D46" s="55" t="str">
        <f>IF(A46&lt;&gt;"",_Annuite/12*B46,"")</f>
        <v/>
      </c>
      <c r="E46" s="55" t="str">
        <f t="shared" si="1"/>
        <v/>
      </c>
      <c r="F46" s="63" t="str">
        <f t="shared" si="0"/>
        <v/>
      </c>
    </row>
    <row r="50" spans="5:5" ht="15.6" x14ac:dyDescent="0.3">
      <c r="E50" s="36" t="s">
        <v>36</v>
      </c>
    </row>
  </sheetData>
  <mergeCells count="3">
    <mergeCell ref="A7:F7"/>
    <mergeCell ref="E8:F8"/>
    <mergeCell ref="A29:F29"/>
  </mergeCells>
  <conditionalFormatting sqref="B32:B46">
    <cfRule type="expression" dxfId="1" priority="1">
      <formula>B32=12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3C46E400-5BC5-43E5-BE3B-11778C424D2C}">
          <x14:formula1>
            <xm:f>IMMO!$A$4:$A$65500</xm:f>
          </x14:formula1>
          <xm:sqref>E8:F8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IMMO</vt:lpstr>
      <vt:lpstr>Fiche</vt:lpstr>
      <vt:lpstr>_Annuite</vt:lpstr>
      <vt:lpstr>_Duree</vt:lpstr>
      <vt:lpstr>_MisService</vt:lpstr>
      <vt:lpstr>_NumImmo</vt:lpstr>
      <vt:lpstr>CoutAcquis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Lassané Bamogo</dc:creator>
  <cp:lastModifiedBy>Damaste .</cp:lastModifiedBy>
  <dcterms:created xsi:type="dcterms:W3CDTF">2025-11-30T00:32:23Z</dcterms:created>
  <dcterms:modified xsi:type="dcterms:W3CDTF">2025-11-30T17:13:33Z</dcterms:modified>
</cp:coreProperties>
</file>