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D6CA29C8-4B54-4391-AF18-B2350815EE26}" xr6:coauthVersionLast="47" xr6:coauthVersionMax="47" xr10:uidLastSave="{00000000-0000-0000-0000-000000000000}"/>
  <bookViews>
    <workbookView xWindow="-108" yWindow="-108" windowWidth="23256" windowHeight="12576" xr2:uid="{AAC23F65-85E7-4D66-B46C-8518FB6B366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3" i="1" l="1"/>
  <c r="L34" i="1"/>
  <c r="L35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2" i="1"/>
  <c r="L13" i="1"/>
  <c r="L11" i="1"/>
  <c r="L10" i="1"/>
  <c r="L9" i="1"/>
  <c r="L8" i="1"/>
  <c r="L7" i="1"/>
  <c r="L6" i="1"/>
  <c r="J6" i="1"/>
  <c r="J33" i="1" s="1"/>
  <c r="J15" i="1" l="1"/>
  <c r="J24" i="1"/>
  <c r="J10" i="1"/>
  <c r="J13" i="1"/>
  <c r="J29" i="1"/>
  <c r="J31" i="1"/>
  <c r="J21" i="1"/>
  <c r="J18" i="1"/>
  <c r="J19" i="1"/>
  <c r="J12" i="1"/>
  <c r="D28" i="1" s="1"/>
  <c r="J32" i="1"/>
  <c r="E25" i="1" s="1"/>
  <c r="J26" i="1"/>
  <c r="J20" i="1"/>
  <c r="J34" i="1"/>
  <c r="J27" i="1"/>
  <c r="J22" i="1"/>
  <c r="J35" i="1"/>
  <c r="J25" i="1"/>
  <c r="J30" i="1"/>
  <c r="J8" i="1"/>
  <c r="J11" i="1"/>
  <c r="J28" i="1"/>
  <c r="J16" i="1"/>
  <c r="J7" i="1"/>
  <c r="J17" i="1"/>
  <c r="J9" i="1"/>
  <c r="J14" i="1"/>
  <c r="J23" i="1"/>
  <c r="D12" i="1" l="1"/>
  <c r="E24" i="1"/>
  <c r="F11" i="1"/>
  <c r="E30" i="1"/>
  <c r="F29" i="1"/>
  <c r="E22" i="1"/>
  <c r="E11" i="1"/>
  <c r="E15" i="1"/>
  <c r="E19" i="1"/>
  <c r="E26" i="1"/>
  <c r="E5" i="1"/>
  <c r="E9" i="1"/>
  <c r="E14" i="1"/>
  <c r="E23" i="1"/>
  <c r="E12" i="1"/>
  <c r="E16" i="1"/>
  <c r="E20" i="1"/>
  <c r="E27" i="1"/>
  <c r="F5" i="1"/>
  <c r="E10" i="1"/>
  <c r="E29" i="1"/>
  <c r="E13" i="1"/>
  <c r="E17" i="1"/>
  <c r="E21" i="1"/>
  <c r="E28" i="1"/>
  <c r="E7" i="1"/>
  <c r="E18" i="1"/>
  <c r="E8" i="1"/>
  <c r="E6" i="1"/>
  <c r="F10" i="1"/>
  <c r="D9" i="1"/>
  <c r="F23" i="1"/>
  <c r="D16" i="1"/>
  <c r="D19" i="1"/>
  <c r="F9" i="1"/>
  <c r="D5" i="1"/>
  <c r="F21" i="1"/>
  <c r="D10" i="1"/>
  <c r="F28" i="1"/>
  <c r="D8" i="1"/>
  <c r="D15" i="1"/>
  <c r="F12" i="1"/>
  <c r="D23" i="1"/>
  <c r="F24" i="1"/>
  <c r="D29" i="1"/>
  <c r="F19" i="1"/>
  <c r="F8" i="1"/>
  <c r="D7" i="1"/>
  <c r="D11" i="1"/>
  <c r="D30" i="1"/>
  <c r="F15" i="1"/>
  <c r="D20" i="1"/>
  <c r="D13" i="1"/>
  <c r="D27" i="1"/>
  <c r="F16" i="1"/>
  <c r="F27" i="1"/>
  <c r="F22" i="1"/>
  <c r="D6" i="1"/>
  <c r="D21" i="1"/>
  <c r="F25" i="1"/>
  <c r="F17" i="1"/>
  <c r="F18" i="1"/>
  <c r="F20" i="1"/>
  <c r="F26" i="1"/>
  <c r="D26" i="1"/>
  <c r="D22" i="1"/>
  <c r="F14" i="1"/>
  <c r="D17" i="1"/>
  <c r="F7" i="1"/>
  <c r="D14" i="1"/>
  <c r="D24" i="1"/>
  <c r="F13" i="1"/>
  <c r="D18" i="1"/>
  <c r="D25" i="1"/>
  <c r="F6" i="1"/>
  <c r="F30" i="1"/>
</calcChain>
</file>

<file path=xl/sharedStrings.xml><?xml version="1.0" encoding="utf-8"?>
<sst xmlns="http://schemas.openxmlformats.org/spreadsheetml/2006/main" count="66" uniqueCount="35">
  <si>
    <t>brut annuel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</si>
  <si>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</si>
  <si>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</si>
  <si>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</si>
  <si>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</si>
  <si>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</si>
  <si>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</si>
  <si>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</si>
  <si>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</si>
  <si>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</si>
  <si>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</si>
  <si>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</si>
  <si>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</si>
  <si>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</si>
  <si>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</si>
  <si>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</si>
  <si>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</si>
  <si>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</si>
  <si>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</si>
  <si>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</si>
  <si>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U</t>
  </si>
  <si>
    <t>V</t>
  </si>
  <si>
    <t>W</t>
  </si>
  <si>
    <t>X</t>
  </si>
  <si>
    <t>Y</t>
  </si>
  <si>
    <t>Z</t>
  </si>
  <si>
    <t>pas de changement</t>
  </si>
  <si>
    <t>moins favorable</t>
  </si>
  <si>
    <t>légerement plus favorable</t>
  </si>
  <si>
    <t>plus favorable</t>
  </si>
  <si>
    <t>Coef</t>
  </si>
  <si>
    <t>Montant</t>
  </si>
  <si>
    <t>Code</t>
  </si>
  <si>
    <t>Résultat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</si>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</sst>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0.0000"/>
    <numFmt numFmtId="166" formatCode="0.000%"/>
    <numFmt numFmtId="167" formatCode="0.000%;[Red]\-0.000%"/>
  </numFmts>
  <fonts count="3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theme="0" tint="-0.499984740745262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24994659260841701"/>
      </bottom>
      <diagonal/>
    </border>
    <border>
      <left style="thin">
        <color theme="0" tint="-0.499984740745262"/>
      </left>
      <right/>
      <top/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499984740745262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right" vertical="center" wrapText="1" indent="1"/>
    </xf>
    <xf numFmtId="164" fontId="0" fillId="0" borderId="0" xfId="0" applyNumberFormat="1" applyAlignment="1">
      <alignment horizontal="right" indent="1"/>
    </xf>
    <xf numFmtId="0" fontId="0" fillId="0" borderId="0" xfId="0" applyAlignment="1">
      <alignment horizontal="right" indent="1"/>
    </xf>
    <xf numFmtId="165" fontId="0" fillId="0" borderId="0" xfId="0" applyNumberFormat="1" applyAlignment="1">
      <alignment horizontal="right" indent="1"/>
    </xf>
    <xf numFmtId="0" fontId="0" fillId="0" borderId="0" xfId="0" applyAlignment="1">
      <alignment horizontal="left" indent="1"/>
    </xf>
    <xf numFmtId="167" fontId="0" fillId="0" borderId="0" xfId="1" applyNumberFormat="1" applyFont="1" applyAlignment="1">
      <alignment horizontal="right" indent="1"/>
    </xf>
    <xf numFmtId="165" fontId="0" fillId="0" borderId="1" xfId="0" applyNumberFormat="1" applyBorder="1" applyAlignment="1">
      <alignment horizontal="right" indent="1"/>
    </xf>
    <xf numFmtId="0" fontId="0" fillId="0" borderId="2" xfId="0" applyBorder="1" applyAlignment="1">
      <alignment horizontal="right" indent="1"/>
    </xf>
    <xf numFmtId="0" fontId="0" fillId="0" borderId="2" xfId="0" applyBorder="1" applyAlignment="1">
      <alignment horizontal="left" indent="1"/>
    </xf>
    <xf numFmtId="0" fontId="0" fillId="0" borderId="3" xfId="0" applyBorder="1" applyAlignment="1">
      <alignment horizontal="right" indent="1"/>
    </xf>
    <xf numFmtId="165" fontId="1" fillId="0" borderId="4" xfId="0" applyNumberFormat="1" applyFont="1" applyBorder="1" applyAlignment="1">
      <alignment horizontal="right" indent="1"/>
    </xf>
    <xf numFmtId="164" fontId="0" fillId="0" borderId="5" xfId="0" applyNumberFormat="1" applyBorder="1" applyAlignment="1">
      <alignment horizontal="right" indent="1"/>
    </xf>
    <xf numFmtId="0" fontId="0" fillId="0" borderId="5" xfId="0" applyBorder="1" applyAlignment="1">
      <alignment horizontal="left" indent="1"/>
    </xf>
    <xf numFmtId="166" fontId="0" fillId="0" borderId="6" xfId="0" applyNumberFormat="1" applyBorder="1" applyAlignment="1">
      <alignment horizontal="right" indent="1"/>
    </xf>
    <xf numFmtId="165" fontId="0" fillId="0" borderId="4" xfId="0" applyNumberFormat="1" applyBorder="1" applyAlignment="1">
      <alignment horizontal="right" indent="1"/>
    </xf>
    <xf numFmtId="0" fontId="1" fillId="0" borderId="5" xfId="0" applyFont="1" applyBorder="1" applyAlignment="1">
      <alignment horizontal="left" indent="1"/>
    </xf>
    <xf numFmtId="166" fontId="0" fillId="0" borderId="6" xfId="1" applyNumberFormat="1" applyFont="1" applyBorder="1" applyAlignment="1">
      <alignment horizontal="right" indent="1"/>
    </xf>
    <xf numFmtId="165" fontId="1" fillId="0" borderId="7" xfId="0" applyNumberFormat="1" applyFont="1" applyBorder="1" applyAlignment="1">
      <alignment horizontal="right" indent="1"/>
    </xf>
    <xf numFmtId="164" fontId="0" fillId="0" borderId="8" xfId="0" applyNumberFormat="1" applyBorder="1" applyAlignment="1">
      <alignment horizontal="right" indent="1"/>
    </xf>
    <xf numFmtId="0" fontId="1" fillId="0" borderId="8" xfId="0" applyFont="1" applyBorder="1" applyAlignment="1">
      <alignment horizontal="left" indent="1"/>
    </xf>
    <xf numFmtId="166" fontId="0" fillId="0" borderId="9" xfId="1" applyNumberFormat="1" applyFont="1" applyBorder="1" applyAlignment="1">
      <alignment horizontal="right" indent="1"/>
    </xf>
  </cellXfs>
  <cellStyles count="2">
    <cellStyle name="Normal" xfId="0" builtinId="0"/>
    <cellStyle name="Pourcentage" xfId="1" builtinId="5"/>
  </cellStyles>
  <dxfs count="14">
    <dxf>
      <border diagonalUp="0" diagonalDown="0">
        <left style="thin">
          <color theme="0" tint="-0.499984740745262"/>
        </left>
        <right style="thin">
          <color theme="0" tint="-0.499984740745262"/>
        </right>
        <top/>
        <bottom/>
        <vertical style="thin">
          <color theme="0" tint="-0.499984740745262"/>
        </vertical>
        <horizontal style="thin">
          <color theme="0" tint="-0.24994659260841701"/>
        </horizontal>
      </border>
    </dxf>
    <dxf>
      <numFmt numFmtId="166" formatCode="0.000%"/>
      <alignment horizontal="right" vertical="bottom" textRotation="0" wrapText="0" relativeIndent="1" justifyLastLine="0" shrinkToFit="0" readingOrder="0"/>
      <border diagonalUp="0" diagonalDown="0">
        <left style="thin">
          <color theme="0" tint="-0.499984740745262"/>
        </left>
        <right/>
        <top style="thin">
          <color theme="0" tint="-0.24994659260841701"/>
        </top>
        <bottom style="thin">
          <color theme="0" tint="-0.24994659260841701"/>
        </bottom>
        <vertical style="thin">
          <color theme="0" tint="-0.499984740745262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left" vertical="bottom" textRotation="0" wrapText="0" relativeIndent="1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499984740745262"/>
        </vertical>
        <horizontal style="thin">
          <color theme="0" tint="-0.24994659260841701"/>
        </horizontal>
      </border>
    </dxf>
    <dxf>
      <numFmt numFmtId="164" formatCode="#,##0.00\ &quot;€&quot;"/>
      <alignment horizontal="right" vertical="bottom" textRotation="0" wrapText="0" relativeIndent="1" justifyLastLine="0" shrinkToFit="0" readingOrder="0"/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499984740745262"/>
        </vertical>
        <horizontal style="thin">
          <color theme="0" tint="-0.2499465926084170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Aptos Narrow"/>
        <family val="2"/>
        <scheme val="minor"/>
      </font>
      <numFmt numFmtId="165" formatCode="0.0000"/>
      <fill>
        <patternFill patternType="solid">
          <fgColor indexed="64"/>
          <bgColor theme="4" tint="0.79998168889431442"/>
        </patternFill>
      </fill>
      <alignment horizontal="right" vertical="bottom" textRotation="0" wrapText="0" relativeIndent="1" justifyLastLine="0" shrinkToFit="0" readingOrder="0"/>
      <border diagonalUp="0" diagonalDown="0">
        <left/>
        <right style="thin">
          <color theme="0" tint="-0.499984740745262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499984740745262"/>
        </vertical>
        <horizontal style="thin">
          <color theme="0" tint="-0.24994659260841701"/>
        </horizontal>
      </border>
    </dxf>
    <dxf>
      <border>
        <top style="thin">
          <color theme="0" tint="-0.24994659260841701"/>
        </top>
      </border>
    </dxf>
    <dxf>
      <border>
        <bottom style="thin">
          <color theme="0" tint="-0.24994659260841701"/>
        </bottom>
      </border>
    </dxf>
    <dxf>
      <border diagonalUp="0" diagonalDown="0">
        <left style="thin">
          <color theme="0" tint="-0.499984740745262"/>
        </left>
        <right style="thin">
          <color theme="0" tint="-0.499984740745262"/>
        </right>
        <top style="thin">
          <color theme="0" tint="-0.499984740745262"/>
        </top>
        <bottom style="thin">
          <color theme="0" tint="-0.499984740745262"/>
        </bottom>
      </border>
    </dxf>
    <dxf>
      <font>
        <color rgb="FFFF0000"/>
      </font>
    </dxf>
    <dxf>
      <numFmt numFmtId="167" formatCode="0.000%;[Red]\-0.000%"/>
      <alignment horizontal="right" vertical="bottom" textRotation="0" wrapText="0" 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numFmt numFmtId="165" formatCode="0.0000"/>
      <alignment horizontal="right" vertical="bottom" textRotation="0" wrapText="0" relativeIndent="1" justifyLastLine="0" shrinkToFit="0" readingOrder="0"/>
    </dxf>
    <dxf>
      <numFmt numFmtId="164" formatCode="#,##0.00\ &quot;€&quot;"/>
      <alignment horizontal="right" textRotation="0" relativeIndent="1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555559</xdr:colOff>
      <xdr:row>2</xdr:row>
      <xdr:rowOff>28574</xdr:rowOff>
    </xdr:from>
    <xdr:to>
      <xdr:col>20</xdr:col>
      <xdr:colOff>536574</xdr:colOff>
      <xdr:row>36</xdr:row>
      <xdr:rowOff>97619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9D2BAF-947F-6529-0C48-20C3D569D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75909" y="390524"/>
          <a:ext cx="5315015" cy="62221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951E4C-4CD1-4736-9B5D-913C269A6CF4}" name="t_Comparatif" displayName="t_Comparatif" ref="I4:L35" totalsRowShown="0" headerRowDxfId="0" headerRowBorderDxfId="6" tableBorderDxfId="7" totalsRowBorderDxfId="5">
  <autoFilter ref="I4:L35" xr:uid="{F6951E4C-4CD1-4736-9B5D-913C269A6CF4}">
    <filterColumn colId="0" hiddenButton="1"/>
    <filterColumn colId="1" hiddenButton="1"/>
    <filterColumn colId="2" hiddenButton="1"/>
    <filterColumn colId="3" hiddenButton="1"/>
  </autoFilter>
  <tableColumns count="4">
    <tableColumn id="1" xr3:uid="{E6281116-446F-48EF-BCDC-81EC1FD7D001}" name="Coef" dataDxfId="4"/>
    <tableColumn id="2" xr3:uid="{94A76095-4EFE-43E3-B3CA-1EC8CFBC7D91}" name="Montant" dataDxfId="3"/>
    <tableColumn id="3" xr3:uid="{CE7C9FC6-A928-4881-BD90-F130BC0E59CD}" name="Résultat" dataDxfId="2"/>
    <tableColumn id="4" xr3:uid="{3D1CB56C-FA60-4429-91A5-94D27DB2D2F5}" name="Evolution" dataDxfId="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7ED169-CAD1-4125-8095-9F3C04F98197}" name="t_Salaire" displayName="t_Salaire" ref="B4:F30" totalsRowShown="0">
  <autoFilter ref="B4:F30" xr:uid="{657ED169-CAD1-4125-8095-9F3C04F9819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1C3F6EB5-37EB-4182-99D5-F0A2DC624D6C}" name="Code" dataDxfId="13"/>
    <tableColumn id="2" xr3:uid="{F222E7CD-5CD9-40EE-95A7-66634B5897DF}" name="brut annuel" dataDxfId="12"/>
    <tableColumn id="3" xr3:uid="{30D6616C-BA3C-46DB-A32A-453CEE203783}" name="Coef" dataDxfId="11">
      <calculatedColumnFormula>INDEX(t_Comparatif[Coef],MATCH(t_Salaire[[#This Row],[brut annuel]],t_Comparatif[Montant],1))</calculatedColumnFormula>
    </tableColumn>
    <tableColumn id="5" xr3:uid="{16CE1658-8422-4E72-817F-9F26DD78405D}" name="Evolution" dataDxfId="9"/>
    <tableColumn id="4" xr3:uid="{B0DEC18A-981D-4C56-B81D-68F2023F452C}" name="Résultat" dataDxfId="10">
      <calculatedColumnFormula>INDEX(t_Comparatif[Résultat],MATCH(t_Salaire[[#This Row],[brut annuel]],t_Comparatif[Montant],1))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EE896-AE14-4E1E-8887-A458496FA9CD}">
  <dimension ref="B4:L35"/>
  <sheetViews>
    <sheetView showGridLines="0" tabSelected="1" workbookViewId="0">
      <selection activeCell="K13" sqref="K13"/>
    </sheetView>
  </sheetViews>
  <sheetFormatPr baseColWidth="10" defaultRowHeight="14.4" x14ac:dyDescent="0.3"/>
  <cols>
    <col min="1" max="1" width="3.77734375" customWidth="1"/>
    <col min="2" max="2" width="7.77734375" bestFit="1" customWidth="1"/>
    <col min="3" max="3" width="11.88671875" customWidth="1"/>
    <col min="5" max="5" width="11.5546875" customWidth="1"/>
    <col min="6" max="6" width="20.33203125" customWidth="1"/>
    <col min="7" max="7" width="3.77734375" customWidth="1"/>
    <col min="10" max="10" width="12.21875" bestFit="1" customWidth="1"/>
    <col min="11" max="11" width="22.88671875" bestFit="1" customWidth="1"/>
    <col min="12" max="12" width="12.77734375" customWidth="1"/>
  </cols>
  <sheetData>
    <row r="4" spans="2:12" x14ac:dyDescent="0.3">
      <c r="B4" s="1" t="s">
        <v>32</v>
      </c>
      <c r="C4" s="2" t="s">
        <v>0</v>
      </c>
      <c r="D4" s="4" t="s">
        <v>30</v>
      </c>
      <c r="E4" s="4" t="s">
        <v>34</v>
      </c>
      <c r="F4" s="6" t="s">
        <v>33</v>
      </c>
      <c r="I4" s="8" t="s">
        <v>30</v>
      </c>
      <c r="J4" s="9" t="s">
        <v>31</v>
      </c>
      <c r="K4" s="10" t="s">
        <v>33</v>
      </c>
      <c r="L4" s="11" t="s">
        <v>34</v>
      </c>
    </row>
    <row r="5" spans="2:12" x14ac:dyDescent="0.3">
      <c r="B5" s="1" t="s">
        <v>1</v>
      </c>
      <c r="C5" s="3">
        <v>35237.85</v>
      </c>
      <c r="D5" s="5">
        <f>INDEX(t_Comparatif[Coef],MATCH(t_Salaire[[#This Row],[brut annuel]],t_Comparatif[Montant],1))</f>
        <v>1.6</v>
      </c>
      <c r="E5" s="7">
        <f>INDEX(t_Comparatif[Evolution],MATCH(t_Salaire[[#This Row],[brut annuel]],t_Comparatif[Montant],1))</f>
        <v>3.1700000000000006E-2</v>
      </c>
      <c r="F5" s="6" t="str">
        <f>INDEX(t_Comparatif[Résultat],MATCH(t_Salaire[[#This Row],[brut annuel]],t_Comparatif[Montant],1))</f>
        <v>plus favorable</v>
      </c>
      <c r="I5" s="12">
        <v>0</v>
      </c>
      <c r="J5" s="13">
        <v>0</v>
      </c>
      <c r="K5" s="14" t="s">
        <v>26</v>
      </c>
      <c r="L5" s="15">
        <v>0</v>
      </c>
    </row>
    <row r="6" spans="2:12" x14ac:dyDescent="0.3">
      <c r="B6" s="1" t="s">
        <v>2</v>
      </c>
      <c r="C6" s="3">
        <v>47061.120000000003</v>
      </c>
      <c r="D6" s="5">
        <f>INDEX(t_Comparatif[Coef],MATCH(t_Salaire[[#This Row],[brut annuel]],t_Comparatif[Montant],1))</f>
        <v>2.1</v>
      </c>
      <c r="E6" s="7">
        <f>INDEX(t_Comparatif[Evolution],MATCH(t_Salaire[[#This Row],[brut annuel]],t_Comparatif[Montant],1))</f>
        <v>-3.2299999999999995E-2</v>
      </c>
      <c r="F6" s="6" t="str">
        <f>INDEX(t_Comparatif[Résultat],MATCH(t_Salaire[[#This Row],[brut annuel]],t_Comparatif[Montant],1))</f>
        <v>moins favorable</v>
      </c>
      <c r="I6" s="16">
        <v>1</v>
      </c>
      <c r="J6" s="13">
        <f>11.88*151.67*12</f>
        <v>21622.075199999999</v>
      </c>
      <c r="K6" s="17" t="s">
        <v>27</v>
      </c>
      <c r="L6" s="18">
        <f>-32.29%+31.5%</f>
        <v>-7.8999999999999626E-3</v>
      </c>
    </row>
    <row r="7" spans="2:12" x14ac:dyDescent="0.3">
      <c r="B7" s="1" t="s">
        <v>3</v>
      </c>
      <c r="C7" s="3">
        <v>55960.25</v>
      </c>
      <c r="D7" s="5">
        <f>INDEX(t_Comparatif[Coef],MATCH(t_Salaire[[#This Row],[brut annuel]],t_Comparatif[Montant],1))</f>
        <v>2.5</v>
      </c>
      <c r="E7" s="7">
        <f>INDEX(t_Comparatif[Evolution],MATCH(t_Salaire[[#This Row],[brut annuel]],t_Comparatif[Montant],1))</f>
        <v>8.7999999999999988E-3</v>
      </c>
      <c r="F7" s="6" t="str">
        <f>INDEX(t_Comparatif[Résultat],MATCH(t_Salaire[[#This Row],[brut annuel]],t_Comparatif[Montant],1))</f>
        <v>plus favorable</v>
      </c>
      <c r="I7" s="12">
        <v>1.1000000000000001</v>
      </c>
      <c r="J7" s="13">
        <f t="shared" ref="J7:J35" si="0">+$J$6*I7</f>
        <v>23784.282720000003</v>
      </c>
      <c r="K7" s="17" t="s">
        <v>27</v>
      </c>
      <c r="L7" s="18">
        <f>-25.76%+25.05%</f>
        <v>-7.0999999999999952E-3</v>
      </c>
    </row>
    <row r="8" spans="2:12" x14ac:dyDescent="0.3">
      <c r="B8" s="1" t="s">
        <v>4</v>
      </c>
      <c r="C8" s="3">
        <v>38250.379999999997</v>
      </c>
      <c r="D8" s="5">
        <f>INDEX(t_Comparatif[Coef],MATCH(t_Salaire[[#This Row],[brut annuel]],t_Comparatif[Montant],1))</f>
        <v>1.7</v>
      </c>
      <c r="E8" s="7">
        <f>INDEX(t_Comparatif[Evolution],MATCH(t_Salaire[[#This Row],[brut annuel]],t_Comparatif[Montant],1))</f>
        <v>1.2899999999999995E-2</v>
      </c>
      <c r="F8" s="6" t="str">
        <f>INDEX(t_Comparatif[Résultat],MATCH(t_Salaire[[#This Row],[brut annuel]],t_Comparatif[Montant],1))</f>
        <v>plus favorable</v>
      </c>
      <c r="I8" s="12">
        <v>1.2</v>
      </c>
      <c r="J8" s="13">
        <f t="shared" si="0"/>
        <v>25946.490239999999</v>
      </c>
      <c r="K8" s="17" t="s">
        <v>27</v>
      </c>
      <c r="L8" s="18">
        <f>-20.23%+20.13%</f>
        <v>-1.0000000000000286E-3</v>
      </c>
    </row>
    <row r="9" spans="2:12" x14ac:dyDescent="0.3">
      <c r="B9" s="1" t="s">
        <v>5</v>
      </c>
      <c r="C9" s="3">
        <v>31760.34</v>
      </c>
      <c r="D9" s="5">
        <f>INDEX(t_Comparatif[Coef],MATCH(t_Salaire[[#This Row],[brut annuel]],t_Comparatif[Montant],1))</f>
        <v>1.4</v>
      </c>
      <c r="E9" s="7">
        <f>INDEX(t_Comparatif[Evolution],MATCH(t_Salaire[[#This Row],[brut annuel]],t_Comparatif[Montant],1))</f>
        <v>8.2000000000000128E-3</v>
      </c>
      <c r="F9" s="6" t="str">
        <f>INDEX(t_Comparatif[Résultat],MATCH(t_Salaire[[#This Row],[brut annuel]],t_Comparatif[Montant],1))</f>
        <v>plus favorable</v>
      </c>
      <c r="I9" s="12">
        <v>1.3</v>
      </c>
      <c r="J9" s="13">
        <f t="shared" si="0"/>
        <v>28108.697759999999</v>
      </c>
      <c r="K9" s="14" t="s">
        <v>26</v>
      </c>
      <c r="L9" s="18">
        <f>-19.57%+19.57%</f>
        <v>0</v>
      </c>
    </row>
    <row r="10" spans="2:12" x14ac:dyDescent="0.3">
      <c r="B10" s="1" t="s">
        <v>6</v>
      </c>
      <c r="C10" s="3">
        <v>32414.89</v>
      </c>
      <c r="D10" s="5">
        <f>INDEX(t_Comparatif[Coef],MATCH(t_Salaire[[#This Row],[brut annuel]],t_Comparatif[Montant],1))</f>
        <v>1.4</v>
      </c>
      <c r="E10" s="7">
        <f>INDEX(t_Comparatif[Evolution],MATCH(t_Salaire[[#This Row],[brut annuel]],t_Comparatif[Montant],1))</f>
        <v>8.2000000000000128E-3</v>
      </c>
      <c r="F10" s="6" t="str">
        <f>INDEX(t_Comparatif[Résultat],MATCH(t_Salaire[[#This Row],[brut annuel]],t_Comparatif[Montant],1))</f>
        <v>plus favorable</v>
      </c>
      <c r="I10" s="16">
        <v>1.3131999999999999</v>
      </c>
      <c r="J10" s="13">
        <f t="shared" si="0"/>
        <v>28394.109152639998</v>
      </c>
      <c r="K10" s="14" t="s">
        <v>28</v>
      </c>
      <c r="L10" s="18">
        <f>-19.33%+19.37%</f>
        <v>4.0000000000003921E-4</v>
      </c>
    </row>
    <row r="11" spans="2:12" x14ac:dyDescent="0.3">
      <c r="B11" s="1" t="s">
        <v>7</v>
      </c>
      <c r="C11" s="3">
        <v>8121.47</v>
      </c>
      <c r="D11" s="5">
        <f>INDEX(t_Comparatif[Coef],MATCH(t_Salaire[[#This Row],[brut annuel]],t_Comparatif[Montant],1))</f>
        <v>0</v>
      </c>
      <c r="E11" s="7">
        <f>INDEX(t_Comparatif[Evolution],MATCH(t_Salaire[[#This Row],[brut annuel]],t_Comparatif[Montant],1))</f>
        <v>0</v>
      </c>
      <c r="F11" s="6" t="str">
        <f>INDEX(t_Comparatif[Résultat],MATCH(t_Salaire[[#This Row],[brut annuel]],t_Comparatif[Montant],1))</f>
        <v>pas de changement</v>
      </c>
      <c r="I11" s="16">
        <v>1.3180000000000001</v>
      </c>
      <c r="J11" s="13">
        <f t="shared" si="0"/>
        <v>28497.8951136</v>
      </c>
      <c r="K11" s="14" t="s">
        <v>29</v>
      </c>
      <c r="L11" s="18">
        <f>-19.33%+19.37%</f>
        <v>4.0000000000003921E-4</v>
      </c>
    </row>
    <row r="12" spans="2:12" x14ac:dyDescent="0.3">
      <c r="B12" s="1" t="s">
        <v>8</v>
      </c>
      <c r="C12" s="3">
        <v>37887.269999999997</v>
      </c>
      <c r="D12" s="5">
        <f>INDEX(t_Comparatif[Coef],MATCH(t_Salaire[[#This Row],[brut annuel]],t_Comparatif[Montant],1))</f>
        <v>1.7</v>
      </c>
      <c r="E12" s="7">
        <f>INDEX(t_Comparatif[Evolution],MATCH(t_Salaire[[#This Row],[brut annuel]],t_Comparatif[Montant],1))</f>
        <v>1.2899999999999995E-2</v>
      </c>
      <c r="F12" s="6" t="str">
        <f>INDEX(t_Comparatif[Résultat],MATCH(t_Salaire[[#This Row],[brut annuel]],t_Comparatif[Montant],1))</f>
        <v>plus favorable</v>
      </c>
      <c r="I12" s="16">
        <v>1.4</v>
      </c>
      <c r="J12" s="13">
        <f t="shared" si="0"/>
        <v>30270.905279999995</v>
      </c>
      <c r="K12" s="14" t="s">
        <v>29</v>
      </c>
      <c r="L12" s="18">
        <f>-15.5%+16.32%</f>
        <v>8.2000000000000128E-3</v>
      </c>
    </row>
    <row r="13" spans="2:12" x14ac:dyDescent="0.3">
      <c r="B13" s="1" t="s">
        <v>9</v>
      </c>
      <c r="C13" s="3">
        <v>30188.77</v>
      </c>
      <c r="D13" s="5">
        <f>INDEX(t_Comparatif[Coef],MATCH(t_Salaire[[#This Row],[brut annuel]],t_Comparatif[Montant],1))</f>
        <v>1.3180000000000001</v>
      </c>
      <c r="E13" s="7">
        <f>INDEX(t_Comparatif[Evolution],MATCH(t_Salaire[[#This Row],[brut annuel]],t_Comparatif[Montant],1))</f>
        <v>4.0000000000003921E-4</v>
      </c>
      <c r="F13" s="6" t="str">
        <f>INDEX(t_Comparatif[Résultat],MATCH(t_Salaire[[#This Row],[brut annuel]],t_Comparatif[Montant],1))</f>
        <v>plus favorable</v>
      </c>
      <c r="I13" s="16">
        <v>1.5</v>
      </c>
      <c r="J13" s="13">
        <f t="shared" si="0"/>
        <v>32433.112799999999</v>
      </c>
      <c r="K13" s="14" t="s">
        <v>29</v>
      </c>
      <c r="L13" s="18">
        <f>-11.39%+13.34%</f>
        <v>1.949999999999999E-2</v>
      </c>
    </row>
    <row r="14" spans="2:12" x14ac:dyDescent="0.3">
      <c r="B14" s="1" t="s">
        <v>10</v>
      </c>
      <c r="C14" s="3">
        <v>15325.64</v>
      </c>
      <c r="D14" s="5">
        <f>INDEX(t_Comparatif[Coef],MATCH(t_Salaire[[#This Row],[brut annuel]],t_Comparatif[Montant],1))</f>
        <v>0</v>
      </c>
      <c r="E14" s="7">
        <f>INDEX(t_Comparatif[Evolution],MATCH(t_Salaire[[#This Row],[brut annuel]],t_Comparatif[Montant],1))</f>
        <v>0</v>
      </c>
      <c r="F14" s="6" t="str">
        <f>INDEX(t_Comparatif[Résultat],MATCH(t_Salaire[[#This Row],[brut annuel]],t_Comparatif[Montant],1))</f>
        <v>pas de changement</v>
      </c>
      <c r="I14" s="16">
        <v>1.6</v>
      </c>
      <c r="J14" s="13">
        <f t="shared" si="0"/>
        <v>34595.320319999999</v>
      </c>
      <c r="K14" s="14" t="s">
        <v>29</v>
      </c>
      <c r="L14" s="18">
        <f>-7.8%+10.97%</f>
        <v>3.1700000000000006E-2</v>
      </c>
    </row>
    <row r="15" spans="2:12" x14ac:dyDescent="0.3">
      <c r="B15" s="1" t="s">
        <v>11</v>
      </c>
      <c r="C15" s="3">
        <v>26940.69</v>
      </c>
      <c r="D15" s="5">
        <f>INDEX(t_Comparatif[Coef],MATCH(t_Salaire[[#This Row],[brut annuel]],t_Comparatif[Montant],1))</f>
        <v>1.2</v>
      </c>
      <c r="E15" s="7">
        <f>INDEX(t_Comparatif[Evolution],MATCH(t_Salaire[[#This Row],[brut annuel]],t_Comparatif[Montant],1))</f>
        <v>-1.0000000000000286E-3</v>
      </c>
      <c r="F15" s="6" t="str">
        <f>INDEX(t_Comparatif[Résultat],MATCH(t_Salaire[[#This Row],[brut annuel]],t_Comparatif[Montant],1))</f>
        <v>moins favorable</v>
      </c>
      <c r="I15" s="16">
        <v>1.7</v>
      </c>
      <c r="J15" s="13">
        <f t="shared" si="0"/>
        <v>36757.527839999995</v>
      </c>
      <c r="K15" s="14" t="s">
        <v>29</v>
      </c>
      <c r="L15" s="18">
        <f>-7.8%+9.09%</f>
        <v>1.2899999999999995E-2</v>
      </c>
    </row>
    <row r="16" spans="2:12" x14ac:dyDescent="0.3">
      <c r="B16" s="1" t="s">
        <v>12</v>
      </c>
      <c r="C16" s="3">
        <v>31207.73</v>
      </c>
      <c r="D16" s="5">
        <f>INDEX(t_Comparatif[Coef],MATCH(t_Salaire[[#This Row],[brut annuel]],t_Comparatif[Montant],1))</f>
        <v>1.4</v>
      </c>
      <c r="E16" s="7">
        <f>INDEX(t_Comparatif[Evolution],MATCH(t_Salaire[[#This Row],[brut annuel]],t_Comparatif[Montant],1))</f>
        <v>8.2000000000000128E-3</v>
      </c>
      <c r="F16" s="6" t="str">
        <f>INDEX(t_Comparatif[Résultat],MATCH(t_Salaire[[#This Row],[brut annuel]],t_Comparatif[Montant],1))</f>
        <v>plus favorable</v>
      </c>
      <c r="I16" s="16">
        <v>1.7797000000000001</v>
      </c>
      <c r="J16" s="13">
        <f t="shared" si="0"/>
        <v>38480.807233439999</v>
      </c>
      <c r="K16" s="14" t="s">
        <v>26</v>
      </c>
      <c r="L16" s="18">
        <f>-7.8%+7.86%</f>
        <v>6.0000000000000331E-4</v>
      </c>
    </row>
    <row r="17" spans="2:12" x14ac:dyDescent="0.3">
      <c r="B17" s="1" t="s">
        <v>13</v>
      </c>
      <c r="C17" s="3">
        <v>29512.16</v>
      </c>
      <c r="D17" s="5">
        <f>INDEX(t_Comparatif[Coef],MATCH(t_Salaire[[#This Row],[brut annuel]],t_Comparatif[Montant],1))</f>
        <v>1.3180000000000001</v>
      </c>
      <c r="E17" s="7">
        <f>INDEX(t_Comparatif[Evolution],MATCH(t_Salaire[[#This Row],[brut annuel]],t_Comparatif[Montant],1))</f>
        <v>4.0000000000003921E-4</v>
      </c>
      <c r="F17" s="6" t="str">
        <f>INDEX(t_Comparatif[Résultat],MATCH(t_Salaire[[#This Row],[brut annuel]],t_Comparatif[Montant],1))</f>
        <v>plus favorable</v>
      </c>
      <c r="I17" s="16">
        <v>1.7841</v>
      </c>
      <c r="J17" s="13">
        <f t="shared" si="0"/>
        <v>38575.944364319999</v>
      </c>
      <c r="K17" s="17" t="s">
        <v>27</v>
      </c>
      <c r="L17" s="18">
        <f>-7.8%+7.8%</f>
        <v>0</v>
      </c>
    </row>
    <row r="18" spans="2:12" x14ac:dyDescent="0.3">
      <c r="B18" s="1" t="s">
        <v>14</v>
      </c>
      <c r="C18" s="3">
        <v>6439.31</v>
      </c>
      <c r="D18" s="5">
        <f>INDEX(t_Comparatif[Coef],MATCH(t_Salaire[[#This Row],[brut annuel]],t_Comparatif[Montant],1))</f>
        <v>0</v>
      </c>
      <c r="E18" s="7">
        <f>INDEX(t_Comparatif[Evolution],MATCH(t_Salaire[[#This Row],[brut annuel]],t_Comparatif[Montant],1))</f>
        <v>0</v>
      </c>
      <c r="F18" s="6" t="str">
        <f>INDEX(t_Comparatif[Résultat],MATCH(t_Salaire[[#This Row],[brut annuel]],t_Comparatif[Montant],1))</f>
        <v>pas de changement</v>
      </c>
      <c r="I18" s="12">
        <v>1.8</v>
      </c>
      <c r="J18" s="13">
        <f t="shared" si="0"/>
        <v>38919.735359999999</v>
      </c>
      <c r="K18" s="17" t="s">
        <v>27</v>
      </c>
      <c r="L18" s="18">
        <f>-7.8%+7.58%</f>
        <v>-2.1999999999999936E-3</v>
      </c>
    </row>
    <row r="19" spans="2:12" x14ac:dyDescent="0.3">
      <c r="B19" s="1" t="s">
        <v>15</v>
      </c>
      <c r="C19" s="3">
        <v>9213.0499999999993</v>
      </c>
      <c r="D19" s="5">
        <f>INDEX(t_Comparatif[Coef],MATCH(t_Salaire[[#This Row],[brut annuel]],t_Comparatif[Montant],1))</f>
        <v>0</v>
      </c>
      <c r="E19" s="7">
        <f>INDEX(t_Comparatif[Evolution],MATCH(t_Salaire[[#This Row],[brut annuel]],t_Comparatif[Montant],1))</f>
        <v>0</v>
      </c>
      <c r="F19" s="6" t="str">
        <f>INDEX(t_Comparatif[Résultat],MATCH(t_Salaire[[#This Row],[brut annuel]],t_Comparatif[Montant],1))</f>
        <v>pas de changement</v>
      </c>
      <c r="I19" s="12">
        <v>1.9</v>
      </c>
      <c r="J19" s="13">
        <f t="shared" si="0"/>
        <v>41081.942879999995</v>
      </c>
      <c r="K19" s="17" t="s">
        <v>27</v>
      </c>
      <c r="L19" s="18">
        <f>-7.8%+6.36%</f>
        <v>-1.4399999999999996E-2</v>
      </c>
    </row>
    <row r="20" spans="2:12" x14ac:dyDescent="0.3">
      <c r="B20" s="1" t="s">
        <v>16</v>
      </c>
      <c r="C20" s="3">
        <v>4618.09</v>
      </c>
      <c r="D20" s="5">
        <f>INDEX(t_Comparatif[Coef],MATCH(t_Salaire[[#This Row],[brut annuel]],t_Comparatif[Montant],1))</f>
        <v>0</v>
      </c>
      <c r="E20" s="7">
        <f>INDEX(t_Comparatif[Evolution],MATCH(t_Salaire[[#This Row],[brut annuel]],t_Comparatif[Montant],1))</f>
        <v>0</v>
      </c>
      <c r="F20" s="6" t="str">
        <f>INDEX(t_Comparatif[Résultat],MATCH(t_Salaire[[#This Row],[brut annuel]],t_Comparatif[Montant],1))</f>
        <v>pas de changement</v>
      </c>
      <c r="I20" s="12">
        <v>2</v>
      </c>
      <c r="J20" s="13">
        <f t="shared" si="0"/>
        <v>43244.150399999999</v>
      </c>
      <c r="K20" s="17" t="s">
        <v>27</v>
      </c>
      <c r="L20" s="18">
        <f>-7.8%+5.37%</f>
        <v>-2.4300000000000002E-2</v>
      </c>
    </row>
    <row r="21" spans="2:12" x14ac:dyDescent="0.3">
      <c r="B21" s="1" t="s">
        <v>17</v>
      </c>
      <c r="C21" s="3">
        <v>2215.34</v>
      </c>
      <c r="D21" s="5">
        <f>INDEX(t_Comparatif[Coef],MATCH(t_Salaire[[#This Row],[brut annuel]],t_Comparatif[Montant],1))</f>
        <v>0</v>
      </c>
      <c r="E21" s="7">
        <f>INDEX(t_Comparatif[Evolution],MATCH(t_Salaire[[#This Row],[brut annuel]],t_Comparatif[Montant],1))</f>
        <v>0</v>
      </c>
      <c r="F21" s="6" t="str">
        <f>INDEX(t_Comparatif[Résultat],MATCH(t_Salaire[[#This Row],[brut annuel]],t_Comparatif[Montant],1))</f>
        <v>pas de changement</v>
      </c>
      <c r="I21" s="12">
        <v>2.1</v>
      </c>
      <c r="J21" s="13">
        <f t="shared" si="0"/>
        <v>45406.357920000002</v>
      </c>
      <c r="K21" s="17" t="s">
        <v>27</v>
      </c>
      <c r="L21" s="18">
        <f>-7.8%+4.57%</f>
        <v>-3.2299999999999995E-2</v>
      </c>
    </row>
    <row r="22" spans="2:12" x14ac:dyDescent="0.3">
      <c r="B22" s="1" t="s">
        <v>5</v>
      </c>
      <c r="C22" s="3">
        <v>50320.51</v>
      </c>
      <c r="D22" s="5">
        <f>INDEX(t_Comparatif[Coef],MATCH(t_Salaire[[#This Row],[brut annuel]],t_Comparatif[Montant],1))</f>
        <v>2.2999999999999998</v>
      </c>
      <c r="E22" s="7">
        <f>INDEX(t_Comparatif[Evolution],MATCH(t_Salaire[[#This Row],[brut annuel]],t_Comparatif[Montant],1))</f>
        <v>1.6099999999999996E-2</v>
      </c>
      <c r="F22" s="6" t="str">
        <f>INDEX(t_Comparatif[Résultat],MATCH(t_Salaire[[#This Row],[brut annuel]],t_Comparatif[Montant],1))</f>
        <v>plus favorable</v>
      </c>
      <c r="I22" s="12">
        <v>2.2000000000000002</v>
      </c>
      <c r="J22" s="13">
        <f t="shared" si="0"/>
        <v>47568.565440000006</v>
      </c>
      <c r="K22" s="17" t="s">
        <v>27</v>
      </c>
      <c r="L22" s="18">
        <f>-7.8%+3.93%</f>
        <v>-3.8699999999999998E-2</v>
      </c>
    </row>
    <row r="23" spans="2:12" x14ac:dyDescent="0.3">
      <c r="B23" s="1" t="s">
        <v>18</v>
      </c>
      <c r="C23" s="3">
        <v>30836.02</v>
      </c>
      <c r="D23" s="5">
        <f>INDEX(t_Comparatif[Coef],MATCH(t_Salaire[[#This Row],[brut annuel]],t_Comparatif[Montant],1))</f>
        <v>1.4</v>
      </c>
      <c r="E23" s="7">
        <f>INDEX(t_Comparatif[Evolution],MATCH(t_Salaire[[#This Row],[brut annuel]],t_Comparatif[Montant],1))</f>
        <v>8.2000000000000128E-3</v>
      </c>
      <c r="F23" s="6" t="str">
        <f>INDEX(t_Comparatif[Résultat],MATCH(t_Salaire[[#This Row],[brut annuel]],t_Comparatif[Montant],1))</f>
        <v>plus favorable</v>
      </c>
      <c r="I23" s="12">
        <v>2.25</v>
      </c>
      <c r="J23" s="13">
        <f t="shared" si="0"/>
        <v>48649.669199999997</v>
      </c>
      <c r="K23" s="17" t="s">
        <v>27</v>
      </c>
      <c r="L23" s="18">
        <f>-7.8%+3.66%</f>
        <v>-4.1399999999999999E-2</v>
      </c>
    </row>
    <row r="24" spans="2:12" x14ac:dyDescent="0.3">
      <c r="B24" s="1" t="s">
        <v>19</v>
      </c>
      <c r="C24" s="3">
        <v>52594.76</v>
      </c>
      <c r="D24" s="5">
        <f>INDEX(t_Comparatif[Coef],MATCH(t_Salaire[[#This Row],[brut annuel]],t_Comparatif[Montant],1))</f>
        <v>2.4</v>
      </c>
      <c r="E24" s="7">
        <f>INDEX(t_Comparatif[Evolution],MATCH(t_Salaire[[#This Row],[brut annuel]],t_Comparatif[Montant],1))</f>
        <v>1.1999999999999997E-2</v>
      </c>
      <c r="F24" s="6" t="str">
        <f>INDEX(t_Comparatif[Résultat],MATCH(t_Salaire[[#This Row],[brut annuel]],t_Comparatif[Montant],1))</f>
        <v>plus favorable</v>
      </c>
      <c r="I24" s="16">
        <v>2.2999999999999998</v>
      </c>
      <c r="J24" s="13">
        <f t="shared" si="0"/>
        <v>49730.772959999995</v>
      </c>
      <c r="K24" s="14" t="s">
        <v>29</v>
      </c>
      <c r="L24" s="18">
        <f>-1.8%+3.41%</f>
        <v>1.6099999999999996E-2</v>
      </c>
    </row>
    <row r="25" spans="2:12" x14ac:dyDescent="0.3">
      <c r="B25" s="1" t="s">
        <v>20</v>
      </c>
      <c r="C25" s="3">
        <v>81980.2</v>
      </c>
      <c r="D25" s="5">
        <f>INDEX(t_Comparatif[Coef],MATCH(t_Salaire[[#This Row],[brut annuel]],t_Comparatif[Montant],1))</f>
        <v>3.3</v>
      </c>
      <c r="E25" s="7">
        <f>INDEX(t_Comparatif[Evolution],MATCH(t_Salaire[[#This Row],[brut annuel]],t_Comparatif[Montant],1))</f>
        <v>-1.8000000000000002E-2</v>
      </c>
      <c r="F25" s="6" t="str">
        <f>INDEX(t_Comparatif[Résultat],MATCH(t_Salaire[[#This Row],[brut annuel]],t_Comparatif[Montant],1))</f>
        <v>moins favorable</v>
      </c>
      <c r="I25" s="16">
        <v>2.4</v>
      </c>
      <c r="J25" s="13">
        <f t="shared" si="0"/>
        <v>51892.980479999998</v>
      </c>
      <c r="K25" s="14" t="s">
        <v>29</v>
      </c>
      <c r="L25" s="18">
        <f>-1.8%+3%</f>
        <v>1.1999999999999997E-2</v>
      </c>
    </row>
    <row r="26" spans="2:12" x14ac:dyDescent="0.3">
      <c r="B26" s="1" t="s">
        <v>21</v>
      </c>
      <c r="C26" s="3">
        <v>29405</v>
      </c>
      <c r="D26" s="5">
        <f>INDEX(t_Comparatif[Coef],MATCH(t_Salaire[[#This Row],[brut annuel]],t_Comparatif[Montant],1))</f>
        <v>1.3180000000000001</v>
      </c>
      <c r="E26" s="7">
        <f>INDEX(t_Comparatif[Evolution],MATCH(t_Salaire[[#This Row],[brut annuel]],t_Comparatif[Montant],1))</f>
        <v>4.0000000000003921E-4</v>
      </c>
      <c r="F26" s="6" t="str">
        <f>INDEX(t_Comparatif[Résultat],MATCH(t_Salaire[[#This Row],[brut annuel]],t_Comparatif[Montant],1))</f>
        <v>plus favorable</v>
      </c>
      <c r="I26" s="16">
        <v>2.5</v>
      </c>
      <c r="J26" s="13">
        <f t="shared" si="0"/>
        <v>54055.187999999995</v>
      </c>
      <c r="K26" s="14" t="s">
        <v>29</v>
      </c>
      <c r="L26" s="18">
        <f>-1.8%+2.68%</f>
        <v>8.7999999999999988E-3</v>
      </c>
    </row>
    <row r="27" spans="2:12" x14ac:dyDescent="0.3">
      <c r="B27" s="1" t="s">
        <v>22</v>
      </c>
      <c r="C27" s="3">
        <v>28220.18</v>
      </c>
      <c r="D27" s="5">
        <f>INDEX(t_Comparatif[Coef],MATCH(t_Salaire[[#This Row],[brut annuel]],t_Comparatif[Montant],1))</f>
        <v>1.3</v>
      </c>
      <c r="E27" s="7">
        <f>INDEX(t_Comparatif[Evolution],MATCH(t_Salaire[[#This Row],[brut annuel]],t_Comparatif[Montant],1))</f>
        <v>0</v>
      </c>
      <c r="F27" s="6" t="str">
        <f>INDEX(t_Comparatif[Résultat],MATCH(t_Salaire[[#This Row],[brut annuel]],t_Comparatif[Montant],1))</f>
        <v>pas de changement</v>
      </c>
      <c r="I27" s="16">
        <v>2.6</v>
      </c>
      <c r="J27" s="13">
        <f t="shared" si="0"/>
        <v>56217.395519999998</v>
      </c>
      <c r="K27" s="14" t="s">
        <v>29</v>
      </c>
      <c r="L27" s="18">
        <f>-1.8%+2.43%</f>
        <v>6.3E-3</v>
      </c>
    </row>
    <row r="28" spans="2:12" x14ac:dyDescent="0.3">
      <c r="B28" s="1" t="s">
        <v>23</v>
      </c>
      <c r="C28" s="3">
        <v>37815.67</v>
      </c>
      <c r="D28" s="5">
        <f>INDEX(t_Comparatif[Coef],MATCH(t_Salaire[[#This Row],[brut annuel]],t_Comparatif[Montant],1))</f>
        <v>1.7</v>
      </c>
      <c r="E28" s="7">
        <f>INDEX(t_Comparatif[Evolution],MATCH(t_Salaire[[#This Row],[brut annuel]],t_Comparatif[Montant],1))</f>
        <v>1.2899999999999995E-2</v>
      </c>
      <c r="F28" s="6" t="str">
        <f>INDEX(t_Comparatif[Résultat],MATCH(t_Salaire[[#This Row],[brut annuel]],t_Comparatif[Montant],1))</f>
        <v>plus favorable</v>
      </c>
      <c r="I28" s="16">
        <v>2.7</v>
      </c>
      <c r="J28" s="13">
        <f t="shared" si="0"/>
        <v>58379.603040000002</v>
      </c>
      <c r="K28" s="14" t="s">
        <v>29</v>
      </c>
      <c r="L28" s="18">
        <f>-1.8%+2.24%</f>
        <v>4.4000000000000011E-3</v>
      </c>
    </row>
    <row r="29" spans="2:12" x14ac:dyDescent="0.3">
      <c r="B29" s="1" t="s">
        <v>24</v>
      </c>
      <c r="C29" s="3">
        <v>31688.67</v>
      </c>
      <c r="D29" s="5">
        <f>INDEX(t_Comparatif[Coef],MATCH(t_Salaire[[#This Row],[brut annuel]],t_Comparatif[Montant],1))</f>
        <v>1.4</v>
      </c>
      <c r="E29" s="7">
        <f>INDEX(t_Comparatif[Evolution],MATCH(t_Salaire[[#This Row],[brut annuel]],t_Comparatif[Montant],1))</f>
        <v>8.2000000000000128E-3</v>
      </c>
      <c r="F29" s="6" t="str">
        <f>INDEX(t_Comparatif[Résultat],MATCH(t_Salaire[[#This Row],[brut annuel]],t_Comparatif[Montant],1))</f>
        <v>plus favorable</v>
      </c>
      <c r="I29" s="16">
        <v>2.8</v>
      </c>
      <c r="J29" s="13">
        <f t="shared" si="0"/>
        <v>60541.810559999991</v>
      </c>
      <c r="K29" s="14" t="s">
        <v>29</v>
      </c>
      <c r="L29" s="18">
        <f>-1.8%+2.11%</f>
        <v>3.0999999999999951E-3</v>
      </c>
    </row>
    <row r="30" spans="2:12" x14ac:dyDescent="0.3">
      <c r="B30" s="1" t="s">
        <v>25</v>
      </c>
      <c r="C30" s="3">
        <v>80000</v>
      </c>
      <c r="D30" s="5">
        <f>INDEX(t_Comparatif[Coef],MATCH(t_Salaire[[#This Row],[brut annuel]],t_Comparatif[Montant],1))</f>
        <v>3.3</v>
      </c>
      <c r="E30" s="7">
        <f>INDEX(t_Comparatif[Evolution],MATCH(t_Salaire[[#This Row],[brut annuel]],t_Comparatif[Montant],1))</f>
        <v>-1.8000000000000002E-2</v>
      </c>
      <c r="F30" s="6" t="str">
        <f>INDEX(t_Comparatif[Résultat],MATCH(t_Salaire[[#This Row],[brut annuel]],t_Comparatif[Montant],1))</f>
        <v>moins favorable</v>
      </c>
      <c r="I30" s="16">
        <v>2.9</v>
      </c>
      <c r="J30" s="13">
        <f t="shared" si="0"/>
        <v>62704.018079999994</v>
      </c>
      <c r="K30" s="14" t="s">
        <v>29</v>
      </c>
      <c r="L30" s="18">
        <f>-1.8%+2.03%</f>
        <v>2.2999999999999965E-3</v>
      </c>
    </row>
    <row r="31" spans="2:12" x14ac:dyDescent="0.3">
      <c r="I31" s="16">
        <v>2.99</v>
      </c>
      <c r="J31" s="13">
        <f t="shared" si="0"/>
        <v>64650.004848000004</v>
      </c>
      <c r="K31" s="14" t="s">
        <v>29</v>
      </c>
      <c r="L31" s="18">
        <f>-1.8%+2%</f>
        <v>1.9999999999999983E-3</v>
      </c>
    </row>
    <row r="32" spans="2:12" x14ac:dyDescent="0.3">
      <c r="I32" s="12">
        <v>3</v>
      </c>
      <c r="J32" s="13">
        <f t="shared" si="0"/>
        <v>64866.225599999998</v>
      </c>
      <c r="K32" s="17" t="s">
        <v>27</v>
      </c>
      <c r="L32" s="18">
        <f>-1.8%+0%</f>
        <v>-1.8000000000000002E-2</v>
      </c>
    </row>
    <row r="33" spans="9:12" x14ac:dyDescent="0.3">
      <c r="I33" s="12">
        <v>3.1</v>
      </c>
      <c r="J33" s="13">
        <f t="shared" si="0"/>
        <v>67028.433120000002</v>
      </c>
      <c r="K33" s="17" t="s">
        <v>27</v>
      </c>
      <c r="L33" s="18">
        <f t="shared" ref="L33:L35" si="1">-1.8%+0%</f>
        <v>-1.8000000000000002E-2</v>
      </c>
    </row>
    <row r="34" spans="9:12" x14ac:dyDescent="0.3">
      <c r="I34" s="12">
        <v>3.2</v>
      </c>
      <c r="J34" s="13">
        <f t="shared" si="0"/>
        <v>69190.640639999998</v>
      </c>
      <c r="K34" s="17" t="s">
        <v>27</v>
      </c>
      <c r="L34" s="18">
        <f t="shared" si="1"/>
        <v>-1.8000000000000002E-2</v>
      </c>
    </row>
    <row r="35" spans="9:12" x14ac:dyDescent="0.3">
      <c r="I35" s="19">
        <v>3.3</v>
      </c>
      <c r="J35" s="20">
        <f t="shared" si="0"/>
        <v>71352.848159999994</v>
      </c>
      <c r="K35" s="21" t="s">
        <v>27</v>
      </c>
      <c r="L35" s="22">
        <f t="shared" si="1"/>
        <v>-1.8000000000000002E-2</v>
      </c>
    </row>
  </sheetData>
  <conditionalFormatting sqref="F5:F30">
    <cfRule type="expression" dxfId="8" priority="1">
      <formula>$E5&lt;0</formula>
    </cfRule>
  </conditionalFormatting>
  <pageMargins left="0.7" right="0.7" top="0.75" bottom="0.75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BELKASMI Nezha</dc:creator>
  <cp:lastModifiedBy>Damaste .</cp:lastModifiedBy>
  <dcterms:created xsi:type="dcterms:W3CDTF">2025-10-01T19:48:17Z</dcterms:created>
  <dcterms:modified xsi:type="dcterms:W3CDTF">2025-10-02T08:51:30Z</dcterms:modified>
</cp:coreProperties>
</file>