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F9BF35EF-B15F-45B2-A628-58C1E89C0BDF}" xr6:coauthVersionLast="47" xr6:coauthVersionMax="47" xr10:uidLastSave="{00000000-0000-0000-0000-000000000000}"/>
  <bookViews>
    <workbookView xWindow="-108" yWindow="-108" windowWidth="23256" windowHeight="12576" activeTab="2" xr2:uid="{E554627B-F9AF-47F0-B5EE-7F9F7C9AE61D}"/>
  </bookViews>
  <sheets>
    <sheet name="Tableau de Bord" sheetId="4" r:id="rId1"/>
    <sheet name="Liste" sheetId="5" r:id="rId2"/>
    <sheet name="TdB" sheetId="8" r:id="rId3"/>
    <sheet name="Monica" sheetId="9" r:id="rId4"/>
    <sheet name="La Plage" sheetId="10" r:id="rId5"/>
    <sheet name="Olho Marinho" sheetId="11" r:id="rId6"/>
  </sheets>
  <definedNames>
    <definedName name="l_FraisFixe">t_FraisFixe[Frais Fixe]</definedName>
    <definedName name="l_Loc">t_Loc[Loc]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8" l="1"/>
  <c r="B6" i="8"/>
  <c r="C5" i="8"/>
  <c r="B5" i="8"/>
  <c r="C4" i="8"/>
  <c r="B4" i="8"/>
  <c r="L13" i="11"/>
  <c r="K13" i="11"/>
  <c r="N13" i="11" s="1" a="1"/>
  <c r="N13" i="11" s="1"/>
  <c r="M12" i="11" a="1"/>
  <c r="M12" i="11" s="1"/>
  <c r="L12" i="11"/>
  <c r="K12" i="11"/>
  <c r="N12" i="11" s="1" a="1"/>
  <c r="N12" i="11" s="1"/>
  <c r="L11" i="11"/>
  <c r="K11" i="11"/>
  <c r="L10" i="11"/>
  <c r="K10" i="11"/>
  <c r="L9" i="11"/>
  <c r="K9" i="11"/>
  <c r="N9" i="11" s="1" a="1"/>
  <c r="N9" i="11" s="1"/>
  <c r="M8" i="11" a="1"/>
  <c r="M8" i="11" s="1"/>
  <c r="L8" i="11"/>
  <c r="K8" i="11"/>
  <c r="N8" i="11" s="1" a="1"/>
  <c r="N8" i="11" s="1"/>
  <c r="L7" i="11"/>
  <c r="M7" i="11" s="1" a="1"/>
  <c r="M7" i="11" s="1"/>
  <c r="K7" i="11"/>
  <c r="N7" i="11" s="1" a="1"/>
  <c r="N7" i="11" s="1"/>
  <c r="L6" i="11"/>
  <c r="K6" i="11"/>
  <c r="H6" i="11"/>
  <c r="F6" i="11"/>
  <c r="D6" i="11"/>
  <c r="C6" i="11"/>
  <c r="L5" i="11"/>
  <c r="M5" i="11" s="1" a="1"/>
  <c r="M5" i="11" s="1"/>
  <c r="K5" i="11"/>
  <c r="N5" i="11" s="1" a="1"/>
  <c r="N5" i="11" s="1"/>
  <c r="L4" i="11"/>
  <c r="K4" i="11"/>
  <c r="L3" i="11"/>
  <c r="M3" i="11" s="1" a="1"/>
  <c r="M3" i="11" s="1"/>
  <c r="K3" i="11"/>
  <c r="N3" i="11" s="1" a="1"/>
  <c r="N3" i="11" s="1"/>
  <c r="L2" i="11"/>
  <c r="K2" i="11"/>
  <c r="L13" i="10"/>
  <c r="K13" i="10"/>
  <c r="N13" i="10" s="1" a="1"/>
  <c r="N13" i="10" s="1"/>
  <c r="L12" i="10"/>
  <c r="K12" i="10"/>
  <c r="M12" i="10" s="1" a="1"/>
  <c r="M12" i="10" s="1"/>
  <c r="L11" i="10"/>
  <c r="K11" i="10"/>
  <c r="L10" i="10"/>
  <c r="K10" i="10"/>
  <c r="L9" i="10"/>
  <c r="K9" i="10"/>
  <c r="N9" i="10" s="1" a="1"/>
  <c r="N9" i="10" s="1"/>
  <c r="L8" i="10"/>
  <c r="K8" i="10"/>
  <c r="N8" i="10" s="1" a="1"/>
  <c r="N8" i="10" s="1"/>
  <c r="H6" i="10"/>
  <c r="F6" i="10"/>
  <c r="D6" i="10"/>
  <c r="C6" i="10"/>
  <c r="L7" i="10"/>
  <c r="K7" i="10"/>
  <c r="N7" i="10" s="1" a="1"/>
  <c r="N7" i="10" s="1"/>
  <c r="L6" i="10"/>
  <c r="K6" i="10"/>
  <c r="N6" i="10" s="1" a="1"/>
  <c r="N6" i="10" s="1"/>
  <c r="L5" i="10"/>
  <c r="K5" i="10"/>
  <c r="N5" i="10" s="1" a="1"/>
  <c r="N5" i="10" s="1"/>
  <c r="L4" i="10"/>
  <c r="K4" i="10"/>
  <c r="N4" i="10" s="1" a="1"/>
  <c r="N4" i="10" s="1"/>
  <c r="L3" i="10"/>
  <c r="K3" i="10"/>
  <c r="N3" i="10" s="1" a="1"/>
  <c r="N3" i="10" s="1"/>
  <c r="L2" i="10"/>
  <c r="K2" i="10"/>
  <c r="M14" i="9"/>
  <c r="L14" i="9"/>
  <c r="L2" i="9"/>
  <c r="L3" i="9"/>
  <c r="L4" i="9"/>
  <c r="L5" i="9"/>
  <c r="L6" i="9"/>
  <c r="L7" i="9"/>
  <c r="L8" i="9"/>
  <c r="L9" i="9"/>
  <c r="L10" i="9"/>
  <c r="L11" i="9"/>
  <c r="L12" i="9"/>
  <c r="L13" i="9"/>
  <c r="K14" i="9"/>
  <c r="K2" i="9"/>
  <c r="K3" i="9"/>
  <c r="K4" i="9"/>
  <c r="K5" i="9"/>
  <c r="K6" i="9"/>
  <c r="K7" i="9"/>
  <c r="K8" i="9"/>
  <c r="K9" i="9"/>
  <c r="K10" i="9"/>
  <c r="K11" i="9"/>
  <c r="K12" i="9"/>
  <c r="K13" i="9"/>
  <c r="F8" i="9"/>
  <c r="D8" i="9"/>
  <c r="C8" i="9"/>
  <c r="H8" i="9"/>
  <c r="D6" i="8" l="1"/>
  <c r="D5" i="8"/>
  <c r="M2" i="11" a="1"/>
  <c r="M2" i="11" s="1"/>
  <c r="M4" i="11" a="1"/>
  <c r="M4" i="11" s="1"/>
  <c r="M6" i="11" a="1"/>
  <c r="M6" i="11" s="1"/>
  <c r="M11" i="11" a="1"/>
  <c r="M11" i="11" s="1"/>
  <c r="N11" i="11" s="1" a="1"/>
  <c r="N11" i="11" s="1"/>
  <c r="L14" i="11"/>
  <c r="M10" i="11" a="1"/>
  <c r="M10" i="11" s="1"/>
  <c r="N10" i="11" s="1" a="1"/>
  <c r="N10" i="11" s="1"/>
  <c r="M9" i="11" a="1"/>
  <c r="M9" i="11" s="1"/>
  <c r="M13" i="11" a="1"/>
  <c r="M13" i="11" s="1"/>
  <c r="M14" i="11"/>
  <c r="K14" i="11"/>
  <c r="N2" i="11" a="1"/>
  <c r="N2" i="11" s="1"/>
  <c r="N4" i="11" a="1"/>
  <c r="N4" i="11" s="1"/>
  <c r="N6" i="11" a="1"/>
  <c r="N6" i="11" s="1"/>
  <c r="M4" i="10" a="1"/>
  <c r="M4" i="10" s="1"/>
  <c r="K14" i="10"/>
  <c r="M8" i="10" a="1"/>
  <c r="M8" i="10" s="1"/>
  <c r="M3" i="10" a="1"/>
  <c r="M3" i="10" s="1"/>
  <c r="M7" i="10" a="1"/>
  <c r="M7" i="10" s="1"/>
  <c r="M11" i="10" a="1"/>
  <c r="M11" i="10" s="1"/>
  <c r="N11" i="10" s="1" a="1"/>
  <c r="N11" i="10" s="1"/>
  <c r="M10" i="10" a="1"/>
  <c r="M10" i="10" s="1"/>
  <c r="N10" i="10" s="1" a="1"/>
  <c r="N10" i="10" s="1"/>
  <c r="N12" i="10" a="1"/>
  <c r="N12" i="10" s="1"/>
  <c r="M6" i="10" a="1"/>
  <c r="M6" i="10" s="1"/>
  <c r="M2" i="10" a="1"/>
  <c r="M2" i="10" s="1"/>
  <c r="M5" i="10" a="1"/>
  <c r="M5" i="10" s="1"/>
  <c r="M9" i="10" a="1"/>
  <c r="M9" i="10" s="1"/>
  <c r="M13" i="10" a="1"/>
  <c r="M13" i="10" s="1"/>
  <c r="N2" i="10" a="1"/>
  <c r="N2" i="10" s="1"/>
  <c r="L14" i="10"/>
  <c r="M3" i="9" a="1"/>
  <c r="M3" i="9" s="1"/>
  <c r="N3" i="9" s="1" a="1"/>
  <c r="N3" i="9" s="1"/>
  <c r="M5" i="9" a="1"/>
  <c r="M5" i="9" s="1"/>
  <c r="N5" i="9" s="1" a="1"/>
  <c r="N5" i="9" s="1"/>
  <c r="M4" i="9" a="1"/>
  <c r="M4" i="9" s="1"/>
  <c r="N4" i="9" s="1" a="1"/>
  <c r="N4" i="9" s="1"/>
  <c r="N13" i="9" a="1"/>
  <c r="N13" i="9" s="1"/>
  <c r="M8" i="9" a="1"/>
  <c r="M8" i="9" s="1"/>
  <c r="N8" i="9" s="1" a="1"/>
  <c r="N8" i="9" s="1"/>
  <c r="N9" i="9" a="1"/>
  <c r="N9" i="9" s="1"/>
  <c r="M7" i="9" a="1"/>
  <c r="M7" i="9" s="1"/>
  <c r="N7" i="9" s="1" a="1"/>
  <c r="N7" i="9" s="1"/>
  <c r="M11" i="9" a="1"/>
  <c r="M11" i="9" s="1"/>
  <c r="N11" i="9" s="1" a="1"/>
  <c r="N11" i="9" s="1"/>
  <c r="M2" i="9" a="1"/>
  <c r="M2" i="9" s="1"/>
  <c r="N2" i="9" s="1" a="1"/>
  <c r="N2" i="9" s="1"/>
  <c r="M14" i="10" l="1"/>
  <c r="M9" i="9" a="1"/>
  <c r="M9" i="9" s="1"/>
  <c r="M10" i="9" a="1"/>
  <c r="M10" i="9" s="1"/>
  <c r="N10" i="9" s="1" a="1"/>
  <c r="N10" i="9" s="1"/>
  <c r="M12" i="9" a="1"/>
  <c r="M12" i="9" s="1"/>
  <c r="N12" i="9" s="1" a="1"/>
  <c r="N12" i="9" s="1"/>
  <c r="M13" i="9" a="1"/>
  <c r="M13" i="9" s="1"/>
  <c r="M6" i="9" a="1"/>
  <c r="M6" i="9" s="1"/>
  <c r="N6" i="9" s="1" a="1"/>
  <c r="N6" i="9" s="1"/>
  <c r="E6" i="8"/>
  <c r="D4" i="8"/>
  <c r="E5" i="8" l="1"/>
  <c r="E4" i="8"/>
</calcChain>
</file>

<file path=xl/sharedStrings.xml><?xml version="1.0" encoding="utf-8"?>
<sst xmlns="http://schemas.openxmlformats.org/spreadsheetml/2006/main" count="82" uniqueCount="35">
  <si>
    <t>Mois</t>
  </si>
  <si>
    <t>Investissement</t>
  </si>
  <si>
    <t>Frais Fixes</t>
  </si>
  <si>
    <t>Loyer à Payer</t>
  </si>
  <si>
    <t>Annuel</t>
  </si>
  <si>
    <t>Mensuel</t>
  </si>
  <si>
    <t>RBNB</t>
  </si>
  <si>
    <t>Trip</t>
  </si>
  <si>
    <t>Loc</t>
  </si>
  <si>
    <t>Proprio    Monica</t>
  </si>
  <si>
    <t xml:space="preserve">Genre de Loc </t>
  </si>
  <si>
    <t>Frais Fixe</t>
  </si>
  <si>
    <t>EAU</t>
  </si>
  <si>
    <t>EDP</t>
  </si>
  <si>
    <t>GAZ</t>
  </si>
  <si>
    <t>AUTRE</t>
  </si>
  <si>
    <t>SITE</t>
  </si>
  <si>
    <t>Tarif</t>
  </si>
  <si>
    <t>Dépense</t>
  </si>
  <si>
    <t>Rentrée</t>
  </si>
  <si>
    <t>Bénéfice</t>
  </si>
  <si>
    <t>Proprio</t>
  </si>
  <si>
    <t>Bénéfices</t>
  </si>
  <si>
    <t>Marge %</t>
  </si>
  <si>
    <t>Monica</t>
  </si>
  <si>
    <t>La Plage</t>
  </si>
  <si>
    <t>Olho Marinho</t>
  </si>
  <si>
    <t>Tableau de Bord</t>
  </si>
  <si>
    <r>
      <t xml:space="preserve">Choisir un Mois  </t>
    </r>
    <r>
      <rPr>
        <b/>
        <sz val="11"/>
        <color rgb="FFFF0000"/>
        <rFont val="Calibri"/>
        <family val="2"/>
        <scheme val="minor"/>
      </rPr>
      <t>&gt;&gt;</t>
    </r>
  </si>
  <si>
    <t>Mt Frais fixes</t>
  </si>
  <si>
    <t>Mt Invest</t>
  </si>
  <si>
    <t>Total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</si>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</sst>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6" formatCode="mmmm"/>
    <numFmt numFmtId="169" formatCode="#,##0.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B3"/>
        <bgColor indexed="64"/>
      </patternFill>
    </fill>
    <fill>
      <patternFill patternType="solid">
        <fgColor theme="7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44" fontId="0" fillId="0" borderId="1" xfId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/>
    <xf numFmtId="0" fontId="0" fillId="4" borderId="0" xfId="0" applyFill="1" applyProtection="1">
      <protection locked="0"/>
    </xf>
    <xf numFmtId="0" fontId="0" fillId="5" borderId="0" xfId="0" applyFill="1" applyProtection="1">
      <protection locked="0"/>
    </xf>
    <xf numFmtId="44" fontId="0" fillId="0" borderId="0" xfId="1" applyFont="1" applyProtection="1">
      <protection locked="0"/>
    </xf>
    <xf numFmtId="9" fontId="0" fillId="0" borderId="0" xfId="2" applyFont="1" applyProtection="1">
      <protection locked="0"/>
    </xf>
    <xf numFmtId="44" fontId="0" fillId="0" borderId="0" xfId="0" applyNumberFormat="1" applyProtection="1">
      <protection locked="0"/>
    </xf>
    <xf numFmtId="0" fontId="2" fillId="7" borderId="1" xfId="0" applyFont="1" applyFill="1" applyBorder="1"/>
    <xf numFmtId="44" fontId="4" fillId="3" borderId="9" xfId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0" fillId="0" borderId="6" xfId="0" applyBorder="1"/>
    <xf numFmtId="166" fontId="0" fillId="0" borderId="1" xfId="0" applyNumberFormat="1" applyFont="1" applyBorder="1" applyAlignment="1" applyProtection="1">
      <alignment horizontal="right" indent="1"/>
      <protection locked="0"/>
    </xf>
    <xf numFmtId="0" fontId="2" fillId="8" borderId="1" xfId="0" applyFont="1" applyFill="1" applyBorder="1" applyAlignment="1" applyProtection="1">
      <alignment horizontal="right" indent="1"/>
      <protection locked="0"/>
    </xf>
    <xf numFmtId="0" fontId="2" fillId="8" borderId="1" xfId="0" applyFont="1" applyFill="1" applyBorder="1" applyProtection="1">
      <protection locked="0"/>
    </xf>
    <xf numFmtId="0" fontId="2" fillId="8" borderId="1" xfId="0" applyFont="1" applyFill="1" applyBorder="1" applyAlignment="1" applyProtection="1">
      <alignment horizontal="center"/>
      <protection locked="0"/>
    </xf>
    <xf numFmtId="44" fontId="2" fillId="8" borderId="1" xfId="0" applyNumberFormat="1" applyFont="1" applyFill="1" applyBorder="1" applyProtection="1">
      <protection locked="0"/>
    </xf>
    <xf numFmtId="164" fontId="2" fillId="8" borderId="1" xfId="0" applyNumberFormat="1" applyFont="1" applyFill="1" applyBorder="1" applyProtection="1"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9" fontId="3" fillId="3" borderId="7" xfId="2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right" vertical="center" indent="1"/>
      <protection locked="0"/>
    </xf>
    <xf numFmtId="44" fontId="3" fillId="4" borderId="9" xfId="0" applyNumberFormat="1" applyFont="1" applyFill="1" applyBorder="1" applyAlignment="1" applyProtection="1">
      <alignment horizontal="center" vertical="center"/>
      <protection locked="0"/>
    </xf>
    <xf numFmtId="0" fontId="3" fillId="4" borderId="7" xfId="0" applyNumberFormat="1" applyFont="1" applyFill="1" applyBorder="1" applyAlignment="1" applyProtection="1">
      <alignment horizontal="center" vertical="center"/>
      <protection locked="0"/>
    </xf>
    <xf numFmtId="166" fontId="9" fillId="4" borderId="3" xfId="0" applyNumberFormat="1" applyFont="1" applyFill="1" applyBorder="1" applyAlignment="1" applyProtection="1">
      <alignment horizontal="center" vertical="center"/>
      <protection locked="0"/>
    </xf>
    <xf numFmtId="44" fontId="9" fillId="4" borderId="1" xfId="1" applyFont="1" applyFill="1" applyBorder="1" applyAlignment="1" applyProtection="1">
      <alignment horizontal="center" vertical="center"/>
      <protection locked="0"/>
    </xf>
    <xf numFmtId="9" fontId="9" fillId="4" borderId="2" xfId="2" applyFont="1" applyFill="1" applyBorder="1" applyAlignment="1" applyProtection="1">
      <alignment horizontal="center" vertical="center"/>
      <protection locked="0"/>
    </xf>
    <xf numFmtId="166" fontId="9" fillId="4" borderId="3" xfId="0" applyNumberFormat="1" applyFont="1" applyFill="1" applyBorder="1" applyAlignment="1" applyProtection="1">
      <alignment horizontal="right" vertical="center" indent="1"/>
      <protection locked="0"/>
    </xf>
    <xf numFmtId="166" fontId="9" fillId="4" borderId="10" xfId="0" applyNumberFormat="1" applyFont="1" applyFill="1" applyBorder="1" applyAlignment="1" applyProtection="1">
      <alignment horizontal="right" vertical="center" indent="1"/>
      <protection locked="0"/>
    </xf>
    <xf numFmtId="44" fontId="9" fillId="4" borderId="4" xfId="1" applyFont="1" applyFill="1" applyBorder="1" applyAlignment="1" applyProtection="1">
      <alignment horizontal="center" vertical="center"/>
      <protection locked="0"/>
    </xf>
    <xf numFmtId="9" fontId="9" fillId="4" borderId="6" xfId="2" applyFont="1" applyFill="1" applyBorder="1" applyAlignment="1" applyProtection="1">
      <alignment horizontal="center" vertical="center"/>
      <protection locked="0"/>
    </xf>
    <xf numFmtId="164" fontId="9" fillId="4" borderId="1" xfId="1" applyNumberFormat="1" applyFont="1" applyFill="1" applyBorder="1" applyAlignment="1" applyProtection="1">
      <alignment horizontal="right" vertical="center" indent="1"/>
      <protection locked="0"/>
    </xf>
    <xf numFmtId="164" fontId="9" fillId="4" borderId="4" xfId="1" applyNumberFormat="1" applyFont="1" applyFill="1" applyBorder="1" applyAlignment="1" applyProtection="1">
      <alignment horizontal="right" vertical="center" indent="1"/>
      <protection locked="0"/>
    </xf>
    <xf numFmtId="164" fontId="3" fillId="4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0" fillId="2" borderId="14" xfId="0" applyFill="1" applyBorder="1" applyAlignment="1">
      <alignment horizontal="left" indent="1"/>
    </xf>
    <xf numFmtId="0" fontId="0" fillId="4" borderId="15" xfId="0" applyFill="1" applyBorder="1" applyAlignment="1">
      <alignment horizontal="left" indent="1"/>
    </xf>
    <xf numFmtId="0" fontId="0" fillId="4" borderId="13" xfId="0" applyFill="1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2" fillId="2" borderId="14" xfId="0" applyFont="1" applyFill="1" applyBorder="1" applyAlignment="1">
      <alignment horizontal="left" indent="1"/>
    </xf>
    <xf numFmtId="166" fontId="0" fillId="0" borderId="15" xfId="0" applyNumberFormat="1" applyBorder="1" applyAlignment="1">
      <alignment horizontal="left" indent="1"/>
    </xf>
    <xf numFmtId="166" fontId="0" fillId="0" borderId="13" xfId="0" applyNumberFormat="1" applyBorder="1" applyAlignment="1">
      <alignment horizontal="left" indent="1"/>
    </xf>
    <xf numFmtId="166" fontId="6" fillId="7" borderId="1" xfId="0" applyNumberFormat="1" applyFont="1" applyFill="1" applyBorder="1" applyAlignment="1">
      <alignment horizontal="left" indent="1"/>
    </xf>
    <xf numFmtId="0" fontId="0" fillId="0" borderId="2" xfId="0" applyBorder="1"/>
    <xf numFmtId="0" fontId="2" fillId="6" borderId="5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0" borderId="10" xfId="0" applyBorder="1" applyAlignment="1">
      <alignment horizontal="left" indent="1"/>
    </xf>
    <xf numFmtId="44" fontId="8" fillId="0" borderId="1" xfId="1" applyFont="1" applyBorder="1" applyAlignment="1">
      <alignment horizontal="right" indent="1"/>
    </xf>
    <xf numFmtId="44" fontId="0" fillId="0" borderId="1" xfId="1" applyFont="1" applyBorder="1" applyAlignment="1">
      <alignment horizontal="right" indent="1"/>
    </xf>
    <xf numFmtId="44" fontId="0" fillId="0" borderId="4" xfId="1" applyFont="1" applyBorder="1" applyAlignment="1">
      <alignment horizontal="right" indent="1"/>
    </xf>
    <xf numFmtId="44" fontId="0" fillId="0" borderId="4" xfId="0" applyNumberFormat="1" applyBorder="1" applyAlignment="1">
      <alignment horizontal="right" indent="1"/>
    </xf>
    <xf numFmtId="169" fontId="0" fillId="0" borderId="1" xfId="2" applyNumberFormat="1" applyFont="1" applyBorder="1" applyAlignment="1">
      <alignment horizontal="right" indent="1"/>
    </xf>
    <xf numFmtId="169" fontId="0" fillId="0" borderId="4" xfId="2" applyNumberFormat="1" applyFont="1" applyBorder="1" applyAlignment="1">
      <alignment horizontal="right" indent="1"/>
    </xf>
  </cellXfs>
  <cellStyles count="3">
    <cellStyle name="Monétaire" xfId="1" builtinId="4"/>
    <cellStyle name="Normal" xfId="0" builtinId="0"/>
    <cellStyle name="Pourcentage" xfId="2" builtinId="5"/>
  </cellStyles>
  <dxfs count="1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#,##0.00%"/>
      <alignment horizontal="right" vertical="bottom" textRotation="0" wrapText="0" relative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166" formatCode="mmmm"/>
      <alignment horizontal="left" vertical="bottom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relativeIndent="1" justifyLastLine="0" shrinkToFit="0" readingOrder="0"/>
    </dxf>
    <dxf>
      <fill>
        <patternFill patternType="solid">
          <fgColor indexed="64"/>
          <bgColor rgb="FFFFFF00"/>
        </patternFill>
      </fill>
      <alignment horizontal="left" vertical="bottom" textRotation="0" wrapText="0" relativeIndent="1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bottom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mmmm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mm"/>
      <alignment horizontal="right" vertical="bottom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BF8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mmmm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mm"/>
      <alignment horizontal="right" vertical="bottom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BF8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mmmm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</font>
      <fill>
        <patternFill patternType="solid">
          <fgColor indexed="64"/>
          <bgColor theme="7" tint="-0.24997711111789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</font>
      <fill>
        <patternFill patternType="solid">
          <fgColor indexed="64"/>
          <bgColor theme="7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bottom" textRotation="0" wrapText="0" relative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mm"/>
      <alignment horizontal="right" vertical="bottom" textRotation="0" wrapText="0" relative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2B3"/>
      <color rgb="FFBBE3C5"/>
      <color rgb="FFFFF9D9"/>
      <color rgb="FFFCBCBE"/>
      <color rgb="FF8FD1A0"/>
      <color rgb="FFFFC1C1"/>
      <color rgb="FFFF8B8B"/>
      <color rgb="FFEAF648"/>
      <color rgb="FFFFDE75"/>
      <color rgb="FFFFEC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FE8034E-AADB-4BD9-92E9-0B8B0053AD83}" name="t_Loc" displayName="t_Loc" ref="B2:B10" totalsRowShown="0" headerRowDxfId="28" dataDxfId="27" headerRowBorderDxfId="31" tableBorderDxfId="32" totalsRowBorderDxfId="30">
  <autoFilter ref="B2:B10" xr:uid="{8FE8034E-AADB-4BD9-92E9-0B8B0053AD83}">
    <filterColumn colId="0" hiddenButton="1"/>
  </autoFilter>
  <tableColumns count="1">
    <tableColumn id="1" xr3:uid="{5FB538CD-93FE-41CF-8B3B-22B5CA738325}" name="Loc" dataDxfId="2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0456CFA-4A62-4A45-A8C2-42303EB01F6E}" name="t_FraisFixe" displayName="t_FraisFixe" ref="D2:D7" totalsRowShown="0" headerRowDxfId="21" dataDxfId="22" headerRowBorderDxfId="25" tableBorderDxfId="26" totalsRowBorderDxfId="24">
  <autoFilter ref="D2:D7" xr:uid="{30456CFA-4A62-4A45-A8C2-42303EB01F6E}">
    <filterColumn colId="0" hiddenButton="1"/>
  </autoFilter>
  <tableColumns count="1">
    <tableColumn id="1" xr3:uid="{5C9D72F0-0C8E-4C1E-8CBC-88CDF4760662}" name="Frais Fixe" dataDxfId="2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DAC00E6-206D-45E7-8A45-23A9A9B4D9EB}" name="t_Mois" displayName="t_Mois" ref="F2:F14" totalsRowShown="0" headerRowDxfId="15" dataDxfId="16" headerRowBorderDxfId="19" tableBorderDxfId="20" totalsRowBorderDxfId="18">
  <autoFilter ref="F2:F14" xr:uid="{7DAC00E6-206D-45E7-8A45-23A9A9B4D9EB}">
    <filterColumn colId="0" hiddenButton="1"/>
  </autoFilter>
  <tableColumns count="1">
    <tableColumn id="1" xr3:uid="{EB97C3D5-0279-4A12-8D53-2FFCB89F23B8}" name="Mois" dataDxfId="1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BB18831-ACA9-489C-87DB-7E785ED7974B}" name="Tableau10" displayName="Tableau10" ref="A3:H6" totalsRowShown="0" headerRowDxfId="9" headerRowBorderDxfId="13" tableBorderDxfId="14" totalsRowBorderDxfId="12">
  <autoFilter ref="A3:H6" xr:uid="{8BB18831-ACA9-489C-87DB-7E785ED7974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60ECB78-AA55-44C8-ACDA-3EC78A323055}" name="Proprio" dataDxfId="5"/>
    <tableColumn id="2" xr3:uid="{E01DD10C-BC08-4CCE-8A5D-169793858454}" name="Dépense" dataDxfId="4"/>
    <tableColumn id="3" xr3:uid="{799FFB8B-91B6-4F47-86E1-F3545D08011F}" name="Rentrée" dataDxfId="3"/>
    <tableColumn id="4" xr3:uid="{60D2C342-E601-47EA-89F0-12DA7C8B0A56}" name="Bénéfices" dataDxfId="2">
      <calculatedColumnFormula>C4-B4</calculatedColumnFormula>
    </tableColumn>
    <tableColumn id="5" xr3:uid="{3474EC68-DF69-41EC-A507-649DB7FE1836}" name="Marge %" dataDxfId="0" dataCellStyle="Pourcentage">
      <calculatedColumnFormula>IF(B4=0, 0, D4/B4)</calculatedColumnFormula>
    </tableColumn>
    <tableColumn id="6" xr3:uid="{8FCAC1EA-05C1-4242-9E3D-B1D494B1CEE4}" name="Colonne1" dataDxfId="1"/>
    <tableColumn id="7" xr3:uid="{ABF1DBAC-EA14-40BE-BE19-D4063B357358}" name="Colonne2" dataDxfId="11"/>
    <tableColumn id="8" xr3:uid="{BB7D522D-3ED9-4DE5-9676-51A617D41ECA}" name="Colonne3" dataDxfId="1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3199E5-B037-41E3-BFF5-5A28B8E0FB07}" name="t_Monica" displayName="t_Monica" ref="A1:H8" totalsRowCount="1" headerRowDxfId="127" totalsRowDxfId="113" tableBorderDxfId="128">
  <autoFilter ref="A1:H7" xr:uid="{6B3199E5-B037-41E3-BFF5-5A28B8E0FB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5FB471A-C964-4740-8D24-9F2485211DCD}" name="Proprio    Monica" totalsRowLabel="Total" dataDxfId="126" totalsRowDxfId="118"/>
    <tableColumn id="2" xr3:uid="{3A07C611-F310-48C0-BB9B-0AC5F459811D}" name="Investissement" dataDxfId="125" totalsRowDxfId="117"/>
    <tableColumn id="3" xr3:uid="{9B21DC7A-5E12-4FBB-A507-4A116A250C50}" name="Mt Invest" totalsRowFunction="sum" dataDxfId="124" totalsRowDxfId="112" dataCellStyle="Monétaire"/>
    <tableColumn id="4" xr3:uid="{B08ED4E8-F640-4300-996D-B2C2E836732E}" name="Loyer à Payer" totalsRowFunction="sum" dataDxfId="123" totalsRowDxfId="111" dataCellStyle="Monétaire"/>
    <tableColumn id="5" xr3:uid="{5CB34902-DD12-46DE-802A-72C9554A1FAC}" name="Frais Fixes" dataDxfId="122" totalsRowDxfId="116"/>
    <tableColumn id="6" xr3:uid="{F9480E22-3264-4143-A085-1E9F0191EFA1}" name="Mt Frais fixes" totalsRowFunction="sum" dataDxfId="121" totalsRowDxfId="110"/>
    <tableColumn id="7" xr3:uid="{B9C5C895-EE92-430C-B434-86D19794F272}" name="Genre de Loc " dataDxfId="120" totalsRowDxfId="115"/>
    <tableColumn id="8" xr3:uid="{CB4DFB15-B0E3-42ED-94B0-B881C633987D}" name="Tarif" totalsRowFunction="sum" dataDxfId="119" totalsRowDxfId="114" dataCellStyle="Monétaire" totalsRowCellStyle="Monétaire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FAA1F1-3B05-4406-94EC-F447033C4675}" name="Recap_Monica" displayName="Recap_Monica" ref="J1:N14" totalsRowCount="1" headerRowDxfId="108" dataDxfId="105" tableBorderDxfId="109" headerRowCellStyle="Monétaire" dataCellStyle="Monétaire">
  <autoFilter ref="J1:N13" xr:uid="{B1FAA1F1-3B05-4406-94EC-F447033C467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4BBCDEF-BBC4-4BE3-A921-701C7B310D36}" name="Mois" totalsRowLabel="Total" dataDxfId="104" totalsRowDxfId="102"/>
    <tableColumn id="2" xr3:uid="{E41F3842-2ADF-4582-9AB0-C3FC351BF25F}" name="Dépense" totalsRowFunction="sum" dataDxfId="103" totalsRowDxfId="101" dataCellStyle="Monétaire">
      <calculatedColumnFormula>SUMIF(t_Monica[Proprio    Monica],Recap_Monica[[#This Row],[Mois]],t_Monica[Mt Invest])+SUMIF(t_Monica[Proprio    Monica],Recap_Monica[[#This Row],[Mois]],t_Monica[Loyer à Payer])+SUMIF(t_Monica[Proprio    Monica],Recap_Monica[[#This Row],[Mois]],t_Monica[Mt Frais fixes])</calculatedColumnFormula>
    </tableColumn>
    <tableColumn id="3" xr3:uid="{58DA047A-B976-493D-82A9-A4423FF78AF2}" name="Rentrée" totalsRowFunction="sum" dataDxfId="100" totalsRowDxfId="99" dataCellStyle="Monétaire">
      <calculatedColumnFormula>SUMIF(t_Monica[Proprio    Monica],Recap_Monica[[#This Row],[Mois]],t_Monica[Tarif])</calculatedColumnFormula>
    </tableColumn>
    <tableColumn id="4" xr3:uid="{7FF3C292-9F5D-49DE-8276-56F29428D9F9}" name="Bénéfice" totalsRowFunction="sum" dataDxfId="107" totalsRowDxfId="98" dataCellStyle="Monétaire">
      <calculatedColumnFormula array="1">IF(J2="", "", L2-K2)</calculatedColumnFormula>
    </tableColumn>
    <tableColumn id="5" xr3:uid="{95D17965-355D-4F49-944E-634B11A6CE76}" name="Marge %" dataDxfId="106" totalsRowDxfId="97" dataCellStyle="Pourcentage">
      <calculatedColumnFormula array="1">IF(J2="", "", IF(K2=0, 0, M2/K2))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F2AC06-01BB-4D1A-8D13-9069E67C8B34}" name="t_LaPlage" displayName="t_LaPlage" ref="A1:H6" totalsRowCount="1" headerRowDxfId="96" totalsRowDxfId="95" tableBorderDxfId="94">
  <autoFilter ref="A1:H5" xr:uid="{6B3199E5-B037-41E3-BFF5-5A28B8E0FB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BE63520-63A3-4D8D-9171-94B29FF16EC1}" name="Proprio    Monica" totalsRowLabel="Total" dataDxfId="93" totalsRowDxfId="72"/>
    <tableColumn id="2" xr3:uid="{ED34A96C-71C3-4ED1-A9B8-54E3EB8275C2}" name="Investissement" dataDxfId="92" totalsRowDxfId="71"/>
    <tableColumn id="3" xr3:uid="{ADD1FEE6-8833-47B7-A0B6-9B7E3D2D66AB}" name="Mt Invest" totalsRowFunction="sum" dataDxfId="91" totalsRowDxfId="70" dataCellStyle="Monétaire"/>
    <tableColumn id="4" xr3:uid="{1B03D7FD-133E-4F00-A34A-76E99A207F10}" name="Loyer à Payer" totalsRowFunction="sum" dataDxfId="90" totalsRowDxfId="69" dataCellStyle="Monétaire"/>
    <tableColumn id="5" xr3:uid="{EAB7225E-C510-4F92-A758-EC13ECFB94BF}" name="Frais Fixes" dataDxfId="89" totalsRowDxfId="68"/>
    <tableColumn id="6" xr3:uid="{1D79DDE1-CF79-4211-A1F7-135BDB55EA0C}" name="Mt Frais fixes" totalsRowFunction="sum" dataDxfId="88" totalsRowDxfId="67"/>
    <tableColumn id="7" xr3:uid="{047F55F9-7F56-4E04-ABC9-5A5718B45739}" name="Genre de Loc " dataDxfId="87" totalsRowDxfId="66"/>
    <tableColumn id="8" xr3:uid="{CECE1A5A-6AB6-4687-A5EA-8AA90A8A8D11}" name="Tarif" totalsRowFunction="sum" dataDxfId="86" totalsRowDxfId="65" dataCellStyle="Monétaire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8B63B0F-CFAB-4664-B0CF-FC2A4EE8FF3D}" name="Recap_LaPlage" displayName="Recap_LaPlage" ref="J1:N14" totalsRowCount="1" headerRowDxfId="85" dataDxfId="84" tableBorderDxfId="83" headerRowCellStyle="Monétaire" dataCellStyle="Monétaire">
  <autoFilter ref="J1:N13" xr:uid="{B1FAA1F1-3B05-4406-94EC-F447033C467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F708130-5557-450C-8A5F-B999BA610158}" name="Mois" totalsRowLabel="Total" dataDxfId="81" totalsRowDxfId="82"/>
    <tableColumn id="2" xr3:uid="{E39BB670-03C5-410E-B69F-2661402CE8C1}" name="Dépense" totalsRowFunction="sum" dataDxfId="79" totalsRowDxfId="80" dataCellStyle="Monétaire">
      <calculatedColumnFormula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calculatedColumnFormula>
    </tableColumn>
    <tableColumn id="3" xr3:uid="{526AC45C-7427-4366-8CA8-D2E213C09194}" name="Rentrée" totalsRowFunction="sum" dataDxfId="77" totalsRowDxfId="78" dataCellStyle="Monétaire">
      <calculatedColumnFormula>SUMIF(t_LaPlage[Proprio    Monica],Recap_LaPlage[[#This Row],[Mois]],t_LaPlage[Tarif])</calculatedColumnFormula>
    </tableColumn>
    <tableColumn id="4" xr3:uid="{18CEB492-589F-448D-8284-6A940D548C44}" name="Bénéfice" totalsRowFunction="sum" dataDxfId="75" totalsRowDxfId="76" dataCellStyle="Monétaire">
      <calculatedColumnFormula array="1">IF(J2="", "", L2-K2)</calculatedColumnFormula>
    </tableColumn>
    <tableColumn id="5" xr3:uid="{12214253-05C7-4308-A06D-D2E44F667661}" name="Marge %" dataDxfId="73" totalsRowDxfId="74" dataCellStyle="Pourcentage">
      <calculatedColumnFormula array="1">IF(J2="", "", IF(K2=0, 0, M2/K2))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5DC9B51-821E-4EAF-A455-B1CF049642EA}" name="t_Olho_Marinho" displayName="t_Olho_Marinho" ref="A1:H6" totalsRowCount="1" headerRowDxfId="64" totalsRowDxfId="63" tableBorderDxfId="62">
  <autoFilter ref="A1:H5" xr:uid="{6B3199E5-B037-41E3-BFF5-5A28B8E0FB0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64B22D6-2DFC-4E7C-AC09-8DAE18D3DA70}" name="Proprio    Monica" totalsRowLabel="Total" dataDxfId="61" totalsRowDxfId="40"/>
    <tableColumn id="2" xr3:uid="{F1F4F222-612D-421F-8640-8BF63EC24691}" name="Investissement" dataDxfId="60" totalsRowDxfId="39"/>
    <tableColumn id="3" xr3:uid="{BEF381F0-C321-456A-97D5-B5A3895C2A34}" name="Mt Invest" totalsRowFunction="sum" dataDxfId="59" totalsRowDxfId="38" dataCellStyle="Monétaire"/>
    <tableColumn id="4" xr3:uid="{6711F1DC-96A2-4D0A-ABD8-3A23CE4BD229}" name="Loyer à Payer" totalsRowFunction="sum" dataDxfId="58" totalsRowDxfId="37" dataCellStyle="Monétaire"/>
    <tableColumn id="5" xr3:uid="{2AB5BE16-4B06-4EB0-950E-6E4EF6975265}" name="Frais Fixes" dataDxfId="57" totalsRowDxfId="36"/>
    <tableColumn id="6" xr3:uid="{F919D608-70D2-412E-AC4E-7DDA5E7A2954}" name="Mt Frais fixes" totalsRowFunction="sum" dataDxfId="56" totalsRowDxfId="35"/>
    <tableColumn id="7" xr3:uid="{8B4341AA-DA5E-47E7-A137-8AE1B5232D6F}" name="Genre de Loc " dataDxfId="55" totalsRowDxfId="34"/>
    <tableColumn id="8" xr3:uid="{D00E40B8-8B27-4ED1-BF28-BEDB175F6415}" name="Tarif" totalsRowFunction="sum" dataDxfId="54" totalsRowDxfId="33" dataCellStyle="Monétaire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12A56DB-6E62-446E-B63B-A7304532675B}" name="Recap_Olho_Marinho" displayName="Recap_Olho_Marinho" ref="J1:N14" totalsRowCount="1" headerRowDxfId="53" dataDxfId="52" tableBorderDxfId="51" headerRowCellStyle="Monétaire" dataCellStyle="Monétaire">
  <autoFilter ref="J1:N13" xr:uid="{B1FAA1F1-3B05-4406-94EC-F447033C467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6791ABB-5854-4894-A575-7A2DB9A5B29B}" name="Mois" totalsRowLabel="Total" dataDxfId="49" totalsRowDxfId="50"/>
    <tableColumn id="2" xr3:uid="{565C0088-1E3F-41D4-9C5A-48B56ACCC48E}" name="Dépense" totalsRowFunction="sum" dataDxfId="47" totalsRowDxfId="48" dataCellStyle="Monétaire">
      <calculatedColumnFormula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calculatedColumnFormula>
    </tableColumn>
    <tableColumn id="3" xr3:uid="{0A8FE46A-2553-40BF-AA1E-5BAE127444F0}" name="Rentrée" totalsRowFunction="sum" dataDxfId="45" totalsRowDxfId="46" dataCellStyle="Monétaire">
      <calculatedColumnFormula>SUMIF(t_Olho_Marinho[Proprio    Monica],Recap_Olho_Marinho[[#This Row],[Mois]],t_Olho_Marinho[Tarif])</calculatedColumnFormula>
    </tableColumn>
    <tableColumn id="4" xr3:uid="{23E0047C-D288-41E1-8EF9-966F9781F881}" name="Bénéfice" totalsRowFunction="sum" dataDxfId="43" totalsRowDxfId="44" dataCellStyle="Monétaire">
      <calculatedColumnFormula array="1">IF(J2="", "", L2-K2)</calculatedColumnFormula>
    </tableColumn>
    <tableColumn id="5" xr3:uid="{8B69D177-B504-494A-9E9A-3FCD3CD1D7BE}" name="Marge %" dataDxfId="41" totalsRowDxfId="42" dataCellStyle="Pourcentage">
      <calculatedColumnFormula array="1">IF(J2="", "", IF(K2=0, 0, M2/K2))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5B067-54D5-4079-8CE2-5B2EBDAC967E}">
  <sheetPr codeName="Feuil4">
    <tabColor rgb="FF00B6F6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0478-2358-49BD-AFC1-F61D0D980FD8}">
  <sheetPr codeName="Feuil5">
    <tabColor rgb="FFC00000"/>
  </sheetPr>
  <dimension ref="B2:F14"/>
  <sheetViews>
    <sheetView showGridLines="0" workbookViewId="0">
      <selection activeCell="H9" sqref="H9"/>
    </sheetView>
  </sheetViews>
  <sheetFormatPr baseColWidth="10" defaultRowHeight="14.4" x14ac:dyDescent="0.3"/>
  <cols>
    <col min="1" max="1" width="3.77734375" customWidth="1"/>
    <col min="3" max="3" width="3.77734375" customWidth="1"/>
    <col min="5" max="5" width="3.77734375" customWidth="1"/>
    <col min="6" max="6" width="12.33203125" bestFit="1" customWidth="1"/>
  </cols>
  <sheetData>
    <row r="2" spans="2:6" x14ac:dyDescent="0.3">
      <c r="B2" s="43" t="s">
        <v>8</v>
      </c>
      <c r="D2" s="48" t="s">
        <v>11</v>
      </c>
      <c r="F2" s="48" t="s">
        <v>0</v>
      </c>
    </row>
    <row r="3" spans="2:6" x14ac:dyDescent="0.3">
      <c r="B3" s="44" t="s">
        <v>4</v>
      </c>
      <c r="D3" s="46" t="s">
        <v>12</v>
      </c>
      <c r="F3" s="49">
        <v>45658</v>
      </c>
    </row>
    <row r="4" spans="2:6" x14ac:dyDescent="0.3">
      <c r="B4" s="44" t="s">
        <v>5</v>
      </c>
      <c r="D4" s="46" t="s">
        <v>13</v>
      </c>
      <c r="F4" s="49">
        <v>45689</v>
      </c>
    </row>
    <row r="5" spans="2:6" x14ac:dyDescent="0.3">
      <c r="B5" s="44" t="s">
        <v>6</v>
      </c>
      <c r="D5" s="46" t="s">
        <v>14</v>
      </c>
      <c r="F5" s="49">
        <v>45717</v>
      </c>
    </row>
    <row r="6" spans="2:6" x14ac:dyDescent="0.3">
      <c r="B6" s="44" t="s">
        <v>7</v>
      </c>
      <c r="D6" s="46" t="s">
        <v>16</v>
      </c>
      <c r="F6" s="49">
        <v>45748</v>
      </c>
    </row>
    <row r="7" spans="2:6" x14ac:dyDescent="0.3">
      <c r="B7" s="44">
        <v>1</v>
      </c>
      <c r="D7" s="47" t="s">
        <v>15</v>
      </c>
      <c r="F7" s="49">
        <v>45778</v>
      </c>
    </row>
    <row r="8" spans="2:6" x14ac:dyDescent="0.3">
      <c r="B8" s="44">
        <v>2</v>
      </c>
      <c r="F8" s="49">
        <v>45809</v>
      </c>
    </row>
    <row r="9" spans="2:6" x14ac:dyDescent="0.3">
      <c r="B9" s="44">
        <v>3</v>
      </c>
      <c r="F9" s="49">
        <v>45839</v>
      </c>
    </row>
    <row r="10" spans="2:6" x14ac:dyDescent="0.3">
      <c r="B10" s="45">
        <v>4</v>
      </c>
      <c r="F10" s="49">
        <v>45870</v>
      </c>
    </row>
    <row r="11" spans="2:6" x14ac:dyDescent="0.3">
      <c r="F11" s="49">
        <v>45901</v>
      </c>
    </row>
    <row r="12" spans="2:6" x14ac:dyDescent="0.3">
      <c r="F12" s="49">
        <v>45931</v>
      </c>
    </row>
    <row r="13" spans="2:6" x14ac:dyDescent="0.3">
      <c r="F13" s="49">
        <v>45962</v>
      </c>
    </row>
    <row r="14" spans="2:6" x14ac:dyDescent="0.3">
      <c r="F14" s="50">
        <v>45992</v>
      </c>
    </row>
  </sheetData>
  <phoneticPr fontId="5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C4E0B-CC77-41CD-8BDD-A1AA041015AE}">
  <sheetPr codeName="Feuil6">
    <tabColor rgb="FFFF0000"/>
  </sheetPr>
  <dimension ref="A1:H6"/>
  <sheetViews>
    <sheetView showGridLines="0" tabSelected="1" workbookViewId="0">
      <selection activeCell="E11" sqref="E11"/>
    </sheetView>
  </sheetViews>
  <sheetFormatPr baseColWidth="10" defaultRowHeight="14.4" x14ac:dyDescent="0.3"/>
  <cols>
    <col min="1" max="1" width="19.33203125" customWidth="1"/>
    <col min="3" max="4" width="12" bestFit="1" customWidth="1"/>
  </cols>
  <sheetData>
    <row r="1" spans="1:8" ht="15.6" x14ac:dyDescent="0.3">
      <c r="A1" s="14" t="s">
        <v>27</v>
      </c>
      <c r="B1" s="14"/>
      <c r="C1" s="14"/>
      <c r="D1" s="14"/>
      <c r="E1" s="14"/>
      <c r="F1" s="14"/>
      <c r="G1" s="14"/>
      <c r="H1" s="14"/>
    </row>
    <row r="2" spans="1:8" x14ac:dyDescent="0.3">
      <c r="A2" s="12" t="s">
        <v>28</v>
      </c>
      <c r="B2" s="51">
        <v>45931</v>
      </c>
      <c r="C2" s="6"/>
      <c r="D2" s="6"/>
      <c r="E2" s="6"/>
      <c r="F2" s="6"/>
      <c r="G2" s="6"/>
      <c r="H2" s="6"/>
    </row>
    <row r="3" spans="1:8" x14ac:dyDescent="0.3">
      <c r="A3" s="55" t="s">
        <v>21</v>
      </c>
      <c r="B3" s="53" t="s">
        <v>18</v>
      </c>
      <c r="C3" s="53" t="s">
        <v>19</v>
      </c>
      <c r="D3" s="53" t="s">
        <v>22</v>
      </c>
      <c r="E3" s="53" t="s">
        <v>23</v>
      </c>
      <c r="F3" s="53" t="s">
        <v>32</v>
      </c>
      <c r="G3" s="53" t="s">
        <v>33</v>
      </c>
      <c r="H3" s="54" t="s">
        <v>34</v>
      </c>
    </row>
    <row r="4" spans="1:8" x14ac:dyDescent="0.3">
      <c r="A4" s="56" t="s">
        <v>24</v>
      </c>
      <c r="B4" s="58">
        <f>SUMIFS(Recap_Monica[Dépense],Recap_Monica[Mois],TdB!$B$2)</f>
        <v>70</v>
      </c>
      <c r="C4" s="58">
        <f>SUMIFS(Recap_Monica[Rentrée],Recap_Monica[Mois],TdB!$B$2)</f>
        <v>1500</v>
      </c>
      <c r="D4" s="59">
        <f>C4-B4</f>
        <v>1430</v>
      </c>
      <c r="E4" s="62">
        <f>IF(B4=0, 0, D4/B4)</f>
        <v>20.428571428571427</v>
      </c>
      <c r="F4" s="6"/>
      <c r="G4" s="6"/>
      <c r="H4" s="52"/>
    </row>
    <row r="5" spans="1:8" x14ac:dyDescent="0.3">
      <c r="A5" s="56" t="s">
        <v>25</v>
      </c>
      <c r="B5" s="59">
        <f>SUMIFS(Recap_LaPlage[Dépense],Recap_LaPlage[Mois],TdB!$B$2)</f>
        <v>415</v>
      </c>
      <c r="C5" s="59">
        <f>SUMIFS(Recap_LaPlage[Rentrée],Recap_LaPlage[Mois],TdB!$B$2)</f>
        <v>300</v>
      </c>
      <c r="D5" s="59">
        <f>C5-B5</f>
        <v>-115</v>
      </c>
      <c r="E5" s="62">
        <f>IF(B5=0, 0, D5/B5)</f>
        <v>-0.27710843373493976</v>
      </c>
      <c r="F5" s="6"/>
      <c r="G5" s="6"/>
      <c r="H5" s="52"/>
    </row>
    <row r="6" spans="1:8" x14ac:dyDescent="0.3">
      <c r="A6" s="57" t="s">
        <v>26</v>
      </c>
      <c r="B6" s="60">
        <f>SUMIFS(Recap_Olho_Marinho[Dépense],Recap_Olho_Marinho[Mois],TdB!$B$2)</f>
        <v>120</v>
      </c>
      <c r="C6" s="60">
        <f>SUMIFS(Recap_Olho_Marinho[Rentrée],Recap_Olho_Marinho[Mois],TdB!$B$2)</f>
        <v>500</v>
      </c>
      <c r="D6" s="61">
        <f>C6-B6</f>
        <v>380</v>
      </c>
      <c r="E6" s="63">
        <f>IF(B6=0, 0, D6/B6)</f>
        <v>3.1666666666666665</v>
      </c>
      <c r="F6" s="42"/>
      <c r="G6" s="42"/>
      <c r="H6" s="20"/>
    </row>
  </sheetData>
  <mergeCells count="1">
    <mergeCell ref="A1:H1"/>
  </mergeCells>
  <dataValidations count="1">
    <dataValidation type="list" allowBlank="1" showInputMessage="1" showErrorMessage="1" sqref="B2" xr:uid="{631C07FE-A3F4-4E96-BD9E-936AE7191557}">
      <formula1>l_Mois</formula1>
    </dataValidation>
  </dataValidations>
  <pageMargins left="0.19685039370078741" right="0.19685039370078741" top="0.19685039370078741" bottom="0.19685039370078741" header="0" footer="0"/>
  <pageSetup paperSize="11" orientation="landscape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6FDC1-267E-4306-ADB8-48D2BBFABBC1}">
  <sheetPr codeName="Feuil7">
    <tabColor rgb="FFFFC000"/>
  </sheetPr>
  <dimension ref="A1:R27"/>
  <sheetViews>
    <sheetView showGridLines="0" showZeros="0" workbookViewId="0">
      <selection activeCell="M5" sqref="M5"/>
    </sheetView>
  </sheetViews>
  <sheetFormatPr baseColWidth="10" defaultColWidth="11.44140625" defaultRowHeight="14.4" x14ac:dyDescent="0.3"/>
  <cols>
    <col min="1" max="1" width="17.21875" style="1" customWidth="1"/>
    <col min="2" max="2" width="15.44140625" style="1" customWidth="1"/>
    <col min="3" max="3" width="13.77734375" style="1" customWidth="1"/>
    <col min="4" max="4" width="14.21875" style="1" customWidth="1"/>
    <col min="5" max="6" width="13.77734375" style="1" customWidth="1"/>
    <col min="7" max="7" width="14.21875" style="1" customWidth="1"/>
    <col min="8" max="8" width="13.77734375" style="1" customWidth="1"/>
    <col min="9" max="9" width="4.44140625" style="7" customWidth="1"/>
    <col min="10" max="10" width="13.88671875" style="1" bestFit="1" customWidth="1"/>
    <col min="11" max="11" width="14.88671875" style="9" bestFit="1" customWidth="1"/>
    <col min="12" max="12" width="16.109375" style="9" bestFit="1" customWidth="1"/>
    <col min="13" max="13" width="13.77734375" style="9" customWidth="1"/>
    <col min="14" max="14" width="11.44140625" style="10"/>
    <col min="15" max="16384" width="11.44140625" style="1"/>
  </cols>
  <sheetData>
    <row r="1" spans="1:18" ht="15.75" customHeight="1" x14ac:dyDescent="0.3">
      <c r="A1" s="15" t="s">
        <v>9</v>
      </c>
      <c r="B1" s="16" t="s">
        <v>1</v>
      </c>
      <c r="C1" s="17" t="s">
        <v>30</v>
      </c>
      <c r="D1" s="18" t="s">
        <v>3</v>
      </c>
      <c r="E1" s="16" t="s">
        <v>2</v>
      </c>
      <c r="F1" s="17" t="s">
        <v>29</v>
      </c>
      <c r="G1" s="18" t="s">
        <v>10</v>
      </c>
      <c r="H1" s="19" t="s">
        <v>17</v>
      </c>
      <c r="I1" s="8"/>
      <c r="J1" s="27" t="s">
        <v>0</v>
      </c>
      <c r="K1" s="13" t="s">
        <v>18</v>
      </c>
      <c r="L1" s="13" t="s">
        <v>19</v>
      </c>
      <c r="M1" s="13" t="s">
        <v>20</v>
      </c>
      <c r="N1" s="28" t="s">
        <v>23</v>
      </c>
    </row>
    <row r="2" spans="1:18" ht="15" customHeight="1" x14ac:dyDescent="0.3">
      <c r="A2" s="21">
        <v>45901</v>
      </c>
      <c r="B2" s="2"/>
      <c r="C2" s="3"/>
      <c r="D2" s="4"/>
      <c r="E2" s="2"/>
      <c r="F2" s="2"/>
      <c r="G2" s="5"/>
      <c r="H2" s="3"/>
      <c r="I2" s="8"/>
      <c r="J2" s="32">
        <v>45658</v>
      </c>
      <c r="K2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2" s="33">
        <f>SUMIF(t_Monica[Proprio    Monica],Recap_Monica[[#This Row],[Mois]],t_Monica[Tarif])</f>
        <v>0</v>
      </c>
      <c r="M2" s="33">
        <f t="array" ref="M2">IF(J2="", "", L2-K2)</f>
        <v>0</v>
      </c>
      <c r="N2" s="34">
        <f t="array" ref="N2">IF(J2="", "", IF(K2=0, 0, M2/K2))</f>
        <v>0</v>
      </c>
    </row>
    <row r="3" spans="1:18" ht="15.6" x14ac:dyDescent="0.3">
      <c r="A3" s="21">
        <v>45901</v>
      </c>
      <c r="B3" s="2"/>
      <c r="C3" s="3">
        <v>200</v>
      </c>
      <c r="D3" s="4">
        <v>1200</v>
      </c>
      <c r="E3" s="2" t="s">
        <v>13</v>
      </c>
      <c r="F3" s="2">
        <v>50</v>
      </c>
      <c r="G3" s="5" t="s">
        <v>4</v>
      </c>
      <c r="H3" s="3">
        <v>2100</v>
      </c>
      <c r="I3" s="8"/>
      <c r="J3" s="35">
        <v>45689</v>
      </c>
      <c r="K3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3" s="33">
        <f>SUMIF(t_Monica[Proprio    Monica],Recap_Monica[[#This Row],[Mois]],t_Monica[Tarif])</f>
        <v>0</v>
      </c>
      <c r="M3" s="33">
        <f t="array" ref="M3">IF(J3="", "", L3-K3)</f>
        <v>0</v>
      </c>
      <c r="N3" s="34">
        <f t="array" ref="N3">IF(J3="", "", IF(K3=0, 0, M3/K3))</f>
        <v>0</v>
      </c>
    </row>
    <row r="4" spans="1:18" ht="15.6" x14ac:dyDescent="0.3">
      <c r="A4" s="21">
        <v>45931</v>
      </c>
      <c r="B4" s="2"/>
      <c r="C4" s="3"/>
      <c r="D4" s="4"/>
      <c r="E4" s="2"/>
      <c r="F4" s="2"/>
      <c r="G4" s="5"/>
      <c r="H4" s="3"/>
      <c r="I4" s="8"/>
      <c r="J4" s="35">
        <v>45717</v>
      </c>
      <c r="K4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4" s="33">
        <f>SUMIF(t_Monica[Proprio    Monica],Recap_Monica[[#This Row],[Mois]],t_Monica[Tarif])</f>
        <v>0</v>
      </c>
      <c r="M4" s="33">
        <f t="array" ref="M4">IF(J4="", "", L4-K4)</f>
        <v>0</v>
      </c>
      <c r="N4" s="34">
        <f t="array" ref="N4">IF(J4="", "", IF(K4=0, 0, M4/K4))</f>
        <v>0</v>
      </c>
    </row>
    <row r="5" spans="1:18" ht="15.6" x14ac:dyDescent="0.3">
      <c r="A5" s="21">
        <v>45931</v>
      </c>
      <c r="B5" s="2"/>
      <c r="C5" s="3"/>
      <c r="D5" s="4"/>
      <c r="E5" s="2" t="s">
        <v>14</v>
      </c>
      <c r="F5" s="2">
        <v>70</v>
      </c>
      <c r="G5" s="5" t="s">
        <v>5</v>
      </c>
      <c r="H5" s="3">
        <v>1500</v>
      </c>
      <c r="I5" s="8"/>
      <c r="J5" s="35">
        <v>45748</v>
      </c>
      <c r="K5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5" s="33">
        <f>SUMIF(t_Monica[Proprio    Monica],Recap_Monica[[#This Row],[Mois]],t_Monica[Tarif])</f>
        <v>0</v>
      </c>
      <c r="M5" s="33">
        <f t="array" ref="M5">IF(J5="", "", L5-K5)</f>
        <v>0</v>
      </c>
      <c r="N5" s="34">
        <f t="array" ref="N5">IF(J5="", "", IF(K5=0, 0, M5/K5))</f>
        <v>0</v>
      </c>
    </row>
    <row r="6" spans="1:18" ht="15.6" x14ac:dyDescent="0.3">
      <c r="A6" s="21">
        <v>45962</v>
      </c>
      <c r="B6" s="2"/>
      <c r="C6" s="3"/>
      <c r="D6" s="4"/>
      <c r="E6" s="2"/>
      <c r="F6" s="2"/>
      <c r="G6" s="5"/>
      <c r="H6" s="3"/>
      <c r="I6" s="8"/>
      <c r="J6" s="35">
        <v>45778</v>
      </c>
      <c r="K6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6" s="33">
        <f>SUMIF(t_Monica[Proprio    Monica],Recap_Monica[[#This Row],[Mois]],t_Monica[Tarif])</f>
        <v>0</v>
      </c>
      <c r="M6" s="33">
        <f t="array" ref="M6">IF(J6="", "", L6-K6)</f>
        <v>0</v>
      </c>
      <c r="N6" s="34">
        <f t="array" ref="N6">IF(J6="", "", IF(K6=0, 0, M6/K6))</f>
        <v>0</v>
      </c>
    </row>
    <row r="7" spans="1:18" ht="15.6" x14ac:dyDescent="0.3">
      <c r="A7" s="21">
        <v>45962</v>
      </c>
      <c r="B7" s="2"/>
      <c r="C7" s="3"/>
      <c r="D7" s="4">
        <v>1000</v>
      </c>
      <c r="E7" s="2"/>
      <c r="F7" s="2"/>
      <c r="G7" s="5" t="s">
        <v>5</v>
      </c>
      <c r="H7" s="3">
        <v>2000</v>
      </c>
      <c r="I7" s="8"/>
      <c r="J7" s="35">
        <v>45809</v>
      </c>
      <c r="K7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7" s="33">
        <f>SUMIF(t_Monica[Proprio    Monica],Recap_Monica[[#This Row],[Mois]],t_Monica[Tarif])</f>
        <v>0</v>
      </c>
      <c r="M7" s="33">
        <f t="array" ref="M7">IF(J7="", "", L7-K7)</f>
        <v>0</v>
      </c>
      <c r="N7" s="34">
        <f t="array" ref="N7">IF(J7="", "", IF(K7=0, 0, M7/K7))</f>
        <v>0</v>
      </c>
    </row>
    <row r="8" spans="1:18" ht="15.6" x14ac:dyDescent="0.3">
      <c r="A8" s="22" t="s">
        <v>31</v>
      </c>
      <c r="B8" s="23"/>
      <c r="C8" s="25">
        <f>SUBTOTAL(109,t_Monica[Mt Invest])</f>
        <v>200</v>
      </c>
      <c r="D8" s="26">
        <f>SUBTOTAL(109,t_Monica[Loyer à Payer])</f>
        <v>2200</v>
      </c>
      <c r="E8" s="23"/>
      <c r="F8" s="23">
        <f>SUBTOTAL(109,t_Monica[Mt Frais fixes])</f>
        <v>120</v>
      </c>
      <c r="G8" s="24"/>
      <c r="H8" s="25">
        <f>SUBTOTAL(109,t_Monica[Tarif])</f>
        <v>5600</v>
      </c>
      <c r="I8" s="8"/>
      <c r="J8" s="35">
        <v>45839</v>
      </c>
      <c r="K8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8" s="33">
        <f>SUMIF(t_Monica[Proprio    Monica],Recap_Monica[[#This Row],[Mois]],t_Monica[Tarif])</f>
        <v>0</v>
      </c>
      <c r="M8" s="33">
        <f t="array" ref="M8">IF(J8="", "", L8-K8)</f>
        <v>0</v>
      </c>
      <c r="N8" s="34">
        <f t="array" ref="N8">IF(J8="", "", IF(K8=0, 0, M8/K8))</f>
        <v>0</v>
      </c>
    </row>
    <row r="9" spans="1:18" ht="15.6" x14ac:dyDescent="0.3">
      <c r="I9" s="8"/>
      <c r="J9" s="35">
        <v>45870</v>
      </c>
      <c r="K9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9" s="33">
        <f>SUMIF(t_Monica[Proprio    Monica],Recap_Monica[[#This Row],[Mois]],t_Monica[Tarif])</f>
        <v>0</v>
      </c>
      <c r="M9" s="33">
        <f t="array" ref="M9">IF(J9="", "", L9-K9)</f>
        <v>0</v>
      </c>
      <c r="N9" s="34">
        <f t="array" ref="N9">IF(J9="", "", IF(K9=0, 0, M9/K9))</f>
        <v>0</v>
      </c>
    </row>
    <row r="10" spans="1:18" ht="15.6" x14ac:dyDescent="0.3">
      <c r="I10" s="8"/>
      <c r="J10" s="35">
        <v>45901</v>
      </c>
      <c r="K10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1450</v>
      </c>
      <c r="L10" s="33">
        <f>SUMIF(t_Monica[Proprio    Monica],Recap_Monica[[#This Row],[Mois]],t_Monica[Tarif])</f>
        <v>2100</v>
      </c>
      <c r="M10" s="33">
        <f t="array" ref="M10">IF(J10="", "", L10-K10)</f>
        <v>650</v>
      </c>
      <c r="N10" s="34">
        <f t="array" ref="N10">IF(J10="", "", IF(K10=0, 0, M10/K10))</f>
        <v>0.44827586206896552</v>
      </c>
    </row>
    <row r="11" spans="1:18" ht="15.6" x14ac:dyDescent="0.3">
      <c r="I11" s="8"/>
      <c r="J11" s="35">
        <v>45931</v>
      </c>
      <c r="K11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70</v>
      </c>
      <c r="L11" s="33">
        <f>SUMIF(t_Monica[Proprio    Monica],Recap_Monica[[#This Row],[Mois]],t_Monica[Tarif])</f>
        <v>1500</v>
      </c>
      <c r="M11" s="33">
        <f t="array" ref="M11">IF(J11="", "", L11-K11)</f>
        <v>1430</v>
      </c>
      <c r="N11" s="34">
        <f t="array" ref="N11">IF(J11="", "", IF(K11=0, 0, M11/K11))</f>
        <v>20.428571428571427</v>
      </c>
      <c r="R11" s="11"/>
    </row>
    <row r="12" spans="1:18" ht="15.6" x14ac:dyDescent="0.3">
      <c r="I12" s="8"/>
      <c r="J12" s="35">
        <v>45962</v>
      </c>
      <c r="K12" s="39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1000</v>
      </c>
      <c r="L12" s="33">
        <f>SUMIF(t_Monica[Proprio    Monica],Recap_Monica[[#This Row],[Mois]],t_Monica[Tarif])</f>
        <v>2000</v>
      </c>
      <c r="M12" s="33">
        <f t="array" ref="M12">IF(J12="", "", L12-K12)</f>
        <v>1000</v>
      </c>
      <c r="N12" s="34">
        <f t="array" ref="N12">IF(J12="", "", IF(K12=0, 0, M12/K12))</f>
        <v>1</v>
      </c>
    </row>
    <row r="13" spans="1:18" ht="15.6" x14ac:dyDescent="0.3">
      <c r="I13" s="8"/>
      <c r="J13" s="36">
        <v>45992</v>
      </c>
      <c r="K13" s="40">
        <f>SUMIF(t_Monica[Proprio    Monica],Recap_Monica[[#This Row],[Mois]],t_Monica[Mt Invest])+SUMIF(t_Monica[Proprio    Monica],Recap_Monica[[#This Row],[Mois]],t_Monica[Loyer à Payer])+SUMIF(t_Monica[Proprio    Monica],Recap_Monica[[#This Row],[Mois]],t_Monica[Mt Frais fixes])</f>
        <v>0</v>
      </c>
      <c r="L13" s="37">
        <f>SUMIF(t_Monica[Proprio    Monica],Recap_Monica[[#This Row],[Mois]],t_Monica[Tarif])</f>
        <v>0</v>
      </c>
      <c r="M13" s="37">
        <f t="array" ref="M13">IF(J13="", "", L13-K13)</f>
        <v>0</v>
      </c>
      <c r="N13" s="38">
        <f t="array" ref="N13">IF(J13="", "", IF(K13=0, 0, M13/K13))</f>
        <v>0</v>
      </c>
    </row>
    <row r="14" spans="1:18" ht="15.6" x14ac:dyDescent="0.3">
      <c r="I14" s="8"/>
      <c r="J14" s="29" t="s">
        <v>31</v>
      </c>
      <c r="K14" s="41">
        <f>SUBTOTAL(109,Recap_Monica[Dépense])</f>
        <v>2520</v>
      </c>
      <c r="L14" s="30">
        <f>SUBTOTAL(109,Recap_Monica[Rentrée])</f>
        <v>5600</v>
      </c>
      <c r="M14" s="30">
        <f>SUBTOTAL(109,Recap_Monica[Bénéfice])</f>
        <v>3080</v>
      </c>
      <c r="N14" s="31"/>
    </row>
    <row r="15" spans="1:18" x14ac:dyDescent="0.3">
      <c r="I15" s="8"/>
    </row>
    <row r="16" spans="1:18" x14ac:dyDescent="0.3">
      <c r="I16" s="8"/>
    </row>
    <row r="17" spans="9:9" x14ac:dyDescent="0.3">
      <c r="I17" s="8"/>
    </row>
    <row r="18" spans="9:9" x14ac:dyDescent="0.3">
      <c r="I18" s="8"/>
    </row>
    <row r="19" spans="9:9" x14ac:dyDescent="0.3">
      <c r="I19" s="8"/>
    </row>
    <row r="20" spans="9:9" x14ac:dyDescent="0.3">
      <c r="I20" s="8"/>
    </row>
    <row r="21" spans="9:9" x14ac:dyDescent="0.3">
      <c r="I21" s="8"/>
    </row>
    <row r="22" spans="9:9" x14ac:dyDescent="0.3">
      <c r="I22" s="8"/>
    </row>
    <row r="23" spans="9:9" x14ac:dyDescent="0.3">
      <c r="I23" s="8"/>
    </row>
    <row r="24" spans="9:9" x14ac:dyDescent="0.3">
      <c r="I24" s="8"/>
    </row>
    <row r="25" spans="9:9" x14ac:dyDescent="0.3">
      <c r="I25" s="8"/>
    </row>
    <row r="26" spans="9:9" x14ac:dyDescent="0.3">
      <c r="I26" s="8"/>
    </row>
    <row r="27" spans="9:9" x14ac:dyDescent="0.3">
      <c r="I27" s="8"/>
    </row>
  </sheetData>
  <conditionalFormatting sqref="A2:H7 A9:H30">
    <cfRule type="expression" dxfId="8" priority="2">
      <formula>AND($A2&lt;&gt;"", COUNTA($B2:$H2)=0)</formula>
    </cfRule>
  </conditionalFormatting>
  <conditionalFormatting sqref="N2:N13">
    <cfRule type="colorScale" priority="3">
      <colorScale>
        <cfvo type="min"/>
        <cfvo type="percentile" val="50"/>
        <cfvo type="max"/>
        <color rgb="FFFFC1C1"/>
        <color rgb="FFFFF2B3"/>
        <color rgb="FF8FD1A0"/>
      </colorScale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408EF9-8FFD-4B64-AE42-61D0A9186C40}">
          <x14:formula1>
            <xm:f>Liste!$B$3:$B$10</xm:f>
          </x14:formula1>
          <xm:sqref>G3:G7</xm:sqref>
        </x14:dataValidation>
        <x14:dataValidation type="list" allowBlank="1" showInputMessage="1" showErrorMessage="1" xr:uid="{B90BC557-998C-4EDD-B425-945943ACDE0E}">
          <x14:formula1>
            <xm:f>Liste!$D$3:$D$7</xm:f>
          </x14:formula1>
          <xm:sqref>E2:E7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A48FC-C046-4CA4-BCBC-8F26A18C82A9}">
  <sheetPr codeName="Feuil8">
    <tabColor rgb="FFFFC000"/>
  </sheetPr>
  <dimension ref="A1:R27"/>
  <sheetViews>
    <sheetView showGridLines="0" showZeros="0" workbookViewId="0">
      <selection activeCell="K5" sqref="K5"/>
    </sheetView>
  </sheetViews>
  <sheetFormatPr baseColWidth="10" defaultColWidth="11.44140625" defaultRowHeight="14.4" x14ac:dyDescent="0.3"/>
  <cols>
    <col min="1" max="1" width="17.21875" style="1" customWidth="1"/>
    <col min="2" max="2" width="15.44140625" style="1" customWidth="1"/>
    <col min="3" max="3" width="13.77734375" style="1" customWidth="1"/>
    <col min="4" max="4" width="14.21875" style="1" customWidth="1"/>
    <col min="5" max="6" width="13.77734375" style="1" customWidth="1"/>
    <col min="7" max="7" width="14.21875" style="1" customWidth="1"/>
    <col min="8" max="8" width="13.77734375" style="1" customWidth="1"/>
    <col min="9" max="9" width="4.44140625" style="7" customWidth="1"/>
    <col min="10" max="10" width="13.88671875" style="1" bestFit="1" customWidth="1"/>
    <col min="11" max="11" width="14.88671875" style="9" bestFit="1" customWidth="1"/>
    <col min="12" max="12" width="16.109375" style="9" bestFit="1" customWidth="1"/>
    <col min="13" max="13" width="13.77734375" style="9" customWidth="1"/>
    <col min="14" max="14" width="11.44140625" style="10"/>
    <col min="15" max="16384" width="11.44140625" style="1"/>
  </cols>
  <sheetData>
    <row r="1" spans="1:18" ht="15.75" customHeight="1" x14ac:dyDescent="0.3">
      <c r="A1" s="15" t="s">
        <v>9</v>
      </c>
      <c r="B1" s="16" t="s">
        <v>1</v>
      </c>
      <c r="C1" s="17" t="s">
        <v>30</v>
      </c>
      <c r="D1" s="18" t="s">
        <v>3</v>
      </c>
      <c r="E1" s="16" t="s">
        <v>2</v>
      </c>
      <c r="F1" s="17" t="s">
        <v>29</v>
      </c>
      <c r="G1" s="18" t="s">
        <v>10</v>
      </c>
      <c r="H1" s="19" t="s">
        <v>17</v>
      </c>
      <c r="I1" s="8"/>
      <c r="J1" s="27" t="s">
        <v>0</v>
      </c>
      <c r="K1" s="13" t="s">
        <v>18</v>
      </c>
      <c r="L1" s="13" t="s">
        <v>19</v>
      </c>
      <c r="M1" s="13" t="s">
        <v>20</v>
      </c>
      <c r="N1" s="28" t="s">
        <v>23</v>
      </c>
    </row>
    <row r="2" spans="1:18" ht="15" customHeight="1" x14ac:dyDescent="0.3">
      <c r="A2" s="21">
        <v>45901</v>
      </c>
      <c r="B2" s="2"/>
      <c r="C2" s="3"/>
      <c r="D2" s="4"/>
      <c r="E2" s="2"/>
      <c r="F2" s="2"/>
      <c r="G2" s="5"/>
      <c r="H2" s="3"/>
      <c r="I2" s="8"/>
      <c r="J2" s="32">
        <v>45658</v>
      </c>
      <c r="K2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2" s="33">
        <f>SUMIF(t_LaPlage[Proprio    Monica],Recap_LaPlage[[#This Row],[Mois]],t_LaPlage[Tarif])</f>
        <v>0</v>
      </c>
      <c r="M2" s="33">
        <f t="array" ref="M2">IF(J2="", "", L2-K2)</f>
        <v>0</v>
      </c>
      <c r="N2" s="34">
        <f t="array" ref="N2">IF(J2="", "", IF(K2=0, 0, M2/K2))</f>
        <v>0</v>
      </c>
    </row>
    <row r="3" spans="1:18" ht="15.6" x14ac:dyDescent="0.3">
      <c r="A3" s="21">
        <v>45901</v>
      </c>
      <c r="B3" s="2"/>
      <c r="C3" s="3">
        <v>100</v>
      </c>
      <c r="D3" s="4">
        <v>800</v>
      </c>
      <c r="E3" s="2" t="s">
        <v>13</v>
      </c>
      <c r="F3" s="2">
        <v>50</v>
      </c>
      <c r="G3" s="5" t="s">
        <v>4</v>
      </c>
      <c r="H3" s="3">
        <v>2000</v>
      </c>
      <c r="I3" s="8"/>
      <c r="J3" s="35">
        <v>45689</v>
      </c>
      <c r="K3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3" s="33">
        <f>SUMIF(t_LaPlage[Proprio    Monica],Recap_LaPlage[[#This Row],[Mois]],t_LaPlage[Tarif])</f>
        <v>0</v>
      </c>
      <c r="M3" s="33">
        <f t="array" ref="M3">IF(J3="", "", L3-K3)</f>
        <v>0</v>
      </c>
      <c r="N3" s="34">
        <f t="array" ref="N3">IF(J3="", "", IF(K3=0, 0, M3/K3))</f>
        <v>0</v>
      </c>
    </row>
    <row r="4" spans="1:18" ht="15.6" x14ac:dyDescent="0.3">
      <c r="A4" s="21">
        <v>45931</v>
      </c>
      <c r="B4" s="2"/>
      <c r="C4" s="3"/>
      <c r="D4" s="4"/>
      <c r="E4" s="2"/>
      <c r="F4" s="2"/>
      <c r="G4" s="5"/>
      <c r="H4" s="3"/>
      <c r="I4" s="8"/>
      <c r="J4" s="35">
        <v>45717</v>
      </c>
      <c r="K4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4" s="33">
        <f>SUMIF(t_LaPlage[Proprio    Monica],Recap_LaPlage[[#This Row],[Mois]],t_LaPlage[Tarif])</f>
        <v>0</v>
      </c>
      <c r="M4" s="33">
        <f t="array" ref="M4">IF(J4="", "", L4-K4)</f>
        <v>0</v>
      </c>
      <c r="N4" s="34">
        <f t="array" ref="N4">IF(J4="", "", IF(K4=0, 0, M4/K4))</f>
        <v>0</v>
      </c>
    </row>
    <row r="5" spans="1:18" ht="15.6" x14ac:dyDescent="0.3">
      <c r="A5" s="21">
        <v>45931</v>
      </c>
      <c r="B5" s="2"/>
      <c r="C5" s="3">
        <v>280</v>
      </c>
      <c r="D5" s="4">
        <v>100</v>
      </c>
      <c r="E5" s="2" t="s">
        <v>12</v>
      </c>
      <c r="F5" s="2">
        <v>35</v>
      </c>
      <c r="G5" s="5" t="s">
        <v>5</v>
      </c>
      <c r="H5" s="3">
        <v>300</v>
      </c>
      <c r="I5" s="8"/>
      <c r="J5" s="35">
        <v>45748</v>
      </c>
      <c r="K5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5" s="33">
        <f>SUMIF(t_LaPlage[Proprio    Monica],Recap_LaPlage[[#This Row],[Mois]],t_LaPlage[Tarif])</f>
        <v>0</v>
      </c>
      <c r="M5" s="33">
        <f t="array" ref="M5">IF(J5="", "", L5-K5)</f>
        <v>0</v>
      </c>
      <c r="N5" s="34">
        <f t="array" ref="N5">IF(J5="", "", IF(K5=0, 0, M5/K5))</f>
        <v>0</v>
      </c>
    </row>
    <row r="6" spans="1:18" ht="15.6" x14ac:dyDescent="0.3">
      <c r="A6" s="22" t="s">
        <v>31</v>
      </c>
      <c r="B6" s="23"/>
      <c r="C6" s="25">
        <f>SUBTOTAL(109,t_LaPlage[Mt Invest])</f>
        <v>380</v>
      </c>
      <c r="D6" s="26">
        <f>SUBTOTAL(109,t_LaPlage[Loyer à Payer])</f>
        <v>900</v>
      </c>
      <c r="E6" s="23"/>
      <c r="F6" s="23">
        <f>SUBTOTAL(109,t_LaPlage[Mt Frais fixes])</f>
        <v>85</v>
      </c>
      <c r="G6" s="24"/>
      <c r="H6" s="25">
        <f>SUBTOTAL(109,t_LaPlage[Tarif])</f>
        <v>2300</v>
      </c>
      <c r="I6" s="8"/>
      <c r="J6" s="35">
        <v>45778</v>
      </c>
      <c r="K6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6" s="33">
        <f>SUMIF(t_LaPlage[Proprio    Monica],Recap_LaPlage[[#This Row],[Mois]],t_LaPlage[Tarif])</f>
        <v>0</v>
      </c>
      <c r="M6" s="33">
        <f t="array" ref="M6">IF(J6="", "", L6-K6)</f>
        <v>0</v>
      </c>
      <c r="N6" s="34">
        <f t="array" ref="N6">IF(J6="", "", IF(K6=0, 0, M6/K6))</f>
        <v>0</v>
      </c>
    </row>
    <row r="7" spans="1:18" ht="15.6" x14ac:dyDescent="0.3">
      <c r="I7" s="8"/>
      <c r="J7" s="35">
        <v>45809</v>
      </c>
      <c r="K7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7" s="33">
        <f>SUMIF(t_LaPlage[Proprio    Monica],Recap_LaPlage[[#This Row],[Mois]],t_LaPlage[Tarif])</f>
        <v>0</v>
      </c>
      <c r="M7" s="33">
        <f t="array" ref="M7">IF(J7="", "", L7-K7)</f>
        <v>0</v>
      </c>
      <c r="N7" s="34">
        <f t="array" ref="N7">IF(J7="", "", IF(K7=0, 0, M7/K7))</f>
        <v>0</v>
      </c>
    </row>
    <row r="8" spans="1:18" ht="15.6" x14ac:dyDescent="0.3">
      <c r="I8" s="8"/>
      <c r="J8" s="35">
        <v>45839</v>
      </c>
      <c r="K8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8" s="33">
        <f>SUMIF(t_LaPlage[Proprio    Monica],Recap_LaPlage[[#This Row],[Mois]],t_LaPlage[Tarif])</f>
        <v>0</v>
      </c>
      <c r="M8" s="33">
        <f t="array" ref="M8">IF(J8="", "", L8-K8)</f>
        <v>0</v>
      </c>
      <c r="N8" s="34">
        <f t="array" ref="N8">IF(J8="", "", IF(K8=0, 0, M8/K8))</f>
        <v>0</v>
      </c>
    </row>
    <row r="9" spans="1:18" ht="15.6" x14ac:dyDescent="0.3">
      <c r="I9" s="8"/>
      <c r="J9" s="35">
        <v>45870</v>
      </c>
      <c r="K9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9" s="33">
        <f>SUMIF(t_LaPlage[Proprio    Monica],Recap_LaPlage[[#This Row],[Mois]],t_LaPlage[Tarif])</f>
        <v>0</v>
      </c>
      <c r="M9" s="33">
        <f t="array" ref="M9">IF(J9="", "", L9-K9)</f>
        <v>0</v>
      </c>
      <c r="N9" s="34">
        <f t="array" ref="N9">IF(J9="", "", IF(K9=0, 0, M9/K9))</f>
        <v>0</v>
      </c>
    </row>
    <row r="10" spans="1:18" ht="15.6" x14ac:dyDescent="0.3">
      <c r="I10" s="8"/>
      <c r="J10" s="35">
        <v>45901</v>
      </c>
      <c r="K10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950</v>
      </c>
      <c r="L10" s="33">
        <f>SUMIF(t_LaPlage[Proprio    Monica],Recap_LaPlage[[#This Row],[Mois]],t_LaPlage[Tarif])</f>
        <v>2000</v>
      </c>
      <c r="M10" s="33">
        <f t="array" ref="M10">IF(J10="", "", L10-K10)</f>
        <v>1050</v>
      </c>
      <c r="N10" s="34">
        <f t="array" ref="N10">IF(J10="", "", IF(K10=0, 0, M10/K10))</f>
        <v>1.1052631578947369</v>
      </c>
    </row>
    <row r="11" spans="1:18" ht="15.6" x14ac:dyDescent="0.3">
      <c r="I11" s="8"/>
      <c r="J11" s="35">
        <v>45931</v>
      </c>
      <c r="K11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415</v>
      </c>
      <c r="L11" s="33">
        <f>SUMIF(t_LaPlage[Proprio    Monica],Recap_LaPlage[[#This Row],[Mois]],t_LaPlage[Tarif])</f>
        <v>300</v>
      </c>
      <c r="M11" s="33">
        <f t="array" ref="M11">IF(J11="", "", L11-K11)</f>
        <v>-115</v>
      </c>
      <c r="N11" s="34">
        <f t="array" ref="N11">IF(J11="", "", IF(K11=0, 0, M11/K11))</f>
        <v>-0.27710843373493976</v>
      </c>
      <c r="R11" s="11"/>
    </row>
    <row r="12" spans="1:18" ht="15.6" x14ac:dyDescent="0.3">
      <c r="I12" s="8"/>
      <c r="J12" s="35">
        <v>45962</v>
      </c>
      <c r="K12" s="39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12" s="33">
        <f>SUMIF(t_LaPlage[Proprio    Monica],Recap_LaPlage[[#This Row],[Mois]],t_LaPlage[Tarif])</f>
        <v>0</v>
      </c>
      <c r="M12" s="33">
        <f t="array" ref="M12">IF(J12="", "", L12-K12)</f>
        <v>0</v>
      </c>
      <c r="N12" s="34">
        <f t="array" ref="N12">IF(J12="", "", IF(K12=0, 0, M12/K12))</f>
        <v>0</v>
      </c>
    </row>
    <row r="13" spans="1:18" ht="15.6" x14ac:dyDescent="0.3">
      <c r="I13" s="8"/>
      <c r="J13" s="36">
        <v>45992</v>
      </c>
      <c r="K13" s="40">
        <f>SUMIF(t_LaPlage[Proprio    Monica],Recap_LaPlage[[#This Row],[Mois]],t_LaPlage[Mt Invest])+SUMIF(t_LaPlage[Proprio    Monica],Recap_LaPlage[[#This Row],[Mois]],t_LaPlage[Loyer à Payer])+SUMIF(t_LaPlage[Proprio    Monica],Recap_LaPlage[[#This Row],[Mois]],t_LaPlage[Mt Frais fixes])</f>
        <v>0</v>
      </c>
      <c r="L13" s="37">
        <f>SUMIF(t_LaPlage[Proprio    Monica],Recap_LaPlage[[#This Row],[Mois]],t_LaPlage[Tarif])</f>
        <v>0</v>
      </c>
      <c r="M13" s="37">
        <f t="array" ref="M13">IF(J13="", "", L13-K13)</f>
        <v>0</v>
      </c>
      <c r="N13" s="38">
        <f t="array" ref="N13">IF(J13="", "", IF(K13=0, 0, M13/K13))</f>
        <v>0</v>
      </c>
    </row>
    <row r="14" spans="1:18" ht="15.6" x14ac:dyDescent="0.3">
      <c r="I14" s="8"/>
      <c r="J14" s="29" t="s">
        <v>31</v>
      </c>
      <c r="K14" s="41">
        <f>SUBTOTAL(109,Recap_LaPlage[Dépense])</f>
        <v>1365</v>
      </c>
      <c r="L14" s="30">
        <f>SUBTOTAL(109,Recap_LaPlage[Rentrée])</f>
        <v>2300</v>
      </c>
      <c r="M14" s="30">
        <f>SUBTOTAL(109,Recap_LaPlage[Bénéfice])</f>
        <v>935</v>
      </c>
      <c r="N14" s="31"/>
    </row>
    <row r="15" spans="1:18" x14ac:dyDescent="0.3">
      <c r="I15" s="8"/>
    </row>
    <row r="16" spans="1:18" x14ac:dyDescent="0.3">
      <c r="I16" s="8"/>
    </row>
    <row r="17" spans="9:9" x14ac:dyDescent="0.3">
      <c r="I17" s="8"/>
    </row>
    <row r="18" spans="9:9" x14ac:dyDescent="0.3">
      <c r="I18" s="8"/>
    </row>
    <row r="19" spans="9:9" x14ac:dyDescent="0.3">
      <c r="I19" s="8"/>
    </row>
    <row r="20" spans="9:9" x14ac:dyDescent="0.3">
      <c r="I20" s="8"/>
    </row>
    <row r="21" spans="9:9" x14ac:dyDescent="0.3">
      <c r="I21" s="8"/>
    </row>
    <row r="22" spans="9:9" x14ac:dyDescent="0.3">
      <c r="I22" s="8"/>
    </row>
    <row r="23" spans="9:9" x14ac:dyDescent="0.3">
      <c r="I23" s="8"/>
    </row>
    <row r="24" spans="9:9" x14ac:dyDescent="0.3">
      <c r="I24" s="8"/>
    </row>
    <row r="25" spans="9:9" x14ac:dyDescent="0.3">
      <c r="I25" s="8"/>
    </row>
    <row r="26" spans="9:9" x14ac:dyDescent="0.3">
      <c r="I26" s="8"/>
    </row>
    <row r="27" spans="9:9" x14ac:dyDescent="0.3">
      <c r="I27" s="8"/>
    </row>
  </sheetData>
  <conditionalFormatting sqref="A7:H28 A2:H5">
    <cfRule type="expression" dxfId="7" priority="1">
      <formula>AND($A2&lt;&gt;"", COUNTA($B2:$H2)=0)</formula>
    </cfRule>
  </conditionalFormatting>
  <conditionalFormatting sqref="N2:N13">
    <cfRule type="colorScale" priority="2">
      <colorScale>
        <cfvo type="min"/>
        <cfvo type="percentile" val="50"/>
        <cfvo type="max"/>
        <color rgb="FFFFC1C1"/>
        <color rgb="FFFFF2B3"/>
        <color rgb="FF8FD1A0"/>
      </colorScale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C4B543-1881-4725-A126-53E94815AEA8}">
          <x14:formula1>
            <xm:f>Liste!$B$3:$B$10</xm:f>
          </x14:formula1>
          <xm:sqref>G3:G5</xm:sqref>
        </x14:dataValidation>
        <x14:dataValidation type="list" allowBlank="1" showInputMessage="1" showErrorMessage="1" xr:uid="{F7CB2C09-9C23-486C-A818-2D8D7D6E39B2}">
          <x14:formula1>
            <xm:f>Liste!$D$3:$D$7</xm:f>
          </x14:formula1>
          <xm:sqref>E2:E5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7106-D2A4-42FB-BEC9-EAF94FE986DA}">
  <sheetPr codeName="Feuil9">
    <tabColor rgb="FFFFC000"/>
  </sheetPr>
  <dimension ref="A1:R27"/>
  <sheetViews>
    <sheetView showGridLines="0" showZeros="0" workbookViewId="0">
      <selection activeCell="K5" sqref="K5"/>
    </sheetView>
  </sheetViews>
  <sheetFormatPr baseColWidth="10" defaultColWidth="11.44140625" defaultRowHeight="14.4" x14ac:dyDescent="0.3"/>
  <cols>
    <col min="1" max="1" width="17.21875" style="1" customWidth="1"/>
    <col min="2" max="2" width="15.44140625" style="1" customWidth="1"/>
    <col min="3" max="3" width="13.77734375" style="1" customWidth="1"/>
    <col min="4" max="4" width="14.21875" style="1" customWidth="1"/>
    <col min="5" max="6" width="13.77734375" style="1" customWidth="1"/>
    <col min="7" max="7" width="14.21875" style="1" customWidth="1"/>
    <col min="8" max="8" width="13.77734375" style="1" customWidth="1"/>
    <col min="9" max="9" width="4.44140625" style="7" customWidth="1"/>
    <col min="10" max="10" width="13.88671875" style="1" bestFit="1" customWidth="1"/>
    <col min="11" max="11" width="14.88671875" style="9" bestFit="1" customWidth="1"/>
    <col min="12" max="12" width="16.109375" style="9" bestFit="1" customWidth="1"/>
    <col min="13" max="13" width="13.77734375" style="9" customWidth="1"/>
    <col min="14" max="14" width="11.44140625" style="10"/>
    <col min="15" max="16384" width="11.44140625" style="1"/>
  </cols>
  <sheetData>
    <row r="1" spans="1:18" ht="15.75" customHeight="1" x14ac:dyDescent="0.3">
      <c r="A1" s="15" t="s">
        <v>9</v>
      </c>
      <c r="B1" s="16" t="s">
        <v>1</v>
      </c>
      <c r="C1" s="17" t="s">
        <v>30</v>
      </c>
      <c r="D1" s="18" t="s">
        <v>3</v>
      </c>
      <c r="E1" s="16" t="s">
        <v>2</v>
      </c>
      <c r="F1" s="17" t="s">
        <v>29</v>
      </c>
      <c r="G1" s="18" t="s">
        <v>10</v>
      </c>
      <c r="H1" s="19" t="s">
        <v>17</v>
      </c>
      <c r="I1" s="8"/>
      <c r="J1" s="27" t="s">
        <v>0</v>
      </c>
      <c r="K1" s="13" t="s">
        <v>18</v>
      </c>
      <c r="L1" s="13" t="s">
        <v>19</v>
      </c>
      <c r="M1" s="13" t="s">
        <v>20</v>
      </c>
      <c r="N1" s="28" t="s">
        <v>23</v>
      </c>
    </row>
    <row r="2" spans="1:18" ht="15" customHeight="1" x14ac:dyDescent="0.3">
      <c r="A2" s="21">
        <v>45901</v>
      </c>
      <c r="B2" s="2"/>
      <c r="C2" s="3"/>
      <c r="D2" s="4"/>
      <c r="E2" s="2"/>
      <c r="F2" s="2"/>
      <c r="G2" s="5"/>
      <c r="H2" s="3"/>
      <c r="I2" s="8"/>
      <c r="J2" s="32">
        <v>45658</v>
      </c>
      <c r="K2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2" s="33">
        <f>SUMIF(t_Olho_Marinho[Proprio    Monica],Recap_Olho_Marinho[[#This Row],[Mois]],t_Olho_Marinho[Tarif])</f>
        <v>0</v>
      </c>
      <c r="M2" s="33">
        <f t="array" ref="M2">IF(J2="", "", L2-K2)</f>
        <v>0</v>
      </c>
      <c r="N2" s="34">
        <f t="array" ref="N2">IF(J2="", "", IF(K2=0, 0, M2/K2))</f>
        <v>0</v>
      </c>
    </row>
    <row r="3" spans="1:18" ht="15.6" x14ac:dyDescent="0.3">
      <c r="A3" s="21">
        <v>45901</v>
      </c>
      <c r="B3" s="2"/>
      <c r="C3" s="3"/>
      <c r="D3" s="4">
        <v>500</v>
      </c>
      <c r="E3" s="2" t="s">
        <v>13</v>
      </c>
      <c r="F3" s="2">
        <v>50</v>
      </c>
      <c r="G3" s="5" t="s">
        <v>4</v>
      </c>
      <c r="H3" s="3">
        <v>900</v>
      </c>
      <c r="I3" s="8"/>
      <c r="J3" s="35">
        <v>45689</v>
      </c>
      <c r="K3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3" s="33">
        <f>SUMIF(t_Olho_Marinho[Proprio    Monica],Recap_Olho_Marinho[[#This Row],[Mois]],t_Olho_Marinho[Tarif])</f>
        <v>0</v>
      </c>
      <c r="M3" s="33">
        <f t="array" ref="M3">IF(J3="", "", L3-K3)</f>
        <v>0</v>
      </c>
      <c r="N3" s="34">
        <f t="array" ref="N3">IF(J3="", "", IF(K3=0, 0, M3/K3))</f>
        <v>0</v>
      </c>
    </row>
    <row r="4" spans="1:18" ht="15.6" x14ac:dyDescent="0.3">
      <c r="A4" s="21">
        <v>45931</v>
      </c>
      <c r="B4" s="2"/>
      <c r="C4" s="3"/>
      <c r="D4" s="4"/>
      <c r="E4" s="2"/>
      <c r="F4" s="2"/>
      <c r="G4" s="5"/>
      <c r="H4" s="3"/>
      <c r="I4" s="8"/>
      <c r="J4" s="35">
        <v>45717</v>
      </c>
      <c r="K4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4" s="33">
        <f>SUMIF(t_Olho_Marinho[Proprio    Monica],Recap_Olho_Marinho[[#This Row],[Mois]],t_Olho_Marinho[Tarif])</f>
        <v>0</v>
      </c>
      <c r="M4" s="33">
        <f t="array" ref="M4">IF(J4="", "", L4-K4)</f>
        <v>0</v>
      </c>
      <c r="N4" s="34">
        <f t="array" ref="N4">IF(J4="", "", IF(K4=0, 0, M4/K4))</f>
        <v>0</v>
      </c>
    </row>
    <row r="5" spans="1:18" ht="15.6" x14ac:dyDescent="0.3">
      <c r="A5" s="21">
        <v>45931</v>
      </c>
      <c r="B5" s="2"/>
      <c r="C5" s="3"/>
      <c r="D5" s="4">
        <v>100</v>
      </c>
      <c r="E5" s="2"/>
      <c r="F5" s="2">
        <v>20</v>
      </c>
      <c r="G5" s="5" t="s">
        <v>5</v>
      </c>
      <c r="H5" s="3">
        <v>500</v>
      </c>
      <c r="I5" s="8"/>
      <c r="J5" s="35">
        <v>45748</v>
      </c>
      <c r="K5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5" s="33">
        <f>SUMIF(t_Olho_Marinho[Proprio    Monica],Recap_Olho_Marinho[[#This Row],[Mois]],t_Olho_Marinho[Tarif])</f>
        <v>0</v>
      </c>
      <c r="M5" s="33">
        <f t="array" ref="M5">IF(J5="", "", L5-K5)</f>
        <v>0</v>
      </c>
      <c r="N5" s="34">
        <f t="array" ref="N5">IF(J5="", "", IF(K5=0, 0, M5/K5))</f>
        <v>0</v>
      </c>
    </row>
    <row r="6" spans="1:18" ht="15.6" x14ac:dyDescent="0.3">
      <c r="A6" s="22" t="s">
        <v>31</v>
      </c>
      <c r="B6" s="23"/>
      <c r="C6" s="25">
        <f>SUBTOTAL(109,t_Olho_Marinho[Mt Invest])</f>
        <v>0</v>
      </c>
      <c r="D6" s="26">
        <f>SUBTOTAL(109,t_Olho_Marinho[Loyer à Payer])</f>
        <v>600</v>
      </c>
      <c r="E6" s="23"/>
      <c r="F6" s="23">
        <f>SUBTOTAL(109,t_Olho_Marinho[Mt Frais fixes])</f>
        <v>70</v>
      </c>
      <c r="G6" s="24"/>
      <c r="H6" s="25">
        <f>SUBTOTAL(109,t_Olho_Marinho[Tarif])</f>
        <v>1400</v>
      </c>
      <c r="I6" s="8"/>
      <c r="J6" s="35">
        <v>45778</v>
      </c>
      <c r="K6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6" s="33">
        <f>SUMIF(t_Olho_Marinho[Proprio    Monica],Recap_Olho_Marinho[[#This Row],[Mois]],t_Olho_Marinho[Tarif])</f>
        <v>0</v>
      </c>
      <c r="M6" s="33">
        <f t="array" ref="M6">IF(J6="", "", L6-K6)</f>
        <v>0</v>
      </c>
      <c r="N6" s="34">
        <f t="array" ref="N6">IF(J6="", "", IF(K6=0, 0, M6/K6))</f>
        <v>0</v>
      </c>
    </row>
    <row r="7" spans="1:18" ht="15.6" x14ac:dyDescent="0.3">
      <c r="I7" s="8"/>
      <c r="J7" s="35">
        <v>45809</v>
      </c>
      <c r="K7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7" s="33">
        <f>SUMIF(t_Olho_Marinho[Proprio    Monica],Recap_Olho_Marinho[[#This Row],[Mois]],t_Olho_Marinho[Tarif])</f>
        <v>0</v>
      </c>
      <c r="M7" s="33">
        <f t="array" ref="M7">IF(J7="", "", L7-K7)</f>
        <v>0</v>
      </c>
      <c r="N7" s="34">
        <f t="array" ref="N7">IF(J7="", "", IF(K7=0, 0, M7/K7))</f>
        <v>0</v>
      </c>
    </row>
    <row r="8" spans="1:18" ht="15.6" x14ac:dyDescent="0.3">
      <c r="I8" s="8"/>
      <c r="J8" s="35">
        <v>45839</v>
      </c>
      <c r="K8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8" s="33">
        <f>SUMIF(t_Olho_Marinho[Proprio    Monica],Recap_Olho_Marinho[[#This Row],[Mois]],t_Olho_Marinho[Tarif])</f>
        <v>0</v>
      </c>
      <c r="M8" s="33">
        <f t="array" ref="M8">IF(J8="", "", L8-K8)</f>
        <v>0</v>
      </c>
      <c r="N8" s="34">
        <f t="array" ref="N8">IF(J8="", "", IF(K8=0, 0, M8/K8))</f>
        <v>0</v>
      </c>
    </row>
    <row r="9" spans="1:18" ht="15.6" x14ac:dyDescent="0.3">
      <c r="I9" s="8"/>
      <c r="J9" s="35">
        <v>45870</v>
      </c>
      <c r="K9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9" s="33">
        <f>SUMIF(t_Olho_Marinho[Proprio    Monica],Recap_Olho_Marinho[[#This Row],[Mois]],t_Olho_Marinho[Tarif])</f>
        <v>0</v>
      </c>
      <c r="M9" s="33">
        <f t="array" ref="M9">IF(J9="", "", L9-K9)</f>
        <v>0</v>
      </c>
      <c r="N9" s="34">
        <f t="array" ref="N9">IF(J9="", "", IF(K9=0, 0, M9/K9))</f>
        <v>0</v>
      </c>
    </row>
    <row r="10" spans="1:18" ht="15.6" x14ac:dyDescent="0.3">
      <c r="I10" s="8"/>
      <c r="J10" s="35">
        <v>45901</v>
      </c>
      <c r="K10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550</v>
      </c>
      <c r="L10" s="33">
        <f>SUMIF(t_Olho_Marinho[Proprio    Monica],Recap_Olho_Marinho[[#This Row],[Mois]],t_Olho_Marinho[Tarif])</f>
        <v>900</v>
      </c>
      <c r="M10" s="33">
        <f t="array" ref="M10">IF(J10="", "", L10-K10)</f>
        <v>350</v>
      </c>
      <c r="N10" s="34">
        <f t="array" ref="N10">IF(J10="", "", IF(K10=0, 0, M10/K10))</f>
        <v>0.63636363636363635</v>
      </c>
    </row>
    <row r="11" spans="1:18" ht="15.6" x14ac:dyDescent="0.3">
      <c r="I11" s="8"/>
      <c r="J11" s="35">
        <v>45931</v>
      </c>
      <c r="K11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120</v>
      </c>
      <c r="L11" s="33">
        <f>SUMIF(t_Olho_Marinho[Proprio    Monica],Recap_Olho_Marinho[[#This Row],[Mois]],t_Olho_Marinho[Tarif])</f>
        <v>500</v>
      </c>
      <c r="M11" s="33">
        <f t="array" ref="M11">IF(J11="", "", L11-K11)</f>
        <v>380</v>
      </c>
      <c r="N11" s="34">
        <f t="array" ref="N11">IF(J11="", "", IF(K11=0, 0, M11/K11))</f>
        <v>3.1666666666666665</v>
      </c>
      <c r="R11" s="11"/>
    </row>
    <row r="12" spans="1:18" ht="15.6" x14ac:dyDescent="0.3">
      <c r="I12" s="8"/>
      <c r="J12" s="35">
        <v>45962</v>
      </c>
      <c r="K12" s="39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12" s="33">
        <f>SUMIF(t_Olho_Marinho[Proprio    Monica],Recap_Olho_Marinho[[#This Row],[Mois]],t_Olho_Marinho[Tarif])</f>
        <v>0</v>
      </c>
      <c r="M12" s="33">
        <f t="array" ref="M12">IF(J12="", "", L12-K12)</f>
        <v>0</v>
      </c>
      <c r="N12" s="34">
        <f t="array" ref="N12">IF(J12="", "", IF(K12=0, 0, M12/K12))</f>
        <v>0</v>
      </c>
    </row>
    <row r="13" spans="1:18" ht="15.6" x14ac:dyDescent="0.3">
      <c r="I13" s="8"/>
      <c r="J13" s="36">
        <v>45992</v>
      </c>
      <c r="K13" s="40">
        <f>SUMIF(t_Olho_Marinho[Proprio    Monica],Recap_Olho_Marinho[[#This Row],[Mois]],t_Olho_Marinho[Mt Invest])+SUMIF(t_Olho_Marinho[Proprio    Monica],Recap_Olho_Marinho[[#This Row],[Mois]],t_Olho_Marinho[Loyer à Payer])+SUMIF(t_Olho_Marinho[Proprio    Monica],Recap_Olho_Marinho[[#This Row],[Mois]],t_Olho_Marinho[Mt Frais fixes])</f>
        <v>0</v>
      </c>
      <c r="L13" s="37">
        <f>SUMIF(t_Olho_Marinho[Proprio    Monica],Recap_Olho_Marinho[[#This Row],[Mois]],t_Olho_Marinho[Tarif])</f>
        <v>0</v>
      </c>
      <c r="M13" s="37">
        <f t="array" ref="M13">IF(J13="", "", L13-K13)</f>
        <v>0</v>
      </c>
      <c r="N13" s="38">
        <f t="array" ref="N13">IF(J13="", "", IF(K13=0, 0, M13/K13))</f>
        <v>0</v>
      </c>
    </row>
    <row r="14" spans="1:18" ht="15.6" x14ac:dyDescent="0.3">
      <c r="I14" s="8"/>
      <c r="J14" s="29" t="s">
        <v>31</v>
      </c>
      <c r="K14" s="41">
        <f>SUBTOTAL(109,Recap_Olho_Marinho[Dépense])</f>
        <v>670</v>
      </c>
      <c r="L14" s="30">
        <f>SUBTOTAL(109,Recap_Olho_Marinho[Rentrée])</f>
        <v>1400</v>
      </c>
      <c r="M14" s="30">
        <f>SUBTOTAL(109,Recap_Olho_Marinho[Bénéfice])</f>
        <v>730</v>
      </c>
      <c r="N14" s="31"/>
    </row>
    <row r="15" spans="1:18" x14ac:dyDescent="0.3">
      <c r="I15" s="8"/>
    </row>
    <row r="16" spans="1:18" x14ac:dyDescent="0.3">
      <c r="I16" s="8"/>
    </row>
    <row r="17" spans="9:9" x14ac:dyDescent="0.3">
      <c r="I17" s="8"/>
    </row>
    <row r="18" spans="9:9" x14ac:dyDescent="0.3">
      <c r="I18" s="8"/>
    </row>
    <row r="19" spans="9:9" x14ac:dyDescent="0.3">
      <c r="I19" s="8"/>
    </row>
    <row r="20" spans="9:9" x14ac:dyDescent="0.3">
      <c r="I20" s="8"/>
    </row>
    <row r="21" spans="9:9" x14ac:dyDescent="0.3">
      <c r="I21" s="8"/>
    </row>
    <row r="22" spans="9:9" x14ac:dyDescent="0.3">
      <c r="I22" s="8"/>
    </row>
    <row r="23" spans="9:9" x14ac:dyDescent="0.3">
      <c r="I23" s="8"/>
    </row>
    <row r="24" spans="9:9" x14ac:dyDescent="0.3">
      <c r="I24" s="8"/>
    </row>
    <row r="25" spans="9:9" x14ac:dyDescent="0.3">
      <c r="I25" s="8"/>
    </row>
    <row r="26" spans="9:9" x14ac:dyDescent="0.3">
      <c r="I26" s="8"/>
    </row>
    <row r="27" spans="9:9" x14ac:dyDescent="0.3">
      <c r="I27" s="8"/>
    </row>
  </sheetData>
  <conditionalFormatting sqref="A7:H28 A2:H5">
    <cfRule type="expression" dxfId="6" priority="1">
      <formula>AND($A2&lt;&gt;"", COUNTA($B2:$H2)=0)</formula>
    </cfRule>
  </conditionalFormatting>
  <conditionalFormatting sqref="N2:N13">
    <cfRule type="colorScale" priority="2">
      <colorScale>
        <cfvo type="min"/>
        <cfvo type="percentile" val="50"/>
        <cfvo type="max"/>
        <color rgb="FFFFC1C1"/>
        <color rgb="FFFFF2B3"/>
        <color rgb="FF8FD1A0"/>
      </colorScale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B24B7FC-4C6E-4D47-B474-25BB6322E52D}">
          <x14:formula1>
            <xm:f>Liste!$B$3:$B$10</xm:f>
          </x14:formula1>
          <xm:sqref>G3:G5</xm:sqref>
        </x14:dataValidation>
        <x14:dataValidation type="list" allowBlank="1" showInputMessage="1" showErrorMessage="1" xr:uid="{A033AAB8-5A82-4889-9045-392D6846C40F}">
          <x14:formula1>
            <xm:f>Liste!$D$3:$D$7</xm:f>
          </x14:formula1>
          <xm:sqref>E2:E5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Tableau de Bord</vt:lpstr>
      <vt:lpstr>Liste</vt:lpstr>
      <vt:lpstr>TdB</vt:lpstr>
      <vt:lpstr>Monica</vt:lpstr>
      <vt:lpstr>La Plage</vt:lpstr>
      <vt:lpstr>Olho Marinho</vt:lpstr>
      <vt:lpstr>l_FraisFixe</vt:lpstr>
      <vt:lpstr>l_Loc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Damaste .</cp:lastModifiedBy>
  <cp:lastPrinted>2025-09-16T15:11:50Z</cp:lastPrinted>
  <dcterms:created xsi:type="dcterms:W3CDTF">2025-09-15T14:32:32Z</dcterms:created>
  <dcterms:modified xsi:type="dcterms:W3CDTF">2025-09-20T12:52:50Z</dcterms:modified>
</cp:coreProperties>
</file>