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2E47C077-A76A-4D4F-B579-701216378CF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lire" sheetId="1" r:id="rId1"/>
    <sheet name="Formulaire" sheetId="8" r:id="rId2"/>
    <sheet name="Carburant" sheetId="2" r:id="rId3"/>
    <sheet name="Paramètres" sheetId="3" r:id="rId4"/>
    <sheet name="Entretiens" sheetId="4" r:id="rId5"/>
    <sheet name="Amortissement" sheetId="6" r:id="rId6"/>
    <sheet name="Tableau de Bord" sheetId="5" r:id="rId7"/>
  </sheets>
  <functionGroups builtInGroupCount="19"/>
  <definedNames>
    <definedName name="_NbLig">Carburant!#REF!</definedName>
    <definedName name="_NL">t_NumLigne[NumLigne]</definedName>
    <definedName name="frmDate">Formulaire!$C$2</definedName>
    <definedName name="frmKm">Formulaire!$C$3</definedName>
    <definedName name="frmPrix">Formulaire!$C$5</definedName>
    <definedName name="frmQte">Formulaire!$C$4</definedName>
    <definedName name="frmStation">Formulaire!$C$6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5" l="1"/>
  <c r="C5" i="5" l="1"/>
  <c r="C8" i="6"/>
  <c r="C7" i="6"/>
  <c r="C11" i="4"/>
  <c r="E11" i="4" s="1"/>
  <c r="F11" i="4" s="1"/>
  <c r="C10" i="4"/>
  <c r="E10" i="4" s="1"/>
  <c r="C8" i="4"/>
  <c r="E8" i="4" s="1"/>
  <c r="F8" i="4" s="1"/>
  <c r="C7" i="4"/>
  <c r="C6" i="4"/>
  <c r="E6" i="4" s="1"/>
  <c r="C5" i="4"/>
  <c r="E5" i="4" s="1"/>
  <c r="F5" i="4" s="1"/>
  <c r="B33" i="5"/>
  <c r="D33" i="5" s="1"/>
  <c r="B32" i="5"/>
  <c r="B31" i="5"/>
  <c r="D31" i="5" s="1"/>
  <c r="B30" i="5"/>
  <c r="D30" i="5" s="1"/>
  <c r="B29" i="5"/>
  <c r="D29" i="5" s="1"/>
  <c r="B28" i="5"/>
  <c r="B27" i="5"/>
  <c r="D27" i="5" s="1"/>
  <c r="B26" i="5"/>
  <c r="D26" i="5" s="1"/>
  <c r="B25" i="5"/>
  <c r="D25" i="5" s="1"/>
  <c r="B24" i="5"/>
  <c r="B23" i="5"/>
  <c r="D23" i="5" s="1"/>
  <c r="B22" i="5"/>
  <c r="B11" i="4"/>
  <c r="B10" i="4"/>
  <c r="E9" i="4"/>
  <c r="F9" i="4" s="1"/>
  <c r="B9" i="4"/>
  <c r="B8" i="4"/>
  <c r="E7" i="4"/>
  <c r="F7" i="4" s="1"/>
  <c r="B7" i="4"/>
  <c r="B6" i="4"/>
  <c r="B5" i="4"/>
  <c r="D24" i="5" l="1"/>
  <c r="D28" i="5"/>
  <c r="D32" i="5"/>
  <c r="C18" i="5"/>
  <c r="F10" i="4"/>
  <c r="C17" i="5" s="1"/>
  <c r="F6" i="4"/>
  <c r="C13" i="5" s="1"/>
  <c r="C14" i="5"/>
  <c r="G8" i="4"/>
  <c r="B15" i="5" s="1"/>
  <c r="C6" i="5"/>
  <c r="C9" i="6"/>
  <c r="C10" i="6" s="1"/>
  <c r="C26" i="5"/>
  <c r="C28" i="5"/>
  <c r="C30" i="5"/>
  <c r="C22" i="5"/>
  <c r="C12" i="5"/>
  <c r="G5" i="4"/>
  <c r="B12" i="5" s="1"/>
  <c r="C16" i="5"/>
  <c r="G9" i="4"/>
  <c r="B16" i="5" s="1"/>
  <c r="C27" i="5"/>
  <c r="G7" i="4"/>
  <c r="B14" i="5" s="1"/>
  <c r="C23" i="5"/>
  <c r="C15" i="5"/>
  <c r="C24" i="5"/>
  <c r="C25" i="5"/>
  <c r="C32" i="5"/>
  <c r="G11" i="4"/>
  <c r="B18" i="5" s="1"/>
  <c r="C33" i="5"/>
  <c r="C31" i="5"/>
  <c r="C29" i="5"/>
  <c r="D22" i="5" l="1"/>
  <c r="G6" i="4"/>
  <c r="B13" i="5" s="1"/>
  <c r="G10" i="4"/>
  <c r="B17" i="5" s="1"/>
  <c r="C8" i="5"/>
  <c r="C7" i="5"/>
</calcChain>
</file>

<file path=xl/sharedStrings.xml><?xml version="1.0" encoding="utf-8"?>
<sst xmlns="http://schemas.openxmlformats.org/spreadsheetml/2006/main" count="76" uniqueCount="67">
  <si>
    <t>SUITE DE SUIVI FORD TRANSIT – MODE D’EMPLOI</t>
  </si>
  <si>
    <t xml:space="preserve">   - Les colonnes Montant total, Km parcourus, Conso (L/100) et Coût/km se calculent automatiquement.</t>
  </si>
  <si>
    <t xml:space="preserve">   - Un graphique montre la consommation moyenne et le coût/km dans le temps.</t>
  </si>
  <si>
    <t xml:space="preserve">   - Le tableau calcule la prochaine échéance, les km restants et l’état (OK / Bientôt / En retard).</t>
  </si>
  <si>
    <t>Date</t>
  </si>
  <si>
    <t>Mois</t>
  </si>
  <si>
    <t>Note</t>
  </si>
  <si>
    <t>Vidange huile + filtre</t>
  </si>
  <si>
    <t>Selon usage, 10-20k km</t>
  </si>
  <si>
    <t>Filtre à air</t>
  </si>
  <si>
    <t>Vérifier poussière / usage</t>
  </si>
  <si>
    <t>Filtre à carburant</t>
  </si>
  <si>
    <t>40-60k km selon modèle</t>
  </si>
  <si>
    <t>Bougies (si essence)/Préchauffage (diesel)</t>
  </si>
  <si>
    <t>Selon motorisation</t>
  </si>
  <si>
    <t>Liquide de frein (temps)</t>
  </si>
  <si>
    <t>Tous les 2 ans (suivi par date)</t>
  </si>
  <si>
    <t>Courroie de distribution</t>
  </si>
  <si>
    <t>Selon moteur et année</t>
  </si>
  <si>
    <t>Pneus (rotation/contrôle)</t>
  </si>
  <si>
    <t>Rotation conseillée 10k km</t>
  </si>
  <si>
    <t>Plaquettes de frein (contrôle)</t>
  </si>
  <si>
    <t>Selon usure réelle</t>
  </si>
  <si>
    <t>Kilométrage_actuel</t>
  </si>
  <si>
    <t>Km_restant</t>
  </si>
  <si>
    <t>Statut</t>
  </si>
  <si>
    <t>Tableau de Bord – Ford Transit</t>
  </si>
  <si>
    <t>Conso moyenne (L/100 km):</t>
  </si>
  <si>
    <t>Coût moyen par km:</t>
  </si>
  <si>
    <t>Dépense carburant (30 jours):</t>
  </si>
  <si>
    <t>Prochain entretien:</t>
  </si>
  <si>
    <t>Km restants:</t>
  </si>
  <si>
    <t>Aide Entretiens (ne pas modifier)</t>
  </si>
  <si>
    <t>Prochain_entretien</t>
  </si>
  <si>
    <t>Dépenses mensuelles carburant (12 mois)</t>
  </si>
  <si>
    <t>Total TND</t>
  </si>
  <si>
    <t>Conso moyenne L/100</t>
  </si>
  <si>
    <t>Valeur d'achat (TND)</t>
  </si>
  <si>
    <t>Valeur résiduelle estimée (TND)</t>
  </si>
  <si>
    <t>Durée (mois)</t>
  </si>
  <si>
    <t>Date de mise en service</t>
  </si>
  <si>
    <t>Amortissement mensuel</t>
  </si>
  <si>
    <t>Mois écoulés</t>
  </si>
  <si>
    <t>Amortissement cumulé</t>
  </si>
  <si>
    <t>Valeur nette comptable</t>
  </si>
  <si>
    <r>
      <rPr>
        <b/>
        <sz val="11"/>
        <color theme="1"/>
        <rFont val="Calibri"/>
        <family val="2"/>
        <scheme val="minor"/>
      </rPr>
      <t>1)</t>
    </r>
    <r>
      <rPr>
        <sz val="11"/>
        <color theme="1"/>
        <rFont val="Calibri"/>
        <family val="2"/>
        <scheme val="minor"/>
      </rPr>
      <t xml:space="preserve"> Feuille Carburant: saisissez chaque plein avec la date, le km compteur, la quantité et le prix/L.</t>
    </r>
  </si>
  <si>
    <r>
      <rPr>
        <b/>
        <sz val="11"/>
        <color theme="1"/>
        <rFont val="Calibri"/>
        <family val="2"/>
        <scheme val="minor"/>
      </rPr>
      <t>2)</t>
    </r>
    <r>
      <rPr>
        <sz val="11"/>
        <color theme="1"/>
        <rFont val="Calibri"/>
        <family val="2"/>
        <scheme val="minor"/>
      </rPr>
      <t xml:space="preserve"> Feuille Paramètres: adaptez les intervalles d’entretien selon votre Ford Transit.</t>
    </r>
  </si>
  <si>
    <r>
      <rPr>
        <b/>
        <sz val="11"/>
        <color theme="1"/>
        <rFont val="Calibri"/>
        <family val="2"/>
        <scheme val="minor"/>
      </rPr>
      <t>3)</t>
    </r>
    <r>
      <rPr>
        <sz val="11"/>
        <color theme="1"/>
        <rFont val="Calibri"/>
        <family val="2"/>
        <scheme val="minor"/>
      </rPr>
      <t xml:space="preserve"> Feuille Entretiens: indiquez le kilométrage actuel (cellule B2).</t>
    </r>
  </si>
  <si>
    <r>
      <rPr>
        <b/>
        <sz val="11"/>
        <color theme="1"/>
        <rFont val="Calibri"/>
        <family val="2"/>
        <scheme val="minor"/>
      </rPr>
      <t>4)</t>
    </r>
    <r>
      <rPr>
        <sz val="11"/>
        <color theme="1"/>
        <rFont val="Calibri"/>
        <family val="2"/>
        <scheme val="minor"/>
      </rPr>
      <t xml:space="preserve"> Tableau de Bord: résumé conso moyenne, coût, dépenses mensuelles et rappel du prochain entretien.</t>
    </r>
  </si>
  <si>
    <t>Km compteur</t>
  </si>
  <si>
    <t>Quantite L</t>
  </si>
  <si>
    <t>Prix par L</t>
  </si>
  <si>
    <t>Montant total</t>
  </si>
  <si>
    <t>Km parcourus</t>
  </si>
  <si>
    <t>Conso L 100km</t>
  </si>
  <si>
    <t>Cout par km</t>
  </si>
  <si>
    <t>Station Notes</t>
  </si>
  <si>
    <t>Type entretien</t>
  </si>
  <si>
    <t>Intervalle km</t>
  </si>
  <si>
    <t>Dernier a km</t>
  </si>
  <si>
    <t>Prochaine echeance km</t>
  </si>
  <si>
    <t>Km restant</t>
  </si>
  <si>
    <t>https://forum.excel-pratique.com/excel/aide-pour-introduire-un-vba-200375</t>
  </si>
  <si>
    <t>NumLigne</t>
  </si>
  <si>
    <t>Saisir les données dans le formulaire ci-dessus.</t>
  </si>
  <si>
    <t>Faire les modifs voules ou supprimer la ligne.</t>
  </si>
  <si>
    <t>En cas de besoin, pour modifier ou supprimer des données saisies, faire un double clic sur la ligne concernée dans l'onglet Carburant.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</si>
</sst>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0"/>
    <numFmt numFmtId="165" formatCode="#,##0.0"/>
    <numFmt numFmtId="166" formatCode="_-* #,##0.000\ &quot;DT&quot;_-;\-* #,##0.000\ &quot;DT&quot;_-;_-* &quot;-&quot;???\ &quot;DT&quot;_-;_-@_-"/>
    <numFmt numFmtId="167" formatCode="#,##0.00\ &quot;€&quot;"/>
    <numFmt numFmtId="168" formatCode="#,##0.000\ &quot;€&quot;"/>
    <numFmt numFmtId="169" formatCode="#,##0&quot; Km&quot;"/>
    <numFmt numFmtId="170" formatCode="#,##0.00&quot; L&quot;"/>
    <numFmt numFmtId="171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14" fontId="0" fillId="0" borderId="0" xfId="0" applyNumberFormat="1"/>
    <xf numFmtId="164" fontId="0" fillId="0" borderId="0" xfId="0" applyNumberFormat="1"/>
    <xf numFmtId="3" fontId="0" fillId="0" borderId="0" xfId="0" applyNumberFormat="1"/>
    <xf numFmtId="165" fontId="0" fillId="0" borderId="0" xfId="0" applyNumberFormat="1"/>
    <xf numFmtId="0" fontId="1" fillId="2" borderId="1" xfId="0" applyFont="1" applyFill="1" applyBorder="1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166" fontId="0" fillId="3" borderId="1" xfId="0" applyNumberFormat="1" applyFill="1" applyBorder="1" applyAlignment="1">
      <alignment horizontal="right" indent="1"/>
    </xf>
    <xf numFmtId="0" fontId="0" fillId="3" borderId="1" xfId="0" applyFill="1" applyBorder="1" applyAlignment="1">
      <alignment horizontal="right" indent="1"/>
    </xf>
    <xf numFmtId="14" fontId="0" fillId="3" borderId="1" xfId="0" applyNumberFormat="1" applyFill="1" applyBorder="1" applyAlignment="1">
      <alignment horizontal="right" indent="1"/>
    </xf>
    <xf numFmtId="3" fontId="0" fillId="3" borderId="1" xfId="0" applyNumberFormat="1" applyFill="1" applyBorder="1" applyAlignment="1">
      <alignment horizontal="right" indent="1"/>
    </xf>
    <xf numFmtId="3" fontId="0" fillId="0" borderId="0" xfId="0" applyNumberFormat="1" applyAlignment="1">
      <alignment horizontal="right" indent="2"/>
    </xf>
    <xf numFmtId="165" fontId="0" fillId="0" borderId="0" xfId="0" applyNumberFormat="1" applyAlignment="1">
      <alignment horizontal="right" indent="2"/>
    </xf>
    <xf numFmtId="164" fontId="0" fillId="0" borderId="0" xfId="0" applyNumberFormat="1" applyAlignment="1">
      <alignment horizontal="right" indent="2"/>
    </xf>
    <xf numFmtId="0" fontId="0" fillId="0" borderId="0" xfId="0" applyAlignment="1">
      <alignment horizontal="right" indent="2"/>
    </xf>
    <xf numFmtId="0" fontId="3" fillId="0" borderId="0" xfId="1"/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14" fontId="0" fillId="5" borderId="2" xfId="0" applyNumberFormat="1" applyFill="1" applyBorder="1" applyAlignment="1" applyProtection="1">
      <alignment horizontal="left" vertical="center"/>
      <protection locked="0"/>
    </xf>
    <xf numFmtId="169" fontId="0" fillId="5" borderId="2" xfId="0" applyNumberFormat="1" applyFill="1" applyBorder="1" applyAlignment="1" applyProtection="1">
      <alignment horizontal="left" vertical="center"/>
      <protection locked="0"/>
    </xf>
    <xf numFmtId="170" fontId="0" fillId="5" borderId="2" xfId="0" applyNumberFormat="1" applyFill="1" applyBorder="1" applyAlignment="1" applyProtection="1">
      <alignment horizontal="left" vertical="center"/>
      <protection locked="0"/>
    </xf>
    <xf numFmtId="167" fontId="0" fillId="5" borderId="2" xfId="0" applyNumberFormat="1" applyFill="1" applyBorder="1" applyAlignment="1" applyProtection="1">
      <alignment horizontal="left" vertical="center"/>
      <protection locked="0"/>
    </xf>
    <xf numFmtId="0" fontId="0" fillId="5" borderId="2" xfId="0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vertical="center"/>
    </xf>
    <xf numFmtId="0" fontId="4" fillId="4" borderId="0" xfId="0" applyFont="1" applyFill="1" applyAlignment="1">
      <alignment horizontal="right" vertical="center" indent="1"/>
    </xf>
    <xf numFmtId="171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right" vertical="center"/>
    </xf>
    <xf numFmtId="170" fontId="0" fillId="0" borderId="0" xfId="0" applyNumberFormat="1" applyAlignment="1">
      <alignment horizontal="right" vertical="center"/>
    </xf>
    <xf numFmtId="0" fontId="0" fillId="0" borderId="0" xfId="0" applyProtection="1">
      <protection locked="0"/>
    </xf>
    <xf numFmtId="14" fontId="0" fillId="6" borderId="0" xfId="0" applyNumberFormat="1" applyFill="1"/>
    <xf numFmtId="0" fontId="0" fillId="6" borderId="0" xfId="0" applyFill="1"/>
  </cellXfs>
  <cellStyles count="2">
    <cellStyle name="Lien hypertexte" xfId="1" builtinId="8"/>
    <cellStyle name="Normal" xfId="0" builtinId="0"/>
  </cellStyles>
  <dxfs count="28">
    <dxf>
      <font>
        <color rgb="FF9C0006"/>
      </font>
      <fill>
        <patternFill>
          <bgColor rgb="FFF8CBAD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alignment horizontal="left" vertical="bottom" textRotation="0" wrapText="0" relative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alignment horizontal="left" vertical="bottom" textRotation="0" wrapText="0" indent="1" justifyLastLine="0" shrinkToFit="0" readingOrder="0"/>
    </dxf>
    <dxf>
      <alignment horizontal="lef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numFmt numFmtId="171" formatCode="mmmm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8" formatCode="#,##0.000\ &quot;€&quot;"/>
      <alignment horizontal="right" vertical="center" textRotation="0" wrapText="0" indent="0" justifyLastLine="0" shrinkToFit="0" readingOrder="0"/>
    </dxf>
    <dxf>
      <numFmt numFmtId="170" formatCode="#,##0.00&quot; L&quot;"/>
      <alignment horizontal="right" vertical="center" textRotation="0" wrapText="0" indent="0" justifyLastLine="0" shrinkToFit="0" readingOrder="0"/>
    </dxf>
    <dxf>
      <numFmt numFmtId="169" formatCode="#,##0&quot; Km&quot;"/>
      <alignment horizontal="right" vertical="center" textRotation="0" wrapText="0" indent="0" justifyLastLine="0" shrinkToFit="0" readingOrder="0"/>
    </dxf>
    <dxf>
      <numFmt numFmtId="168" formatCode="#,##0.000\ &quot;€&quot;"/>
      <alignment horizontal="right" vertical="center" textRotation="0" wrapText="0" indent="0" justifyLastLine="0" shrinkToFit="0" readingOrder="0"/>
    </dxf>
    <dxf>
      <numFmt numFmtId="167" formatCode="#,##0.00\ &quot;€&quot;"/>
      <alignment horizontal="right" vertical="center" textRotation="0" wrapText="0" indent="0" justifyLastLine="0" shrinkToFit="0" readingOrder="0"/>
    </dxf>
    <dxf>
      <numFmt numFmtId="170" formatCode="#,##0.00&quot; L&quot;"/>
      <alignment horizontal="right" vertical="center" textRotation="0" wrapText="0" indent="0" justifyLastLine="0" shrinkToFit="0" readingOrder="0"/>
    </dxf>
    <dxf>
      <numFmt numFmtId="169" formatCode="#,##0&quot; Km&quot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Évolution Consommation (L/100km)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Consommation (L/100km)</c:v>
          </c:tx>
          <c:marker>
            <c:symbol val="none"/>
          </c:marker>
          <c:cat>
            <c:numRef>
              <c:f>Carburant!$B$3:$B$3</c:f>
              <c:numCache>
                <c:formatCode>m/d/yyyy</c:formatCode>
                <c:ptCount val="1"/>
              </c:numCache>
            </c:numRef>
          </c:cat>
          <c:val>
            <c:numRef>
              <c:f>Carburant!$H$3:$H$3</c:f>
              <c:numCache>
                <c:formatCode>#\ ##0.00" L"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13-47E3-98B8-CCE426F45C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10001"/>
        <c:axId val="50010002"/>
      </c:lineChart>
      <c:catAx>
        <c:axId val="50010001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50010002"/>
        <c:crosses val="autoZero"/>
        <c:auto val="1"/>
        <c:lblAlgn val="ctr"/>
        <c:lblOffset val="100"/>
        <c:noMultiLvlLbl val="1"/>
      </c:catAx>
      <c:valAx>
        <c:axId val="50010002"/>
        <c:scaling>
          <c:orientation val="minMax"/>
        </c:scaling>
        <c:delete val="0"/>
        <c:axPos val="l"/>
        <c:majorGridlines/>
        <c:numFmt formatCode="#\ ##0.00&quot; L&quot;" sourceLinked="1"/>
        <c:majorTickMark val="out"/>
        <c:minorTickMark val="none"/>
        <c:tickLblPos val="nextTo"/>
        <c:crossAx val="50010001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Évolution Coût/km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Coût par km</c:v>
          </c:tx>
          <c:marker>
            <c:symbol val="none"/>
          </c:marker>
          <c:cat>
            <c:numRef>
              <c:f>Carburant!$B$3:$B$3</c:f>
              <c:numCache>
                <c:formatCode>m/d/yyyy</c:formatCode>
                <c:ptCount val="1"/>
              </c:numCache>
            </c:numRef>
          </c:cat>
          <c:val>
            <c:numRef>
              <c:f>Carburant!$I$3:$I$3</c:f>
              <c:numCache>
                <c:formatCode>#\ ##0.000\ "€"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06-4A51-A8AB-28147DED9C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20001"/>
        <c:axId val="50020002"/>
      </c:lineChart>
      <c:catAx>
        <c:axId val="5002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overlay val="0"/>
        </c:title>
        <c:numFmt formatCode="m/d/yyyy" sourceLinked="1"/>
        <c:majorTickMark val="out"/>
        <c:minorTickMark val="none"/>
        <c:tickLblPos val="nextTo"/>
        <c:crossAx val="50020002"/>
        <c:crosses val="autoZero"/>
        <c:auto val="1"/>
        <c:lblAlgn val="ctr"/>
        <c:lblOffset val="100"/>
        <c:noMultiLvlLbl val="1"/>
      </c:catAx>
      <c:valAx>
        <c:axId val="50020002"/>
        <c:scaling>
          <c:orientation val="minMax"/>
        </c:scaling>
        <c:delete val="0"/>
        <c:axPos val="l"/>
        <c:majorGridlines/>
        <c:numFmt formatCode="#\ ##0.000\ &quot;€&quot;" sourceLinked="1"/>
        <c:majorTickMark val="out"/>
        <c:minorTickMark val="none"/>
        <c:tickLblPos val="nextTo"/>
        <c:crossAx val="50020001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Dépenses carburant – 12 derniers mois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Dépenses carburant</c:v>
          </c:tx>
          <c:invertIfNegative val="0"/>
          <c:val>
            <c:numRef>
              <c:f>Tableau de Bord!$B$21:$B$32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Tableau de Bord!$A$21:$A$32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A1F5-4AE2-8B9B-9E8C477D69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030001"/>
        <c:axId val="50030002"/>
      </c:barChart>
      <c:catAx>
        <c:axId val="5003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Mois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30002"/>
        <c:crosses val="autoZero"/>
        <c:auto val="1"/>
        <c:lblAlgn val="ctr"/>
        <c:lblOffset val="100"/>
        <c:noMultiLvlLbl val="0"/>
      </c:catAx>
      <c:valAx>
        <c:axId val="5003000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TND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30001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5</xdr:col>
      <xdr:colOff>215520</xdr:colOff>
      <xdr:row>4</xdr:row>
      <xdr:rowOff>105120</xdr:rowOff>
    </xdr:to>
    <xdr:sp macro="[0]!Ajout" textlink="">
      <xdr:nvSpPr>
        <xdr:cNvPr id="2" name="BtnValid">
          <a:extLst>
            <a:ext uri="{FF2B5EF4-FFF2-40B4-BE49-F238E27FC236}">
              <a16:creationId xmlns:a16="http://schemas.microsoft.com/office/drawing/2014/main" id="{DA1A3805-B309-4A61-BE20-0686DB2EDDB2}"/>
            </a:ext>
          </a:extLst>
        </xdr:cNvPr>
        <xdr:cNvSpPr/>
      </xdr:nvSpPr>
      <xdr:spPr>
        <a:xfrm>
          <a:off x="3025140" y="548640"/>
          <a:ext cx="1008000" cy="288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Validation</a:t>
          </a:r>
        </a:p>
      </xdr:txBody>
    </xdr:sp>
    <xdr:clientData/>
  </xdr:twoCellAnchor>
  <xdr:twoCellAnchor>
    <xdr:from>
      <xdr:col>5</xdr:col>
      <xdr:colOff>381000</xdr:colOff>
      <xdr:row>3</xdr:row>
      <xdr:rowOff>0</xdr:rowOff>
    </xdr:from>
    <xdr:to>
      <xdr:col>6</xdr:col>
      <xdr:colOff>596520</xdr:colOff>
      <xdr:row>4</xdr:row>
      <xdr:rowOff>105120</xdr:rowOff>
    </xdr:to>
    <xdr:sp macro="[0]!Feuil2.ModifyRecord" textlink="">
      <xdr:nvSpPr>
        <xdr:cNvPr id="3" name="BtnModif" hidden="1">
          <a:extLst>
            <a:ext uri="{FF2B5EF4-FFF2-40B4-BE49-F238E27FC236}">
              <a16:creationId xmlns:a16="http://schemas.microsoft.com/office/drawing/2014/main" id="{AB8B793A-AD7C-414C-AA87-46DF534A2720}"/>
            </a:ext>
          </a:extLst>
        </xdr:cNvPr>
        <xdr:cNvSpPr/>
      </xdr:nvSpPr>
      <xdr:spPr>
        <a:xfrm>
          <a:off x="4198620" y="548640"/>
          <a:ext cx="1008000" cy="288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Modification</a:t>
          </a:r>
        </a:p>
      </xdr:txBody>
    </xdr:sp>
    <xdr:clientData/>
  </xdr:twoCellAnchor>
  <xdr:twoCellAnchor>
    <xdr:from>
      <xdr:col>6</xdr:col>
      <xdr:colOff>762000</xdr:colOff>
      <xdr:row>3</xdr:row>
      <xdr:rowOff>0</xdr:rowOff>
    </xdr:from>
    <xdr:to>
      <xdr:col>8</xdr:col>
      <xdr:colOff>185040</xdr:colOff>
      <xdr:row>4</xdr:row>
      <xdr:rowOff>105120</xdr:rowOff>
    </xdr:to>
    <xdr:sp macro="[0]!Feuil2.SupprLigne" textlink="">
      <xdr:nvSpPr>
        <xdr:cNvPr id="4" name="BtnSuppr" hidden="1">
          <a:extLst>
            <a:ext uri="{FF2B5EF4-FFF2-40B4-BE49-F238E27FC236}">
              <a16:creationId xmlns:a16="http://schemas.microsoft.com/office/drawing/2014/main" id="{C1CFF0FD-C37C-4752-B47F-CA1579BE1391}"/>
            </a:ext>
          </a:extLst>
        </xdr:cNvPr>
        <xdr:cNvSpPr/>
      </xdr:nvSpPr>
      <xdr:spPr>
        <a:xfrm>
          <a:off x="5372100" y="548640"/>
          <a:ext cx="1008000" cy="288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Suppression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</xdr:colOff>
      <xdr:row>2</xdr:row>
      <xdr:rowOff>95250</xdr:rowOff>
    </xdr:from>
    <xdr:to>
      <xdr:col>11</xdr:col>
      <xdr:colOff>426720</xdr:colOff>
      <xdr:row>16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121920</xdr:colOff>
      <xdr:row>18</xdr:row>
      <xdr:rowOff>102870</xdr:rowOff>
    </xdr:from>
    <xdr:to>
      <xdr:col>11</xdr:col>
      <xdr:colOff>426720</xdr:colOff>
      <xdr:row>32</xdr:row>
      <xdr:rowOff>179070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121920</xdr:colOff>
      <xdr:row>34</xdr:row>
      <xdr:rowOff>95250</xdr:rowOff>
    </xdr:from>
    <xdr:to>
      <xdr:col>11</xdr:col>
      <xdr:colOff>426720</xdr:colOff>
      <xdr:row>48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Carburant" displayName="tblCarburant" ref="B2:K3" insertRow="1" totalsRowShown="0" headerRowDxfId="27" dataDxfId="26">
  <autoFilter ref="B2:K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0000000-0010-0000-0000-000001000000}" name="Date" dataDxfId="25"/>
    <tableColumn id="2" xr3:uid="{00000000-0010-0000-0000-000002000000}" name="Km compteur" dataDxfId="24"/>
    <tableColumn id="3" xr3:uid="{00000000-0010-0000-0000-000003000000}" name="Quantite L" dataDxfId="23"/>
    <tableColumn id="4" xr3:uid="{00000000-0010-0000-0000-000004000000}" name="Prix par L" dataDxfId="22"/>
    <tableColumn id="5" xr3:uid="{00000000-0010-0000-0000-000005000000}" name="Montant total" dataDxfId="21">
      <calculatedColumnFormula>tblCarburant[[#This Row],[Quantite L]]*tblCarburant[[#This Row],[Prix par L]]</calculatedColumnFormula>
    </tableColumn>
    <tableColumn id="6" xr3:uid="{00000000-0010-0000-0000-000006000000}" name="Km parcourus" dataDxfId="20">
      <calculatedColumnFormula>IFERROR(tblCarburant[[#This Row],[Km compteur]]-C2,"")</calculatedColumnFormula>
    </tableColumn>
    <tableColumn id="7" xr3:uid="{00000000-0010-0000-0000-000007000000}" name="Conso L 100km" dataDxfId="19">
      <calculatedColumnFormula>IFERROR(tblCarburant[[#This Row],[Quantite L]]/tblCarburant[[#This Row],[Km parcourus]]*100,"")</calculatedColumnFormula>
    </tableColumn>
    <tableColumn id="8" xr3:uid="{00000000-0010-0000-0000-000008000000}" name="Cout par km" dataDxfId="18">
      <calculatedColumnFormula>IFERROR(tblCarburant[[#This Row],[Montant total]]/tblCarburant[[#This Row],[Km parcourus]],"")</calculatedColumnFormula>
    </tableColumn>
    <tableColumn id="9" xr3:uid="{00000000-0010-0000-0000-000009000000}" name="Station Notes" dataDxfId="17"/>
    <tableColumn id="10" xr3:uid="{00000000-0010-0000-0000-00000A000000}" name="Mois" dataDxfId="16">
      <calculatedColumnFormula>IF(tblCarburant[[#This Row],[Date]]&lt;&gt;"",tblCarburant[[#This Row],[Date]],"")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Parametres" displayName="tblParametres" ref="B2:E10" totalsRowShown="0">
  <autoFilter ref="B2:E10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Type entretien" dataDxfId="15"/>
    <tableColumn id="2" xr3:uid="{00000000-0010-0000-0100-000002000000}" name="Intervalle km" dataDxfId="14"/>
    <tableColumn id="3" xr3:uid="{00000000-0010-0000-0100-000003000000}" name="Dernier a km" dataDxfId="13"/>
    <tableColumn id="4" xr3:uid="{00000000-0010-0000-0100-000004000000}" name="Note" dataDxfId="1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80E46BE-8382-4D7B-809D-C0EFA8799814}" name="t_NumLigne" displayName="t_NumLigne" ref="G2:G3" totalsRowShown="0">
  <autoFilter ref="G2:G3" xr:uid="{A80E46BE-8382-4D7B-809D-C0EFA8799814}">
    <filterColumn colId="0" hiddenButton="1"/>
  </autoFilter>
  <tableColumns count="1">
    <tableColumn id="1" xr3:uid="{BB85EA48-2278-4B89-BB2F-7FD61F4FDBE1}" name="NumLign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EFCDB8-BF32-4F91-B224-541C09E085F8}" name="Tableau3" displayName="Tableau3" ref="B4:G11" totalsRowShown="0" headerRowDxfId="11" headerRowBorderDxfId="10" tableBorderDxfId="9">
  <autoFilter ref="B4:G11" xr:uid="{CBEFCDB8-BF32-4F91-B224-541C09E085F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786F017-93D6-497E-84F2-85499C15EFED}" name="Type entretien" dataDxfId="8">
      <calculatedColumnFormula>IF(ROW()-3&lt;=ROWS(tblParametres[Type entretien]),INDEX(tblParametres[Type entretien],ROW()-3),"")</calculatedColumnFormula>
    </tableColumn>
    <tableColumn id="2" xr3:uid="{BDB5D1AB-38D2-4B95-B568-3EC764030815}" name="Intervalle km" dataDxfId="7"/>
    <tableColumn id="3" xr3:uid="{30A911D3-E467-4018-AC32-735447CF83F4}" name="Dernier a km" dataDxfId="6"/>
    <tableColumn id="4" xr3:uid="{2B8D2BEB-1546-49BE-83F6-F24B311A557A}" name="Prochaine echeance km" dataDxfId="5">
      <calculatedColumnFormula>IF(AND(C5&gt;0,D5&gt;=0),D5+C5,"")</calculatedColumnFormula>
    </tableColumn>
    <tableColumn id="5" xr3:uid="{D7FB73B5-C652-4154-8023-5ACF50016EE9}" name="Km restant" dataDxfId="4">
      <calculatedColumnFormula>IFERROR(IF(E5&gt;0,E5-$C$2,""),"")</calculatedColumnFormula>
    </tableColumn>
    <tableColumn id="6" xr3:uid="{D3404184-BD97-406D-A82B-2CE0909A6AE8}" name="Statut" dataDxfId="3">
      <calculatedColumnFormula>IF(F5="","",IF(F5&lt;=0,"En retard",IF(F5&lt;=1000,"Bientôt","OK")))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hyperlink" Target="https://forum.excel-pratique.com/excel/aide-pour-introduire-un-vba-200375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B13"/>
  <sheetViews>
    <sheetView showGridLines="0" workbookViewId="0">
      <selection activeCell="D4" sqref="D4"/>
    </sheetView>
  </sheetViews>
  <sheetFormatPr baseColWidth="10" defaultColWidth="9.109375" defaultRowHeight="14.4" x14ac:dyDescent="0.3"/>
  <cols>
    <col min="1" max="1" width="3.77734375" customWidth="1"/>
  </cols>
  <sheetData>
    <row r="2" spans="2:2" x14ac:dyDescent="0.3">
      <c r="B2" s="7" t="s">
        <v>0</v>
      </c>
    </row>
    <row r="4" spans="2:2" x14ac:dyDescent="0.3">
      <c r="B4" t="s">
        <v>45</v>
      </c>
    </row>
    <row r="5" spans="2:2" x14ac:dyDescent="0.3">
      <c r="B5" t="s">
        <v>1</v>
      </c>
    </row>
    <row r="6" spans="2:2" x14ac:dyDescent="0.3">
      <c r="B6" t="s">
        <v>2</v>
      </c>
    </row>
    <row r="8" spans="2:2" x14ac:dyDescent="0.3">
      <c r="B8" t="s">
        <v>46</v>
      </c>
    </row>
    <row r="10" spans="2:2" x14ac:dyDescent="0.3">
      <c r="B10" t="s">
        <v>47</v>
      </c>
    </row>
    <row r="11" spans="2:2" x14ac:dyDescent="0.3">
      <c r="B11" t="s">
        <v>3</v>
      </c>
    </row>
    <row r="13" spans="2:2" x14ac:dyDescent="0.3">
      <c r="B13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BD3FF-3F59-40A3-8785-F5B92B67B464}">
  <sheetPr codeName="Feuil8"/>
  <dimension ref="B1:J11"/>
  <sheetViews>
    <sheetView showGridLines="0" tabSelected="1" workbookViewId="0">
      <selection activeCell="C1" sqref="C1"/>
    </sheetView>
  </sheetViews>
  <sheetFormatPr baseColWidth="10" defaultRowHeight="14.4" x14ac:dyDescent="0.3"/>
  <cols>
    <col min="1" max="1" width="3.77734375" customWidth="1"/>
    <col min="2" max="2" width="15.77734375" customWidth="1"/>
    <col min="3" max="3" width="20.77734375" customWidth="1"/>
    <col min="4" max="4" width="3.77734375" customWidth="1"/>
  </cols>
  <sheetData>
    <row r="1" spans="2:10" x14ac:dyDescent="0.3">
      <c r="C1" s="37"/>
    </row>
    <row r="2" spans="2:10" x14ac:dyDescent="0.3">
      <c r="B2" s="33" t="s">
        <v>4</v>
      </c>
      <c r="C2" s="22"/>
    </row>
    <row r="3" spans="2:10" x14ac:dyDescent="0.3">
      <c r="B3" s="33" t="s">
        <v>49</v>
      </c>
      <c r="C3" s="23"/>
    </row>
    <row r="4" spans="2:10" x14ac:dyDescent="0.3">
      <c r="B4" s="33" t="s">
        <v>50</v>
      </c>
      <c r="C4" s="24"/>
    </row>
    <row r="5" spans="2:10" x14ac:dyDescent="0.3">
      <c r="B5" s="33" t="s">
        <v>51</v>
      </c>
      <c r="C5" s="25"/>
    </row>
    <row r="6" spans="2:10" x14ac:dyDescent="0.3">
      <c r="B6" s="33" t="s">
        <v>56</v>
      </c>
      <c r="C6" s="26"/>
    </row>
    <row r="9" spans="2:10" x14ac:dyDescent="0.3">
      <c r="B9" s="38" t="s">
        <v>64</v>
      </c>
      <c r="C9" s="39"/>
      <c r="D9" s="39"/>
      <c r="E9" s="39"/>
      <c r="F9" s="39"/>
      <c r="G9" s="39"/>
      <c r="H9" s="39"/>
      <c r="I9" s="39"/>
      <c r="J9" s="39"/>
    </row>
    <row r="10" spans="2:10" x14ac:dyDescent="0.3">
      <c r="B10" s="38" t="s">
        <v>66</v>
      </c>
      <c r="C10" s="39"/>
      <c r="D10" s="39"/>
      <c r="E10" s="39"/>
      <c r="F10" s="39"/>
      <c r="G10" s="39"/>
      <c r="H10" s="39"/>
      <c r="I10" s="39"/>
      <c r="J10" s="39"/>
    </row>
    <row r="11" spans="2:10" x14ac:dyDescent="0.3">
      <c r="B11" s="38" t="s">
        <v>65</v>
      </c>
      <c r="C11" s="39"/>
      <c r="D11" s="39"/>
      <c r="E11" s="39"/>
      <c r="F11" s="39"/>
      <c r="G11" s="39"/>
      <c r="H11" s="39"/>
      <c r="I11" s="39"/>
      <c r="J11" s="39"/>
    </row>
  </sheetData>
  <sheetProtection sheet="1" objects="1" scenarios="1" select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K11"/>
  <sheetViews>
    <sheetView showGridLines="0" workbookViewId="0">
      <selection activeCell="B3" sqref="B3"/>
    </sheetView>
  </sheetViews>
  <sheetFormatPr baseColWidth="10" defaultColWidth="9.109375" defaultRowHeight="14.4" x14ac:dyDescent="0.3"/>
  <cols>
    <col min="1" max="1" width="3.77734375" style="20" customWidth="1"/>
    <col min="2" max="2" width="13.77734375" style="20" customWidth="1"/>
    <col min="3" max="3" width="18.77734375" style="20" customWidth="1"/>
    <col min="4" max="9" width="14.77734375" style="20" customWidth="1"/>
    <col min="10" max="10" width="25.77734375" style="20" customWidth="1"/>
    <col min="11" max="11" width="15.44140625" style="20" customWidth="1"/>
    <col min="12" max="12" width="3.77734375" style="20" customWidth="1"/>
    <col min="13" max="16384" width="9.109375" style="20"/>
  </cols>
  <sheetData>
    <row r="1" spans="2:11" x14ac:dyDescent="0.3">
      <c r="C1" s="21"/>
    </row>
    <row r="2" spans="2:11" x14ac:dyDescent="0.3">
      <c r="B2" s="27" t="s">
        <v>4</v>
      </c>
      <c r="C2" s="27" t="s">
        <v>49</v>
      </c>
      <c r="D2" s="27" t="s">
        <v>50</v>
      </c>
      <c r="E2" s="27" t="s">
        <v>51</v>
      </c>
      <c r="F2" s="27" t="s">
        <v>52</v>
      </c>
      <c r="G2" s="27" t="s">
        <v>53</v>
      </c>
      <c r="H2" s="27" t="s">
        <v>54</v>
      </c>
      <c r="I2" s="27" t="s">
        <v>55</v>
      </c>
      <c r="J2" s="27" t="s">
        <v>56</v>
      </c>
      <c r="K2" s="27" t="s">
        <v>5</v>
      </c>
    </row>
    <row r="3" spans="2:11" x14ac:dyDescent="0.3">
      <c r="B3" s="28"/>
      <c r="C3" s="35"/>
      <c r="D3" s="36"/>
      <c r="E3" s="29"/>
      <c r="F3" s="30"/>
      <c r="G3" s="35"/>
      <c r="H3" s="36"/>
      <c r="I3" s="30"/>
      <c r="J3" s="31"/>
      <c r="K3" s="34"/>
    </row>
    <row r="8" spans="2:11" x14ac:dyDescent="0.3">
      <c r="B8" s="32"/>
    </row>
    <row r="9" spans="2:11" x14ac:dyDescent="0.3">
      <c r="B9" s="32"/>
    </row>
    <row r="10" spans="2:11" x14ac:dyDescent="0.3">
      <c r="B10" s="32"/>
    </row>
    <row r="11" spans="2:11" x14ac:dyDescent="0.3">
      <c r="B11" s="32"/>
    </row>
  </sheetData>
  <sheetProtection selectLockedCells="1"/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I10"/>
  <sheetViews>
    <sheetView showGridLines="0" workbookViewId="0">
      <selection activeCell="B19" sqref="B19"/>
    </sheetView>
  </sheetViews>
  <sheetFormatPr baseColWidth="10" defaultColWidth="9.109375" defaultRowHeight="14.4" x14ac:dyDescent="0.3"/>
  <cols>
    <col min="1" max="1" width="3.77734375" customWidth="1"/>
    <col min="2" max="2" width="36.6640625" bestFit="1" customWidth="1"/>
    <col min="3" max="4" width="16.6640625" customWidth="1"/>
    <col min="5" max="5" width="40.6640625" customWidth="1"/>
    <col min="6" max="6" width="3.77734375" customWidth="1"/>
    <col min="8" max="8" width="3.77734375" customWidth="1"/>
  </cols>
  <sheetData>
    <row r="2" spans="2:9" x14ac:dyDescent="0.3">
      <c r="B2" s="10" t="s">
        <v>57</v>
      </c>
      <c r="C2" s="8" t="s">
        <v>58</v>
      </c>
      <c r="D2" s="8" t="s">
        <v>59</v>
      </c>
      <c r="E2" s="10" t="s">
        <v>6</v>
      </c>
      <c r="G2" t="s">
        <v>63</v>
      </c>
      <c r="I2" s="19" t="s">
        <v>62</v>
      </c>
    </row>
    <row r="3" spans="2:9" x14ac:dyDescent="0.3">
      <c r="B3" s="10" t="s">
        <v>7</v>
      </c>
      <c r="C3" s="9">
        <v>10000</v>
      </c>
      <c r="D3" s="9">
        <v>20000</v>
      </c>
      <c r="E3" s="10" t="s">
        <v>8</v>
      </c>
    </row>
    <row r="4" spans="2:9" x14ac:dyDescent="0.3">
      <c r="B4" s="10" t="s">
        <v>9</v>
      </c>
      <c r="C4" s="9">
        <v>10000</v>
      </c>
      <c r="D4" s="9">
        <v>20000</v>
      </c>
      <c r="E4" s="10" t="s">
        <v>10</v>
      </c>
    </row>
    <row r="5" spans="2:9" x14ac:dyDescent="0.3">
      <c r="B5" s="10" t="s">
        <v>11</v>
      </c>
      <c r="C5" s="9">
        <v>40000</v>
      </c>
      <c r="D5" s="9">
        <v>0</v>
      </c>
      <c r="E5" s="10" t="s">
        <v>12</v>
      </c>
    </row>
    <row r="6" spans="2:9" x14ac:dyDescent="0.3">
      <c r="B6" s="10" t="s">
        <v>13</v>
      </c>
      <c r="C6" s="9">
        <v>40000</v>
      </c>
      <c r="D6" s="9">
        <v>0</v>
      </c>
      <c r="E6" s="10" t="s">
        <v>14</v>
      </c>
    </row>
    <row r="7" spans="2:9" x14ac:dyDescent="0.3">
      <c r="B7" s="10" t="s">
        <v>15</v>
      </c>
      <c r="C7" s="9">
        <v>0</v>
      </c>
      <c r="D7" s="9">
        <v>0</v>
      </c>
      <c r="E7" s="10" t="s">
        <v>16</v>
      </c>
    </row>
    <row r="8" spans="2:9" x14ac:dyDescent="0.3">
      <c r="B8" s="10" t="s">
        <v>17</v>
      </c>
      <c r="C8" s="9">
        <v>150000</v>
      </c>
      <c r="D8" s="9">
        <v>0</v>
      </c>
      <c r="E8" s="10" t="s">
        <v>18</v>
      </c>
    </row>
    <row r="9" spans="2:9" x14ac:dyDescent="0.3">
      <c r="B9" s="10" t="s">
        <v>19</v>
      </c>
      <c r="C9" s="9">
        <v>60000</v>
      </c>
      <c r="D9" s="9">
        <v>0</v>
      </c>
      <c r="E9" s="10" t="s">
        <v>20</v>
      </c>
    </row>
    <row r="10" spans="2:9" x14ac:dyDescent="0.3">
      <c r="B10" s="10" t="s">
        <v>21</v>
      </c>
      <c r="C10" s="9">
        <v>40000</v>
      </c>
      <c r="D10" s="9">
        <v>0</v>
      </c>
      <c r="E10" s="10" t="s">
        <v>22</v>
      </c>
    </row>
  </sheetData>
  <hyperlinks>
    <hyperlink ref="I2" r:id="rId1" xr:uid="{4EC1E30A-4AAF-4186-B8CA-7BCC817C6DB5}"/>
  </hyperlinks>
  <pageMargins left="0.7" right="0.7" top="0.75" bottom="0.75" header="0.3" footer="0.3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G11"/>
  <sheetViews>
    <sheetView showGridLines="0" workbookViewId="0">
      <selection activeCell="C2" sqref="C2"/>
    </sheetView>
  </sheetViews>
  <sheetFormatPr baseColWidth="10" defaultColWidth="9.109375" defaultRowHeight="14.4" x14ac:dyDescent="0.3"/>
  <cols>
    <col min="1" max="1" width="3.77734375" customWidth="1"/>
    <col min="2" max="2" width="35.21875" bestFit="1" customWidth="1"/>
    <col min="3" max="4" width="22.6640625" customWidth="1"/>
    <col min="5" max="5" width="24" customWidth="1"/>
    <col min="6" max="7" width="22.6640625" customWidth="1"/>
  </cols>
  <sheetData>
    <row r="2" spans="2:7" x14ac:dyDescent="0.3">
      <c r="B2" s="5" t="s">
        <v>23</v>
      </c>
      <c r="C2" s="3">
        <v>25000</v>
      </c>
    </row>
    <row r="4" spans="2:7" x14ac:dyDescent="0.3">
      <c r="B4" s="10" t="s">
        <v>57</v>
      </c>
      <c r="C4" s="8" t="s">
        <v>58</v>
      </c>
      <c r="D4" s="8" t="s">
        <v>59</v>
      </c>
      <c r="E4" s="8" t="s">
        <v>60</v>
      </c>
      <c r="F4" s="8" t="s">
        <v>61</v>
      </c>
      <c r="G4" s="10" t="s">
        <v>25</v>
      </c>
    </row>
    <row r="5" spans="2:7" x14ac:dyDescent="0.3">
      <c r="B5" s="10" t="str">
        <f>IF(ROW()-3&lt;=ROWS(tblParametres[Type entretien]),INDEX(tblParametres[Type entretien],ROW()-3),"")</f>
        <v>Filtre à air</v>
      </c>
      <c r="C5" s="9">
        <f>Paramètres!C3</f>
        <v>10000</v>
      </c>
      <c r="D5" s="9">
        <v>20000</v>
      </c>
      <c r="E5" s="9">
        <f t="shared" ref="E5:E11" si="0">IF(AND(C5&gt;0,D5&gt;=0),D5+C5,"")</f>
        <v>30000</v>
      </c>
      <c r="F5" s="9">
        <f t="shared" ref="F5:F11" si="1">IFERROR(IF(E5&gt;0,E5-$C$2,""),"")</f>
        <v>5000</v>
      </c>
      <c r="G5" s="10" t="str">
        <f t="shared" ref="G5:G11" si="2">IF(F5="","",IF(F5&lt;=0,"En retard",IF(F5&lt;=1000,"Bientôt","OK")))</f>
        <v>OK</v>
      </c>
    </row>
    <row r="6" spans="2:7" x14ac:dyDescent="0.3">
      <c r="B6" s="10" t="str">
        <f>IF(ROW()-3&lt;=ROWS(tblParametres[Type entretien]),INDEX(tblParametres[Type entretien],ROW()-3),"")</f>
        <v>Filtre à carburant</v>
      </c>
      <c r="C6" s="9">
        <f>Paramètres!C4</f>
        <v>10000</v>
      </c>
      <c r="D6" s="9">
        <v>20000</v>
      </c>
      <c r="E6" s="9">
        <f t="shared" si="0"/>
        <v>30000</v>
      </c>
      <c r="F6" s="9">
        <f t="shared" si="1"/>
        <v>5000</v>
      </c>
      <c r="G6" s="10" t="str">
        <f t="shared" si="2"/>
        <v>OK</v>
      </c>
    </row>
    <row r="7" spans="2:7" x14ac:dyDescent="0.3">
      <c r="B7" s="10" t="str">
        <f>IF(ROW()-3&lt;=ROWS(tblParametres[Type entretien]),INDEX(tblParametres[Type entretien],ROW()-3),"")</f>
        <v>Bougies (si essence)/Préchauffage (diesel)</v>
      </c>
      <c r="C7" s="9">
        <f>Paramètres!C5</f>
        <v>40000</v>
      </c>
      <c r="D7" s="9">
        <v>0</v>
      </c>
      <c r="E7" s="9">
        <f t="shared" si="0"/>
        <v>40000</v>
      </c>
      <c r="F7" s="9">
        <f t="shared" si="1"/>
        <v>15000</v>
      </c>
      <c r="G7" s="10" t="str">
        <f t="shared" si="2"/>
        <v>OK</v>
      </c>
    </row>
    <row r="8" spans="2:7" x14ac:dyDescent="0.3">
      <c r="B8" s="10" t="str">
        <f>IF(ROW()-3&lt;=ROWS(tblParametres[Type entretien]),INDEX(tblParametres[Type entretien],ROW()-3),"")</f>
        <v>Liquide de frein (temps)</v>
      </c>
      <c r="C8" s="9">
        <f>Paramètres!C6</f>
        <v>40000</v>
      </c>
      <c r="D8" s="9">
        <v>0</v>
      </c>
      <c r="E8" s="9">
        <f t="shared" si="0"/>
        <v>40000</v>
      </c>
      <c r="F8" s="9">
        <f t="shared" si="1"/>
        <v>15000</v>
      </c>
      <c r="G8" s="10" t="str">
        <f t="shared" si="2"/>
        <v>OK</v>
      </c>
    </row>
    <row r="9" spans="2:7" x14ac:dyDescent="0.3">
      <c r="B9" s="10" t="str">
        <f>IF(ROW()-3&lt;=ROWS(tblParametres[Type entretien]),INDEX(tblParametres[Type entretien],ROW()-3),"")</f>
        <v>Courroie de distribution</v>
      </c>
      <c r="C9" s="9">
        <v>100000</v>
      </c>
      <c r="D9" s="9">
        <v>0</v>
      </c>
      <c r="E9" s="9">
        <f t="shared" si="0"/>
        <v>100000</v>
      </c>
      <c r="F9" s="9">
        <f t="shared" si="1"/>
        <v>75000</v>
      </c>
      <c r="G9" s="10" t="str">
        <f t="shared" si="2"/>
        <v>OK</v>
      </c>
    </row>
    <row r="10" spans="2:7" x14ac:dyDescent="0.3">
      <c r="B10" s="10" t="str">
        <f>IF(ROW()-3&lt;=ROWS(tblParametres[Type entretien]),INDEX(tblParametres[Type entretien],ROW()-3),"")</f>
        <v>Pneus (rotation/contrôle)</v>
      </c>
      <c r="C10" s="9">
        <f>Paramètres!C8</f>
        <v>150000</v>
      </c>
      <c r="D10" s="9">
        <v>0</v>
      </c>
      <c r="E10" s="9">
        <f t="shared" si="0"/>
        <v>150000</v>
      </c>
      <c r="F10" s="9">
        <f t="shared" si="1"/>
        <v>125000</v>
      </c>
      <c r="G10" s="10" t="str">
        <f t="shared" si="2"/>
        <v>OK</v>
      </c>
    </row>
    <row r="11" spans="2:7" x14ac:dyDescent="0.3">
      <c r="B11" s="10" t="str">
        <f>IF(ROW()-3&lt;=ROWS(tblParametres[Type entretien]),INDEX(tblParametres[Type entretien],ROW()-3),"")</f>
        <v>Plaquettes de frein (contrôle)</v>
      </c>
      <c r="C11" s="9">
        <f>Paramètres!C9</f>
        <v>60000</v>
      </c>
      <c r="D11" s="9">
        <v>0</v>
      </c>
      <c r="E11" s="9">
        <f t="shared" si="0"/>
        <v>60000</v>
      </c>
      <c r="F11" s="9">
        <f t="shared" si="1"/>
        <v>35000</v>
      </c>
      <c r="G11" s="10" t="str">
        <f t="shared" si="2"/>
        <v>OK</v>
      </c>
    </row>
  </sheetData>
  <conditionalFormatting sqref="G5:G29">
    <cfRule type="expression" dxfId="2" priority="1">
      <formula>$G5="OK"</formula>
    </cfRule>
    <cfRule type="expression" dxfId="1" priority="2">
      <formula>$G5="Bientôt"</formula>
    </cfRule>
    <cfRule type="expression" dxfId="0" priority="3">
      <formula>$G5="En retard"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8C3E2-214C-4492-B8D1-6B8716957FBF}">
  <sheetPr codeName="Feuil6"/>
  <dimension ref="B2:C10"/>
  <sheetViews>
    <sheetView showGridLines="0" workbookViewId="0">
      <selection activeCell="E3" sqref="E3"/>
    </sheetView>
  </sheetViews>
  <sheetFormatPr baseColWidth="10" defaultColWidth="9.109375" defaultRowHeight="14.4" x14ac:dyDescent="0.3"/>
  <cols>
    <col min="1" max="1" width="3.77734375" customWidth="1"/>
    <col min="2" max="2" width="30" bestFit="1" customWidth="1"/>
    <col min="3" max="3" width="16.33203125" bestFit="1" customWidth="1"/>
  </cols>
  <sheetData>
    <row r="2" spans="2:3" x14ac:dyDescent="0.3">
      <c r="B2" s="5" t="s">
        <v>37</v>
      </c>
      <c r="C2" s="11">
        <v>130000</v>
      </c>
    </row>
    <row r="3" spans="2:3" x14ac:dyDescent="0.3">
      <c r="B3" s="5" t="s">
        <v>38</v>
      </c>
      <c r="C3" s="11">
        <v>26000</v>
      </c>
    </row>
    <row r="4" spans="2:3" x14ac:dyDescent="0.3">
      <c r="B4" s="5" t="s">
        <v>39</v>
      </c>
      <c r="C4" s="12">
        <v>60</v>
      </c>
    </row>
    <row r="5" spans="2:3" x14ac:dyDescent="0.3">
      <c r="B5" s="5" t="s">
        <v>40</v>
      </c>
      <c r="C5" s="13">
        <v>45658</v>
      </c>
    </row>
    <row r="7" spans="2:3" x14ac:dyDescent="0.3">
      <c r="B7" s="5" t="s">
        <v>41</v>
      </c>
      <c r="C7" s="11">
        <f>(C2-C3)/C4</f>
        <v>1733.3333333333333</v>
      </c>
    </row>
    <row r="8" spans="2:3" x14ac:dyDescent="0.3">
      <c r="B8" s="5" t="s">
        <v>42</v>
      </c>
      <c r="C8" s="14">
        <f ca="1">DATEDIF(C5,TODAY(),"m")</f>
        <v>7</v>
      </c>
    </row>
    <row r="9" spans="2:3" x14ac:dyDescent="0.3">
      <c r="B9" s="5" t="s">
        <v>43</v>
      </c>
      <c r="C9" s="11">
        <f ca="1">MIN(C4,C8)*C7</f>
        <v>12133.333333333332</v>
      </c>
    </row>
    <row r="10" spans="2:3" x14ac:dyDescent="0.3">
      <c r="B10" s="5" t="s">
        <v>44</v>
      </c>
      <c r="C10" s="11">
        <f ca="1">C2-C9</f>
        <v>117866.66666666667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2:D33"/>
  <sheetViews>
    <sheetView showGridLines="0" workbookViewId="0">
      <selection activeCell="D2" sqref="D2"/>
    </sheetView>
  </sheetViews>
  <sheetFormatPr baseColWidth="10" defaultColWidth="9.109375" defaultRowHeight="14.4" x14ac:dyDescent="0.3"/>
  <cols>
    <col min="1" max="1" width="3.77734375" customWidth="1"/>
    <col min="2" max="2" width="35.6640625" customWidth="1"/>
    <col min="3" max="3" width="13.77734375" customWidth="1"/>
    <col min="4" max="4" width="20.5546875" bestFit="1" customWidth="1"/>
  </cols>
  <sheetData>
    <row r="2" spans="2:3" ht="18" x14ac:dyDescent="0.35">
      <c r="B2" s="6" t="s">
        <v>26</v>
      </c>
    </row>
    <row r="4" spans="2:3" x14ac:dyDescent="0.3">
      <c r="B4" s="5" t="s">
        <v>27</v>
      </c>
      <c r="C4" s="16" t="str">
        <f>IFERROR(AVERAGEIF(tblCarburant[Conso L 100km],"&gt;0",tblCarburant[Conso L 100km]),"")</f>
        <v/>
      </c>
    </row>
    <row r="5" spans="2:3" x14ac:dyDescent="0.3">
      <c r="B5" s="5" t="s">
        <v>28</v>
      </c>
      <c r="C5" s="17" t="str">
        <f>IFERROR(AVERAGEIF(tblCarburant[Cout par km],"&gt;0",tblCarburant[Cout par km]),"")</f>
        <v/>
      </c>
    </row>
    <row r="6" spans="2:3" x14ac:dyDescent="0.3">
      <c r="B6" s="5" t="s">
        <v>29</v>
      </c>
      <c r="C6" s="17">
        <f ca="1">SUMIFS(tblCarburant[Montant total],tblCarburant[Date],"&gt;="&amp;TODAY()-30)</f>
        <v>0</v>
      </c>
    </row>
    <row r="7" spans="2:3" x14ac:dyDescent="0.3">
      <c r="B7" s="5" t="s">
        <v>30</v>
      </c>
      <c r="C7" s="18">
        <f ca="1">IFERROR(INDEX(B12:B111,MATCH(SMALL(C12:C111,1),C12:C111,0)),"")</f>
        <v>45900</v>
      </c>
    </row>
    <row r="8" spans="2:3" x14ac:dyDescent="0.3">
      <c r="B8" s="5" t="s">
        <v>31</v>
      </c>
      <c r="C8" s="15">
        <f ca="1">IFERROR(SMALL(C12:C111,1),"")</f>
        <v>0</v>
      </c>
    </row>
    <row r="10" spans="2:3" x14ac:dyDescent="0.3">
      <c r="B10" s="5" t="s">
        <v>32</v>
      </c>
    </row>
    <row r="11" spans="2:3" x14ac:dyDescent="0.3">
      <c r="B11" s="5" t="s">
        <v>33</v>
      </c>
      <c r="C11" s="5" t="s">
        <v>24</v>
      </c>
    </row>
    <row r="12" spans="2:3" x14ac:dyDescent="0.3">
      <c r="B12" t="str">
        <f>IF(Entretiens!G5&lt;&gt;"",Entretiens!B5,"")</f>
        <v>Filtre à air</v>
      </c>
      <c r="C12" s="9">
        <f>IF(Entretiens!F5&gt;0,Entretiens!F5,"")</f>
        <v>5000</v>
      </c>
    </row>
    <row r="13" spans="2:3" x14ac:dyDescent="0.3">
      <c r="B13" t="str">
        <f>IF(Entretiens!G6&lt;&gt;"",Entretiens!B6,"")</f>
        <v>Filtre à carburant</v>
      </c>
      <c r="C13" s="9">
        <f>IF(Entretiens!F6&gt;0,Entretiens!F6,"")</f>
        <v>5000</v>
      </c>
    </row>
    <row r="14" spans="2:3" x14ac:dyDescent="0.3">
      <c r="B14" t="str">
        <f>IF(Entretiens!G7&lt;&gt;"",Entretiens!B7,"")</f>
        <v>Bougies (si essence)/Préchauffage (diesel)</v>
      </c>
      <c r="C14" s="9">
        <f>IF(Entretiens!F7&gt;0,Entretiens!F7,"")</f>
        <v>15000</v>
      </c>
    </row>
    <row r="15" spans="2:3" x14ac:dyDescent="0.3">
      <c r="B15" t="str">
        <f>IF(Entretiens!G8&lt;&gt;"",Entretiens!B8,"")</f>
        <v>Liquide de frein (temps)</v>
      </c>
      <c r="C15" s="9">
        <f>IF(Entretiens!F8&gt;0,Entretiens!F8,"")</f>
        <v>15000</v>
      </c>
    </row>
    <row r="16" spans="2:3" x14ac:dyDescent="0.3">
      <c r="B16" t="str">
        <f>IF(Entretiens!G9&lt;&gt;"",Entretiens!B9,"")</f>
        <v>Courroie de distribution</v>
      </c>
      <c r="C16" s="9">
        <f>IF(Entretiens!F9&gt;0,Entretiens!F9,"")</f>
        <v>75000</v>
      </c>
    </row>
    <row r="17" spans="2:4" x14ac:dyDescent="0.3">
      <c r="B17" t="str">
        <f>IF(Entretiens!G10&lt;&gt;"",Entretiens!B10,"")</f>
        <v>Pneus (rotation/contrôle)</v>
      </c>
      <c r="C17" s="9">
        <f>IF(Entretiens!F10&gt;0,Entretiens!F10,"")</f>
        <v>125000</v>
      </c>
    </row>
    <row r="18" spans="2:4" x14ac:dyDescent="0.3">
      <c r="B18" t="str">
        <f>IF(Entretiens!G11&lt;&gt;"",Entretiens!B11,"")</f>
        <v>Plaquettes de frein (contrôle)</v>
      </c>
      <c r="C18" s="9">
        <f>IF(Entretiens!F11&gt;0,Entretiens!F11,"")</f>
        <v>35000</v>
      </c>
    </row>
    <row r="20" spans="2:4" x14ac:dyDescent="0.3">
      <c r="B20" s="5" t="s">
        <v>34</v>
      </c>
    </row>
    <row r="21" spans="2:4" x14ac:dyDescent="0.3">
      <c r="B21" s="5" t="s">
        <v>5</v>
      </c>
      <c r="C21" s="5" t="s">
        <v>35</v>
      </c>
      <c r="D21" s="5" t="s">
        <v>36</v>
      </c>
    </row>
    <row r="22" spans="2:4" x14ac:dyDescent="0.3">
      <c r="B22" s="1">
        <f ca="1">EOMONTH(TODAY(),0)</f>
        <v>45900</v>
      </c>
      <c r="C22" s="2">
        <f ca="1">SUMIFS(tblCarburant[Montant total],tblCarburant[Mois],B22)</f>
        <v>0</v>
      </c>
      <c r="D22" s="4" t="str">
        <f ca="1">IFERROR(AVERAGEIFS(tblCarburant[Conso L 100km],tblCarburant[Mois],B22),"")</f>
        <v/>
      </c>
    </row>
    <row r="23" spans="2:4" x14ac:dyDescent="0.3">
      <c r="B23" s="1">
        <f ca="1">EOMONTH(TODAY(),-1)</f>
        <v>45869</v>
      </c>
      <c r="C23" s="2">
        <f ca="1">SUMIFS(tblCarburant[Montant total],tblCarburant[Mois],B23)</f>
        <v>0</v>
      </c>
      <c r="D23" s="4" t="str">
        <f ca="1">IFERROR(AVERAGEIFS(tblCarburant[Conso L 100km],tblCarburant[Mois],B23),"")</f>
        <v/>
      </c>
    </row>
    <row r="24" spans="2:4" x14ac:dyDescent="0.3">
      <c r="B24" s="1">
        <f ca="1">EOMONTH(TODAY(),-2)</f>
        <v>45838</v>
      </c>
      <c r="C24" s="2">
        <f ca="1">SUMIFS(tblCarburant[Montant total],tblCarburant[Mois],B24)</f>
        <v>0</v>
      </c>
      <c r="D24" s="4" t="str">
        <f ca="1">IFERROR(AVERAGEIFS(tblCarburant[Conso L 100km],tblCarburant[Mois],B24),"")</f>
        <v/>
      </c>
    </row>
    <row r="25" spans="2:4" x14ac:dyDescent="0.3">
      <c r="B25" s="1">
        <f ca="1">EOMONTH(TODAY(),-3)</f>
        <v>45808</v>
      </c>
      <c r="C25" s="2">
        <f ca="1">SUMIFS(tblCarburant[Montant total],tblCarburant[Mois],B25)</f>
        <v>0</v>
      </c>
      <c r="D25" s="4" t="str">
        <f ca="1">IFERROR(AVERAGEIFS(tblCarburant[Conso L 100km],tblCarburant[Mois],B25),"")</f>
        <v/>
      </c>
    </row>
    <row r="26" spans="2:4" x14ac:dyDescent="0.3">
      <c r="B26" s="1">
        <f ca="1">EOMONTH(TODAY(),-4)</f>
        <v>45777</v>
      </c>
      <c r="C26" s="2">
        <f ca="1">SUMIFS(tblCarburant[Montant total],tblCarburant[Mois],B26)</f>
        <v>0</v>
      </c>
      <c r="D26" s="4" t="str">
        <f ca="1">IFERROR(AVERAGEIFS(tblCarburant[Conso L 100km],tblCarburant[Mois],B26),"")</f>
        <v/>
      </c>
    </row>
    <row r="27" spans="2:4" x14ac:dyDescent="0.3">
      <c r="B27" s="1">
        <f ca="1">EOMONTH(TODAY(),-5)</f>
        <v>45747</v>
      </c>
      <c r="C27" s="2">
        <f ca="1">SUMIFS(tblCarburant[Montant total],tblCarburant[Mois],B27)</f>
        <v>0</v>
      </c>
      <c r="D27" s="4" t="str">
        <f ca="1">IFERROR(AVERAGEIFS(tblCarburant[Conso L 100km],tblCarburant[Mois],B27),"")</f>
        <v/>
      </c>
    </row>
    <row r="28" spans="2:4" x14ac:dyDescent="0.3">
      <c r="B28" s="1">
        <f ca="1">EOMONTH(TODAY(),-6)</f>
        <v>45716</v>
      </c>
      <c r="C28" s="2">
        <f ca="1">SUMIFS(tblCarburant[Montant total],tblCarburant[Mois],B28)</f>
        <v>0</v>
      </c>
      <c r="D28" s="4" t="str">
        <f ca="1">IFERROR(AVERAGEIFS(tblCarburant[Conso L 100km],tblCarburant[Mois],B28),"")</f>
        <v/>
      </c>
    </row>
    <row r="29" spans="2:4" x14ac:dyDescent="0.3">
      <c r="B29" s="1">
        <f ca="1">EOMONTH(TODAY(),-7)</f>
        <v>45688</v>
      </c>
      <c r="C29" s="2">
        <f ca="1">SUMIFS(tblCarburant[Montant total],tblCarburant[Mois],B29)</f>
        <v>0</v>
      </c>
      <c r="D29" s="4" t="str">
        <f ca="1">IFERROR(AVERAGEIFS(tblCarburant[Conso L 100km],tblCarburant[Mois],B29),"")</f>
        <v/>
      </c>
    </row>
    <row r="30" spans="2:4" x14ac:dyDescent="0.3">
      <c r="B30" s="1">
        <f ca="1">EOMONTH(TODAY(),-8)</f>
        <v>45657</v>
      </c>
      <c r="C30" s="2">
        <f ca="1">SUMIFS(tblCarburant[Montant total],tblCarburant[Mois],B30)</f>
        <v>0</v>
      </c>
      <c r="D30" s="4" t="str">
        <f ca="1">IFERROR(AVERAGEIFS(tblCarburant[Conso L 100km],tblCarburant[Mois],B30),"")</f>
        <v/>
      </c>
    </row>
    <row r="31" spans="2:4" x14ac:dyDescent="0.3">
      <c r="B31" s="1">
        <f ca="1">EOMONTH(TODAY(),-9)</f>
        <v>45626</v>
      </c>
      <c r="C31" s="2">
        <f ca="1">SUMIFS(tblCarburant[Montant total],tblCarburant[Mois],B31)</f>
        <v>0</v>
      </c>
      <c r="D31" s="4" t="str">
        <f ca="1">IFERROR(AVERAGEIFS(tblCarburant[Conso L 100km],tblCarburant[Mois],B31),"")</f>
        <v/>
      </c>
    </row>
    <row r="32" spans="2:4" x14ac:dyDescent="0.3">
      <c r="B32" s="1">
        <f ca="1">EOMONTH(TODAY(),-10)</f>
        <v>45596</v>
      </c>
      <c r="C32" s="2">
        <f ca="1">SUMIFS(tblCarburant[Montant total],tblCarburant[Mois],B32)</f>
        <v>0</v>
      </c>
      <c r="D32" s="4" t="str">
        <f ca="1">IFERROR(AVERAGEIFS(tblCarburant[Conso L 100km],tblCarburant[Mois],B32),"")</f>
        <v/>
      </c>
    </row>
    <row r="33" spans="2:4" x14ac:dyDescent="0.3">
      <c r="B33" s="1">
        <f ca="1">EOMONTH(TODAY(),-11)</f>
        <v>45565</v>
      </c>
      <c r="C33" s="2">
        <f ca="1">SUMIFS(tblCarburant[Montant total],tblCarburant[Mois],B33)</f>
        <v>0</v>
      </c>
      <c r="D33" s="4" t="str">
        <f ca="1">IFERROR(AVERAGEIFS(tblCarburant[Conso L 100km],tblCarburant[Mois],B33),"")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lire</vt:lpstr>
      <vt:lpstr>Formulaire</vt:lpstr>
      <vt:lpstr>Carburant</vt:lpstr>
      <vt:lpstr>Paramètres</vt:lpstr>
      <vt:lpstr>Entretiens</vt:lpstr>
      <vt:lpstr>Amortissement</vt:lpstr>
      <vt:lpstr>Tableau de Bord</vt:lpstr>
      <vt:lpstr>_NL</vt:lpstr>
      <vt:lpstr>frmDate</vt:lpstr>
      <vt:lpstr>frmKm</vt:lpstr>
      <vt:lpstr>frmPrix</vt:lpstr>
      <vt:lpstr>frmQte</vt:lpstr>
      <vt:lpstr>frmStation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bah</dc:creator>
  <cp:lastModifiedBy>Damaste .</cp:lastModifiedBy>
  <dcterms:created xsi:type="dcterms:W3CDTF">2025-08-19T08:25:55Z</dcterms:created>
  <dcterms:modified xsi:type="dcterms:W3CDTF">2025-08-20T16:57:20Z</dcterms:modified>
</cp:coreProperties>
</file>