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7A153DC9-28F5-4FE0-9DFB-6BB500C1AE3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5" sheetId="3" r:id="rId1"/>
    <sheet name="Feuil1" sheetId="4" r:id="rId2"/>
  </sheets>
  <definedNames>
    <definedName name="DonnéesExternes_1" localSheetId="0" hidden="1">'2025'!#REF!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3" l="1"/>
  <c r="H9" i="3"/>
  <c r="J9" i="3" s="1"/>
  <c r="K9" i="3" s="1"/>
  <c r="N9" i="3" l="1"/>
  <c r="L9" i="3"/>
  <c r="M9" i="3"/>
  <c r="O9" i="3"/>
  <c r="D7" i="3"/>
  <c r="D6" i="3"/>
  <c r="D8" i="3"/>
  <c r="L17" i="3" s="1"/>
  <c r="J8" i="3"/>
  <c r="K8" i="3" s="1"/>
  <c r="J7" i="3"/>
  <c r="K7" i="3" s="1"/>
  <c r="F11" i="3"/>
  <c r="H6" i="3"/>
  <c r="J6" i="3" s="1"/>
  <c r="K6" i="3" s="1"/>
  <c r="L16" i="3" l="1"/>
  <c r="N8" i="3"/>
  <c r="O8" i="3"/>
  <c r="M8" i="3"/>
  <c r="N17" i="3" s="1" a="1"/>
  <c r="N17" i="3" s="1"/>
  <c r="L8" i="3"/>
  <c r="M17" i="3" s="1" a="1"/>
  <c r="M17" i="3" s="1"/>
  <c r="L7" i="3"/>
  <c r="M7" i="3"/>
  <c r="N16" i="3" s="1" a="1"/>
  <c r="N16" i="3" s="1"/>
  <c r="O7" i="3"/>
  <c r="N7" i="3"/>
  <c r="O16" i="3" l="1" a="1"/>
  <c r="O16" i="3" s="1"/>
  <c r="O17" i="3" a="1"/>
  <c r="O17" i="3" s="1"/>
  <c r="M16" i="3" a="1"/>
  <c r="M16" i="3" s="1"/>
  <c r="K11" i="3"/>
  <c r="O6" i="3"/>
  <c r="O15" i="3" s="1" a="1"/>
  <c r="O15" i="3" s="1"/>
  <c r="M6" i="3"/>
  <c r="M15" i="3" s="1" a="1"/>
  <c r="M15" i="3" s="1"/>
  <c r="N6" i="3"/>
  <c r="N15" i="3" s="1" a="1"/>
  <c r="N15" i="3" s="1"/>
  <c r="L6" i="3"/>
  <c r="L15" i="3" s="1"/>
  <c r="M11" i="3" l="1"/>
  <c r="N11" i="3"/>
  <c r="O11" i="3"/>
  <c r="L1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D10219-F55D-4AFF-885A-D0BF8ED9C987}" keepAlive="1" name="Requête - Placement" description="Connexion à la requête « Placement » dans le classeur." type="5" refreshedVersion="0" background="1">
    <dbPr connection="Provider=Microsoft.Mashup.OleDb.1;Data Source=$Workbook$;Location=Placement;Extended Properties=&quot;&quot;" command="SELECT * FROM [Placement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<sst xmlns="http://schemas.openxmlformats.org/spreadsheetml/2006/main" count="28" uniqueCount="22">
  <si>
    <t>Montant</t>
  </si>
  <si>
    <t>Taux</t>
  </si>
  <si>
    <t>Année</t>
  </si>
  <si>
    <t>Nb Jour Total</t>
  </si>
  <si>
    <t>Nb Jour restant</t>
  </si>
  <si>
    <t>Nb Jour déjà couru</t>
  </si>
  <si>
    <t>Condition DAT</t>
  </si>
  <si>
    <t>intérêts annuels</t>
  </si>
  <si>
    <t>Intérêts T1</t>
  </si>
  <si>
    <t>Intérêts T2</t>
  </si>
  <si>
    <t>Intérêts T3</t>
  </si>
  <si>
    <t>Intérêts T4</t>
  </si>
  <si>
    <t>Date début</t>
  </si>
  <si>
    <t>Durée (Mois)</t>
  </si>
  <si>
    <t>Total</t>
  </si>
  <si>
    <t>Rang</t>
  </si>
  <si>
    <t>Formule</t>
  </si>
  <si>
    <t>Trimestre</t>
  </si>
  <si>
    <t>Test formule</t>
  </si>
  <si>
    <t>ok pour le positionnement des trimestres</t>
  </si>
  <si>
    <t>Montant à calculer au prorata</t>
  </si>
  <si>
    <t>https://forum.excel-pratique.com/excel/gestion-des-placements-par-trimestre-196957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</si>
</sst>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43" fontId="0" fillId="0" borderId="1" xfId="1" applyFont="1" applyBorder="1"/>
    <xf numFmtId="43" fontId="0" fillId="0" borderId="0" xfId="0" applyNumberFormat="1"/>
    <xf numFmtId="164" fontId="0" fillId="0" borderId="0" xfId="0" applyNumberFormat="1"/>
    <xf numFmtId="1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0" fontId="0" fillId="0" borderId="7" xfId="0" applyNumberFormat="1" applyBorder="1"/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3" fontId="0" fillId="0" borderId="18" xfId="1" applyFont="1" applyBorder="1"/>
    <xf numFmtId="10" fontId="0" fillId="0" borderId="25" xfId="0" applyNumberFormat="1" applyBorder="1"/>
    <xf numFmtId="1" fontId="0" fillId="0" borderId="23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3" fontId="0" fillId="0" borderId="16" xfId="1" applyFont="1" applyBorder="1"/>
    <xf numFmtId="43" fontId="0" fillId="0" borderId="2" xfId="1" applyFont="1" applyBorder="1" applyAlignment="1">
      <alignment horizontal="center" vertical="center"/>
    </xf>
    <xf numFmtId="43" fontId="0" fillId="0" borderId="15" xfId="1" applyFont="1" applyBorder="1" applyAlignment="1">
      <alignment horizontal="center" vertical="center"/>
    </xf>
    <xf numFmtId="43" fontId="0" fillId="0" borderId="16" xfId="1" applyFont="1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  <xf numFmtId="0" fontId="0" fillId="0" borderId="2" xfId="0" applyBorder="1"/>
    <xf numFmtId="14" fontId="0" fillId="0" borderId="27" xfId="0" applyNumberFormat="1" applyBorder="1" applyAlignment="1">
      <alignment horizontal="center" vertical="center"/>
    </xf>
    <xf numFmtId="10" fontId="0" fillId="0" borderId="28" xfId="0" applyNumberFormat="1" applyBorder="1"/>
    <xf numFmtId="0" fontId="0" fillId="0" borderId="2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43" fontId="0" fillId="2" borderId="9" xfId="1" applyFont="1" applyFill="1" applyBorder="1" applyAlignment="1">
      <alignment horizontal="center" vertical="center"/>
    </xf>
    <xf numFmtId="43" fontId="0" fillId="2" borderId="6" xfId="1" applyFont="1" applyFill="1" applyBorder="1" applyAlignment="1">
      <alignment horizontal="center" vertical="center"/>
    </xf>
    <xf numFmtId="43" fontId="0" fillId="2" borderId="1" xfId="1" applyFont="1" applyFill="1" applyBorder="1" applyAlignment="1">
      <alignment horizontal="center" vertical="center"/>
    </xf>
    <xf numFmtId="43" fontId="0" fillId="2" borderId="7" xfId="1" applyFont="1" applyFill="1" applyBorder="1" applyAlignment="1">
      <alignment horizontal="center" vertical="center"/>
    </xf>
    <xf numFmtId="1" fontId="0" fillId="2" borderId="25" xfId="0" applyNumberFormat="1" applyFill="1" applyBorder="1" applyAlignment="1">
      <alignment horizontal="center" vertical="center"/>
    </xf>
    <xf numFmtId="43" fontId="0" fillId="2" borderId="26" xfId="1" applyFont="1" applyFill="1" applyBorder="1" applyAlignment="1">
      <alignment horizontal="center" vertical="center"/>
    </xf>
    <xf numFmtId="43" fontId="0" fillId="2" borderId="23" xfId="1" applyFont="1" applyFill="1" applyBorder="1" applyAlignment="1">
      <alignment horizontal="center" vertical="center"/>
    </xf>
    <xf numFmtId="43" fontId="0" fillId="2" borderId="18" xfId="1" applyFont="1" applyFill="1" applyBorder="1" applyAlignment="1">
      <alignment horizontal="center" vertical="center"/>
    </xf>
    <xf numFmtId="43" fontId="0" fillId="2" borderId="25" xfId="1" applyFont="1" applyFill="1" applyBorder="1" applyAlignment="1">
      <alignment horizontal="center" vertical="center"/>
    </xf>
    <xf numFmtId="0" fontId="0" fillId="2" borderId="0" xfId="0" applyFill="1"/>
    <xf numFmtId="14" fontId="0" fillId="0" borderId="24" xfId="0" applyNumberFormat="1" applyBorder="1" applyAlignment="1">
      <alignment horizontal="center" vertical="center"/>
    </xf>
    <xf numFmtId="0" fontId="2" fillId="0" borderId="8" xfId="0" applyFont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43" fontId="0" fillId="3" borderId="1" xfId="1" applyFont="1" applyFill="1" applyBorder="1" applyAlignment="1">
      <alignment horizontal="center" vertical="center"/>
    </xf>
    <xf numFmtId="43" fontId="0" fillId="3" borderId="30" xfId="1" applyFont="1" applyFill="1" applyBorder="1" applyAlignment="1">
      <alignment horizontal="center" vertical="center"/>
    </xf>
    <xf numFmtId="43" fontId="0" fillId="2" borderId="30" xfId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9" xfId="0" quotePrefix="1" applyBorder="1" applyAlignment="1">
      <alignment horizontal="center"/>
    </xf>
    <xf numFmtId="0" fontId="0" fillId="0" borderId="29" xfId="0" applyBorder="1" applyAlignment="1">
      <alignment horizontal="center"/>
    </xf>
    <xf numFmtId="1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Fill="1" applyBorder="1" applyAlignment="1">
      <alignment vertical="center"/>
    </xf>
    <xf numFmtId="43" fontId="5" fillId="0" borderId="0" xfId="1" applyFont="1" applyFill="1" applyBorder="1" applyAlignment="1">
      <alignment vertical="center"/>
    </xf>
    <xf numFmtId="10" fontId="5" fillId="0" borderId="0" xfId="0" applyNumberFormat="1" applyFont="1" applyFill="1" applyBorder="1" applyAlignment="1">
      <alignment vertical="center"/>
    </xf>
    <xf numFmtId="0" fontId="3" fillId="0" borderId="0" xfId="2"/>
  </cellXfs>
  <cellStyles count="3">
    <cellStyle name="Lien hypertexte" xfId="2" builtinId="8"/>
    <cellStyle name="Milliers" xfId="1" builtinId="3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C030C0-AC75-423C-976C-3B1C54B3BB17}" name="Tableau1" displayName="Tableau1" ref="B2:F6" totalsRowShown="0" headerRowDxfId="0">
  <autoFilter ref="B2:F6" xr:uid="{4BC030C0-AC75-423C-976C-3B1C54B3BB17}"/>
  <tableColumns count="5">
    <tableColumn id="1" xr3:uid="{99A91F77-77CD-485B-A1B4-72A983C444C4}" name="Rang" dataDxfId="5"/>
    <tableColumn id="2" xr3:uid="{D0E77213-F107-4989-BE51-58F9267135FE}" name="Date début" dataDxfId="4"/>
    <tableColumn id="3" xr3:uid="{47FC32AD-651A-45A8-A56B-E547697E36A5}" name="Durée (Mois)" dataDxfId="3"/>
    <tableColumn id="4" xr3:uid="{2CC7F117-B708-42D3-9324-E928171F4087}" name="Montant" dataDxfId="2" dataCellStyle="Milliers"/>
    <tableColumn id="5" xr3:uid="{9FE68CE5-4CE7-40BF-BEBD-02332EE05731}" name="Tau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gestion-des-placements-par-trimestre-19695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D1640-6D30-4BA2-934B-A8C165FFB2EB}">
  <dimension ref="B1:P17"/>
  <sheetViews>
    <sheetView tabSelected="1" topLeftCell="A7" zoomScale="115" zoomScaleNormal="115" workbookViewId="0">
      <selection activeCell="G15" sqref="G15"/>
    </sheetView>
  </sheetViews>
  <sheetFormatPr baseColWidth="10" defaultRowHeight="14.4" x14ac:dyDescent="0.3"/>
  <cols>
    <col min="1" max="1" width="4.44140625" customWidth="1"/>
    <col min="2" max="2" width="7.44140625" bestFit="1" customWidth="1"/>
    <col min="3" max="3" width="12.5546875" bestFit="1" customWidth="1"/>
    <col min="4" max="4" width="14.109375" bestFit="1" customWidth="1"/>
    <col min="5" max="5" width="10.6640625" bestFit="1" customWidth="1"/>
    <col min="6" max="6" width="7.21875" bestFit="1" customWidth="1"/>
    <col min="7" max="7" width="8.6640625" bestFit="1" customWidth="1"/>
    <col min="8" max="12" width="12.5546875" bestFit="1" customWidth="1"/>
    <col min="13" max="15" width="10" bestFit="1" customWidth="1"/>
    <col min="16" max="16" width="35.21875" bestFit="1" customWidth="1"/>
    <col min="17" max="20" width="15.44140625" customWidth="1"/>
  </cols>
  <sheetData>
    <row r="1" spans="2:16" x14ac:dyDescent="0.3">
      <c r="C1" t="s">
        <v>2</v>
      </c>
      <c r="D1">
        <v>2024</v>
      </c>
      <c r="J1" s="40" t="s">
        <v>16</v>
      </c>
    </row>
    <row r="2" spans="2:16" ht="15" thickBot="1" x14ac:dyDescent="0.35">
      <c r="L2" s="71" t="s">
        <v>21</v>
      </c>
    </row>
    <row r="3" spans="2:16" ht="15" thickBot="1" x14ac:dyDescent="0.35">
      <c r="C3" s="56" t="s">
        <v>6</v>
      </c>
      <c r="D3" s="57"/>
      <c r="E3" s="57"/>
      <c r="F3" s="58"/>
      <c r="G3" s="59"/>
    </row>
    <row r="4" spans="2:16" x14ac:dyDescent="0.3">
      <c r="B4" s="42" t="s">
        <v>15</v>
      </c>
      <c r="C4" s="11" t="s">
        <v>12</v>
      </c>
      <c r="D4" s="11" t="s">
        <v>17</v>
      </c>
      <c r="E4" s="11" t="s">
        <v>13</v>
      </c>
      <c r="F4" s="7" t="s">
        <v>0</v>
      </c>
      <c r="G4" s="8" t="s">
        <v>1</v>
      </c>
      <c r="H4" s="6" t="s">
        <v>3</v>
      </c>
      <c r="I4" s="7" t="s">
        <v>5</v>
      </c>
      <c r="J4" s="8" t="s">
        <v>4</v>
      </c>
      <c r="K4" s="10" t="s">
        <v>7</v>
      </c>
      <c r="L4" s="6" t="s">
        <v>8</v>
      </c>
      <c r="M4" s="7" t="s">
        <v>9</v>
      </c>
      <c r="N4" s="7" t="s">
        <v>10</v>
      </c>
      <c r="O4" s="8" t="s">
        <v>11</v>
      </c>
    </row>
    <row r="5" spans="2:16" x14ac:dyDescent="0.3">
      <c r="B5" s="43"/>
      <c r="C5" s="47"/>
      <c r="D5" s="47"/>
      <c r="E5" s="48"/>
      <c r="F5" s="49"/>
      <c r="G5" s="50"/>
      <c r="H5" s="51"/>
      <c r="I5" s="49"/>
      <c r="J5" s="52"/>
      <c r="K5" s="54"/>
      <c r="L5" s="53"/>
      <c r="M5" s="53"/>
      <c r="N5" s="53"/>
      <c r="O5" s="53"/>
    </row>
    <row r="6" spans="2:16" x14ac:dyDescent="0.3">
      <c r="B6" s="43">
        <v>1</v>
      </c>
      <c r="C6" s="12">
        <v>45118</v>
      </c>
      <c r="D6" s="46">
        <f>IF(YEAR(C6)&lt;&gt;$D$1,1,ROUNDUP(MONTH(C6)/3,0))</f>
        <v>1</v>
      </c>
      <c r="E6" s="13">
        <v>24</v>
      </c>
      <c r="F6" s="1">
        <v>50000</v>
      </c>
      <c r="G6" s="9">
        <v>4.1000000000000002E-2</v>
      </c>
      <c r="H6" s="4">
        <f>365*2</f>
        <v>730</v>
      </c>
      <c r="I6" s="5">
        <v>538</v>
      </c>
      <c r="J6" s="30">
        <f>MIN(H6-I6,365,DATEDIF(C6,"31/12/"&amp;$D$1,"D"))</f>
        <v>192</v>
      </c>
      <c r="K6" s="55">
        <f>F6*G6*J6/365</f>
        <v>1078.3561643835617</v>
      </c>
      <c r="L6" s="33">
        <f>IF(J6-91.25&lt;0,K6,K6*(91.25)/J6)</f>
        <v>512.5</v>
      </c>
      <c r="M6" s="33">
        <f>IF(J6-182.5&lt;0,IF(K6*(J6-91.25)/J6&lt;0,0,K6*(J6-91.25)/J6),K6*91.25/J6)</f>
        <v>512.5</v>
      </c>
      <c r="N6" s="33">
        <f>IF(J6-273.75&lt;0,IF(K6*(J6-182.5)/J6&lt;0,0,K6*(J6-182.5)/J6),K6*91.25/J6)</f>
        <v>53.356164383561641</v>
      </c>
      <c r="O6" s="34">
        <f>IF(J6-365&lt;0,IF(K6*(J6-273.75)/J6&lt;0,0,K6*(J6-273.75)/J6),K6*91.25/J6)</f>
        <v>0</v>
      </c>
      <c r="P6" s="3"/>
    </row>
    <row r="7" spans="2:16" x14ac:dyDescent="0.3">
      <c r="B7" s="43">
        <v>2</v>
      </c>
      <c r="C7" s="41">
        <v>45470</v>
      </c>
      <c r="D7" s="46">
        <f t="shared" ref="D7:D9" si="0">IF(YEAR(C7)&lt;&gt;$D$1,0,ROUNDUP(MONTH(C7)/3,0))</f>
        <v>2</v>
      </c>
      <c r="E7" s="14">
        <v>6</v>
      </c>
      <c r="F7" s="15">
        <v>30000</v>
      </c>
      <c r="G7" s="16">
        <v>3.1E-2</v>
      </c>
      <c r="H7" s="17">
        <v>182.5</v>
      </c>
      <c r="I7" s="18">
        <v>65</v>
      </c>
      <c r="J7" s="30">
        <f>MIN(H7-I7,365,DATEDIF(C7,"31/12/"&amp;$D$1,"D"))</f>
        <v>117.5</v>
      </c>
      <c r="K7" s="55">
        <f>F7*G7*J7/365</f>
        <v>299.38356164383561</v>
      </c>
      <c r="L7" s="33">
        <f>IF(J7-91.25&lt;0,K7,K7*(91.25)/J7)</f>
        <v>232.5</v>
      </c>
      <c r="M7" s="33">
        <f>IF(J7-182.5&lt;0,IF(K7*(J7-91.25)/J7&lt;0,0,K7*(J7-91.25)/J7),K7*91.25/J7)</f>
        <v>66.88356164383562</v>
      </c>
      <c r="N7" s="33">
        <f>IF(J7-273.75&lt;0,IF(K7*(J7-182.5)/J7&lt;0,0,K7*(J7-182.5)/J7),K7*91.25/J7)</f>
        <v>0</v>
      </c>
      <c r="O7" s="34">
        <f>IF(J7-365&lt;0,IF(K7*(J7-273.75)/J7&lt;0,0,K7*(J7-273.75)/J7),K7*91.25/J7)</f>
        <v>0</v>
      </c>
      <c r="P7" s="3"/>
    </row>
    <row r="8" spans="2:16" x14ac:dyDescent="0.3">
      <c r="B8" s="45">
        <v>3</v>
      </c>
      <c r="C8" s="41">
        <v>45597</v>
      </c>
      <c r="D8" s="46">
        <f t="shared" si="0"/>
        <v>4</v>
      </c>
      <c r="E8" s="14">
        <v>6</v>
      </c>
      <c r="F8" s="15">
        <v>3000</v>
      </c>
      <c r="G8" s="16">
        <v>3.1E-2</v>
      </c>
      <c r="H8" s="17">
        <v>182.5</v>
      </c>
      <c r="I8" s="18">
        <v>36</v>
      </c>
      <c r="J8" s="30">
        <f>MIN(H8-I8,365,DATEDIF(C8,"31/12/"&amp;$D$1,"D"))</f>
        <v>60</v>
      </c>
      <c r="K8" s="55">
        <f>F8*G8*J8/365</f>
        <v>15.287671232876713</v>
      </c>
      <c r="L8" s="33">
        <f>IF(J8-91.25&lt;0,K8,K8*(91.25)/J8)</f>
        <v>15.287671232876713</v>
      </c>
      <c r="M8" s="33">
        <f>IF(J8-182.5&lt;0,IF(K8*(J8-91.25)/J8&lt;0,0,K8*(J8-91.25)/J8),K8*91.25/J8)</f>
        <v>0</v>
      </c>
      <c r="N8" s="33">
        <f>IF(J8-273.75&lt;0,IF(K8*(J8-182.5)/J8&lt;0,0,K8*(J8-182.5)/J8),K8*91.25/J8)</f>
        <v>0</v>
      </c>
      <c r="O8" s="34">
        <f>IF(J8-365&lt;0,IF(K8*(J8-273.75)/J8&lt;0,0,K8*(J8-273.75)/J8),K8*91.25/J8)</f>
        <v>0</v>
      </c>
      <c r="P8" s="3"/>
    </row>
    <row r="9" spans="2:16" x14ac:dyDescent="0.3">
      <c r="B9" s="45"/>
      <c r="C9" s="47">
        <v>45352</v>
      </c>
      <c r="D9" s="46">
        <f t="shared" si="0"/>
        <v>1</v>
      </c>
      <c r="E9" s="48">
        <v>24</v>
      </c>
      <c r="F9" s="49">
        <v>10000</v>
      </c>
      <c r="G9" s="50">
        <v>0.1</v>
      </c>
      <c r="H9" s="51">
        <f>365*2</f>
        <v>730</v>
      </c>
      <c r="I9" s="49">
        <v>0</v>
      </c>
      <c r="J9" s="30">
        <f>MIN(H9-I9,365,DATEDIF(C9,"31/12/"&amp;$D$1,"D"))</f>
        <v>305</v>
      </c>
      <c r="K9" s="31">
        <f>F9*G9*J9/365</f>
        <v>835.61643835616439</v>
      </c>
      <c r="L9" s="32">
        <f>IF(J9-91.25&lt;0,K9,K9*(91.25)/J9)</f>
        <v>250</v>
      </c>
      <c r="M9" s="33">
        <f>IF(J9-182.5&lt;0,IF(K9*(J9-91.25)/J9&lt;0,0,K9*(J9-91.25)/J9),K9*91.25/J9)</f>
        <v>250</v>
      </c>
      <c r="N9" s="33">
        <f>IF(J9-273.75&lt;0,IF(K9*(J9-182.5)/J9&lt;0,0,K9*(J9-182.5)/J9),K9*91.25/J9)</f>
        <v>250</v>
      </c>
      <c r="O9" s="34">
        <f>IF(J9-365&lt;0,IF(K9*(J9-273.75)/J9&lt;0,0,K9*(J9-273.75)/J9),K9*91.25/J9)</f>
        <v>85.61643835616438</v>
      </c>
      <c r="P9" s="3"/>
    </row>
    <row r="10" spans="2:16" ht="15" thickBot="1" x14ac:dyDescent="0.35">
      <c r="B10" s="44"/>
      <c r="C10" s="41"/>
      <c r="D10" s="41"/>
      <c r="E10" s="14"/>
      <c r="F10" s="15"/>
      <c r="G10" s="16"/>
      <c r="H10" s="17"/>
      <c r="I10" s="18"/>
      <c r="J10" s="35"/>
      <c r="K10" s="36"/>
      <c r="L10" s="37"/>
      <c r="M10" s="38"/>
      <c r="N10" s="38"/>
      <c r="O10" s="39"/>
      <c r="P10" s="3"/>
    </row>
    <row r="11" spans="2:16" ht="15" thickBot="1" x14ac:dyDescent="0.35">
      <c r="C11" s="26"/>
      <c r="D11" s="26"/>
      <c r="E11" s="19" t="s">
        <v>14</v>
      </c>
      <c r="F11" s="20">
        <f>SUM(F5:F10)</f>
        <v>93000</v>
      </c>
      <c r="G11" s="27"/>
      <c r="H11" s="29"/>
      <c r="I11" s="28"/>
      <c r="J11" s="19" t="s">
        <v>14</v>
      </c>
      <c r="K11" s="21">
        <f>SUM(K5:K10)</f>
        <v>2228.6438356164385</v>
      </c>
      <c r="L11" s="22">
        <f>SUM(L5:L10)</f>
        <v>1010.2876712328767</v>
      </c>
      <c r="M11" s="23">
        <f>SUM(M5:M10)</f>
        <v>829.38356164383561</v>
      </c>
      <c r="N11" s="23">
        <f>SUM(N5:N10)</f>
        <v>303.35616438356163</v>
      </c>
      <c r="O11" s="24">
        <f>SUM(O5:O10)</f>
        <v>85.61643835616438</v>
      </c>
      <c r="P11" s="3"/>
    </row>
    <row r="12" spans="2:16" ht="15" thickBot="1" x14ac:dyDescent="0.35">
      <c r="K12" s="2"/>
    </row>
    <row r="13" spans="2:16" ht="15" thickBot="1" x14ac:dyDescent="0.35">
      <c r="E13" s="25"/>
    </row>
    <row r="14" spans="2:16" x14ac:dyDescent="0.3">
      <c r="H14" s="62"/>
      <c r="L14" s="60" t="s">
        <v>18</v>
      </c>
      <c r="M14" s="61"/>
      <c r="N14" s="61"/>
      <c r="O14" s="61"/>
      <c r="P14" t="s">
        <v>19</v>
      </c>
    </row>
    <row r="15" spans="2:16" x14ac:dyDescent="0.3">
      <c r="C15" s="62"/>
      <c r="F15" s="3"/>
      <c r="H15" s="62"/>
      <c r="L15" s="32">
        <f>IF($D6=1,L6,0)</f>
        <v>512.5</v>
      </c>
      <c r="M15" s="33" cm="1">
        <f t="array" ref="M15">_xlfn.SWITCH($D6,1,M6,2,L6,3,0,4,0)</f>
        <v>512.5</v>
      </c>
      <c r="N15" s="33" cm="1">
        <f t="array" ref="N15">_xlfn.SWITCH($D6,1,N6,2,M6,3,L6,4,0)</f>
        <v>53.356164383561641</v>
      </c>
      <c r="O15" s="34" cm="1">
        <f t="array" ref="O15">_xlfn.SWITCH($D6,1,O6,2,N6,3,M6,4,L6)</f>
        <v>0</v>
      </c>
      <c r="P15" t="s">
        <v>20</v>
      </c>
    </row>
    <row r="16" spans="2:16" x14ac:dyDescent="0.3">
      <c r="F16" s="62"/>
      <c r="H16" s="3"/>
      <c r="I16" s="3"/>
      <c r="J16" s="3"/>
      <c r="L16" s="32">
        <f>IF($D7=1,L7,0)</f>
        <v>0</v>
      </c>
      <c r="M16" s="33" cm="1">
        <f t="array" ref="M16">_xlfn.SWITCH($D7,1,M7,2,L7,3,0,4,0)</f>
        <v>232.5</v>
      </c>
      <c r="N16" s="33" cm="1">
        <f t="array" ref="N16">_xlfn.SWITCH($D7,1,N7,2,M7,3,L7,4,0)</f>
        <v>66.88356164383562</v>
      </c>
      <c r="O16" s="34" cm="1">
        <f t="array" ref="O16">_xlfn.SWITCH($D7,1,O7,2,N7,3,M7,4,L7)</f>
        <v>0</v>
      </c>
    </row>
    <row r="17" spans="12:15" x14ac:dyDescent="0.3">
      <c r="L17" s="32">
        <f>IF($D8=1,L8,0)</f>
        <v>0</v>
      </c>
      <c r="M17" s="33" cm="1">
        <f t="array" ref="M17">_xlfn.SWITCH($D8,1,M8,2,L8,3,0,4,0)</f>
        <v>0</v>
      </c>
      <c r="N17" s="33" cm="1">
        <f t="array" ref="N17">_xlfn.SWITCH($D8,1,N8,2,M8,3,L8,4,0)</f>
        <v>0</v>
      </c>
      <c r="O17" s="34" cm="1">
        <f t="array" ref="O17">_xlfn.SWITCH($D8,1,O8,2,N8,3,M8,4,L8)</f>
        <v>15.287671232876713</v>
      </c>
    </row>
  </sheetData>
  <mergeCells count="2">
    <mergeCell ref="C3:G3"/>
    <mergeCell ref="L14:O14"/>
  </mergeCells>
  <hyperlinks>
    <hyperlink ref="L2" r:id="rId1" xr:uid="{D0B9B19D-865D-438C-B323-A985B536EA82}"/>
  </hyperlinks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BDE28-B3A7-40B7-9D2E-55D36F50F056}">
  <dimension ref="B2:F6"/>
  <sheetViews>
    <sheetView workbookViewId="0">
      <selection activeCell="B2" sqref="B2:F6"/>
    </sheetView>
  </sheetViews>
  <sheetFormatPr baseColWidth="10" defaultRowHeight="14.4" x14ac:dyDescent="0.3"/>
  <cols>
    <col min="1" max="1" width="3.77734375" style="67" customWidth="1"/>
    <col min="2" max="2" width="7.109375" style="67" customWidth="1"/>
    <col min="3" max="3" width="12.21875" style="67" customWidth="1"/>
    <col min="4" max="4" width="13.77734375" style="67" customWidth="1"/>
    <col min="5" max="5" width="10.33203125" style="67" customWidth="1"/>
    <col min="6" max="6" width="6.88671875" style="67" customWidth="1"/>
    <col min="7" max="16384" width="11.5546875" style="67"/>
  </cols>
  <sheetData>
    <row r="2" spans="2:6" x14ac:dyDescent="0.3">
      <c r="B2" s="68" t="s">
        <v>15</v>
      </c>
      <c r="C2" s="63" t="s">
        <v>12</v>
      </c>
      <c r="D2" s="63" t="s">
        <v>13</v>
      </c>
      <c r="E2" s="63" t="s">
        <v>0</v>
      </c>
      <c r="F2" s="63" t="s">
        <v>1</v>
      </c>
    </row>
    <row r="3" spans="2:6" x14ac:dyDescent="0.3">
      <c r="B3" s="64">
        <v>1</v>
      </c>
      <c r="C3" s="65">
        <v>45118</v>
      </c>
      <c r="D3" s="64">
        <v>24</v>
      </c>
      <c r="E3" s="69">
        <v>50000</v>
      </c>
      <c r="F3" s="70">
        <v>4.1000000000000002E-2</v>
      </c>
    </row>
    <row r="4" spans="2:6" x14ac:dyDescent="0.3">
      <c r="B4" s="64">
        <v>2</v>
      </c>
      <c r="C4" s="65">
        <v>45470</v>
      </c>
      <c r="D4" s="64">
        <v>6</v>
      </c>
      <c r="E4" s="69">
        <v>30000</v>
      </c>
      <c r="F4" s="70">
        <v>3.1E-2</v>
      </c>
    </row>
    <row r="5" spans="2:6" x14ac:dyDescent="0.3">
      <c r="B5" s="64">
        <v>3</v>
      </c>
      <c r="C5" s="65">
        <v>45597</v>
      </c>
      <c r="D5" s="64">
        <v>6</v>
      </c>
      <c r="E5" s="69">
        <v>3000</v>
      </c>
      <c r="F5" s="70">
        <v>3.1E-2</v>
      </c>
    </row>
    <row r="6" spans="2:6" x14ac:dyDescent="0.3">
      <c r="B6" s="64">
        <v>4</v>
      </c>
      <c r="C6" s="65">
        <v>45352</v>
      </c>
      <c r="D6" s="64">
        <v>24</v>
      </c>
      <c r="E6" s="64">
        <v>10000</v>
      </c>
      <c r="F6" s="66">
        <v>0.1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C10309-FCC7-457D-846C-4A76BD0DA8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2025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Matar</dc:creator>
  <cp:lastModifiedBy>Damaste .</cp:lastModifiedBy>
  <cp:lastPrinted>2024-05-29T14:17:42Z</cp:lastPrinted>
  <dcterms:created xsi:type="dcterms:W3CDTF">2015-06-05T18:19:34Z</dcterms:created>
  <dcterms:modified xsi:type="dcterms:W3CDTF">2024-11-27T18:55:31Z</dcterms:modified>
</cp:coreProperties>
</file>