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8C92191C-7F7C-4425-9670-C8F92E037CFD}" xr6:coauthVersionLast="47" xr6:coauthVersionMax="47" xr10:uidLastSave="{00000000-0000-0000-0000-000000000000}"/>
  <bookViews>
    <workbookView xWindow="-108" yWindow="-108" windowWidth="23256" windowHeight="12576" activeTab="2" xr2:uid="{C1080EFF-9E72-4B46-8C38-25559A20013C}"/>
  </bookViews>
  <sheets>
    <sheet name="Saisie Cde" sheetId="5" r:id="rId1"/>
    <sheet name="Commande" sheetId="1" r:id="rId2"/>
    <sheet name="Paramètres" sheetId="3" r:id="rId3"/>
  </sheets>
  <definedNames>
    <definedName name="CdeClient">'Saisie Cde'!$F$7</definedName>
    <definedName name="CdeDate">'Saisie Cde'!$F$3</definedName>
    <definedName name="CdeNum">'Saisie Cde'!$F$2</definedName>
    <definedName name="Courriel">'Saisie Cde'!$K$24</definedName>
    <definedName name="Date">'Saisie Cde'!$K$21</definedName>
    <definedName name="l_Categorie">t_Categorie[Catégorie]</definedName>
    <definedName name="LClient">t_Client[Raison sociale]</definedName>
    <definedName name="LProduit">t_Produit[Id Produit]</definedName>
    <definedName name="LReglement">t_Reglement[Mode règlement]</definedName>
    <definedName name="LTVA">t_TVA[TVA]</definedName>
    <definedName name="Nom_Tiers">'Saisie Cde'!$K$22</definedName>
    <definedName name="NumCde">t_Chrono[Chrono]</definedName>
    <definedName name="Type">'Saisie Cde'!$K$23</definedName>
    <definedName name="_xlnm.Print_Area" localSheetId="0">'Saisie Cde'!$A$1:$I$54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M12" i="1"/>
  <c r="N12" i="1"/>
  <c r="D11" i="1"/>
  <c r="M11" i="1"/>
  <c r="N11" i="1"/>
  <c r="D10" i="1"/>
  <c r="M10" i="1"/>
  <c r="N10" i="1"/>
  <c r="D9" i="1"/>
  <c r="M9" i="1"/>
  <c r="N9" i="1"/>
  <c r="D8" i="1"/>
  <c r="M8" i="1"/>
  <c r="N8" i="1"/>
  <c r="D7" i="1"/>
  <c r="M7" i="1"/>
  <c r="N7" i="1"/>
  <c r="D6" i="1"/>
  <c r="M6" i="1"/>
  <c r="N6" i="1"/>
  <c r="D5" i="1"/>
  <c r="M5" i="1"/>
  <c r="N5" i="1"/>
  <c r="F3" i="5"/>
  <c r="D4" i="1"/>
  <c r="M4" i="1"/>
  <c r="N4" i="1"/>
  <c r="L14" i="5"/>
  <c r="F9" i="5"/>
  <c r="F8" i="5"/>
  <c r="K24" i="5" l="1"/>
  <c r="G36" i="5" a="1"/>
  <c r="G36" i="5" s="1"/>
  <c r="G37" i="5" s="1" a="1"/>
  <c r="G37" i="5" s="1"/>
  <c r="L16" i="5"/>
  <c r="L15" i="5"/>
  <c r="F14" i="5" l="1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L19" i="5" l="1"/>
  <c r="K20" i="5" s="1"/>
  <c r="K23" i="5"/>
  <c r="K22" i="5"/>
  <c r="L13" i="5"/>
  <c r="K21" i="5" l="1"/>
  <c r="F2" i="5"/>
  <c r="G14" i="5"/>
  <c r="G15" i="5"/>
  <c r="G16" i="5"/>
  <c r="G17" i="5"/>
  <c r="G18" i="5"/>
  <c r="G28" i="5"/>
  <c r="G27" i="5"/>
  <c r="G26" i="5"/>
  <c r="G19" i="5"/>
  <c r="G20" i="5"/>
  <c r="G21" i="5"/>
  <c r="G22" i="5"/>
  <c r="G23" i="5"/>
  <c r="G24" i="5"/>
  <c r="G25" i="5"/>
  <c r="G29" i="5"/>
  <c r="E33" i="5"/>
  <c r="E32" i="5"/>
  <c r="F32" i="5" s="1"/>
  <c r="F33" i="5" l="1"/>
  <c r="G33" i="5" s="1"/>
  <c r="H37" i="5" s="1"/>
  <c r="G32" i="5"/>
  <c r="H36" i="5" s="1"/>
  <c r="H35" i="5"/>
  <c r="H33" i="5" l="1"/>
  <c r="H38" i="5"/>
  <c r="H32" i="5"/>
  <c r="L17" i="5" l="1"/>
  <c r="B36" i="5"/>
  <c r="B38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<sst xmlns="http://schemas.openxmlformats.org/spreadsheetml/2006/main" count="285" uniqueCount="155">
  <si>
    <t>COMMANDES CLIENTS</t>
  </si>
  <si>
    <t>Prix H.T.</t>
  </si>
  <si>
    <t>Quantité</t>
  </si>
  <si>
    <t>Accessoires auto</t>
  </si>
  <si>
    <t>Acces16 Pouces</t>
  </si>
  <si>
    <t>Jantes 16 Pouces</t>
  </si>
  <si>
    <t>Client 3</t>
  </si>
  <si>
    <t>Ameublement</t>
  </si>
  <si>
    <t>AmeubTable 7</t>
  </si>
  <si>
    <t>Table 7</t>
  </si>
  <si>
    <t>Client 29</t>
  </si>
  <si>
    <t>Client 6</t>
  </si>
  <si>
    <t>Client 1</t>
  </si>
  <si>
    <t>Informatique</t>
  </si>
  <si>
    <t>Infor22 Pouces</t>
  </si>
  <si>
    <t>ecran 22 Pouces</t>
  </si>
  <si>
    <t>Infor27 Pouces</t>
  </si>
  <si>
    <t>ecran 27 Pouces</t>
  </si>
  <si>
    <t>AmeubTable 4</t>
  </si>
  <si>
    <t>Table 4</t>
  </si>
  <si>
    <t>Horlogerie</t>
  </si>
  <si>
    <t>HorloMontre 1</t>
  </si>
  <si>
    <t>Montre 1</t>
  </si>
  <si>
    <t>Acces20 Pouces</t>
  </si>
  <si>
    <t>Jantes 20 Pouces</t>
  </si>
  <si>
    <t>Client 26</t>
  </si>
  <si>
    <t>AmeubTable 1</t>
  </si>
  <si>
    <t>Table 1</t>
  </si>
  <si>
    <t>Sport</t>
  </si>
  <si>
    <t>SportVelo 8</t>
  </si>
  <si>
    <t>Velo 8</t>
  </si>
  <si>
    <t>Acces17 Pouces</t>
  </si>
  <si>
    <t>Jantes 17 Pouces</t>
  </si>
  <si>
    <t>Client 2</t>
  </si>
  <si>
    <t>Id Client</t>
  </si>
  <si>
    <t>Raison sociale</t>
  </si>
  <si>
    <t>Adresse</t>
  </si>
  <si>
    <t>code postal</t>
  </si>
  <si>
    <t>Telephone</t>
  </si>
  <si>
    <t>mail</t>
  </si>
  <si>
    <t>Adresse_Client 1</t>
  </si>
  <si>
    <t>Mailclient 1@gmail.com</t>
  </si>
  <si>
    <t>Adresse_Client 2</t>
  </si>
  <si>
    <t>Adresse_Client 3</t>
  </si>
  <si>
    <t>Client 4</t>
  </si>
  <si>
    <t>Adresse_Client 4</t>
  </si>
  <si>
    <t>Client 5</t>
  </si>
  <si>
    <t>Adresse_Client 5</t>
  </si>
  <si>
    <t>Adresse_Client 6</t>
  </si>
  <si>
    <t>Client 7</t>
  </si>
  <si>
    <t>Adresse_Client 7</t>
  </si>
  <si>
    <t>Client 8</t>
  </si>
  <si>
    <t>Adresse_Client 8</t>
  </si>
  <si>
    <t>Client 9</t>
  </si>
  <si>
    <t>Adresse_Client 9</t>
  </si>
  <si>
    <t>Client 10</t>
  </si>
  <si>
    <t>Adresse_Client 10</t>
  </si>
  <si>
    <t>Client 11</t>
  </si>
  <si>
    <t>Adresse_Client 11</t>
  </si>
  <si>
    <t>Client 12</t>
  </si>
  <si>
    <t>Adresse_Client 12</t>
  </si>
  <si>
    <t>Client 13</t>
  </si>
  <si>
    <t>Adresse_Client 13</t>
  </si>
  <si>
    <t>Client 14</t>
  </si>
  <si>
    <t>Adresse_Client 14</t>
  </si>
  <si>
    <t>Client 15</t>
  </si>
  <si>
    <t>Adresse_Client 15</t>
  </si>
  <si>
    <t>Client 16</t>
  </si>
  <si>
    <t>Adresse_Client 16</t>
  </si>
  <si>
    <t>Client 17</t>
  </si>
  <si>
    <t>Adresse_Client 17</t>
  </si>
  <si>
    <t>Client 18</t>
  </si>
  <si>
    <t>Adresse_Client 18</t>
  </si>
  <si>
    <t>Client 19</t>
  </si>
  <si>
    <t>Adresse_Client 19</t>
  </si>
  <si>
    <t>Client 20</t>
  </si>
  <si>
    <t>Adresse_Client 20</t>
  </si>
  <si>
    <t>Client 21</t>
  </si>
  <si>
    <t>Adresse_Client 21</t>
  </si>
  <si>
    <t>Client 22</t>
  </si>
  <si>
    <t>Adresse_Client 22</t>
  </si>
  <si>
    <t>Client 23</t>
  </si>
  <si>
    <t>Adresse_Client 23</t>
  </si>
  <si>
    <t>Client 24</t>
  </si>
  <si>
    <t>Adresse_Client 24</t>
  </si>
  <si>
    <t>Client 25</t>
  </si>
  <si>
    <t>Adresse_Client 25</t>
  </si>
  <si>
    <t>Adresse_Client 26</t>
  </si>
  <si>
    <t>Client 27</t>
  </si>
  <si>
    <t>Adresse_Client 27</t>
  </si>
  <si>
    <t>Client 28</t>
  </si>
  <si>
    <t>Adresse_Client 28</t>
  </si>
  <si>
    <t>Adresse_Client 29</t>
  </si>
  <si>
    <t>Client 30</t>
  </si>
  <si>
    <t>Adresse_Client 30</t>
  </si>
  <si>
    <t>https://forum.excel-pratique.com/excel/numeros-bons-de-commandes-196271</t>
  </si>
  <si>
    <t>Catégorie</t>
  </si>
  <si>
    <t>Produits</t>
  </si>
  <si>
    <t>Prix</t>
  </si>
  <si>
    <t>Commande n°</t>
  </si>
  <si>
    <t>Ville, le</t>
  </si>
  <si>
    <t xml:space="preserve">SAS </t>
  </si>
  <si>
    <t xml:space="preserve">Rue </t>
  </si>
  <si>
    <t/>
  </si>
  <si>
    <t>CP  VILLE</t>
  </si>
  <si>
    <t xml:space="preserve">       01 02 03 04 05</t>
  </si>
  <si>
    <t xml:space="preserve">       contact-sas@gmail.com</t>
  </si>
  <si>
    <t>Vérification</t>
  </si>
  <si>
    <t>PU</t>
  </si>
  <si>
    <t>Total</t>
  </si>
  <si>
    <t>TVA</t>
  </si>
  <si>
    <t>Client</t>
  </si>
  <si>
    <t>Base TVA</t>
  </si>
  <si>
    <t>Num devis</t>
  </si>
  <si>
    <t>HT</t>
  </si>
  <si>
    <t>TTC</t>
  </si>
  <si>
    <t xml:space="preserve">Condition de paiement : </t>
  </si>
  <si>
    <t>Total HT</t>
  </si>
  <si>
    <t>La solde à la livraison.</t>
  </si>
  <si>
    <t>Total TTC</t>
  </si>
  <si>
    <t>Pour l'Entreprise :</t>
  </si>
  <si>
    <t>Pour le client :</t>
  </si>
  <si>
    <t xml:space="preserve">   A : </t>
  </si>
  <si>
    <t xml:space="preserve">Le, </t>
  </si>
  <si>
    <t xml:space="preserve">SIREN : </t>
  </si>
  <si>
    <t xml:space="preserve">Code APE </t>
  </si>
  <si>
    <t xml:space="preserve">TVA Intracommunautaire : </t>
  </si>
  <si>
    <t>Tiers</t>
  </si>
  <si>
    <t>Chrono</t>
  </si>
  <si>
    <t>Commande</t>
  </si>
  <si>
    <t>Date</t>
  </si>
  <si>
    <t>Categorie</t>
  </si>
  <si>
    <t>Id Produit</t>
  </si>
  <si>
    <t>Libelle</t>
  </si>
  <si>
    <t>Nom Client</t>
  </si>
  <si>
    <t>ID Produit</t>
  </si>
  <si>
    <t>Libellé produit</t>
  </si>
  <si>
    <t>vérif numérotation</t>
  </si>
  <si>
    <t>Nb ligne</t>
  </si>
  <si>
    <t>N° Commande</t>
  </si>
  <si>
    <t>C20240001</t>
  </si>
  <si>
    <t>C20240002</t>
  </si>
  <si>
    <t>C20240003</t>
  </si>
  <si>
    <t>C20240004</t>
  </si>
  <si>
    <t>C20240005</t>
  </si>
  <si>
    <t>Mode règlement</t>
  </si>
  <si>
    <t>TVA 5,50%</t>
  </si>
  <si>
    <t>Carte bleue</t>
  </si>
  <si>
    <t>TVA 10,00%</t>
  </si>
  <si>
    <t>Chèque</t>
  </si>
  <si>
    <t>TVA 20,00%</t>
  </si>
  <si>
    <t>Espèces</t>
  </si>
  <si>
    <t>Virement</t>
  </si>
  <si>
    <t>Libellé Produit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</si>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</sst>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  <numFmt numFmtId="165" formatCode="00000"/>
    <numFmt numFmtId="166" formatCode="0#&quot; &quot;##&quot; &quot;##&quot; &quot;##&quot; &quot;##"/>
    <numFmt numFmtId="167" formatCode="d\ mmmm\ yyyy"/>
    <numFmt numFmtId="168" formatCode="dd/mm/yy;@"/>
    <numFmt numFmtId="169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0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20"/>
      <color theme="1"/>
      <name val="Segoe UI"/>
      <family val="2"/>
    </font>
    <font>
      <sz val="11"/>
      <color rgb="FFBFBFBF"/>
      <name val="Segoe UI"/>
      <family val="2"/>
    </font>
    <font>
      <b/>
      <sz val="11"/>
      <color theme="0" tint="-0.249977111117893"/>
      <name val="Segoe UI"/>
      <family val="2"/>
    </font>
    <font>
      <b/>
      <sz val="12"/>
      <color theme="1"/>
      <name val="Segoe UI"/>
      <family val="2"/>
    </font>
    <font>
      <sz val="11"/>
      <color theme="0" tint="-0.249977111117893"/>
      <name val="Segoe UI"/>
      <family val="2"/>
    </font>
    <font>
      <b/>
      <u/>
      <sz val="11"/>
      <color theme="1"/>
      <name val="Segoe UI"/>
      <family val="2"/>
    </font>
    <font>
      <sz val="12"/>
      <color theme="1"/>
      <name val="Segoe UI"/>
      <family val="2"/>
    </font>
    <font>
      <i/>
      <sz val="11"/>
      <color theme="1"/>
      <name val="Segoe U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BFBFBF"/>
      </left>
      <right style="hair">
        <color rgb="FFBFBFBF"/>
      </right>
      <top style="thin">
        <color rgb="FFBFBFBF"/>
      </top>
      <bottom style="thin">
        <color rgb="FFBFBFBF"/>
      </bottom>
      <diagonal/>
    </border>
    <border>
      <left style="hair">
        <color rgb="FFBFBFBF"/>
      </left>
      <right style="hair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/>
      <right style="hair">
        <color rgb="FFBFBFBF"/>
      </right>
      <top/>
      <bottom style="hair">
        <color rgb="FFBFBFBF"/>
      </bottom>
      <diagonal/>
    </border>
    <border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hair">
        <color rgb="FFBFBFBF"/>
      </right>
      <top style="hair">
        <color rgb="FFBFBFBF"/>
      </top>
      <bottom/>
      <diagonal/>
    </border>
    <border>
      <left style="hair">
        <color rgb="FFBFBFBF"/>
      </left>
      <right style="hair">
        <color rgb="FFBFBFBF"/>
      </right>
      <top style="hair">
        <color rgb="FFBFBFBF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theme="0" tint="-0.24994659260841701"/>
      </right>
      <top/>
      <bottom style="thin">
        <color theme="0" tint="-0.24994659260841701"/>
      </bottom>
      <diagonal/>
    </border>
    <border>
      <left/>
      <right style="hair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rgb="FFBFBFBF"/>
      </left>
      <right style="hair">
        <color rgb="FFBFBFBF"/>
      </right>
      <top/>
      <bottom style="thin">
        <color rgb="FFBFBFBF"/>
      </bottom>
      <diagonal/>
    </border>
    <border>
      <left style="hair">
        <color rgb="FFBFBFBF"/>
      </left>
      <right/>
      <top/>
      <bottom style="hair">
        <color rgb="FFBFBFBF"/>
      </bottom>
      <diagonal/>
    </border>
    <border>
      <left style="hair">
        <color rgb="FFBFBFBF"/>
      </left>
      <right/>
      <top style="hair">
        <color rgb="FFBFBFBF"/>
      </top>
      <bottom style="hair">
        <color rgb="FFBFBFBF"/>
      </bottom>
      <diagonal/>
    </border>
    <border>
      <left style="hair">
        <color rgb="FFBFBFBF"/>
      </left>
      <right/>
      <top style="hair">
        <color rgb="FFBFBFBF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111">
    <xf numFmtId="0" fontId="0" fillId="0" borderId="0" xfId="0"/>
    <xf numFmtId="0" fontId="3" fillId="3" borderId="0" xfId="0" applyFont="1" applyFill="1" applyAlignment="1">
      <alignment horizontal="center" vertical="center"/>
    </xf>
    <xf numFmtId="44" fontId="3" fillId="3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6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5" fillId="0" borderId="0" xfId="2" applyAlignment="1">
      <alignment vertical="center"/>
    </xf>
    <xf numFmtId="167" fontId="5" fillId="0" borderId="0" xfId="2" applyNumberFormat="1" applyAlignment="1">
      <alignment horizontal="left" vertical="center"/>
    </xf>
    <xf numFmtId="0" fontId="6" fillId="4" borderId="0" xfId="2" applyFont="1" applyFill="1" applyAlignment="1">
      <alignment horizontal="right" vertical="center"/>
    </xf>
    <xf numFmtId="0" fontId="5" fillId="4" borderId="0" xfId="2" applyFill="1" applyAlignment="1">
      <alignment vertical="center"/>
    </xf>
    <xf numFmtId="167" fontId="5" fillId="4" borderId="0" xfId="2" applyNumberFormat="1" applyFill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5" fillId="0" borderId="0" xfId="2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0" fillId="4" borderId="11" xfId="2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/>
    </xf>
    <xf numFmtId="0" fontId="11" fillId="0" borderId="13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0" fontId="11" fillId="0" borderId="17" xfId="2" applyFont="1" applyBorder="1" applyAlignment="1">
      <alignment vertical="center"/>
    </xf>
    <xf numFmtId="0" fontId="11" fillId="0" borderId="18" xfId="2" applyFont="1" applyBorder="1" applyAlignment="1">
      <alignment horizontal="center" vertical="center"/>
    </xf>
    <xf numFmtId="0" fontId="11" fillId="0" borderId="21" xfId="2" applyFont="1" applyBorder="1" applyAlignment="1">
      <alignment vertical="center"/>
    </xf>
    <xf numFmtId="0" fontId="11" fillId="0" borderId="22" xfId="2" applyFont="1" applyBorder="1" applyAlignment="1">
      <alignment horizontal="center" vertical="center"/>
    </xf>
    <xf numFmtId="0" fontId="11" fillId="0" borderId="9" xfId="2" applyFont="1" applyBorder="1" applyAlignment="1">
      <alignment vertical="center"/>
    </xf>
    <xf numFmtId="0" fontId="11" fillId="0" borderId="10" xfId="2" quotePrefix="1" applyFont="1" applyBorder="1" applyAlignment="1">
      <alignment horizontal="center" vertical="center"/>
    </xf>
    <xf numFmtId="0" fontId="11" fillId="0" borderId="0" xfId="2" applyFont="1" applyAlignment="1">
      <alignment vertical="center"/>
    </xf>
    <xf numFmtId="168" fontId="8" fillId="0" borderId="23" xfId="2" applyNumberFormat="1" applyFont="1" applyBorder="1" applyAlignment="1">
      <alignment horizontal="centerContinuous" vertical="center"/>
    </xf>
    <xf numFmtId="0" fontId="5" fillId="0" borderId="24" xfId="2" applyBorder="1" applyAlignment="1">
      <alignment horizontal="centerContinuous" vertical="center"/>
    </xf>
    <xf numFmtId="0" fontId="8" fillId="0" borderId="23" xfId="2" applyFont="1" applyBorder="1" applyAlignment="1">
      <alignment horizontal="centerContinuous" vertical="center"/>
    </xf>
    <xf numFmtId="0" fontId="6" fillId="0" borderId="9" xfId="2" applyFont="1" applyBorder="1" applyAlignment="1">
      <alignment vertical="center"/>
    </xf>
    <xf numFmtId="0" fontId="6" fillId="0" borderId="27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5" fillId="0" borderId="13" xfId="2" applyBorder="1" applyAlignment="1">
      <alignment vertical="center"/>
    </xf>
    <xf numFmtId="7" fontId="5" fillId="0" borderId="28" xfId="2" applyNumberFormat="1" applyBorder="1" applyAlignment="1">
      <alignment vertical="center"/>
    </xf>
    <xf numFmtId="7" fontId="5" fillId="0" borderId="14" xfId="2" applyNumberFormat="1" applyBorder="1" applyAlignment="1">
      <alignment vertical="center"/>
    </xf>
    <xf numFmtId="0" fontId="5" fillId="0" borderId="21" xfId="2" applyBorder="1" applyAlignment="1">
      <alignment vertical="center"/>
    </xf>
    <xf numFmtId="7" fontId="5" fillId="0" borderId="29" xfId="2" applyNumberFormat="1" applyBorder="1" applyAlignment="1">
      <alignment vertical="center"/>
    </xf>
    <xf numFmtId="7" fontId="5" fillId="0" borderId="30" xfId="2" applyNumberFormat="1" applyBorder="1" applyAlignment="1">
      <alignment vertical="center"/>
    </xf>
    <xf numFmtId="0" fontId="10" fillId="4" borderId="31" xfId="2" applyFont="1" applyFill="1" applyBorder="1" applyAlignment="1">
      <alignment vertical="center"/>
    </xf>
    <xf numFmtId="169" fontId="13" fillId="0" borderId="32" xfId="2" applyNumberFormat="1" applyFont="1" applyBorder="1" applyAlignment="1">
      <alignment vertical="center"/>
    </xf>
    <xf numFmtId="0" fontId="10" fillId="4" borderId="33" xfId="2" applyFont="1" applyFill="1" applyBorder="1" applyAlignment="1" applyProtection="1">
      <alignment vertical="center"/>
      <protection locked="0"/>
    </xf>
    <xf numFmtId="169" fontId="13" fillId="0" borderId="34" xfId="2" applyNumberFormat="1" applyFont="1" applyBorder="1" applyAlignment="1">
      <alignment vertical="center"/>
    </xf>
    <xf numFmtId="0" fontId="10" fillId="4" borderId="35" xfId="2" applyFont="1" applyFill="1" applyBorder="1" applyAlignment="1">
      <alignment vertical="center"/>
    </xf>
    <xf numFmtId="169" fontId="13" fillId="0" borderId="30" xfId="2" applyNumberFormat="1" applyFont="1" applyBorder="1" applyAlignment="1">
      <alignment vertical="center"/>
    </xf>
    <xf numFmtId="0" fontId="5" fillId="0" borderId="5" xfId="2" applyBorder="1" applyAlignment="1">
      <alignment vertical="center"/>
    </xf>
    <xf numFmtId="4" fontId="5" fillId="0" borderId="0" xfId="2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left" vertical="center" indent="1"/>
    </xf>
    <xf numFmtId="7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right" vertical="center" indent="1"/>
    </xf>
    <xf numFmtId="44" fontId="0" fillId="0" borderId="0" xfId="1" applyFont="1" applyAlignment="1">
      <alignment horizontal="right" vertical="center" indent="1"/>
    </xf>
    <xf numFmtId="0" fontId="10" fillId="4" borderId="36" xfId="2" applyFont="1" applyFill="1" applyBorder="1" applyAlignment="1">
      <alignment horizontal="center" vertical="center"/>
    </xf>
    <xf numFmtId="0" fontId="5" fillId="0" borderId="2" xfId="2" applyBorder="1" applyAlignment="1">
      <alignment vertical="center"/>
    </xf>
    <xf numFmtId="0" fontId="5" fillId="0" borderId="16" xfId="2" applyBorder="1" applyAlignment="1" applyProtection="1">
      <alignment horizontal="left" vertical="center" indent="1"/>
      <protection locked="0"/>
    </xf>
    <xf numFmtId="0" fontId="5" fillId="0" borderId="20" xfId="2" applyBorder="1" applyAlignment="1" applyProtection="1">
      <alignment horizontal="left" vertical="center" indent="1"/>
      <protection locked="0"/>
    </xf>
    <xf numFmtId="0" fontId="5" fillId="0" borderId="26" xfId="2" applyBorder="1" applyAlignment="1" applyProtection="1">
      <alignment horizontal="left" vertical="center" indent="1"/>
      <protection locked="0"/>
    </xf>
    <xf numFmtId="3" fontId="5" fillId="0" borderId="16" xfId="2" applyNumberFormat="1" applyBorder="1" applyAlignment="1" applyProtection="1">
      <alignment horizontal="right" vertical="center" indent="1"/>
      <protection locked="0"/>
    </xf>
    <xf numFmtId="3" fontId="5" fillId="0" borderId="20" xfId="2" applyNumberFormat="1" applyBorder="1" applyAlignment="1" applyProtection="1">
      <alignment horizontal="right" vertical="center" indent="1"/>
      <protection locked="0"/>
    </xf>
    <xf numFmtId="3" fontId="5" fillId="0" borderId="26" xfId="2" applyNumberFormat="1" applyBorder="1" applyAlignment="1" applyProtection="1">
      <alignment horizontal="right" vertical="center" indent="1"/>
      <protection locked="0"/>
    </xf>
    <xf numFmtId="169" fontId="5" fillId="0" borderId="16" xfId="2" applyNumberFormat="1" applyBorder="1" applyAlignment="1">
      <alignment horizontal="right" vertical="center" indent="1"/>
    </xf>
    <xf numFmtId="169" fontId="5" fillId="0" borderId="20" xfId="2" applyNumberFormat="1" applyBorder="1" applyAlignment="1">
      <alignment horizontal="right" vertical="center" indent="1"/>
    </xf>
    <xf numFmtId="169" fontId="5" fillId="0" borderId="26" xfId="2" applyNumberFormat="1" applyBorder="1" applyAlignment="1">
      <alignment horizontal="right" vertical="center" indent="1"/>
    </xf>
    <xf numFmtId="0" fontId="10" fillId="4" borderId="39" xfId="2" applyFont="1" applyFill="1" applyBorder="1" applyAlignment="1">
      <alignment horizontal="center" vertical="center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8" fillId="0" borderId="24" xfId="2" applyFont="1" applyBorder="1" applyAlignment="1">
      <alignment horizontal="centerContinuous" vertical="center"/>
    </xf>
    <xf numFmtId="0" fontId="5" fillId="0" borderId="15" xfId="2" applyBorder="1" applyAlignment="1" applyProtection="1">
      <alignment horizontal="left" vertical="center" indent="1"/>
      <protection locked="0"/>
    </xf>
    <xf numFmtId="0" fontId="5" fillId="0" borderId="19" xfId="2" applyBorder="1" applyAlignment="1" applyProtection="1">
      <alignment horizontal="left" vertical="center" indent="1"/>
      <protection locked="0"/>
    </xf>
    <xf numFmtId="0" fontId="5" fillId="0" borderId="25" xfId="2" applyBorder="1" applyAlignment="1" applyProtection="1">
      <alignment horizontal="left" vertical="center" indent="1"/>
      <protection locked="0"/>
    </xf>
    <xf numFmtId="0" fontId="2" fillId="2" borderId="0" xfId="0" applyFont="1" applyFill="1" applyAlignment="1">
      <alignment horizontal="centerContinuous" vertical="center"/>
    </xf>
    <xf numFmtId="14" fontId="0" fillId="0" borderId="0" xfId="0" applyNumberFormat="1" applyAlignment="1">
      <alignment horizontal="left" vertical="center" indent="1"/>
    </xf>
    <xf numFmtId="0" fontId="5" fillId="0" borderId="0" xfId="2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9" fillId="0" borderId="37" xfId="2" applyFont="1" applyBorder="1" applyAlignment="1">
      <alignment horizontal="center" vertical="center"/>
    </xf>
    <xf numFmtId="0" fontId="9" fillId="0" borderId="38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2" fillId="0" borderId="1" xfId="2" applyFont="1" applyBorder="1" applyAlignment="1">
      <alignment horizontal="center" vertical="top"/>
    </xf>
    <xf numFmtId="0" fontId="12" fillId="0" borderId="2" xfId="2" applyFont="1" applyBorder="1" applyAlignment="1">
      <alignment horizontal="center" vertical="top"/>
    </xf>
    <xf numFmtId="0" fontId="5" fillId="0" borderId="3" xfId="2" applyBorder="1" applyAlignment="1">
      <alignment horizontal="center" vertical="top"/>
    </xf>
    <xf numFmtId="0" fontId="5" fillId="0" borderId="4" xfId="2" applyBorder="1" applyAlignment="1">
      <alignment horizontal="center" vertical="top"/>
    </xf>
    <xf numFmtId="0" fontId="5" fillId="0" borderId="0" xfId="2" applyAlignment="1">
      <alignment horizontal="center" vertical="top"/>
    </xf>
    <xf numFmtId="0" fontId="5" fillId="0" borderId="5" xfId="2" applyBorder="1" applyAlignment="1">
      <alignment horizontal="center" vertical="top"/>
    </xf>
    <xf numFmtId="0" fontId="5" fillId="0" borderId="6" xfId="2" applyBorder="1" applyAlignment="1">
      <alignment horizontal="center" vertical="top"/>
    </xf>
    <xf numFmtId="0" fontId="5" fillId="0" borderId="7" xfId="2" applyBorder="1" applyAlignment="1">
      <alignment horizontal="center" vertical="top"/>
    </xf>
    <xf numFmtId="0" fontId="5" fillId="0" borderId="8" xfId="2" applyBorder="1" applyAlignment="1">
      <alignment horizontal="center" vertical="top"/>
    </xf>
    <xf numFmtId="0" fontId="12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5" fillId="0" borderId="4" xfId="2" applyBorder="1" applyAlignment="1">
      <alignment horizontal="center" vertical="center"/>
    </xf>
    <xf numFmtId="0" fontId="5" fillId="0" borderId="0" xfId="2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5" fillId="0" borderId="6" xfId="2" applyBorder="1" applyAlignment="1">
      <alignment horizontal="center" vertical="center"/>
    </xf>
    <xf numFmtId="0" fontId="5" fillId="0" borderId="7" xfId="2" applyBorder="1" applyAlignment="1">
      <alignment horizontal="center" vertical="center"/>
    </xf>
    <xf numFmtId="0" fontId="5" fillId="0" borderId="8" xfId="2" applyBorder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4" fillId="0" borderId="0" xfId="2" applyFont="1" applyAlignment="1">
      <alignment horizontal="center" vertical="center" wrapText="1"/>
    </xf>
    <xf numFmtId="0" fontId="5" fillId="0" borderId="1" xfId="2" applyBorder="1" applyAlignment="1" applyProtection="1">
      <alignment horizontal="left" vertical="center" indent="1"/>
      <protection locked="0"/>
    </xf>
    <xf numFmtId="0" fontId="5" fillId="0" borderId="2" xfId="2" applyBorder="1" applyAlignment="1" applyProtection="1">
      <alignment horizontal="left" vertical="center" indent="1"/>
      <protection locked="0"/>
    </xf>
    <xf numFmtId="0" fontId="5" fillId="0" borderId="3" xfId="2" applyBorder="1" applyAlignment="1" applyProtection="1">
      <alignment horizontal="left" vertical="center" indent="1"/>
      <protection locked="0"/>
    </xf>
    <xf numFmtId="0" fontId="5" fillId="0" borderId="4" xfId="2" applyBorder="1" applyAlignment="1">
      <alignment horizontal="left" vertical="center" indent="1"/>
    </xf>
    <xf numFmtId="0" fontId="5" fillId="0" borderId="0" xfId="2" applyAlignment="1">
      <alignment horizontal="left" vertical="center" indent="1"/>
    </xf>
    <xf numFmtId="0" fontId="5" fillId="0" borderId="5" xfId="2" applyBorder="1" applyAlignment="1">
      <alignment horizontal="left" vertical="center" indent="1"/>
    </xf>
    <xf numFmtId="0" fontId="5" fillId="0" borderId="6" xfId="2" applyBorder="1" applyAlignment="1">
      <alignment horizontal="left" vertical="center" indent="1"/>
    </xf>
    <xf numFmtId="0" fontId="5" fillId="0" borderId="7" xfId="2" applyBorder="1" applyAlignment="1">
      <alignment horizontal="left" vertical="center" indent="1"/>
    </xf>
    <xf numFmtId="0" fontId="5" fillId="0" borderId="8" xfId="2" applyBorder="1" applyAlignment="1">
      <alignment horizontal="left" vertical="center" indent="1"/>
    </xf>
  </cellXfs>
  <cellStyles count="3">
    <cellStyle name="Monétaire" xfId="1" builtinId="4"/>
    <cellStyle name="Normal" xfId="0" builtinId="0"/>
    <cellStyle name="Normal 2" xfId="2" xr:uid="{1E0E7F3E-852D-4C04-A3FE-5FDCD3117870}"/>
  </cellStyles>
  <dxfs count="57">
    <dxf>
      <numFmt numFmtId="164" formatCode="#,##0\ &quot;€&quot;"/>
      <alignment horizontal="righ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righ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0000"/>
      <alignment horizontal="center" vertical="center" textRotation="0" wrapText="0" indent="0" justifyLastLine="0" shrinkToFit="0" readingOrder="0"/>
    </dxf>
    <dxf>
      <numFmt numFmtId="165" formatCode="00000"/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righ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relative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1" formatCode="#,##0.00\ &quot;€&quot;;\-#,##0.00\ &quot;€&quot;"/>
      <alignment horizontal="righ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hair">
          <color rgb="FFBFBFBF"/>
        </left>
        <right/>
        <top style="hair">
          <color rgb="FFBFBFBF"/>
        </top>
        <bottom style="hair">
          <color rgb="FFBFBFBF"/>
        </bottom>
        <vertical/>
        <horizontal/>
      </border>
      <protection locked="0" hidden="0"/>
    </dxf>
    <dxf>
      <numFmt numFmtId="169" formatCode="#,##0.00\ &quot;€&quot;"/>
      <alignment horizontal="right" vertical="center" textRotation="0" wrapText="0" indent="1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  <vertical/>
        <horizontal/>
      </border>
    </dxf>
    <dxf>
      <numFmt numFmtId="169" formatCode="#,##0.00\ &quot;€&quot;"/>
      <alignment horizontal="right" vertical="center" textRotation="0" wrapText="0" relativeIndent="1" justifyLastLine="0" shrinkToFit="0" readingOrder="0"/>
      <border diagonalUp="0" diagonalDown="0" outline="0">
        <left/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3" formatCode="#,##0"/>
      <alignment horizontal="right" vertical="center" textRotation="0" wrapText="0" relativeIndent="1" justifyLastLine="0" shrinkToFit="0" readingOrder="0"/>
      <border diagonalUp="0" diagonalDown="0" outline="0">
        <left/>
        <right/>
        <top style="hair">
          <color rgb="FFBFBFBF"/>
        </top>
        <bottom style="hair">
          <color rgb="FFBFBFBF"/>
        </bottom>
      </border>
      <protection locked="0" hidden="0"/>
    </dxf>
    <dxf>
      <numFmt numFmtId="0" formatCode="General"/>
      <alignment horizontal="left" vertical="center" textRotation="0" wrapText="0" relativeIndent="1" justifyLastLine="0" shrinkToFit="0" readingOrder="0"/>
      <border diagonalUp="0" diagonalDown="0" outline="0">
        <left/>
        <right/>
        <top style="hair">
          <color rgb="FFBFBFBF"/>
        </top>
        <bottom style="hair">
          <color rgb="FFBFBFBF"/>
        </bottom>
      </border>
      <protection locked="0" hidden="0"/>
    </dxf>
    <dxf>
      <alignment horizontal="left" vertical="center" textRotation="0" wrapText="0" relativeIndent="1" justifyLastLine="0" shrinkToFit="0" readingOrder="0"/>
      <border diagonalUp="0" diagonalDown="0">
        <left/>
        <right/>
        <top style="hair">
          <color rgb="FFBFBFBF"/>
        </top>
        <bottom style="hair">
          <color rgb="FFBFBFBF"/>
        </bottom>
      </border>
      <protection locked="0" hidden="0"/>
    </dxf>
    <dxf>
      <numFmt numFmtId="0" formatCode="General"/>
      <alignment horizontal="left" vertical="center" textRotation="0" wrapText="0" relativeIndent="1" justifyLastLine="0" shrinkToFit="0" readingOrder="0"/>
      <border diagonalUp="0" diagonalDown="0">
        <left/>
        <right/>
        <top style="hair">
          <color rgb="FFBFBFBF"/>
        </top>
        <bottom style="hair">
          <color rgb="FFBFBFBF"/>
        </bottom>
      </border>
      <protection locked="0" hidden="0"/>
    </dxf>
    <dxf>
      <border>
        <top style="hair">
          <color rgb="FFBFBFBF"/>
        </top>
      </border>
    </dxf>
    <dxf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alignment horizontal="general" vertical="center" textRotation="0" wrapText="0" indent="0" justifyLastLine="0" shrinkToFit="0" readingOrder="0"/>
    </dxf>
    <dxf>
      <border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/>
        <bottom/>
      </border>
    </dxf>
    <dxf>
      <font>
        <b val="0"/>
        <i val="0"/>
        <color theme="9" tint="0.79998168889431442"/>
      </font>
    </dxf>
    <dxf>
      <font>
        <b val="0"/>
        <i/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826275</xdr:colOff>
      <xdr:row>8</xdr:row>
      <xdr:rowOff>0</xdr:rowOff>
    </xdr:from>
    <xdr:to>
      <xdr:col>1</xdr:col>
      <xdr:colOff>213600</xdr:colOff>
      <xdr:row>8</xdr:row>
      <xdr:rowOff>216000</xdr:rowOff>
    </xdr:to>
    <xdr:pic>
      <xdr:nvPicPr>
        <xdr:cNvPr id="2" name="Graphique 1" descr="Téléphone">
          <a:extLst>
            <a:ext uri="{FF2B5EF4-FFF2-40B4-BE49-F238E27FC236}">
              <a16:creationId xmlns:a16="http://schemas.microsoft.com/office/drawing/2014/main" id="{7B263366-C22C-48E6-B54D-5DA936A48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7635" y="2644140"/>
          <a:ext cx="210285" cy="216000"/>
        </a:xfrm>
        <a:prstGeom prst="rect">
          <a:avLst/>
        </a:prstGeom>
      </xdr:spPr>
    </xdr:pic>
    <xdr:clientData/>
  </xdr:twoCellAnchor>
  <xdr:twoCellAnchor editAs="oneCell">
    <xdr:from>
      <xdr:col>0</xdr:col>
      <xdr:colOff>826275</xdr:colOff>
      <xdr:row>9</xdr:row>
      <xdr:rowOff>0</xdr:rowOff>
    </xdr:from>
    <xdr:to>
      <xdr:col>1</xdr:col>
      <xdr:colOff>213600</xdr:colOff>
      <xdr:row>9</xdr:row>
      <xdr:rowOff>216000</xdr:rowOff>
    </xdr:to>
    <xdr:pic>
      <xdr:nvPicPr>
        <xdr:cNvPr id="3" name="Graphique 2" descr="Courrier">
          <a:extLst>
            <a:ext uri="{FF2B5EF4-FFF2-40B4-BE49-F238E27FC236}">
              <a16:creationId xmlns:a16="http://schemas.microsoft.com/office/drawing/2014/main" id="{D52F2891-2D3D-4E7A-8527-8BBAB3E05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77635" y="2895600"/>
          <a:ext cx="210285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257175</xdr:rowOff>
    </xdr:from>
    <xdr:to>
      <xdr:col>2</xdr:col>
      <xdr:colOff>232410</xdr:colOff>
      <xdr:row>1</xdr:row>
      <xdr:rowOff>128812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F0D8238-44B6-406F-9E81-B3943DC99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GlowDiffused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520" y="257175"/>
          <a:ext cx="1581150" cy="633637"/>
        </a:xfrm>
        <a:prstGeom prst="rect">
          <a:avLst/>
        </a:prstGeom>
        <a:solidFill>
          <a:srgbClr val="92D050"/>
        </a:solidFill>
      </xdr:spPr>
    </xdr:pic>
    <xdr:clientData/>
  </xdr:twoCellAnchor>
  <xdr:twoCellAnchor editAs="absolute">
    <xdr:from>
      <xdr:col>10</xdr:col>
      <xdr:colOff>0</xdr:colOff>
      <xdr:row>2</xdr:row>
      <xdr:rowOff>216383</xdr:rowOff>
    </xdr:from>
    <xdr:to>
      <xdr:col>11</xdr:col>
      <xdr:colOff>647170</xdr:colOff>
      <xdr:row>7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952EAB4F-7633-4BD8-A59D-C281D260066E}"/>
            </a:ext>
          </a:extLst>
        </xdr:cNvPr>
        <xdr:cNvGrpSpPr/>
      </xdr:nvGrpSpPr>
      <xdr:grpSpPr>
        <a:xfrm>
          <a:off x="10538460" y="1229843"/>
          <a:ext cx="1729210" cy="1162837"/>
          <a:chOff x="9555480" y="1229843"/>
          <a:chExt cx="1729210" cy="1162837"/>
        </a:xfrm>
      </xdr:grpSpPr>
      <xdr:sp macro="[0]!validation" textlink="">
        <xdr:nvSpPr>
          <xdr:cNvPr id="13" name="Rectangle 12">
            <a:extLst>
              <a:ext uri="{FF2B5EF4-FFF2-40B4-BE49-F238E27FC236}">
                <a16:creationId xmlns:a16="http://schemas.microsoft.com/office/drawing/2014/main" id="{F8C587E3-5C86-D4F1-BA56-57F15E521175}"/>
              </a:ext>
            </a:extLst>
          </xdr:cNvPr>
          <xdr:cNvSpPr/>
        </xdr:nvSpPr>
        <xdr:spPr>
          <a:xfrm>
            <a:off x="9555480" y="1229843"/>
            <a:ext cx="1729210" cy="254208"/>
          </a:xfrm>
          <a:prstGeom prst="rect">
            <a:avLst/>
          </a:prstGeom>
          <a:gradFill flip="none" rotWithShape="1">
            <a:gsLst>
              <a:gs pos="0">
                <a:schemeClr val="lt1">
                  <a:shade val="30000"/>
                  <a:satMod val="115000"/>
                </a:schemeClr>
              </a:gs>
              <a:gs pos="50000">
                <a:schemeClr val="lt1">
                  <a:shade val="67500"/>
                  <a:satMod val="115000"/>
                </a:schemeClr>
              </a:gs>
              <a:gs pos="100000">
                <a:schemeClr val="lt1">
                  <a:shade val="100000"/>
                  <a:satMod val="115000"/>
                </a:schemeClr>
              </a:gs>
            </a:gsLst>
            <a:lin ang="16200000" scaled="1"/>
            <a:tileRect/>
          </a:gra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 b="1"/>
              <a:t>Création</a:t>
            </a:r>
            <a:r>
              <a:rPr lang="fr-FR" sz="1200" b="1" baseline="0"/>
              <a:t> PDF</a:t>
            </a:r>
            <a:endParaRPr lang="fr-FR" sz="1200" b="1"/>
          </a:p>
        </xdr:txBody>
      </xdr:sp>
      <xdr:sp macro="[0]!ImpressionCommande" textlink="">
        <xdr:nvSpPr>
          <xdr:cNvPr id="14" name="Rectangle 13">
            <a:extLst>
              <a:ext uri="{FF2B5EF4-FFF2-40B4-BE49-F238E27FC236}">
                <a16:creationId xmlns:a16="http://schemas.microsoft.com/office/drawing/2014/main" id="{7CA8005C-9E30-6845-8171-57E42A30703A}"/>
              </a:ext>
            </a:extLst>
          </xdr:cNvPr>
          <xdr:cNvSpPr/>
        </xdr:nvSpPr>
        <xdr:spPr>
          <a:xfrm>
            <a:off x="9555480" y="1538274"/>
            <a:ext cx="1729210" cy="254207"/>
          </a:xfrm>
          <a:prstGeom prst="rect">
            <a:avLst/>
          </a:prstGeom>
          <a:gradFill flip="none" rotWithShape="1">
            <a:gsLst>
              <a:gs pos="0">
                <a:schemeClr val="lt1">
                  <a:shade val="30000"/>
                  <a:satMod val="115000"/>
                </a:schemeClr>
              </a:gs>
              <a:gs pos="50000">
                <a:schemeClr val="lt1">
                  <a:shade val="67500"/>
                  <a:satMod val="115000"/>
                </a:schemeClr>
              </a:gs>
              <a:gs pos="100000">
                <a:schemeClr val="lt1">
                  <a:shade val="100000"/>
                  <a:satMod val="115000"/>
                </a:schemeClr>
              </a:gs>
            </a:gsLst>
            <a:lin ang="16200000" scaled="1"/>
            <a:tileRect/>
          </a:gra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 b="1"/>
              <a:t>Impression</a:t>
            </a:r>
            <a:r>
              <a:rPr lang="fr-FR" sz="1200" b="1" baseline="0"/>
              <a:t> commande</a:t>
            </a:r>
            <a:endParaRPr lang="fr-FR" sz="1200" b="1"/>
          </a:p>
        </xdr:txBody>
      </xdr:sp>
      <xdr:sp macro="[0]!EnregistrerCommande" textlink="">
        <xdr:nvSpPr>
          <xdr:cNvPr id="15" name="Rectangle 14">
            <a:extLst>
              <a:ext uri="{FF2B5EF4-FFF2-40B4-BE49-F238E27FC236}">
                <a16:creationId xmlns:a16="http://schemas.microsoft.com/office/drawing/2014/main" id="{D673BAC1-83B0-04B3-BA40-FC4A85188E32}"/>
              </a:ext>
            </a:extLst>
          </xdr:cNvPr>
          <xdr:cNvSpPr/>
        </xdr:nvSpPr>
        <xdr:spPr>
          <a:xfrm>
            <a:off x="9555480" y="2138472"/>
            <a:ext cx="1729210" cy="254208"/>
          </a:xfrm>
          <a:prstGeom prst="rect">
            <a:avLst/>
          </a:prstGeom>
          <a:gradFill flip="none" rotWithShape="1">
            <a:gsLst>
              <a:gs pos="0">
                <a:schemeClr val="lt1">
                  <a:shade val="30000"/>
                  <a:satMod val="115000"/>
                </a:schemeClr>
              </a:gs>
              <a:gs pos="50000">
                <a:schemeClr val="lt1">
                  <a:shade val="67500"/>
                  <a:satMod val="115000"/>
                </a:schemeClr>
              </a:gs>
              <a:gs pos="100000">
                <a:schemeClr val="lt1">
                  <a:shade val="100000"/>
                  <a:satMod val="115000"/>
                </a:schemeClr>
              </a:gs>
            </a:gsLst>
            <a:lin ang="16200000" scaled="1"/>
            <a:tileRect/>
          </a:gra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 b="1"/>
              <a:t>Archivage commande</a:t>
            </a:r>
          </a:p>
        </xdr:txBody>
      </xdr:sp>
      <xdr:sp macro="[0]!envoiMailOutlook" textlink="">
        <xdr:nvSpPr>
          <xdr:cNvPr id="16" name="Rectangle 15">
            <a:extLst>
              <a:ext uri="{FF2B5EF4-FFF2-40B4-BE49-F238E27FC236}">
                <a16:creationId xmlns:a16="http://schemas.microsoft.com/office/drawing/2014/main" id="{A3451D7B-B227-774A-9DB5-68C3EA7E5C1F}"/>
              </a:ext>
            </a:extLst>
          </xdr:cNvPr>
          <xdr:cNvSpPr/>
        </xdr:nvSpPr>
        <xdr:spPr>
          <a:xfrm>
            <a:off x="9555480" y="1841149"/>
            <a:ext cx="1729210" cy="252000"/>
          </a:xfrm>
          <a:prstGeom prst="rect">
            <a:avLst/>
          </a:prstGeom>
          <a:gradFill flip="none" rotWithShape="1">
            <a:gsLst>
              <a:gs pos="0">
                <a:schemeClr val="lt1">
                  <a:shade val="30000"/>
                  <a:satMod val="115000"/>
                </a:schemeClr>
              </a:gs>
              <a:gs pos="50000">
                <a:schemeClr val="lt1">
                  <a:shade val="67500"/>
                  <a:satMod val="115000"/>
                </a:schemeClr>
              </a:gs>
              <a:gs pos="100000">
                <a:schemeClr val="lt1">
                  <a:shade val="100000"/>
                  <a:satMod val="115000"/>
                </a:schemeClr>
              </a:gs>
            </a:gsLst>
            <a:lin ang="16200000" scaled="1"/>
            <a:tileRect/>
          </a:gra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 b="1"/>
              <a:t>Envoi mail</a:t>
            </a: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8230F4B-D17D-4134-A048-12535F264BC1}" name="T_Devis" displayName="T_Devis" ref="B13:H29" totalsRowShown="0" headerRowDxfId="54" dataDxfId="52" headerRowBorderDxfId="53" tableBorderDxfId="51" totalsRowBorderDxfId="50">
  <autoFilter ref="B13:H29" xr:uid="{4F41A735-CB83-4980-B0F7-99624382D7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B0ECBC4-0666-4E02-8B1B-0469C953CF6C}" name="Catégorie" dataDxfId="49"/>
    <tableColumn id="7" xr3:uid="{B49EA9EC-C7DC-41FC-A945-E0B2069B4965}" name="ID Produit" dataDxfId="48" dataCellStyle="Normal 2"/>
    <tableColumn id="2" xr3:uid="{D4EAD343-8109-4099-B30B-2C64DD75E023}" name="Libellé produit" dataDxfId="47">
      <calculatedColumnFormula>IFERROR(INDEX(t_Produit[Libellé Produit],MATCH(T_Devis[[#This Row],[ID Produit]],t_Produit[Id Produit],0)),"")</calculatedColumnFormula>
    </tableColumn>
    <tableColumn id="3" xr3:uid="{A29E2990-9A09-4EDC-ADD7-4D555CBE1C85}" name="Quantité" dataDxfId="46"/>
    <tableColumn id="4" xr3:uid="{009C048C-893B-4A39-9C0F-3644ED74A942}" name="PU" dataDxfId="45">
      <calculatedColumnFormula>IFERROR(INDEX(t_Produit[Prix],MATCH(T_Devis[[#This Row],[ID Produit]],t_Produit[Id Produit],0)),"")</calculatedColumnFormula>
    </tableColumn>
    <tableColumn id="5" xr3:uid="{48C71443-435A-446B-9073-544A6F3D30E7}" name="Total" dataDxfId="44" dataCellStyle="Normal 2">
      <calculatedColumnFormula>IF(T_Devis[[#This Row],[Catégorie]]&lt;&gt;"",T_Devis[[#This Row],[Quantité]]*T_Devis[[#This Row],[PU]],"")</calculatedColumnFormula>
    </tableColumn>
    <tableColumn id="6" xr3:uid="{BA3DA6CC-136B-4CEE-B5A6-C42CFB92AB3A}" name="TVA" dataDxfId="4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0D9E5-08E4-463F-B3C3-BB7EBE379FEE}" name="t_Commande" displayName="t_Commande" ref="B3:N12" totalsRowShown="0" headerRowDxfId="42" dataDxfId="41">
  <autoFilter ref="B3:N12" xr:uid="{EDB0D9E5-08E4-463F-B3C3-BB7EBE379FE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2" xr3:uid="{C8DCDFDA-05EF-49D2-976A-BA56173BAD90}" name="N° Commande" dataDxfId="40"/>
    <tableColumn id="1" xr3:uid="{C45CEFEB-01A5-45FB-B4FC-3D2390884521}" name="Date" dataDxfId="39"/>
    <tableColumn id="14" xr3:uid="{1CDE287C-1926-4779-A4AD-42D6C7A4D791}" name="Id Client" dataDxfId="38">
      <calculatedColumnFormula>INDEX(t_Client[Id Client],MATCH(t_Commande[[#This Row],[Nom Client]],t_Client[Raison sociale],0))</calculatedColumnFormula>
    </tableColumn>
    <tableColumn id="15" xr3:uid="{EFA0E33B-3542-4653-840E-3497A42BCD28}" name="Nom Client" dataDxfId="37"/>
    <tableColumn id="2" xr3:uid="{87E3804F-0506-4344-A177-B68A9B95671C}" name="Categorie" dataDxfId="36"/>
    <tableColumn id="3" xr3:uid="{092C17E7-9219-4367-A364-10685D056EEC}" name="Id Produit" dataDxfId="35"/>
    <tableColumn id="4" xr3:uid="{D25D0DB2-F55D-4A90-B447-5C0CAE8CAB5B}" name="Libelle" dataDxfId="34"/>
    <tableColumn id="5" xr3:uid="{31ECC08E-3CAE-43DE-9391-51B396735FFF}" name="Prix H.T." dataDxfId="33"/>
    <tableColumn id="6" xr3:uid="{A4AE8A1D-849D-4A72-9D27-5A297EA8221D}" name="Quantité" dataDxfId="32"/>
    <tableColumn id="9" xr3:uid="{77EE5EDC-3B33-4F96-A81D-FD7E3BBA529B}" name="Total HT" dataDxfId="31" dataCellStyle="Monétaire"/>
    <tableColumn id="16" xr3:uid="{EB0167C0-0E87-4604-B14C-1C7641F4732C}" name="TVA" dataDxfId="30" dataCellStyle="Monétaire"/>
    <tableColumn id="10" xr3:uid="{667AE26F-23AB-43CD-8F41-15E61A1B962D}" name="vérif numérotation" dataDxfId="29">
      <calculatedColumnFormula>IF(t_Commande[[#This Row],[N° Commande]]="",0,RIGHT(t_Commande[[#This Row],[N° Commande]],4))*1</calculatedColumnFormula>
    </tableColumn>
    <tableColumn id="11" xr3:uid="{8BF9CA99-7D72-4304-B02D-EB37F04C443E}" name="Nb ligne" dataDxfId="28">
      <calculatedColumnFormula>t_Commande[[#This Row],[N° Commande]]&amp;COUNTIF($B$4:t_Commande[[#This Row],[N° Commande]],t_Commande[[#This Row],[N° Commande]])</calculatedColumnFormula>
    </tableColumn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2FB93A1-134E-4664-B01E-821C88BAABDF}" name="t_Categorie" displayName="t_Categorie" ref="B2:B7" totalsRowShown="0" headerRowDxfId="27" dataDxfId="26">
  <autoFilter ref="B2:B7" xr:uid="{52FB93A1-134E-4664-B01E-821C88BAABDF}">
    <filterColumn colId="0" hiddenButton="1"/>
  </autoFilter>
  <tableColumns count="1">
    <tableColumn id="1" xr3:uid="{382939F7-E6C7-4833-A37D-3982EE216825}" name="Catégorie" dataDxfId="2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44F9C7-B191-434F-8834-C03190A68C12}" name="t_Client" displayName="t_Client" ref="I2:O32" totalsRowShown="0" headerRowDxfId="24" dataDxfId="23">
  <autoFilter ref="I2:O32" xr:uid="{0344F9C7-B191-434F-8834-C03190A68C1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F3579C41-8DAC-4557-A402-CFAEAC284BB9}" name="Id Client" dataDxfId="22"/>
    <tableColumn id="2" xr3:uid="{77EC0454-DF08-44AE-B99C-F40D79AFAEF2}" name="Raison sociale" dataDxfId="21"/>
    <tableColumn id="3" xr3:uid="{35CD725E-4AEC-4C86-92AF-737F2842A87E}" name="Adresse" dataDxfId="20"/>
    <tableColumn id="4" xr3:uid="{F700610F-49E9-43A2-9A28-8D41707F5534}" name="code postal" dataDxfId="19"/>
    <tableColumn id="7" xr3:uid="{3D6A916C-5BB2-4243-90BE-0EA8CB20A104}" name="Ville" dataDxfId="18"/>
    <tableColumn id="5" xr3:uid="{C1057BE3-608D-49EB-ADBE-48B0073253FA}" name="Telephone" dataDxfId="17"/>
    <tableColumn id="6" xr3:uid="{B911DFA9-4CC2-481C-8C8F-4B3B31F05437}" name="mail" dataDxfId="1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40E944A-08B9-4B57-BB88-D3D5E28C4A87}" name="t_Chrono" displayName="t_Chrono" ref="Q2:R3" totalsRowShown="0" headerRowDxfId="15" dataDxfId="14">
  <autoFilter ref="Q2:R3" xr:uid="{E40E944A-08B9-4B57-BB88-D3D5E28C4A87}">
    <filterColumn colId="0" hiddenButton="1"/>
    <filterColumn colId="1" hiddenButton="1"/>
  </autoFilter>
  <tableColumns count="2">
    <tableColumn id="1" xr3:uid="{445C641C-FCE6-4BA7-AB0E-ED8CBF70610D}" name="Tiers" dataDxfId="13"/>
    <tableColumn id="2" xr3:uid="{8A303A80-F38C-4A8E-ACED-88B01246A916}" name="Chrono" dataDxfId="1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E3074B-3077-4CC8-9F10-CDF94D63E38E}" name="t_TVA" displayName="t_TVA" ref="T2:T5" totalsRowShown="0" headerRowDxfId="11" dataDxfId="10">
  <autoFilter ref="T2:T5" xr:uid="{10E3074B-3077-4CC8-9F10-CDF94D63E38E}">
    <filterColumn colId="0" hiddenButton="1"/>
  </autoFilter>
  <tableColumns count="1">
    <tableColumn id="1" xr3:uid="{2C83CE9F-CA32-442E-BAFC-16C0F04B7630}" name="TVA" dataDxfId="9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91010D1-5095-41E2-9A86-BA049769DD80}" name="t_Reglement" displayName="t_Reglement" ref="V2:V6" totalsRowShown="0" headerRowDxfId="8" dataDxfId="7">
  <autoFilter ref="V2:V6" xr:uid="{B91010D1-5095-41E2-9A86-BA049769DD80}">
    <filterColumn colId="0" hiddenButton="1"/>
  </autoFilter>
  <tableColumns count="1">
    <tableColumn id="1" xr3:uid="{6D61ECC9-10B0-433E-9EEF-7B5F768D1566}" name="Mode règlement" dataDxfId="6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65EF397-B647-4FD3-B363-CDA6F00B1389}" name="t_Produit" displayName="t_Produit" ref="D2:G12" totalsRowShown="0" headerRowDxfId="5" dataDxfId="4">
  <autoFilter ref="D2:G12" xr:uid="{A65EF397-B647-4FD3-B363-CDA6F00B1389}">
    <filterColumn colId="0" hiddenButton="1"/>
    <filterColumn colId="1" hiddenButton="1"/>
    <filterColumn colId="2" hiddenButton="1"/>
    <filterColumn colId="3" hiddenButton="1"/>
  </autoFilter>
  <tableColumns count="4">
    <tableColumn id="1" xr3:uid="{902F44D5-E4F5-41A2-85EE-F3755E1E01C0}" name="Catégorie" dataDxfId="3"/>
    <tableColumn id="2" xr3:uid="{AB00136A-0D79-4114-AD1D-B02832B24C52}" name="Id Produit" dataDxfId="2"/>
    <tableColumn id="3" xr3:uid="{8292668C-6216-47A7-840C-92DE40B50C84}" name="Libellé Produit" dataDxfId="1"/>
    <tableColumn id="4" xr3:uid="{0D33E6FF-F63F-4DFA-9E47-B9EE8AB8FC0A}" name="Prix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numeros-bons-de-commandes-196271" TargetMode="Externa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0F052-2333-42B8-98F5-55194EFEE6D3}">
  <sheetPr codeName="Feuil5">
    <pageSetUpPr fitToPage="1"/>
  </sheetPr>
  <dimension ref="B1:L53"/>
  <sheetViews>
    <sheetView showGridLines="0" showZeros="0" zoomScaleNormal="100" workbookViewId="0">
      <selection activeCell="I2" sqref="I2"/>
    </sheetView>
  </sheetViews>
  <sheetFormatPr baseColWidth="10" defaultColWidth="12.21875" defaultRowHeight="20.100000000000001" customHeight="1" x14ac:dyDescent="0.3"/>
  <cols>
    <col min="1" max="1" width="4" style="10" customWidth="1"/>
    <col min="2" max="4" width="20.77734375" style="10" customWidth="1"/>
    <col min="5" max="5" width="14" style="10" customWidth="1"/>
    <col min="6" max="8" width="17.33203125" style="10" customWidth="1"/>
    <col min="9" max="9" width="4" style="10" customWidth="1"/>
    <col min="10" max="10" width="17.33203125" style="10" customWidth="1"/>
    <col min="11" max="11" width="15.77734375" style="10" customWidth="1"/>
    <col min="12" max="12" width="10.77734375" style="10" customWidth="1"/>
    <col min="13" max="13" width="17.44140625" style="10" customWidth="1"/>
    <col min="14" max="16384" width="12.21875" style="10"/>
  </cols>
  <sheetData>
    <row r="1" spans="2:12" ht="60" customHeight="1" x14ac:dyDescent="0.3">
      <c r="G1" s="11"/>
      <c r="H1" s="11"/>
    </row>
    <row r="2" spans="2:12" ht="20.100000000000001" customHeight="1" x14ac:dyDescent="0.3">
      <c r="E2" s="12" t="s">
        <v>99</v>
      </c>
      <c r="F2" s="13" t="str">
        <f ca="1">LEFT(E2,1)&amp;YEAR(F3)&amp;TEXT(NumCde,"0000")</f>
        <v>C20240006</v>
      </c>
      <c r="G2" s="13"/>
    </row>
    <row r="3" spans="2:12" ht="20.100000000000001" customHeight="1" x14ac:dyDescent="0.3">
      <c r="E3" s="12" t="s">
        <v>100</v>
      </c>
      <c r="F3" s="14">
        <f ca="1">TODAY()</f>
        <v>45589</v>
      </c>
      <c r="G3" s="14"/>
    </row>
    <row r="4" spans="2:12" ht="20.100000000000001" customHeight="1" x14ac:dyDescent="0.3">
      <c r="F4" s="15"/>
      <c r="G4" s="11"/>
      <c r="H4" s="11"/>
    </row>
    <row r="5" spans="2:12" ht="20.100000000000001" customHeight="1" x14ac:dyDescent="0.3">
      <c r="F5" s="76"/>
      <c r="G5" s="76"/>
      <c r="H5" s="76"/>
    </row>
    <row r="6" spans="2:12" ht="29.4" x14ac:dyDescent="0.3">
      <c r="B6" s="77" t="s">
        <v>101</v>
      </c>
      <c r="C6" s="77"/>
      <c r="D6" s="77"/>
    </row>
    <row r="7" spans="2:12" ht="20.100000000000001" customHeight="1" x14ac:dyDescent="0.3">
      <c r="B7" s="75" t="s">
        <v>102</v>
      </c>
      <c r="C7" s="75"/>
      <c r="D7" s="75"/>
      <c r="F7" s="102"/>
      <c r="G7" s="103"/>
      <c r="H7" s="104"/>
    </row>
    <row r="8" spans="2:12" ht="20.100000000000001" customHeight="1" x14ac:dyDescent="0.3">
      <c r="B8" s="75" t="s">
        <v>104</v>
      </c>
      <c r="C8" s="75"/>
      <c r="D8" s="75"/>
      <c r="F8" s="105" t="str">
        <f>IFERROR(INDEX(t_Client[Adresse],MATCH(CdeClient,t_Client[Raison sociale],0)),"")</f>
        <v/>
      </c>
      <c r="G8" s="106"/>
      <c r="H8" s="107"/>
    </row>
    <row r="9" spans="2:12" ht="20.100000000000001" customHeight="1" x14ac:dyDescent="0.3">
      <c r="B9" s="75" t="s">
        <v>105</v>
      </c>
      <c r="C9" s="75"/>
      <c r="D9" s="75"/>
      <c r="F9" s="105" t="str">
        <f>IFERROR(TEXT(INDEX(t_Client[code postal],MATCH(CdeClient,t_Client[Raison sociale],0)),"00000")&amp;" "&amp;INDEX(t_Client[Ville],MATCH(CdeClient,t_Client[Raison sociale],0)),"")</f>
        <v/>
      </c>
      <c r="G9" s="106"/>
      <c r="H9" s="107"/>
    </row>
    <row r="10" spans="2:12" ht="20.100000000000001" customHeight="1" x14ac:dyDescent="0.3">
      <c r="B10" s="75" t="s">
        <v>106</v>
      </c>
      <c r="C10" s="75"/>
      <c r="D10" s="75"/>
      <c r="F10" s="105"/>
      <c r="G10" s="106"/>
      <c r="H10" s="107"/>
      <c r="L10" s="17" t="s">
        <v>103</v>
      </c>
    </row>
    <row r="11" spans="2:12" ht="20.100000000000001" customHeight="1" x14ac:dyDescent="0.3">
      <c r="F11" s="108"/>
      <c r="G11" s="109"/>
      <c r="H11" s="110"/>
    </row>
    <row r="12" spans="2:12" ht="20.100000000000001" customHeight="1" x14ac:dyDescent="0.3">
      <c r="K12" s="78" t="s">
        <v>107</v>
      </c>
      <c r="L12" s="79"/>
    </row>
    <row r="13" spans="2:12" ht="20.100000000000001" customHeight="1" x14ac:dyDescent="0.3">
      <c r="B13" s="18" t="s">
        <v>96</v>
      </c>
      <c r="C13" s="54" t="s">
        <v>135</v>
      </c>
      <c r="D13" s="19" t="s">
        <v>136</v>
      </c>
      <c r="E13" s="19" t="s">
        <v>2</v>
      </c>
      <c r="F13" s="19" t="s">
        <v>108</v>
      </c>
      <c r="G13" s="19" t="s">
        <v>109</v>
      </c>
      <c r="H13" s="65" t="s">
        <v>110</v>
      </c>
      <c r="K13" s="20" t="s">
        <v>111</v>
      </c>
      <c r="L13" s="21" t="str">
        <f>IF(CdeClient="","NOK","OK")</f>
        <v>NOK</v>
      </c>
    </row>
    <row r="14" spans="2:12" ht="20.100000000000001" customHeight="1" x14ac:dyDescent="0.3">
      <c r="B14" s="70"/>
      <c r="C14" s="70"/>
      <c r="D14" s="56" t="str">
        <f>IFERROR(INDEX(t_Produit[Libellé Produit],MATCH(T_Devis[[#This Row],[ID Produit]],t_Produit[Id Produit],0)),"")</f>
        <v/>
      </c>
      <c r="E14" s="59"/>
      <c r="F14" s="62" t="str">
        <f>IFERROR(INDEX(t_Produit[Prix],MATCH(T_Devis[[#This Row],[ID Produit]],t_Produit[Id Produit],0)),"")</f>
        <v/>
      </c>
      <c r="G14" s="62" t="str">
        <f>IF(T_Devis[[#This Row],[Catégorie]]&lt;&gt;"",T_Devis[[#This Row],[Quantité]]*T_Devis[[#This Row],[PU]],"")</f>
        <v/>
      </c>
      <c r="H14" s="66"/>
      <c r="K14" s="22" t="s">
        <v>97</v>
      </c>
      <c r="L14" s="23" t="str">
        <f>IF(COUNTA(T_Devis[ID Produit])=0,"NOK","OK")</f>
        <v>NOK</v>
      </c>
    </row>
    <row r="15" spans="2:12" ht="20.100000000000001" customHeight="1" x14ac:dyDescent="0.3">
      <c r="B15" s="71"/>
      <c r="C15" s="71"/>
      <c r="D15" s="57" t="str">
        <f>IFERROR(INDEX(t_Produit[Libellé Produit],MATCH(T_Devis[[#This Row],[ID Produit]],t_Produit[Id Produit],0)),"")</f>
        <v/>
      </c>
      <c r="E15" s="60"/>
      <c r="F15" s="63" t="str">
        <f>IFERROR(INDEX(t_Produit[Prix],MATCH(T_Devis[[#This Row],[ID Produit]],t_Produit[Id Produit],0)),"")</f>
        <v/>
      </c>
      <c r="G15" s="63" t="str">
        <f>IF(T_Devis[[#This Row],[Catégorie]]&lt;&gt;"",T_Devis[[#This Row],[Quantité]]*T_Devis[[#This Row],[PU]],"")</f>
        <v/>
      </c>
      <c r="H15" s="66"/>
      <c r="K15" s="22" t="s">
        <v>2</v>
      </c>
      <c r="L15" s="23" t="str">
        <f>IF(AND(COUNTA(T_Devis[ID Produit])&lt;&gt;0,COUNTA(T_Devis[ID Produit])=COUNTA(T_Devis[Quantité])),"OK","NOK")</f>
        <v>NOK</v>
      </c>
    </row>
    <row r="16" spans="2:12" ht="20.100000000000001" customHeight="1" x14ac:dyDescent="0.3">
      <c r="B16" s="71"/>
      <c r="C16" s="71"/>
      <c r="D16" s="57" t="str">
        <f>IFERROR(INDEX(t_Produit[Libellé Produit],MATCH(T_Devis[[#This Row],[ID Produit]],t_Produit[Id Produit],0)),"")</f>
        <v/>
      </c>
      <c r="E16" s="60"/>
      <c r="F16" s="63" t="str">
        <f>IFERROR(INDEX(t_Produit[Prix],MATCH(T_Devis[[#This Row],[ID Produit]],t_Produit[Id Produit],0)),"")</f>
        <v/>
      </c>
      <c r="G16" s="63" t="str">
        <f>IF(T_Devis[[#This Row],[Catégorie]]&lt;&gt;"",T_Devis[[#This Row],[Quantité]]*T_Devis[[#This Row],[PU]],"")</f>
        <v/>
      </c>
      <c r="H16" s="66"/>
      <c r="K16" s="22" t="s">
        <v>110</v>
      </c>
      <c r="L16" s="23" t="str">
        <f>IF(AND(COUNTA(T_Devis[ID Produit])&lt;&gt;0,COUNTA(T_Devis[ID Produit])=COUNTA(T_Devis[TVA])),"OK","NOK")</f>
        <v>NOK</v>
      </c>
    </row>
    <row r="17" spans="2:12" ht="20.100000000000001" customHeight="1" x14ac:dyDescent="0.3">
      <c r="B17" s="71"/>
      <c r="C17" s="71"/>
      <c r="D17" s="57" t="str">
        <f>IFERROR(INDEX(t_Produit[Libellé Produit],MATCH(T_Devis[[#This Row],[ID Produit]],t_Produit[Id Produit],0)),"")</f>
        <v/>
      </c>
      <c r="E17" s="60"/>
      <c r="F17" s="63" t="str">
        <f>IFERROR(INDEX(t_Produit[Prix],MATCH(T_Devis[[#This Row],[ID Produit]],t_Produit[Id Produit],0)),"")</f>
        <v/>
      </c>
      <c r="G17" s="63" t="str">
        <f>IF(T_Devis[[#This Row],[Catégorie]]&lt;&gt;"",T_Devis[[#This Row],[Quantité]]*T_Devis[[#This Row],[PU]],"")</f>
        <v/>
      </c>
      <c r="H17" s="66"/>
      <c r="K17" s="24" t="s">
        <v>112</v>
      </c>
      <c r="L17" s="25" t="str">
        <f>IF(OR(H38=0,H38&lt;&gt;SUM(H32:H33)),"NOK","OK")</f>
        <v>NOK</v>
      </c>
    </row>
    <row r="18" spans="2:12" ht="20.100000000000001" customHeight="1" x14ac:dyDescent="0.3">
      <c r="B18" s="71"/>
      <c r="C18" s="71"/>
      <c r="D18" s="57" t="str">
        <f>IFERROR(INDEX(t_Produit[Libellé Produit],MATCH(T_Devis[[#This Row],[ID Produit]],t_Produit[Id Produit],0)),"")</f>
        <v/>
      </c>
      <c r="E18" s="60"/>
      <c r="F18" s="63" t="str">
        <f>IFERROR(INDEX(t_Produit[Prix],MATCH(T_Devis[[#This Row],[ID Produit]],t_Produit[Id Produit],0)),"")</f>
        <v/>
      </c>
      <c r="G18" s="63" t="str">
        <f>IF(T_Devis[[#This Row],[Catégorie]]&lt;&gt;"",T_Devis[[#This Row],[Quantité]]*T_Devis[[#This Row],[PU]],"")</f>
        <v/>
      </c>
      <c r="H18" s="66"/>
    </row>
    <row r="19" spans="2:12" ht="20.100000000000001" customHeight="1" x14ac:dyDescent="0.3">
      <c r="B19" s="71"/>
      <c r="C19" s="71"/>
      <c r="D19" s="57" t="str">
        <f>IFERROR(INDEX(t_Produit[Libellé Produit],MATCH(T_Devis[[#This Row],[ID Produit]],t_Produit[Id Produit],0)),"")</f>
        <v/>
      </c>
      <c r="E19" s="60"/>
      <c r="F19" s="63" t="str">
        <f>IFERROR(INDEX(t_Produit[Prix],MATCH(T_Devis[[#This Row],[ID Produit]],t_Produit[Id Produit],0)),"")</f>
        <v/>
      </c>
      <c r="G19" s="63" t="str">
        <f>IF(T_Devis[[#This Row],[Catégorie]]&lt;&gt;"",T_Devis[[#This Row],[Quantité]]*T_Devis[[#This Row],[PU]],"")</f>
        <v/>
      </c>
      <c r="H19" s="67"/>
      <c r="K19" s="26" t="s">
        <v>113</v>
      </c>
      <c r="L19" s="27" t="str">
        <f>IF(MAX(t_Commande[vérif numérotation])+1=NumCde,"OK","NOK")</f>
        <v>OK</v>
      </c>
    </row>
    <row r="20" spans="2:12" ht="20.100000000000001" customHeight="1" x14ac:dyDescent="0.3">
      <c r="B20" s="71"/>
      <c r="C20" s="71"/>
      <c r="D20" s="57" t="str">
        <f>IFERROR(INDEX(t_Produit[Libellé Produit],MATCH(T_Devis[[#This Row],[ID Produit]],t_Produit[Id Produit],0)),"")</f>
        <v/>
      </c>
      <c r="E20" s="60"/>
      <c r="F20" s="63" t="str">
        <f>IFERROR(INDEX(t_Produit[Prix],MATCH(T_Devis[[#This Row],[ID Produit]],t_Produit[Id Produit],0)),"")</f>
        <v/>
      </c>
      <c r="G20" s="63" t="str">
        <f>IF(T_Devis[[#This Row],[Catégorie]]&lt;&gt;"",T_Devis[[#This Row],[Quantité]]*T_Devis[[#This Row],[PU]],"")</f>
        <v/>
      </c>
      <c r="H20" s="67"/>
      <c r="K20" s="28" t="str">
        <f>IF(L19="OK","","Attention le numéro du prochain devis ne correspond pas à la suite logique du Récap devis")</f>
        <v/>
      </c>
    </row>
    <row r="21" spans="2:12" ht="20.100000000000001" customHeight="1" x14ac:dyDescent="0.3">
      <c r="B21" s="71"/>
      <c r="C21" s="71"/>
      <c r="D21" s="57" t="str">
        <f>IFERROR(INDEX(t_Produit[Libellé Produit],MATCH(T_Devis[[#This Row],[ID Produit]],t_Produit[Id Produit],0)),"")</f>
        <v/>
      </c>
      <c r="E21" s="60"/>
      <c r="F21" s="63" t="str">
        <f>IFERROR(INDEX(t_Produit[Prix],MATCH(T_Devis[[#This Row],[ID Produit]],t_Produit[Id Produit],0)),"")</f>
        <v/>
      </c>
      <c r="G21" s="63" t="str">
        <f>IF(T_Devis[[#This Row],[Catégorie]]&lt;&gt;"",T_Devis[[#This Row],[Quantité]]*T_Devis[[#This Row],[PU]],"")</f>
        <v/>
      </c>
      <c r="H21" s="67"/>
      <c r="K21" s="29">
        <f ca="1">CdeDate</f>
        <v>45589</v>
      </c>
      <c r="L21" s="30"/>
    </row>
    <row r="22" spans="2:12" ht="20.100000000000001" customHeight="1" x14ac:dyDescent="0.3">
      <c r="B22" s="71"/>
      <c r="C22" s="71"/>
      <c r="D22" s="57" t="str">
        <f>IFERROR(INDEX(t_Produit[Libellé Produit],MATCH(T_Devis[[#This Row],[ID Produit]],t_Produit[Id Produit],0)),"")</f>
        <v/>
      </c>
      <c r="E22" s="60"/>
      <c r="F22" s="63" t="str">
        <f>IFERROR(INDEX(t_Produit[Prix],MATCH(T_Devis[[#This Row],[ID Produit]],t_Produit[Id Produit],0)),"")</f>
        <v/>
      </c>
      <c r="G22" s="63" t="str">
        <f>IF(T_Devis[[#This Row],[Catégorie]]&lt;&gt;"",T_Devis[[#This Row],[Quantité]]*T_Devis[[#This Row],[PU]],"")</f>
        <v/>
      </c>
      <c r="H22" s="67"/>
      <c r="K22" s="31">
        <f>CdeClient</f>
        <v>0</v>
      </c>
      <c r="L22" s="30"/>
    </row>
    <row r="23" spans="2:12" ht="20.100000000000001" customHeight="1" x14ac:dyDescent="0.3">
      <c r="B23" s="71"/>
      <c r="C23" s="71"/>
      <c r="D23" s="57" t="str">
        <f>IFERROR(INDEX(t_Produit[Libellé Produit],MATCH(T_Devis[[#This Row],[ID Produit]],t_Produit[Id Produit],0)),"")</f>
        <v/>
      </c>
      <c r="E23" s="60"/>
      <c r="F23" s="63" t="str">
        <f>IFERROR(INDEX(t_Produit[Prix],MATCH(T_Devis[[#This Row],[ID Produit]],t_Produit[Id Produit],0)),"")</f>
        <v/>
      </c>
      <c r="G23" s="63" t="str">
        <f>IF(T_Devis[[#This Row],[Catégorie]]&lt;&gt;"",T_Devis[[#This Row],[Quantité]]*T_Devis[[#This Row],[PU]],"")</f>
        <v/>
      </c>
      <c r="H23" s="67"/>
      <c r="K23" s="31" t="str">
        <f>LEFT(E2,FIND(" ",E2)-1)</f>
        <v>Commande</v>
      </c>
      <c r="L23" s="30"/>
    </row>
    <row r="24" spans="2:12" ht="20.100000000000001" customHeight="1" x14ac:dyDescent="0.3">
      <c r="B24" s="71"/>
      <c r="C24" s="71"/>
      <c r="D24" s="57" t="str">
        <f>IFERROR(INDEX(t_Produit[Libellé Produit],MATCH(T_Devis[[#This Row],[ID Produit]],t_Produit[Id Produit],0)),"")</f>
        <v/>
      </c>
      <c r="E24" s="60"/>
      <c r="F24" s="63" t="str">
        <f>IFERROR(INDEX(t_Produit[Prix],MATCH(T_Devis[[#This Row],[ID Produit]],t_Produit[Id Produit],0)),"")</f>
        <v/>
      </c>
      <c r="G24" s="63" t="str">
        <f>IF(T_Devis[[#This Row],[Catégorie]]&lt;&gt;"",T_Devis[[#This Row],[Quantité]]*T_Devis[[#This Row],[PU]],"")</f>
        <v/>
      </c>
      <c r="H24" s="67"/>
      <c r="K24" s="31" t="str">
        <f>IFERROR(INDEX(t_Client[mail],MATCH(F7,t_Client[Raison sociale],0)),"")</f>
        <v/>
      </c>
      <c r="L24" s="69"/>
    </row>
    <row r="25" spans="2:12" ht="20.100000000000001" customHeight="1" x14ac:dyDescent="0.3">
      <c r="B25" s="71"/>
      <c r="C25" s="71"/>
      <c r="D25" s="57" t="str">
        <f>IFERROR(INDEX(t_Produit[Libellé Produit],MATCH(T_Devis[[#This Row],[ID Produit]],t_Produit[Id Produit],0)),"")</f>
        <v/>
      </c>
      <c r="E25" s="60"/>
      <c r="F25" s="63" t="str">
        <f>IFERROR(INDEX(t_Produit[Prix],MATCH(T_Devis[[#This Row],[ID Produit]],t_Produit[Id Produit],0)),"")</f>
        <v/>
      </c>
      <c r="G25" s="63" t="str">
        <f>IF(T_Devis[[#This Row],[Catégorie]]&lt;&gt;"",T_Devis[[#This Row],[Quantité]]*T_Devis[[#This Row],[PU]],"")</f>
        <v/>
      </c>
      <c r="H25" s="67"/>
    </row>
    <row r="26" spans="2:12" ht="20.100000000000001" customHeight="1" x14ac:dyDescent="0.3">
      <c r="B26" s="71"/>
      <c r="C26" s="71"/>
      <c r="D26" s="57" t="str">
        <f>IFERROR(INDEX(t_Produit[Libellé Produit],MATCH(T_Devis[[#This Row],[ID Produit]],t_Produit[Id Produit],0)),"")</f>
        <v/>
      </c>
      <c r="E26" s="60"/>
      <c r="F26" s="63" t="str">
        <f>IFERROR(INDEX(t_Produit[Prix],MATCH(T_Devis[[#This Row],[ID Produit]],t_Produit[Id Produit],0)),"")</f>
        <v/>
      </c>
      <c r="G26" s="63" t="str">
        <f>IF(T_Devis[[#This Row],[Catégorie]]&lt;&gt;"",T_Devis[[#This Row],[Quantité]]*T_Devis[[#This Row],[PU]],"")</f>
        <v/>
      </c>
      <c r="H26" s="67"/>
    </row>
    <row r="27" spans="2:12" ht="20.100000000000001" customHeight="1" x14ac:dyDescent="0.3">
      <c r="B27" s="71"/>
      <c r="C27" s="71"/>
      <c r="D27" s="57" t="str">
        <f>IFERROR(INDEX(t_Produit[Libellé Produit],MATCH(T_Devis[[#This Row],[ID Produit]],t_Produit[Id Produit],0)),"")</f>
        <v/>
      </c>
      <c r="E27" s="60"/>
      <c r="F27" s="63" t="str">
        <f>IFERROR(INDEX(t_Produit[Prix],MATCH(T_Devis[[#This Row],[ID Produit]],t_Produit[Id Produit],0)),"")</f>
        <v/>
      </c>
      <c r="G27" s="63" t="str">
        <f>IF(T_Devis[[#This Row],[Catégorie]]&lt;&gt;"",T_Devis[[#This Row],[Quantité]]*T_Devis[[#This Row],[PU]],"")</f>
        <v/>
      </c>
      <c r="H27" s="67"/>
    </row>
    <row r="28" spans="2:12" ht="20.100000000000001" customHeight="1" x14ac:dyDescent="0.3">
      <c r="B28" s="71"/>
      <c r="C28" s="71"/>
      <c r="D28" s="57" t="str">
        <f>IFERROR(INDEX(t_Produit[Libellé Produit],MATCH(T_Devis[[#This Row],[ID Produit]],t_Produit[Id Produit],0)),"")</f>
        <v/>
      </c>
      <c r="E28" s="60"/>
      <c r="F28" s="63" t="str">
        <f>IFERROR(INDEX(t_Produit[Prix],MATCH(T_Devis[[#This Row],[ID Produit]],t_Produit[Id Produit],0)),"")</f>
        <v/>
      </c>
      <c r="G28" s="63" t="str">
        <f>IF(T_Devis[[#This Row],[Catégorie]]&lt;&gt;"",T_Devis[[#This Row],[Quantité]]*T_Devis[[#This Row],[PU]],"")</f>
        <v/>
      </c>
      <c r="H28" s="67"/>
    </row>
    <row r="29" spans="2:12" ht="20.100000000000001" customHeight="1" x14ac:dyDescent="0.3">
      <c r="B29" s="72"/>
      <c r="C29" s="72"/>
      <c r="D29" s="58" t="str">
        <f>IFERROR(INDEX(t_Produit[Libellé Produit],MATCH(T_Devis[[#This Row],[ID Produit]],t_Produit[Id Produit],0)),"")</f>
        <v/>
      </c>
      <c r="E29" s="61"/>
      <c r="F29" s="64" t="str">
        <f>IFERROR(INDEX(t_Produit[Prix],MATCH(T_Devis[[#This Row],[ID Produit]],t_Produit[Id Produit],0)),"")</f>
        <v/>
      </c>
      <c r="G29" s="64" t="str">
        <f>IF(T_Devis[[#This Row],[Catégorie]]&lt;&gt;"",T_Devis[[#This Row],[Quantité]]*T_Devis[[#This Row],[PU]],"")</f>
        <v/>
      </c>
      <c r="H29" s="68"/>
    </row>
    <row r="31" spans="2:12" ht="20.100000000000001" customHeight="1" x14ac:dyDescent="0.3">
      <c r="E31" s="32" t="s">
        <v>112</v>
      </c>
      <c r="F31" s="33" t="s">
        <v>114</v>
      </c>
      <c r="G31" s="33" t="s">
        <v>110</v>
      </c>
      <c r="H31" s="34" t="s">
        <v>115</v>
      </c>
    </row>
    <row r="32" spans="2:12" ht="20.100000000000001" customHeight="1" x14ac:dyDescent="0.3">
      <c r="E32" s="35">
        <f>IF(G36&lt;&gt;"",G36,"")</f>
        <v>0</v>
      </c>
      <c r="F32" s="36">
        <f>IF(E32&lt;&gt;"",SUMIF(T_Devis[TVA],E32,T_Devis[Total]),"")</f>
        <v>0</v>
      </c>
      <c r="G32" s="36" t="str">
        <f>IFERROR(IF(E32&lt;&gt;"",F32*RIGHT(E32,LEN(E32)-4),""),"")</f>
        <v/>
      </c>
      <c r="H32" s="37" t="str">
        <f>IFERROR(F32+G32,"")</f>
        <v/>
      </c>
    </row>
    <row r="33" spans="2:8" ht="20.100000000000001" customHeight="1" x14ac:dyDescent="0.3">
      <c r="E33" s="38" t="str">
        <f>IF(G37&lt;&gt;"",G37,"")</f>
        <v/>
      </c>
      <c r="F33" s="39" t="str">
        <f>IF(E33&lt;&gt;"",SUMIF(T_Devis[TVA],E33,T_Devis[Total]),"")</f>
        <v/>
      </c>
      <c r="G33" s="39" t="str">
        <f>IFERROR(IF(E33&lt;&gt;"",F33*RIGHT(E33,LEN(E33)-4),""),"")</f>
        <v/>
      </c>
      <c r="H33" s="40" t="str">
        <f>IFERROR(F33+G33,"")</f>
        <v/>
      </c>
    </row>
    <row r="34" spans="2:8" ht="9.9" customHeight="1" x14ac:dyDescent="0.3"/>
    <row r="35" spans="2:8" ht="20.100000000000001" customHeight="1" x14ac:dyDescent="0.3">
      <c r="B35" s="100" t="s">
        <v>116</v>
      </c>
      <c r="C35" s="100"/>
      <c r="D35" s="100"/>
      <c r="E35" s="100"/>
      <c r="G35" s="41" t="s">
        <v>117</v>
      </c>
      <c r="H35" s="42">
        <f>SUM(T_Devis[Total])</f>
        <v>0</v>
      </c>
    </row>
    <row r="36" spans="2:8" ht="20.100000000000001" customHeight="1" x14ac:dyDescent="0.3">
      <c r="B36" s="75" t="str">
        <f>"Acompte de 30% à la commande soit : "&amp;TEXT(H38*30%,"# ##0,00€")</f>
        <v>Acompte de 30% à la commande soit : 0,00€</v>
      </c>
      <c r="C36" s="75"/>
      <c r="D36" s="75"/>
      <c r="E36" s="75"/>
      <c r="G36" s="43" cm="1">
        <f t="array" ref="G36">IFERROR(INDEX(T_Devis[TVA],MATCH(0,COUNTIF($G$35:G35,T_Devis[TVA]),0)),"")</f>
        <v>0</v>
      </c>
      <c r="H36" s="44" t="str">
        <f>IF(G32&lt;&gt;0,G32,0)</f>
        <v/>
      </c>
    </row>
    <row r="37" spans="2:8" ht="20.100000000000001" customHeight="1" x14ac:dyDescent="0.3">
      <c r="B37" s="75" t="s">
        <v>118</v>
      </c>
      <c r="C37" s="75"/>
      <c r="D37" s="75"/>
      <c r="E37" s="75"/>
      <c r="G37" s="43" t="str" cm="1">
        <f t="array" ref="G37">IFERROR(INDEX(T_Devis[TVA],MATCH(0,COUNTIF($G$35:G36,T_Devis[TVA]),0)),"")</f>
        <v/>
      </c>
      <c r="H37" s="44" t="str">
        <f>IF(G33&lt;&gt;0,G33,0)</f>
        <v/>
      </c>
    </row>
    <row r="38" spans="2:8" ht="20.100000000000001" customHeight="1" x14ac:dyDescent="0.3">
      <c r="B38" s="75" t="str">
        <f>"Paiement comptant à réception soit : "&amp;TEXT(H38*70%,"# ##0,00€")</f>
        <v>Paiement comptant à réception soit : 0,00€</v>
      </c>
      <c r="C38" s="75"/>
      <c r="D38" s="75"/>
      <c r="E38" s="75"/>
      <c r="G38" s="45" t="s">
        <v>119</v>
      </c>
      <c r="H38" s="46">
        <f>SUM(H35:H37)</f>
        <v>0</v>
      </c>
    </row>
    <row r="39" spans="2:8" ht="9.9" customHeight="1" x14ac:dyDescent="0.3">
      <c r="G39" s="55"/>
    </row>
    <row r="40" spans="2:8" ht="9.9" customHeight="1" x14ac:dyDescent="0.3">
      <c r="B40" s="16"/>
      <c r="C40" s="16"/>
      <c r="D40" s="16"/>
      <c r="E40" s="16"/>
    </row>
    <row r="41" spans="2:8" ht="36" customHeight="1" x14ac:dyDescent="0.3">
      <c r="B41" s="101"/>
      <c r="C41" s="101"/>
      <c r="D41" s="101"/>
      <c r="E41" s="101"/>
      <c r="F41" s="101"/>
      <c r="G41" s="101"/>
      <c r="H41" s="101"/>
    </row>
    <row r="42" spans="2:8" ht="9.9" customHeight="1" x14ac:dyDescent="0.3">
      <c r="B42" s="16"/>
      <c r="C42" s="16"/>
      <c r="D42" s="16"/>
      <c r="E42" s="16"/>
    </row>
    <row r="43" spans="2:8" ht="20.100000000000001" customHeight="1" x14ac:dyDescent="0.3">
      <c r="B43" s="81" t="s">
        <v>120</v>
      </c>
      <c r="C43" s="82"/>
      <c r="D43" s="83"/>
      <c r="E43" s="16"/>
      <c r="F43" s="90" t="s">
        <v>121</v>
      </c>
      <c r="G43" s="91"/>
      <c r="H43" s="92"/>
    </row>
    <row r="44" spans="2:8" ht="20.100000000000001" customHeight="1" x14ac:dyDescent="0.3">
      <c r="B44" s="84"/>
      <c r="C44" s="85"/>
      <c r="D44" s="86"/>
      <c r="E44" s="16"/>
      <c r="F44" s="93" t="s">
        <v>122</v>
      </c>
      <c r="G44" s="75"/>
      <c r="H44" s="47" t="s">
        <v>123</v>
      </c>
    </row>
    <row r="45" spans="2:8" ht="20.100000000000001" customHeight="1" x14ac:dyDescent="0.3">
      <c r="B45" s="84"/>
      <c r="C45" s="85"/>
      <c r="D45" s="86"/>
      <c r="E45" s="16"/>
      <c r="F45" s="94"/>
      <c r="G45" s="95"/>
      <c r="H45" s="96"/>
    </row>
    <row r="46" spans="2:8" ht="20.100000000000001" customHeight="1" x14ac:dyDescent="0.3">
      <c r="B46" s="84"/>
      <c r="C46" s="85"/>
      <c r="D46" s="86"/>
      <c r="E46" s="16"/>
      <c r="F46" s="94"/>
      <c r="G46" s="95"/>
      <c r="H46" s="96"/>
    </row>
    <row r="47" spans="2:8" ht="20.100000000000001" customHeight="1" x14ac:dyDescent="0.3">
      <c r="B47" s="84"/>
      <c r="C47" s="85"/>
      <c r="D47" s="86"/>
      <c r="E47" s="16"/>
      <c r="F47" s="94"/>
      <c r="G47" s="95"/>
      <c r="H47" s="96"/>
    </row>
    <row r="48" spans="2:8" ht="20.100000000000001" customHeight="1" x14ac:dyDescent="0.3">
      <c r="B48" s="84"/>
      <c r="C48" s="85"/>
      <c r="D48" s="86"/>
      <c r="F48" s="94"/>
      <c r="G48" s="95"/>
      <c r="H48" s="96"/>
    </row>
    <row r="49" spans="2:8" ht="20.100000000000001" customHeight="1" x14ac:dyDescent="0.3">
      <c r="B49" s="87"/>
      <c r="C49" s="88"/>
      <c r="D49" s="89"/>
      <c r="E49" s="48"/>
      <c r="F49" s="97"/>
      <c r="G49" s="98"/>
      <c r="H49" s="99"/>
    </row>
    <row r="51" spans="2:8" ht="15" customHeight="1" x14ac:dyDescent="0.3">
      <c r="B51" s="80" t="s">
        <v>124</v>
      </c>
      <c r="C51" s="80"/>
      <c r="D51" s="80"/>
      <c r="E51" s="80"/>
      <c r="F51" s="80"/>
      <c r="G51" s="80"/>
      <c r="H51" s="80"/>
    </row>
    <row r="52" spans="2:8" ht="15" customHeight="1" x14ac:dyDescent="0.3">
      <c r="B52" s="80" t="s">
        <v>125</v>
      </c>
      <c r="C52" s="80"/>
      <c r="D52" s="80"/>
      <c r="E52" s="80"/>
      <c r="F52" s="80"/>
      <c r="G52" s="80"/>
      <c r="H52" s="80"/>
    </row>
    <row r="53" spans="2:8" ht="15" customHeight="1" x14ac:dyDescent="0.3">
      <c r="B53" s="80" t="s">
        <v>126</v>
      </c>
      <c r="C53" s="80"/>
      <c r="D53" s="80"/>
      <c r="E53" s="80"/>
      <c r="F53" s="80"/>
      <c r="G53" s="80"/>
      <c r="H53" s="80"/>
    </row>
  </sheetData>
  <sheetProtection selectLockedCells="1"/>
  <mergeCells count="24">
    <mergeCell ref="F11:H11"/>
    <mergeCell ref="K12:L12"/>
    <mergeCell ref="B53:H53"/>
    <mergeCell ref="B43:D49"/>
    <mergeCell ref="F43:H43"/>
    <mergeCell ref="F44:G44"/>
    <mergeCell ref="F45:H49"/>
    <mergeCell ref="B51:H51"/>
    <mergeCell ref="B52:H52"/>
    <mergeCell ref="B35:E35"/>
    <mergeCell ref="B36:E36"/>
    <mergeCell ref="B37:E37"/>
    <mergeCell ref="B38:E38"/>
    <mergeCell ref="B41:H41"/>
    <mergeCell ref="B9:D9"/>
    <mergeCell ref="B10:D10"/>
    <mergeCell ref="F5:H5"/>
    <mergeCell ref="B6:D6"/>
    <mergeCell ref="B7:D7"/>
    <mergeCell ref="B8:D8"/>
    <mergeCell ref="F7:H7"/>
    <mergeCell ref="F8:H8"/>
    <mergeCell ref="F9:H9"/>
    <mergeCell ref="F10:H10"/>
  </mergeCells>
  <conditionalFormatting sqref="L13:L17 L19">
    <cfRule type="expression" dxfId="56" priority="1">
      <formula>L13="NOK"</formula>
    </cfRule>
    <cfRule type="expression" dxfId="55" priority="2">
      <formula>L13="OK"</formula>
    </cfRule>
  </conditionalFormatting>
  <dataValidations count="3">
    <dataValidation type="list" allowBlank="1" showInputMessage="1" showErrorMessage="1" sqref="B14:B29" xr:uid="{C231234D-D72C-4906-888F-FF7AE7FDE9A8}">
      <formula1>l_Categorie</formula1>
    </dataValidation>
    <dataValidation type="list" allowBlank="1" showInputMessage="1" showErrorMessage="1" sqref="F7" xr:uid="{D08F8F15-79E6-4070-8DF0-D39246B54FF0}">
      <formula1>LClient</formula1>
    </dataValidation>
    <dataValidation type="list" allowBlank="1" showInputMessage="1" showErrorMessage="1" sqref="H14:H29" xr:uid="{93F555BA-B584-43BA-803F-79279C1BEB42}">
      <formula1>LTVA</formula1>
    </dataValidation>
  </dataValidations>
  <printOptions horizontalCentered="1" verticalCentered="1"/>
  <pageMargins left="0" right="0" top="0" bottom="0" header="0" footer="0"/>
  <pageSetup paperSize="9" scale="74" orientation="portrait" horizontalDpi="4294967293" r:id="rId1"/>
  <ignoredErrors>
    <ignoredError sqref="F24:G24" listDataValidation="1"/>
    <ignoredError sqref="D14:D16 D18:D20 D17 D22:D23 D25:D29 F17:G17" unlockedFormula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298E85-7A70-43F4-8490-AFD5F660D29D}">
          <x14:formula1>
            <xm:f>OFFSET(Paramètres!$E$2,MATCH($B14,Paramètres!$D$3:$D$12,0),0,COUNTIF(Paramètres!$D$3:$D$12,$B14))</xm:f>
          </x14:formula1>
          <xm:sqref>C14:C29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0028C-8600-4AE7-A5F4-63D80BE390D4}">
  <sheetPr codeName="Feuil1"/>
  <dimension ref="B2:O12"/>
  <sheetViews>
    <sheetView showGridLines="0" topLeftCell="B1" zoomScale="110" zoomScaleNormal="110" workbookViewId="0">
      <selection activeCell="B5" sqref="B5"/>
    </sheetView>
  </sheetViews>
  <sheetFormatPr baseColWidth="10" defaultRowHeight="14.4" outlineLevelCol="1" x14ac:dyDescent="0.3"/>
  <cols>
    <col min="1" max="1" width="3.77734375" style="4" customWidth="1"/>
    <col min="2" max="2" width="17" style="4" bestFit="1" customWidth="1"/>
    <col min="3" max="3" width="11.77734375" style="4" customWidth="1"/>
    <col min="4" max="4" width="10.5546875" style="4" bestFit="1" customWidth="1"/>
    <col min="5" max="5" width="14.88671875" style="4" bestFit="1" customWidth="1"/>
    <col min="6" max="8" width="20.77734375" style="4" customWidth="1"/>
    <col min="9" max="9" width="11.77734375" style="4" customWidth="1"/>
    <col min="10" max="10" width="11.33203125" style="4" bestFit="1" customWidth="1"/>
    <col min="11" max="11" width="15.77734375" style="4" customWidth="1"/>
    <col min="12" max="12" width="13.21875" style="4" bestFit="1" customWidth="1"/>
    <col min="13" max="13" width="22" style="4" hidden="1" customWidth="1" outlineLevel="1"/>
    <col min="14" max="14" width="11.109375" style="4" hidden="1" customWidth="1" outlineLevel="1"/>
    <col min="15" max="15" width="11.5546875" style="4" collapsed="1"/>
    <col min="16" max="16384" width="11.5546875" style="4"/>
  </cols>
  <sheetData>
    <row r="2" spans="2:14" ht="25.8" x14ac:dyDescent="0.3">
      <c r="B2" s="73" t="s">
        <v>0</v>
      </c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2:14" ht="18" x14ac:dyDescent="0.3">
      <c r="B3" s="1" t="s">
        <v>139</v>
      </c>
      <c r="C3" s="1" t="s">
        <v>130</v>
      </c>
      <c r="D3" s="1" t="s">
        <v>34</v>
      </c>
      <c r="E3" s="50" t="s">
        <v>134</v>
      </c>
      <c r="F3" s="50" t="s">
        <v>131</v>
      </c>
      <c r="G3" s="50" t="s">
        <v>132</v>
      </c>
      <c r="H3" s="50" t="s">
        <v>133</v>
      </c>
      <c r="I3" s="1" t="s">
        <v>1</v>
      </c>
      <c r="J3" s="1" t="s">
        <v>2</v>
      </c>
      <c r="K3" s="2" t="s">
        <v>117</v>
      </c>
      <c r="L3" s="2" t="s">
        <v>110</v>
      </c>
      <c r="M3" s="1" t="s">
        <v>137</v>
      </c>
      <c r="N3" s="1" t="s">
        <v>138</v>
      </c>
    </row>
    <row r="4" spans="2:14" x14ac:dyDescent="0.3">
      <c r="B4" s="49" t="s">
        <v>140</v>
      </c>
      <c r="C4" s="49">
        <v>45589</v>
      </c>
      <c r="D4" s="7">
        <f>INDEX(t_Client[Id Client],MATCH(t_Commande[[#This Row],[Nom Client]],t_Client[Raison sociale],0))</f>
        <v>3</v>
      </c>
      <c r="E4" s="5" t="s">
        <v>6</v>
      </c>
      <c r="F4" s="5" t="s">
        <v>3</v>
      </c>
      <c r="G4" s="5" t="s">
        <v>4</v>
      </c>
      <c r="H4" s="5" t="s">
        <v>5</v>
      </c>
      <c r="I4" s="51">
        <v>10</v>
      </c>
      <c r="J4" s="52">
        <v>100</v>
      </c>
      <c r="K4" s="53">
        <v>1000</v>
      </c>
      <c r="L4" s="53" t="s">
        <v>150</v>
      </c>
      <c r="M4" s="4">
        <f>IF(t_Commande[[#This Row],[N° Commande]]="",0,RIGHT(t_Commande[[#This Row],[N° Commande]],4))*1</f>
        <v>1</v>
      </c>
      <c r="N4" s="4" t="str">
        <f>t_Commande[[#This Row],[N° Commande]]&amp;COUNTIF($B$4:t_Commande[[#This Row],[N° Commande]],t_Commande[[#This Row],[N° Commande]])</f>
        <v>C202400011</v>
      </c>
    </row>
    <row r="5" spans="2:14" x14ac:dyDescent="0.3">
      <c r="B5" s="49" t="s">
        <v>141</v>
      </c>
      <c r="C5" s="49">
        <v>45589</v>
      </c>
      <c r="D5" s="7">
        <f>INDEX(t_Client[Id Client],MATCH(t_Commande[[#This Row],[Nom Client]],t_Client[Raison sociale],0))</f>
        <v>29</v>
      </c>
      <c r="E5" s="74" t="s">
        <v>10</v>
      </c>
      <c r="F5" s="5" t="s">
        <v>7</v>
      </c>
      <c r="G5" s="5" t="s">
        <v>8</v>
      </c>
      <c r="H5" s="5" t="s">
        <v>9</v>
      </c>
      <c r="I5" s="51">
        <v>10</v>
      </c>
      <c r="J5" s="52">
        <v>500</v>
      </c>
      <c r="K5" s="53">
        <v>5000</v>
      </c>
      <c r="L5" s="53" t="s">
        <v>150</v>
      </c>
      <c r="M5" s="4">
        <f>IF(t_Commande[[#This Row],[N° Commande]]="",0,RIGHT(t_Commande[[#This Row],[N° Commande]],4))*1</f>
        <v>2</v>
      </c>
      <c r="N5" s="4" t="str">
        <f>t_Commande[[#This Row],[N° Commande]]&amp;COUNTIF($B$4:t_Commande[[#This Row],[N° Commande]],t_Commande[[#This Row],[N° Commande]])</f>
        <v>C202400021</v>
      </c>
    </row>
    <row r="6" spans="2:14" x14ac:dyDescent="0.3">
      <c r="B6" s="49" t="s">
        <v>142</v>
      </c>
      <c r="C6" s="49">
        <v>45589</v>
      </c>
      <c r="D6" s="7">
        <f>INDEX(t_Client[Id Client],MATCH(t_Commande[[#This Row],[Nom Client]],t_Client[Raison sociale],0))</f>
        <v>6</v>
      </c>
      <c r="E6" s="74" t="s">
        <v>11</v>
      </c>
      <c r="F6" s="5" t="s">
        <v>3</v>
      </c>
      <c r="G6" s="5" t="s">
        <v>4</v>
      </c>
      <c r="H6" s="5" t="s">
        <v>5</v>
      </c>
      <c r="I6" s="51">
        <v>100</v>
      </c>
      <c r="J6" s="52">
        <v>100</v>
      </c>
      <c r="K6" s="53">
        <v>10000</v>
      </c>
      <c r="L6" s="53" t="s">
        <v>150</v>
      </c>
      <c r="M6" s="4">
        <f>IF(t_Commande[[#This Row],[N° Commande]]="",0,RIGHT(t_Commande[[#This Row],[N° Commande]],4))*1</f>
        <v>3</v>
      </c>
      <c r="N6" s="4" t="str">
        <f>t_Commande[[#This Row],[N° Commande]]&amp;COUNTIF($B$4:t_Commande[[#This Row],[N° Commande]],t_Commande[[#This Row],[N° Commande]])</f>
        <v>C202400031</v>
      </c>
    </row>
    <row r="7" spans="2:14" x14ac:dyDescent="0.3">
      <c r="B7" s="49" t="s">
        <v>143</v>
      </c>
      <c r="C7" s="49">
        <v>45589</v>
      </c>
      <c r="D7" s="7">
        <f>INDEX(t_Client[Id Client],MATCH(t_Commande[[#This Row],[Nom Client]],t_Client[Raison sociale],0))</f>
        <v>1</v>
      </c>
      <c r="E7" s="74" t="s">
        <v>12</v>
      </c>
      <c r="F7" s="5" t="s">
        <v>3</v>
      </c>
      <c r="G7" s="5" t="s">
        <v>4</v>
      </c>
      <c r="H7" s="5" t="s">
        <v>5</v>
      </c>
      <c r="I7" s="51">
        <v>100</v>
      </c>
      <c r="J7" s="52">
        <v>100</v>
      </c>
      <c r="K7" s="53">
        <v>10000</v>
      </c>
      <c r="L7" s="53" t="s">
        <v>150</v>
      </c>
      <c r="M7" s="4">
        <f>IF(t_Commande[[#This Row],[N° Commande]]="",0,RIGHT(t_Commande[[#This Row],[N° Commande]],4))*1</f>
        <v>4</v>
      </c>
      <c r="N7" s="4" t="str">
        <f>t_Commande[[#This Row],[N° Commande]]&amp;COUNTIF($B$4:t_Commande[[#This Row],[N° Commande]],t_Commande[[#This Row],[N° Commande]])</f>
        <v>C202400041</v>
      </c>
    </row>
    <row r="8" spans="2:14" x14ac:dyDescent="0.3">
      <c r="B8" s="49" t="s">
        <v>143</v>
      </c>
      <c r="C8" s="49">
        <v>45589</v>
      </c>
      <c r="D8" s="7">
        <f>INDEX(t_Client[Id Client],MATCH(t_Commande[[#This Row],[Nom Client]],t_Client[Raison sociale],0))</f>
        <v>1</v>
      </c>
      <c r="E8" s="74" t="s">
        <v>12</v>
      </c>
      <c r="F8" s="5" t="s">
        <v>13</v>
      </c>
      <c r="G8" s="5" t="s">
        <v>14</v>
      </c>
      <c r="H8" s="5" t="s">
        <v>15</v>
      </c>
      <c r="I8" s="51">
        <v>140</v>
      </c>
      <c r="J8" s="52">
        <v>140</v>
      </c>
      <c r="K8" s="53">
        <v>19600</v>
      </c>
      <c r="L8" s="53" t="s">
        <v>150</v>
      </c>
      <c r="M8" s="4">
        <f>IF(t_Commande[[#This Row],[N° Commande]]="",0,RIGHT(t_Commande[[#This Row],[N° Commande]],4))*1</f>
        <v>4</v>
      </c>
      <c r="N8" s="4" t="str">
        <f>t_Commande[[#This Row],[N° Commande]]&amp;COUNTIF($B$4:t_Commande[[#This Row],[N° Commande]],t_Commande[[#This Row],[N° Commande]])</f>
        <v>C202400042</v>
      </c>
    </row>
    <row r="9" spans="2:14" x14ac:dyDescent="0.3">
      <c r="B9" s="49" t="s">
        <v>143</v>
      </c>
      <c r="C9" s="49">
        <v>45589</v>
      </c>
      <c r="D9" s="7">
        <f>INDEX(t_Client[Id Client],MATCH(t_Commande[[#This Row],[Nom Client]],t_Client[Raison sociale],0))</f>
        <v>1</v>
      </c>
      <c r="E9" s="74" t="s">
        <v>12</v>
      </c>
      <c r="F9" s="5" t="s">
        <v>13</v>
      </c>
      <c r="G9" s="5" t="s">
        <v>16</v>
      </c>
      <c r="H9" s="5" t="s">
        <v>17</v>
      </c>
      <c r="I9" s="51">
        <v>140</v>
      </c>
      <c r="J9" s="52">
        <v>140</v>
      </c>
      <c r="K9" s="53">
        <v>19600</v>
      </c>
      <c r="L9" s="53" t="s">
        <v>150</v>
      </c>
      <c r="M9" s="4">
        <f>IF(t_Commande[[#This Row],[N° Commande]]="",0,RIGHT(t_Commande[[#This Row],[N° Commande]],4))*1</f>
        <v>4</v>
      </c>
      <c r="N9" s="4" t="str">
        <f>t_Commande[[#This Row],[N° Commande]]&amp;COUNTIF($B$4:t_Commande[[#This Row],[N° Commande]],t_Commande[[#This Row],[N° Commande]])</f>
        <v>C202400043</v>
      </c>
    </row>
    <row r="10" spans="2:14" x14ac:dyDescent="0.3">
      <c r="B10" s="49" t="s">
        <v>143</v>
      </c>
      <c r="C10" s="49">
        <v>45589</v>
      </c>
      <c r="D10" s="7">
        <f>INDEX(t_Client[Id Client],MATCH(t_Commande[[#This Row],[Nom Client]],t_Client[Raison sociale],0))</f>
        <v>1</v>
      </c>
      <c r="E10" s="74" t="s">
        <v>12</v>
      </c>
      <c r="F10" s="5" t="s">
        <v>7</v>
      </c>
      <c r="G10" s="5" t="s">
        <v>18</v>
      </c>
      <c r="H10" s="5" t="s">
        <v>19</v>
      </c>
      <c r="I10" s="51">
        <v>500</v>
      </c>
      <c r="J10" s="52">
        <v>500</v>
      </c>
      <c r="K10" s="53">
        <v>250000</v>
      </c>
      <c r="L10" s="53" t="s">
        <v>150</v>
      </c>
      <c r="M10" s="4">
        <f>IF(t_Commande[[#This Row],[N° Commande]]="",0,RIGHT(t_Commande[[#This Row],[N° Commande]],4))*1</f>
        <v>4</v>
      </c>
      <c r="N10" s="4" t="str">
        <f>t_Commande[[#This Row],[N° Commande]]&amp;COUNTIF($B$4:t_Commande[[#This Row],[N° Commande]],t_Commande[[#This Row],[N° Commande]])</f>
        <v>C202400044</v>
      </c>
    </row>
    <row r="11" spans="2:14" x14ac:dyDescent="0.3">
      <c r="B11" s="49" t="s">
        <v>143</v>
      </c>
      <c r="C11" s="49">
        <v>45589</v>
      </c>
      <c r="D11" s="7">
        <f>INDEX(t_Client[Id Client],MATCH(t_Commande[[#This Row],[Nom Client]],t_Client[Raison sociale],0))</f>
        <v>1</v>
      </c>
      <c r="E11" s="74" t="s">
        <v>12</v>
      </c>
      <c r="F11" s="5" t="s">
        <v>20</v>
      </c>
      <c r="G11" s="5" t="s">
        <v>21</v>
      </c>
      <c r="H11" s="5" t="s">
        <v>22</v>
      </c>
      <c r="I11" s="51">
        <v>200</v>
      </c>
      <c r="J11" s="52">
        <v>200</v>
      </c>
      <c r="K11" s="53">
        <v>40000</v>
      </c>
      <c r="L11" s="53" t="s">
        <v>150</v>
      </c>
      <c r="M11" s="4">
        <f>IF(t_Commande[[#This Row],[N° Commande]]="",0,RIGHT(t_Commande[[#This Row],[N° Commande]],4))*1</f>
        <v>4</v>
      </c>
      <c r="N11" s="4" t="str">
        <f>t_Commande[[#This Row],[N° Commande]]&amp;COUNTIF($B$4:t_Commande[[#This Row],[N° Commande]],t_Commande[[#This Row],[N° Commande]])</f>
        <v>C202400045</v>
      </c>
    </row>
    <row r="12" spans="2:14" x14ac:dyDescent="0.3">
      <c r="B12" s="49" t="s">
        <v>144</v>
      </c>
      <c r="C12" s="49">
        <v>45589</v>
      </c>
      <c r="D12" s="7">
        <f>INDEX(t_Client[Id Client],MATCH(t_Commande[[#This Row],[Nom Client]],t_Client[Raison sociale],0))</f>
        <v>1</v>
      </c>
      <c r="E12" s="74" t="s">
        <v>12</v>
      </c>
      <c r="F12" s="5" t="s">
        <v>3</v>
      </c>
      <c r="G12" s="5" t="s">
        <v>4</v>
      </c>
      <c r="H12" s="5" t="s">
        <v>5</v>
      </c>
      <c r="I12" s="51">
        <v>100</v>
      </c>
      <c r="J12" s="52">
        <v>100</v>
      </c>
      <c r="K12" s="53">
        <v>10000</v>
      </c>
      <c r="L12" s="53" t="s">
        <v>150</v>
      </c>
      <c r="M12" s="4">
        <f>IF(t_Commande[[#This Row],[N° Commande]]="",0,RIGHT(t_Commande[[#This Row],[N° Commande]],4))*1</f>
        <v>5</v>
      </c>
      <c r="N12" s="4" t="str">
        <f>t_Commande[[#This Row],[N° Commande]]&amp;COUNTIF($B$4:t_Commande[[#This Row],[N° Commande]],t_Commande[[#This Row],[N° Commande]])</f>
        <v>C202400051</v>
      </c>
    </row>
  </sheetData>
  <phoneticPr fontId="15" type="noConversion"/>
  <pageMargins left="0.7" right="0.7" top="0.75" bottom="0.75" header="0.3" footer="0.3"/>
  <headerFooter>
    <oddFooter>&amp;L_x000D_&amp;1#&amp;"Calibri"&amp;10&amp;K008000 Interne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0C47C-08EB-4B2E-BE91-DBB0940F0C94}">
  <sheetPr codeName="Feuil2"/>
  <dimension ref="B1:AA32"/>
  <sheetViews>
    <sheetView showGridLines="0" tabSelected="1" topLeftCell="I1" workbookViewId="0">
      <selection activeCell="AA1" sqref="AA1"/>
    </sheetView>
  </sheetViews>
  <sheetFormatPr baseColWidth="10" defaultRowHeight="14.4" x14ac:dyDescent="0.3"/>
  <cols>
    <col min="1" max="1" width="3.77734375" style="4" customWidth="1"/>
    <col min="2" max="2" width="16.109375" style="4" bestFit="1" customWidth="1"/>
    <col min="3" max="3" width="3.77734375" style="4" customWidth="1"/>
    <col min="4" max="4" width="16.109375" style="4" bestFit="1" customWidth="1"/>
    <col min="5" max="5" width="15.21875" style="4" customWidth="1"/>
    <col min="6" max="6" width="16.21875" style="4" customWidth="1"/>
    <col min="7" max="7" width="8.21875" style="4" bestFit="1" customWidth="1"/>
    <col min="8" max="8" width="3.77734375" style="4" customWidth="1"/>
    <col min="9" max="9" width="7.88671875" style="4" bestFit="1" customWidth="1"/>
    <col min="10" max="10" width="14" style="4" bestFit="1" customWidth="1"/>
    <col min="11" max="11" width="16.88671875" style="4" bestFit="1" customWidth="1"/>
    <col min="12" max="12" width="10.6640625" style="4" bestFit="1" customWidth="1"/>
    <col min="13" max="13" width="10.6640625" style="4" customWidth="1"/>
    <col min="14" max="14" width="12.77734375" style="4" bestFit="1" customWidth="1"/>
    <col min="15" max="15" width="22.21875" style="4" bestFit="1" customWidth="1"/>
    <col min="16" max="16" width="3.77734375" style="4" customWidth="1"/>
    <col min="17" max="17" width="11.6640625" style="4" bestFit="1" customWidth="1"/>
    <col min="18" max="18" width="7.21875" style="4" bestFit="1" customWidth="1"/>
    <col min="19" max="19" width="3.77734375" style="4" customWidth="1"/>
    <col min="20" max="20" width="11.88671875" style="4" bestFit="1" customWidth="1"/>
    <col min="21" max="21" width="3.77734375" style="4" customWidth="1"/>
    <col min="22" max="22" width="16.44140625" style="4" bestFit="1" customWidth="1"/>
    <col min="23" max="23" width="3.77734375" style="4" customWidth="1"/>
    <col min="24" max="24" width="14.6640625" style="4" bestFit="1" customWidth="1"/>
    <col min="25" max="25" width="13.88671875" style="4" bestFit="1" customWidth="1"/>
    <col min="26" max="26" width="14.77734375" style="4" bestFit="1" customWidth="1"/>
    <col min="27" max="27" width="67" style="4" bestFit="1" customWidth="1"/>
    <col min="28" max="16384" width="11.5546875" style="4"/>
  </cols>
  <sheetData>
    <row r="1" spans="2:27" x14ac:dyDescent="0.3">
      <c r="AA1" s="4" t="s">
        <v>95</v>
      </c>
    </row>
    <row r="2" spans="2:27" x14ac:dyDescent="0.3">
      <c r="B2" s="5" t="s">
        <v>96</v>
      </c>
      <c r="D2" s="5" t="s">
        <v>96</v>
      </c>
      <c r="E2" s="5" t="s">
        <v>132</v>
      </c>
      <c r="F2" s="5" t="s">
        <v>153</v>
      </c>
      <c r="G2" s="3" t="s">
        <v>98</v>
      </c>
      <c r="I2" s="3" t="s">
        <v>34</v>
      </c>
      <c r="J2" s="5" t="s">
        <v>35</v>
      </c>
      <c r="K2" s="5" t="s">
        <v>36</v>
      </c>
      <c r="L2" s="3" t="s">
        <v>37</v>
      </c>
      <c r="M2" s="3" t="s">
        <v>154</v>
      </c>
      <c r="N2" s="3" t="s">
        <v>38</v>
      </c>
      <c r="O2" s="5" t="s">
        <v>39</v>
      </c>
      <c r="Q2" s="5" t="s">
        <v>127</v>
      </c>
      <c r="R2" s="3" t="s">
        <v>128</v>
      </c>
      <c r="T2" s="5" t="s">
        <v>110</v>
      </c>
      <c r="V2" s="5" t="s">
        <v>145</v>
      </c>
    </row>
    <row r="3" spans="2:27" x14ac:dyDescent="0.3">
      <c r="B3" s="5" t="s">
        <v>3</v>
      </c>
      <c r="D3" s="5" t="s">
        <v>3</v>
      </c>
      <c r="E3" s="5" t="s">
        <v>4</v>
      </c>
      <c r="F3" s="5" t="s">
        <v>5</v>
      </c>
      <c r="G3" s="6">
        <v>100</v>
      </c>
      <c r="I3" s="7">
        <v>1</v>
      </c>
      <c r="J3" s="5" t="s">
        <v>12</v>
      </c>
      <c r="K3" s="5" t="s">
        <v>40</v>
      </c>
      <c r="L3" s="8">
        <v>1234</v>
      </c>
      <c r="M3" s="8" t="s">
        <v>154</v>
      </c>
      <c r="N3" s="9">
        <v>101010100</v>
      </c>
      <c r="O3" s="5" t="s">
        <v>41</v>
      </c>
      <c r="Q3" s="5" t="s">
        <v>129</v>
      </c>
      <c r="R3" s="7">
        <v>6</v>
      </c>
      <c r="T3" s="5" t="s">
        <v>146</v>
      </c>
      <c r="V3" s="5" t="s">
        <v>147</v>
      </c>
    </row>
    <row r="4" spans="2:27" x14ac:dyDescent="0.3">
      <c r="B4" s="5" t="s">
        <v>7</v>
      </c>
      <c r="D4" s="5" t="s">
        <v>3</v>
      </c>
      <c r="E4" s="5" t="s">
        <v>23</v>
      </c>
      <c r="F4" s="5" t="s">
        <v>24</v>
      </c>
      <c r="G4" s="6">
        <v>100</v>
      </c>
      <c r="I4" s="7">
        <v>2</v>
      </c>
      <c r="J4" s="5" t="s">
        <v>33</v>
      </c>
      <c r="K4" s="5" t="s">
        <v>42</v>
      </c>
      <c r="L4" s="8">
        <v>1234</v>
      </c>
      <c r="M4" s="8" t="s">
        <v>154</v>
      </c>
      <c r="N4" s="9">
        <v>101010100</v>
      </c>
      <c r="O4" s="5" t="s">
        <v>41</v>
      </c>
      <c r="T4" s="5" t="s">
        <v>148</v>
      </c>
      <c r="V4" s="5" t="s">
        <v>149</v>
      </c>
    </row>
    <row r="5" spans="2:27" x14ac:dyDescent="0.3">
      <c r="B5" s="5" t="s">
        <v>20</v>
      </c>
      <c r="D5" s="5" t="s">
        <v>3</v>
      </c>
      <c r="E5" s="5" t="s">
        <v>31</v>
      </c>
      <c r="F5" s="5" t="s">
        <v>32</v>
      </c>
      <c r="G5" s="6">
        <v>100</v>
      </c>
      <c r="I5" s="7">
        <v>3</v>
      </c>
      <c r="J5" s="5" t="s">
        <v>6</v>
      </c>
      <c r="K5" s="5" t="s">
        <v>43</v>
      </c>
      <c r="L5" s="8">
        <v>1234</v>
      </c>
      <c r="M5" s="8" t="s">
        <v>154</v>
      </c>
      <c r="N5" s="9">
        <v>101010100</v>
      </c>
      <c r="O5" s="5" t="s">
        <v>41</v>
      </c>
      <c r="T5" s="5" t="s">
        <v>150</v>
      </c>
      <c r="V5" s="5" t="s">
        <v>151</v>
      </c>
    </row>
    <row r="6" spans="2:27" x14ac:dyDescent="0.3">
      <c r="B6" s="5" t="s">
        <v>13</v>
      </c>
      <c r="D6" s="5" t="s">
        <v>7</v>
      </c>
      <c r="E6" s="5" t="s">
        <v>8</v>
      </c>
      <c r="F6" s="5" t="s">
        <v>9</v>
      </c>
      <c r="G6" s="6">
        <v>500</v>
      </c>
      <c r="I6" s="7">
        <v>4</v>
      </c>
      <c r="J6" s="5" t="s">
        <v>44</v>
      </c>
      <c r="K6" s="5" t="s">
        <v>45</v>
      </c>
      <c r="L6" s="8">
        <v>1234</v>
      </c>
      <c r="M6" s="8" t="s">
        <v>154</v>
      </c>
      <c r="N6" s="9">
        <v>101010100</v>
      </c>
      <c r="O6" s="5" t="s">
        <v>41</v>
      </c>
      <c r="V6" s="5" t="s">
        <v>152</v>
      </c>
    </row>
    <row r="7" spans="2:27" x14ac:dyDescent="0.3">
      <c r="B7" s="5" t="s">
        <v>28</v>
      </c>
      <c r="D7" s="5" t="s">
        <v>7</v>
      </c>
      <c r="E7" s="5" t="s">
        <v>18</v>
      </c>
      <c r="F7" s="5" t="s">
        <v>19</v>
      </c>
      <c r="G7" s="6">
        <v>500</v>
      </c>
      <c r="I7" s="7">
        <v>5</v>
      </c>
      <c r="J7" s="5" t="s">
        <v>46</v>
      </c>
      <c r="K7" s="5" t="s">
        <v>47</v>
      </c>
      <c r="L7" s="8">
        <v>1234</v>
      </c>
      <c r="M7" s="8" t="s">
        <v>154</v>
      </c>
      <c r="N7" s="9">
        <v>101010100</v>
      </c>
      <c r="O7" s="5" t="s">
        <v>41</v>
      </c>
    </row>
    <row r="8" spans="2:27" x14ac:dyDescent="0.3">
      <c r="D8" s="5" t="s">
        <v>7</v>
      </c>
      <c r="E8" s="5" t="s">
        <v>26</v>
      </c>
      <c r="F8" s="5" t="s">
        <v>27</v>
      </c>
      <c r="G8" s="6">
        <v>500</v>
      </c>
      <c r="I8" s="7">
        <v>6</v>
      </c>
      <c r="J8" s="5" t="s">
        <v>11</v>
      </c>
      <c r="K8" s="5" t="s">
        <v>48</v>
      </c>
      <c r="L8" s="8">
        <v>1234</v>
      </c>
      <c r="M8" s="8" t="s">
        <v>154</v>
      </c>
      <c r="N8" s="9">
        <v>101010100</v>
      </c>
      <c r="O8" s="5" t="s">
        <v>41</v>
      </c>
    </row>
    <row r="9" spans="2:27" x14ac:dyDescent="0.3">
      <c r="D9" s="5" t="s">
        <v>20</v>
      </c>
      <c r="E9" s="5" t="s">
        <v>21</v>
      </c>
      <c r="F9" s="5" t="s">
        <v>22</v>
      </c>
      <c r="G9" s="6">
        <v>200</v>
      </c>
      <c r="I9" s="7">
        <v>7</v>
      </c>
      <c r="J9" s="5" t="s">
        <v>49</v>
      </c>
      <c r="K9" s="5" t="s">
        <v>50</v>
      </c>
      <c r="L9" s="8">
        <v>1234</v>
      </c>
      <c r="M9" s="8" t="s">
        <v>154</v>
      </c>
      <c r="N9" s="9">
        <v>101010100</v>
      </c>
      <c r="O9" s="5" t="s">
        <v>41</v>
      </c>
    </row>
    <row r="10" spans="2:27" x14ac:dyDescent="0.3">
      <c r="D10" s="5" t="s">
        <v>13</v>
      </c>
      <c r="E10" s="5" t="s">
        <v>14</v>
      </c>
      <c r="F10" s="5" t="s">
        <v>15</v>
      </c>
      <c r="G10" s="6">
        <v>140</v>
      </c>
      <c r="I10" s="7">
        <v>8</v>
      </c>
      <c r="J10" s="5" t="s">
        <v>51</v>
      </c>
      <c r="K10" s="5" t="s">
        <v>52</v>
      </c>
      <c r="L10" s="8">
        <v>1234</v>
      </c>
      <c r="M10" s="8" t="s">
        <v>154</v>
      </c>
      <c r="N10" s="9">
        <v>101010100</v>
      </c>
      <c r="O10" s="5" t="s">
        <v>41</v>
      </c>
    </row>
    <row r="11" spans="2:27" x14ac:dyDescent="0.3">
      <c r="D11" s="5" t="s">
        <v>13</v>
      </c>
      <c r="E11" s="5" t="s">
        <v>16</v>
      </c>
      <c r="F11" s="5" t="s">
        <v>17</v>
      </c>
      <c r="G11" s="6">
        <v>140</v>
      </c>
      <c r="I11" s="7">
        <v>9</v>
      </c>
      <c r="J11" s="5" t="s">
        <v>53</v>
      </c>
      <c r="K11" s="5" t="s">
        <v>54</v>
      </c>
      <c r="L11" s="8">
        <v>1234</v>
      </c>
      <c r="M11" s="8" t="s">
        <v>154</v>
      </c>
      <c r="N11" s="9">
        <v>101010100</v>
      </c>
      <c r="O11" s="5" t="s">
        <v>41</v>
      </c>
    </row>
    <row r="12" spans="2:27" x14ac:dyDescent="0.3">
      <c r="D12" s="5" t="s">
        <v>28</v>
      </c>
      <c r="E12" s="5" t="s">
        <v>29</v>
      </c>
      <c r="F12" s="5" t="s">
        <v>30</v>
      </c>
      <c r="G12" s="6">
        <v>1000</v>
      </c>
      <c r="I12" s="7">
        <v>10</v>
      </c>
      <c r="J12" s="5" t="s">
        <v>55</v>
      </c>
      <c r="K12" s="5" t="s">
        <v>56</v>
      </c>
      <c r="L12" s="8">
        <v>1234</v>
      </c>
      <c r="M12" s="8" t="s">
        <v>154</v>
      </c>
      <c r="N12" s="9">
        <v>101010100</v>
      </c>
      <c r="O12" s="5" t="s">
        <v>41</v>
      </c>
    </row>
    <row r="13" spans="2:27" x14ac:dyDescent="0.3">
      <c r="I13" s="7">
        <v>11</v>
      </c>
      <c r="J13" s="5" t="s">
        <v>57</v>
      </c>
      <c r="K13" s="5" t="s">
        <v>58</v>
      </c>
      <c r="L13" s="8">
        <v>1234</v>
      </c>
      <c r="M13" s="8" t="s">
        <v>154</v>
      </c>
      <c r="N13" s="9">
        <v>101010100</v>
      </c>
      <c r="O13" s="5" t="s">
        <v>41</v>
      </c>
    </row>
    <row r="14" spans="2:27" x14ac:dyDescent="0.3">
      <c r="I14" s="7">
        <v>12</v>
      </c>
      <c r="J14" s="5" t="s">
        <v>59</v>
      </c>
      <c r="K14" s="5" t="s">
        <v>60</v>
      </c>
      <c r="L14" s="8">
        <v>1234</v>
      </c>
      <c r="M14" s="8" t="s">
        <v>154</v>
      </c>
      <c r="N14" s="9">
        <v>101010100</v>
      </c>
      <c r="O14" s="5" t="s">
        <v>41</v>
      </c>
    </row>
    <row r="15" spans="2:27" x14ac:dyDescent="0.3">
      <c r="I15" s="7">
        <v>13</v>
      </c>
      <c r="J15" s="5" t="s">
        <v>61</v>
      </c>
      <c r="K15" s="5" t="s">
        <v>62</v>
      </c>
      <c r="L15" s="8">
        <v>1234</v>
      </c>
      <c r="M15" s="8" t="s">
        <v>154</v>
      </c>
      <c r="N15" s="9">
        <v>101010100</v>
      </c>
      <c r="O15" s="5" t="s">
        <v>41</v>
      </c>
    </row>
    <row r="16" spans="2:27" x14ac:dyDescent="0.3">
      <c r="I16" s="7">
        <v>14</v>
      </c>
      <c r="J16" s="5" t="s">
        <v>63</v>
      </c>
      <c r="K16" s="5" t="s">
        <v>64</v>
      </c>
      <c r="L16" s="8">
        <v>1234</v>
      </c>
      <c r="M16" s="8" t="s">
        <v>154</v>
      </c>
      <c r="N16" s="9">
        <v>101010100</v>
      </c>
      <c r="O16" s="5" t="s">
        <v>41</v>
      </c>
    </row>
    <row r="17" spans="9:15" x14ac:dyDescent="0.3">
      <c r="I17" s="7">
        <v>15</v>
      </c>
      <c r="J17" s="5" t="s">
        <v>65</v>
      </c>
      <c r="K17" s="5" t="s">
        <v>66</v>
      </c>
      <c r="L17" s="8">
        <v>1234</v>
      </c>
      <c r="M17" s="8" t="s">
        <v>154</v>
      </c>
      <c r="N17" s="9">
        <v>101010100</v>
      </c>
      <c r="O17" s="5" t="s">
        <v>41</v>
      </c>
    </row>
    <row r="18" spans="9:15" x14ac:dyDescent="0.3">
      <c r="I18" s="7">
        <v>16</v>
      </c>
      <c r="J18" s="5" t="s">
        <v>67</v>
      </c>
      <c r="K18" s="5" t="s">
        <v>68</v>
      </c>
      <c r="L18" s="8">
        <v>1234</v>
      </c>
      <c r="M18" s="8" t="s">
        <v>154</v>
      </c>
      <c r="N18" s="9">
        <v>101010100</v>
      </c>
      <c r="O18" s="5" t="s">
        <v>41</v>
      </c>
    </row>
    <row r="19" spans="9:15" x14ac:dyDescent="0.3">
      <c r="I19" s="7">
        <v>17</v>
      </c>
      <c r="J19" s="5" t="s">
        <v>69</v>
      </c>
      <c r="K19" s="5" t="s">
        <v>70</v>
      </c>
      <c r="L19" s="8">
        <v>1234</v>
      </c>
      <c r="M19" s="8" t="s">
        <v>154</v>
      </c>
      <c r="N19" s="9">
        <v>101010100</v>
      </c>
      <c r="O19" s="5" t="s">
        <v>41</v>
      </c>
    </row>
    <row r="20" spans="9:15" x14ac:dyDescent="0.3">
      <c r="I20" s="7">
        <v>18</v>
      </c>
      <c r="J20" s="5" t="s">
        <v>71</v>
      </c>
      <c r="K20" s="5" t="s">
        <v>72</v>
      </c>
      <c r="L20" s="8">
        <v>1234</v>
      </c>
      <c r="M20" s="8" t="s">
        <v>154</v>
      </c>
      <c r="N20" s="9">
        <v>101010100</v>
      </c>
      <c r="O20" s="5" t="s">
        <v>41</v>
      </c>
    </row>
    <row r="21" spans="9:15" x14ac:dyDescent="0.3">
      <c r="I21" s="7">
        <v>19</v>
      </c>
      <c r="J21" s="5" t="s">
        <v>73</v>
      </c>
      <c r="K21" s="5" t="s">
        <v>74</v>
      </c>
      <c r="L21" s="8">
        <v>1234</v>
      </c>
      <c r="M21" s="8" t="s">
        <v>154</v>
      </c>
      <c r="N21" s="9">
        <v>101010100</v>
      </c>
      <c r="O21" s="5" t="s">
        <v>41</v>
      </c>
    </row>
    <row r="22" spans="9:15" x14ac:dyDescent="0.3">
      <c r="I22" s="7">
        <v>20</v>
      </c>
      <c r="J22" s="5" t="s">
        <v>75</v>
      </c>
      <c r="K22" s="5" t="s">
        <v>76</v>
      </c>
      <c r="L22" s="8">
        <v>1234</v>
      </c>
      <c r="M22" s="8" t="s">
        <v>154</v>
      </c>
      <c r="N22" s="9">
        <v>101010100</v>
      </c>
      <c r="O22" s="5" t="s">
        <v>41</v>
      </c>
    </row>
    <row r="23" spans="9:15" x14ac:dyDescent="0.3">
      <c r="I23" s="7">
        <v>21</v>
      </c>
      <c r="J23" s="5" t="s">
        <v>77</v>
      </c>
      <c r="K23" s="5" t="s">
        <v>78</v>
      </c>
      <c r="L23" s="8">
        <v>1234</v>
      </c>
      <c r="M23" s="8" t="s">
        <v>154</v>
      </c>
      <c r="N23" s="9">
        <v>101010100</v>
      </c>
      <c r="O23" s="5" t="s">
        <v>41</v>
      </c>
    </row>
    <row r="24" spans="9:15" x14ac:dyDescent="0.3">
      <c r="I24" s="7">
        <v>22</v>
      </c>
      <c r="J24" s="5" t="s">
        <v>79</v>
      </c>
      <c r="K24" s="5" t="s">
        <v>80</v>
      </c>
      <c r="L24" s="8">
        <v>1234</v>
      </c>
      <c r="M24" s="8" t="s">
        <v>154</v>
      </c>
      <c r="N24" s="9">
        <v>101010100</v>
      </c>
      <c r="O24" s="5" t="s">
        <v>41</v>
      </c>
    </row>
    <row r="25" spans="9:15" x14ac:dyDescent="0.3">
      <c r="I25" s="7">
        <v>23</v>
      </c>
      <c r="J25" s="5" t="s">
        <v>81</v>
      </c>
      <c r="K25" s="5" t="s">
        <v>82</v>
      </c>
      <c r="L25" s="8">
        <v>1234</v>
      </c>
      <c r="M25" s="8" t="s">
        <v>154</v>
      </c>
      <c r="N25" s="9">
        <v>101010100</v>
      </c>
      <c r="O25" s="5" t="s">
        <v>41</v>
      </c>
    </row>
    <row r="26" spans="9:15" x14ac:dyDescent="0.3">
      <c r="I26" s="7">
        <v>24</v>
      </c>
      <c r="J26" s="5" t="s">
        <v>83</v>
      </c>
      <c r="K26" s="5" t="s">
        <v>84</v>
      </c>
      <c r="L26" s="8">
        <v>1234</v>
      </c>
      <c r="M26" s="8" t="s">
        <v>154</v>
      </c>
      <c r="N26" s="9">
        <v>101010100</v>
      </c>
      <c r="O26" s="5" t="s">
        <v>41</v>
      </c>
    </row>
    <row r="27" spans="9:15" x14ac:dyDescent="0.3">
      <c r="I27" s="7">
        <v>25</v>
      </c>
      <c r="J27" s="5" t="s">
        <v>85</v>
      </c>
      <c r="K27" s="5" t="s">
        <v>86</v>
      </c>
      <c r="L27" s="8">
        <v>1234</v>
      </c>
      <c r="M27" s="8" t="s">
        <v>154</v>
      </c>
      <c r="N27" s="9">
        <v>101010100</v>
      </c>
      <c r="O27" s="5" t="s">
        <v>41</v>
      </c>
    </row>
    <row r="28" spans="9:15" x14ac:dyDescent="0.3">
      <c r="I28" s="7">
        <v>26</v>
      </c>
      <c r="J28" s="5" t="s">
        <v>25</v>
      </c>
      <c r="K28" s="5" t="s">
        <v>87</v>
      </c>
      <c r="L28" s="8">
        <v>1234</v>
      </c>
      <c r="M28" s="8" t="s">
        <v>154</v>
      </c>
      <c r="N28" s="9">
        <v>101010100</v>
      </c>
      <c r="O28" s="5" t="s">
        <v>41</v>
      </c>
    </row>
    <row r="29" spans="9:15" x14ac:dyDescent="0.3">
      <c r="I29" s="7">
        <v>27</v>
      </c>
      <c r="J29" s="5" t="s">
        <v>88</v>
      </c>
      <c r="K29" s="5" t="s">
        <v>89</v>
      </c>
      <c r="L29" s="8">
        <v>1234</v>
      </c>
      <c r="M29" s="8" t="s">
        <v>154</v>
      </c>
      <c r="N29" s="9">
        <v>101010100</v>
      </c>
      <c r="O29" s="5" t="s">
        <v>41</v>
      </c>
    </row>
    <row r="30" spans="9:15" x14ac:dyDescent="0.3">
      <c r="I30" s="7">
        <v>28</v>
      </c>
      <c r="J30" s="5" t="s">
        <v>90</v>
      </c>
      <c r="K30" s="5" t="s">
        <v>91</v>
      </c>
      <c r="L30" s="8">
        <v>1234</v>
      </c>
      <c r="M30" s="8" t="s">
        <v>154</v>
      </c>
      <c r="N30" s="9">
        <v>101010100</v>
      </c>
      <c r="O30" s="5" t="s">
        <v>41</v>
      </c>
    </row>
    <row r="31" spans="9:15" x14ac:dyDescent="0.3">
      <c r="I31" s="7">
        <v>29</v>
      </c>
      <c r="J31" s="5" t="s">
        <v>10</v>
      </c>
      <c r="K31" s="5" t="s">
        <v>92</v>
      </c>
      <c r="L31" s="8">
        <v>1234</v>
      </c>
      <c r="M31" s="8" t="s">
        <v>154</v>
      </c>
      <c r="N31" s="9">
        <v>101010100</v>
      </c>
      <c r="O31" s="5" t="s">
        <v>41</v>
      </c>
    </row>
    <row r="32" spans="9:15" x14ac:dyDescent="0.3">
      <c r="I32" s="7">
        <v>30</v>
      </c>
      <c r="J32" s="5" t="s">
        <v>93</v>
      </c>
      <c r="K32" s="5" t="s">
        <v>94</v>
      </c>
      <c r="L32" s="8">
        <v>1234</v>
      </c>
      <c r="M32" s="8" t="s">
        <v>154</v>
      </c>
      <c r="N32" s="9">
        <v>101010100</v>
      </c>
      <c r="O32" s="5" t="s">
        <v>41</v>
      </c>
    </row>
  </sheetData>
  <sortState xmlns:xlrd2="http://schemas.microsoft.com/office/spreadsheetml/2017/richdata2" ref="X1:AA11">
    <sortCondition ref="X1:X11"/>
  </sortState>
  <hyperlinks>
    <hyperlink ref="AA1" r:id="rId1" xr:uid="{07C33615-31C1-430B-880F-9E3E13800A29}"/>
  </hyperlinks>
  <pageMargins left="0.7" right="0.7" top="0.75" bottom="0.75" header="0.3" footer="0.3"/>
  <pageSetup paperSize="9" orientation="portrait" horizontalDpi="4294967293" verticalDpi="0" r:id="rId2"/>
  <tableParts count="6"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Saisie Cde</vt:lpstr>
      <vt:lpstr>Commande</vt:lpstr>
      <vt:lpstr>Paramètres</vt:lpstr>
      <vt:lpstr>CdeClient</vt:lpstr>
      <vt:lpstr>CdeDate</vt:lpstr>
      <vt:lpstr>CdeNum</vt:lpstr>
      <vt:lpstr>Courriel</vt:lpstr>
      <vt:lpstr>Date</vt:lpstr>
      <vt:lpstr>l_Categorie</vt:lpstr>
      <vt:lpstr>LClient</vt:lpstr>
      <vt:lpstr>LProduit</vt:lpstr>
      <vt:lpstr>LReglement</vt:lpstr>
      <vt:lpstr>LTVA</vt:lpstr>
      <vt:lpstr>Nom_Tiers</vt:lpstr>
      <vt:lpstr>NumCde</vt:lpstr>
      <vt:lpstr>Type</vt:lpstr>
      <vt:lpstr>'Saisie Cde'!Zone_d_impression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ANTOCI Jean Noel (SNCF VOYAGEURS / Direction de Lignes TER Est Provence Alpes / VTE ET RC VAL DE DURANCE)</dc:creator>
  <cp:lastModifiedBy>Damaste</cp:lastModifiedBy>
  <cp:lastPrinted>2024-10-24T10:37:01Z</cp:lastPrinted>
  <dcterms:created xsi:type="dcterms:W3CDTF">2024-10-23T13:28:20Z</dcterms:created>
  <dcterms:modified xsi:type="dcterms:W3CDTF">2024-10-24T10:44:37Z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2024-10-23T13:30:12Z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bb7c79fc-abb7-4a45-9ef3-8150bf6037a9</vt:lpwstr>
  </property>
  <property fmtid="{D5CDD505-2E9C-101B-9397-08002B2CF9AE}" pid="8" name="MSIP_Label_c8d3f7c8-5c4b-4ab6-9486-a0a9eb08efa7_ContentBits">
    <vt:lpwstr>2</vt:lpwstr>
  </property>
</Properties>
</file>