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6290128-407A-4794-975D-8C7743741FF7}" xr6:coauthVersionLast="47" xr6:coauthVersionMax="47" xr10:uidLastSave="{00000000-0000-0000-0000-000000000000}"/>
  <bookViews>
    <workbookView xWindow="-108" yWindow="-108" windowWidth="23256" windowHeight="12576" tabRatio="763" activeTab="2" xr2:uid="{2ED36B1C-F690-46AF-9213-46258AD8D7F5}"/>
  </bookViews>
  <sheets>
    <sheet name="Legand" sheetId="3" r:id="rId1"/>
    <sheet name="Tabel1" sheetId="10" r:id="rId2"/>
    <sheet name="Line1" sheetId="11" r:id="rId3"/>
    <sheet name="Line2" sheetId="12" r:id="rId4"/>
    <sheet name="LineVide" sheetId="13" r:id="rId5"/>
    <sheet name="Timesheet Record" sheetId="1" r:id="rId6"/>
    <sheet name="Line #1" sheetId="8" r:id="rId7"/>
  </sheets>
  <externalReferences>
    <externalReference r:id="rId8"/>
  </externalReferences>
  <definedNames>
    <definedName name="_xlnm._FilterDatabase" localSheetId="6" hidden="1">'Line #1'!$AP$13:$AP$15</definedName>
    <definedName name="DonnéesExternes_1" localSheetId="6" hidden="1">'Line #1'!#REF!</definedName>
    <definedName name="DonnéesExternes_1" localSheetId="1" hidden="1">Tabel1!$A$2:$P$205</definedName>
    <definedName name="Equipment" localSheetId="6">Tableau2[Equipment Type]</definedName>
    <definedName name="Equipment" localSheetId="3">Tableau2[Equipment Type]</definedName>
    <definedName name="Equipment" localSheetId="4">Tableau2[Equipment Type]</definedName>
    <definedName name="Equipment">Tableau2[Equipment Type]</definedName>
    <definedName name="_xlnm.Extract" localSheetId="6">'Line #1'!$AR$14</definedName>
    <definedName name="l_Facteur" localSheetId="3">_xlfn.UNIQUE(Tabel1_1[Facteur])</definedName>
    <definedName name="l_Facteur" localSheetId="4">_xlfn.UNIQUE(Tabel1_1[Facteur])</definedName>
    <definedName name="l_Facteur">_xlfn.UNIQUE(Tabel1_1[Facteur])</definedName>
    <definedName name="MatriceFeuilles" localSheetId="3">lire.classeur(1)</definedName>
    <definedName name="MatriceFeuilles" localSheetId="4">lire.classeur(1)</definedName>
    <definedName name="MatriceFeuilles">lire.classeur(1)</definedName>
    <definedName name="Model" localSheetId="6">Tableau2[Model]</definedName>
    <definedName name="Model" localSheetId="3">Tableau2[Model]</definedName>
    <definedName name="Model" localSheetId="4">Tableau2[Model]</definedName>
    <definedName name="Model">Tableau2[Model]</definedName>
    <definedName name="Parking_number" localSheetId="6">Tableau2[Parking Number]</definedName>
    <definedName name="Parking_number" localSheetId="3">Tableau2[Parking Number]</definedName>
    <definedName name="Parking_number" localSheetId="4">Tableau2[Parking Number]</definedName>
    <definedName name="Parking_number">Tableau2[Parking Number]</definedName>
    <definedName name="Type" localSheetId="6">Tableau2[Equipment]</definedName>
    <definedName name="Type" localSheetId="3">Tableau2[Equipment]</definedName>
    <definedName name="Type" localSheetId="4">Tableau2[Equipment]</definedName>
    <definedName name="Type">Tableau2[Equipment]</definedName>
  </definedNames>
  <calcPr calcId="191029"/>
  <pivotCaches>
    <pivotCache cacheId="8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14" i="8" l="1"/>
  <c r="AM15" i="8"/>
  <c r="AM16" i="8"/>
  <c r="AM17" i="8"/>
  <c r="AM18" i="8"/>
  <c r="AM19" i="8"/>
  <c r="AM20" i="8"/>
  <c r="AM21" i="8"/>
  <c r="AM22" i="8"/>
  <c r="AM23" i="8"/>
  <c r="AM24" i="8"/>
  <c r="AM25" i="8"/>
  <c r="AM26" i="8"/>
  <c r="AM27" i="8"/>
  <c r="AM28" i="8"/>
  <c r="AM29" i="8"/>
  <c r="AM30" i="8"/>
  <c r="AM31" i="8"/>
  <c r="AM32" i="8"/>
  <c r="AM33" i="8"/>
  <c r="AM34" i="8"/>
  <c r="AM35" i="8"/>
  <c r="AM36" i="8"/>
  <c r="AM37" i="8"/>
  <c r="C37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AT14" i="8"/>
  <c r="AS14" i="8" a="1"/>
  <c r="AS14" i="8" s="1"/>
  <c r="C14" i="8"/>
  <c r="AM38" i="8" l="1"/>
  <c r="E8" i="1" l="1"/>
  <c r="Q117" i="1" l="1"/>
  <c r="Q8" i="1" l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G45" i="1" l="1"/>
  <c r="E41" i="1"/>
  <c r="C40" i="1" l="1"/>
  <c r="G40" i="1"/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O40" i="1"/>
  <c r="P40" i="1" s="1"/>
  <c r="C41" i="1"/>
  <c r="C42" i="1"/>
  <c r="C43" i="1"/>
  <c r="C44" i="1"/>
  <c r="C45" i="1"/>
  <c r="C46" i="1"/>
  <c r="C47" i="1"/>
  <c r="C48" i="1"/>
  <c r="C49" i="1"/>
  <c r="C50" i="1"/>
  <c r="C51" i="1"/>
  <c r="C52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O115" i="1" s="1"/>
  <c r="C116" i="1"/>
  <c r="O116" i="1" s="1"/>
  <c r="C117" i="1"/>
  <c r="O117" i="1" s="1"/>
  <c r="C118" i="1"/>
  <c r="O118" i="1" s="1"/>
  <c r="C119" i="1"/>
  <c r="O119" i="1" s="1"/>
  <c r="C120" i="1"/>
  <c r="O120" i="1" s="1"/>
  <c r="C121" i="1"/>
  <c r="O121" i="1" s="1"/>
  <c r="C122" i="1"/>
  <c r="O122" i="1" s="1"/>
  <c r="C123" i="1"/>
  <c r="O123" i="1" s="1"/>
  <c r="C124" i="1"/>
  <c r="O124" i="1" s="1"/>
  <c r="C125" i="1"/>
  <c r="O125" i="1" s="1"/>
  <c r="C126" i="1"/>
  <c r="O126" i="1" s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2" i="1"/>
  <c r="E43" i="1"/>
  <c r="E44" i="1"/>
  <c r="E45" i="1"/>
  <c r="E46" i="1"/>
  <c r="E47" i="1"/>
  <c r="E48" i="1"/>
  <c r="E49" i="1"/>
  <c r="E50" i="1"/>
  <c r="E51" i="1"/>
  <c r="E52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1" i="1"/>
  <c r="G42" i="1"/>
  <c r="G43" i="1"/>
  <c r="G44" i="1"/>
  <c r="G46" i="1"/>
  <c r="G47" i="1"/>
  <c r="G48" i="1"/>
  <c r="G49" i="1"/>
  <c r="G50" i="1"/>
  <c r="G51" i="1"/>
  <c r="G52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8" i="1"/>
  <c r="C8" i="1"/>
  <c r="O357" i="1" l="1"/>
  <c r="P357" i="1" s="1"/>
  <c r="R357" i="1"/>
  <c r="O345" i="1"/>
  <c r="P345" i="1" s="1"/>
  <c r="R345" i="1"/>
  <c r="O321" i="1"/>
  <c r="P321" i="1" s="1"/>
  <c r="R321" i="1"/>
  <c r="O309" i="1"/>
  <c r="P309" i="1" s="1"/>
  <c r="R309" i="1"/>
  <c r="O285" i="1"/>
  <c r="P285" i="1" s="1"/>
  <c r="R285" i="1"/>
  <c r="O273" i="1"/>
  <c r="P273" i="1" s="1"/>
  <c r="R273" i="1"/>
  <c r="O249" i="1"/>
  <c r="P249" i="1" s="1"/>
  <c r="R249" i="1"/>
  <c r="O237" i="1"/>
  <c r="P237" i="1" s="1"/>
  <c r="R237" i="1"/>
  <c r="O213" i="1"/>
  <c r="P213" i="1" s="1"/>
  <c r="R213" i="1"/>
  <c r="O201" i="1"/>
  <c r="P201" i="1" s="1"/>
  <c r="R201" i="1"/>
  <c r="O189" i="1"/>
  <c r="P189" i="1" s="1"/>
  <c r="R189" i="1"/>
  <c r="O165" i="1"/>
  <c r="P165" i="1" s="1"/>
  <c r="R165" i="1"/>
  <c r="O153" i="1"/>
  <c r="P153" i="1" s="1"/>
  <c r="R153" i="1"/>
  <c r="O129" i="1"/>
  <c r="P129" i="1" s="1"/>
  <c r="R129" i="1"/>
  <c r="P117" i="1"/>
  <c r="R117" i="1"/>
  <c r="O105" i="1"/>
  <c r="P105" i="1" s="1"/>
  <c r="R105" i="1"/>
  <c r="O93" i="1"/>
  <c r="P93" i="1" s="1"/>
  <c r="R93" i="1"/>
  <c r="O68" i="1"/>
  <c r="P68" i="1" s="1"/>
  <c r="O56" i="1"/>
  <c r="P56" i="1" s="1"/>
  <c r="O43" i="1"/>
  <c r="P43" i="1" s="1"/>
  <c r="R43" i="1"/>
  <c r="O19" i="1"/>
  <c r="P19" i="1" s="1"/>
  <c r="R19" i="1"/>
  <c r="O356" i="1"/>
  <c r="P356" i="1" s="1"/>
  <c r="R356" i="1"/>
  <c r="O344" i="1"/>
  <c r="P344" i="1" s="1"/>
  <c r="R344" i="1"/>
  <c r="O320" i="1"/>
  <c r="P320" i="1" s="1"/>
  <c r="R320" i="1"/>
  <c r="O308" i="1"/>
  <c r="P308" i="1" s="1"/>
  <c r="R308" i="1"/>
  <c r="O284" i="1"/>
  <c r="P284" i="1" s="1"/>
  <c r="R284" i="1"/>
  <c r="O272" i="1"/>
  <c r="P272" i="1" s="1"/>
  <c r="R272" i="1"/>
  <c r="O260" i="1"/>
  <c r="P260" i="1" s="1"/>
  <c r="R260" i="1"/>
  <c r="O236" i="1"/>
  <c r="P236" i="1" s="1"/>
  <c r="R236" i="1"/>
  <c r="O224" i="1"/>
  <c r="P224" i="1" s="1"/>
  <c r="R224" i="1"/>
  <c r="O200" i="1"/>
  <c r="P200" i="1" s="1"/>
  <c r="R200" i="1"/>
  <c r="O188" i="1"/>
  <c r="P188" i="1" s="1"/>
  <c r="R188" i="1"/>
  <c r="O176" i="1"/>
  <c r="P176" i="1" s="1"/>
  <c r="R176" i="1"/>
  <c r="O152" i="1"/>
  <c r="P152" i="1" s="1"/>
  <c r="R152" i="1"/>
  <c r="O140" i="1"/>
  <c r="P140" i="1" s="1"/>
  <c r="R140" i="1"/>
  <c r="O128" i="1"/>
  <c r="P128" i="1" s="1"/>
  <c r="R128" i="1"/>
  <c r="P116" i="1"/>
  <c r="R116" i="1"/>
  <c r="O92" i="1"/>
  <c r="P92" i="1" s="1"/>
  <c r="R92" i="1"/>
  <c r="O67" i="1"/>
  <c r="P67" i="1" s="1"/>
  <c r="O55" i="1"/>
  <c r="P55" i="1" s="1"/>
  <c r="O42" i="1"/>
  <c r="P42" i="1" s="1"/>
  <c r="R42" i="1"/>
  <c r="O18" i="1"/>
  <c r="P18" i="1" s="1"/>
  <c r="R18" i="1"/>
  <c r="O355" i="1"/>
  <c r="P355" i="1" s="1"/>
  <c r="R355" i="1"/>
  <c r="O331" i="1"/>
  <c r="P331" i="1" s="1"/>
  <c r="R331" i="1"/>
  <c r="O319" i="1"/>
  <c r="P319" i="1" s="1"/>
  <c r="R319" i="1"/>
  <c r="O307" i="1"/>
  <c r="P307" i="1" s="1"/>
  <c r="R307" i="1"/>
  <c r="O283" i="1"/>
  <c r="P283" i="1" s="1"/>
  <c r="R283" i="1"/>
  <c r="O271" i="1"/>
  <c r="P271" i="1" s="1"/>
  <c r="R271" i="1"/>
  <c r="O259" i="1"/>
  <c r="P259" i="1" s="1"/>
  <c r="R259" i="1"/>
  <c r="O235" i="1"/>
  <c r="P235" i="1" s="1"/>
  <c r="R235" i="1"/>
  <c r="O223" i="1"/>
  <c r="P223" i="1" s="1"/>
  <c r="R223" i="1"/>
  <c r="O211" i="1"/>
  <c r="P211" i="1" s="1"/>
  <c r="R211" i="1"/>
  <c r="O187" i="1"/>
  <c r="P187" i="1" s="1"/>
  <c r="R187" i="1"/>
  <c r="O175" i="1"/>
  <c r="P175" i="1" s="1"/>
  <c r="R175" i="1"/>
  <c r="O163" i="1"/>
  <c r="P163" i="1" s="1"/>
  <c r="R163" i="1"/>
  <c r="O139" i="1"/>
  <c r="P139" i="1" s="1"/>
  <c r="R139" i="1"/>
  <c r="O127" i="1"/>
  <c r="P127" i="1" s="1"/>
  <c r="R127" i="1"/>
  <c r="O103" i="1"/>
  <c r="P103" i="1" s="1"/>
  <c r="R103" i="1"/>
  <c r="O91" i="1"/>
  <c r="P91" i="1" s="1"/>
  <c r="R91" i="1"/>
  <c r="O66" i="1"/>
  <c r="P66" i="1" s="1"/>
  <c r="R17" i="1"/>
  <c r="O354" i="1"/>
  <c r="P354" i="1" s="1"/>
  <c r="R354" i="1"/>
  <c r="O330" i="1"/>
  <c r="P330" i="1" s="1"/>
  <c r="R330" i="1"/>
  <c r="O318" i="1"/>
  <c r="P318" i="1" s="1"/>
  <c r="R318" i="1"/>
  <c r="O294" i="1"/>
  <c r="P294" i="1" s="1"/>
  <c r="R294" i="1"/>
  <c r="O282" i="1"/>
  <c r="P282" i="1" s="1"/>
  <c r="R282" i="1"/>
  <c r="O270" i="1"/>
  <c r="P270" i="1" s="1"/>
  <c r="R270" i="1"/>
  <c r="O246" i="1"/>
  <c r="P246" i="1" s="1"/>
  <c r="R246" i="1"/>
  <c r="O234" i="1"/>
  <c r="P234" i="1" s="1"/>
  <c r="R234" i="1"/>
  <c r="O210" i="1"/>
  <c r="P210" i="1" s="1"/>
  <c r="R210" i="1"/>
  <c r="O198" i="1"/>
  <c r="P198" i="1" s="1"/>
  <c r="R198" i="1"/>
  <c r="O174" i="1"/>
  <c r="P174" i="1" s="1"/>
  <c r="R174" i="1"/>
  <c r="O162" i="1"/>
  <c r="P162" i="1" s="1"/>
  <c r="R162" i="1"/>
  <c r="O138" i="1"/>
  <c r="P138" i="1" s="1"/>
  <c r="R138" i="1"/>
  <c r="P126" i="1"/>
  <c r="R126" i="1"/>
  <c r="O114" i="1"/>
  <c r="P114" i="1" s="1"/>
  <c r="R114" i="1"/>
  <c r="O90" i="1"/>
  <c r="P90" i="1" s="1"/>
  <c r="R90" i="1"/>
  <c r="O78" i="1"/>
  <c r="P78" i="1" s="1"/>
  <c r="O65" i="1"/>
  <c r="P65" i="1" s="1"/>
  <c r="O52" i="1"/>
  <c r="P52" i="1" s="1"/>
  <c r="O16" i="1"/>
  <c r="P16" i="1" s="1"/>
  <c r="R16" i="1"/>
  <c r="O353" i="1"/>
  <c r="P353" i="1" s="1"/>
  <c r="R353" i="1"/>
  <c r="O341" i="1"/>
  <c r="P341" i="1" s="1"/>
  <c r="R341" i="1"/>
  <c r="O317" i="1"/>
  <c r="P317" i="1" s="1"/>
  <c r="R317" i="1"/>
  <c r="O305" i="1"/>
  <c r="P305" i="1" s="1"/>
  <c r="R305" i="1"/>
  <c r="O281" i="1"/>
  <c r="P281" i="1" s="1"/>
  <c r="R281" i="1"/>
  <c r="O269" i="1"/>
  <c r="P269" i="1" s="1"/>
  <c r="R269" i="1"/>
  <c r="O257" i="1"/>
  <c r="P257" i="1" s="1"/>
  <c r="R257" i="1"/>
  <c r="O233" i="1"/>
  <c r="P233" i="1" s="1"/>
  <c r="R233" i="1"/>
  <c r="O221" i="1"/>
  <c r="P221" i="1" s="1"/>
  <c r="R221" i="1"/>
  <c r="O197" i="1"/>
  <c r="P197" i="1" s="1"/>
  <c r="R197" i="1"/>
  <c r="O185" i="1"/>
  <c r="P185" i="1" s="1"/>
  <c r="R185" i="1"/>
  <c r="O161" i="1"/>
  <c r="P161" i="1" s="1"/>
  <c r="R161" i="1"/>
  <c r="O149" i="1"/>
  <c r="P149" i="1" s="1"/>
  <c r="R149" i="1"/>
  <c r="P125" i="1"/>
  <c r="R125" i="1"/>
  <c r="O101" i="1"/>
  <c r="P101" i="1" s="1"/>
  <c r="R101" i="1"/>
  <c r="O77" i="1"/>
  <c r="P77" i="1" s="1"/>
  <c r="O64" i="1"/>
  <c r="P64" i="1" s="1"/>
  <c r="O27" i="1"/>
  <c r="P27" i="1" s="1"/>
  <c r="R27" i="1"/>
  <c r="O363" i="1"/>
  <c r="P363" i="1" s="1"/>
  <c r="R363" i="1"/>
  <c r="O351" i="1"/>
  <c r="P351" i="1" s="1"/>
  <c r="R351" i="1"/>
  <c r="O327" i="1"/>
  <c r="P327" i="1" s="1"/>
  <c r="R327" i="1"/>
  <c r="O315" i="1"/>
  <c r="P315" i="1" s="1"/>
  <c r="R315" i="1"/>
  <c r="O291" i="1"/>
  <c r="P291" i="1" s="1"/>
  <c r="R291" i="1"/>
  <c r="O279" i="1"/>
  <c r="P279" i="1" s="1"/>
  <c r="R279" i="1"/>
  <c r="O255" i="1"/>
  <c r="P255" i="1" s="1"/>
  <c r="R255" i="1"/>
  <c r="O243" i="1"/>
  <c r="P243" i="1" s="1"/>
  <c r="R243" i="1"/>
  <c r="O219" i="1"/>
  <c r="P219" i="1" s="1"/>
  <c r="R219" i="1"/>
  <c r="O207" i="1"/>
  <c r="P207" i="1" s="1"/>
  <c r="R207" i="1"/>
  <c r="O183" i="1"/>
  <c r="P183" i="1" s="1"/>
  <c r="R183" i="1"/>
  <c r="O171" i="1"/>
  <c r="P171" i="1" s="1"/>
  <c r="R171" i="1"/>
  <c r="O147" i="1"/>
  <c r="P147" i="1" s="1"/>
  <c r="R147" i="1"/>
  <c r="O135" i="1"/>
  <c r="P135" i="1" s="1"/>
  <c r="R135" i="1"/>
  <c r="O111" i="1"/>
  <c r="P111" i="1" s="1"/>
  <c r="R111" i="1"/>
  <c r="O99" i="1"/>
  <c r="P99" i="1" s="1"/>
  <c r="R99" i="1"/>
  <c r="O87" i="1"/>
  <c r="P87" i="1" s="1"/>
  <c r="R87" i="1"/>
  <c r="O75" i="1"/>
  <c r="P75" i="1" s="1"/>
  <c r="O49" i="1"/>
  <c r="P49" i="1" s="1"/>
  <c r="O37" i="1"/>
  <c r="P37" i="1" s="1"/>
  <c r="R37" i="1"/>
  <c r="O25" i="1"/>
  <c r="P25" i="1" s="1"/>
  <c r="R25" i="1"/>
  <c r="O362" i="1"/>
  <c r="P362" i="1" s="1"/>
  <c r="R362" i="1"/>
  <c r="O338" i="1"/>
  <c r="P338" i="1" s="1"/>
  <c r="R338" i="1"/>
  <c r="O326" i="1"/>
  <c r="P326" i="1" s="1"/>
  <c r="R326" i="1"/>
  <c r="O302" i="1"/>
  <c r="P302" i="1" s="1"/>
  <c r="R302" i="1"/>
  <c r="O290" i="1"/>
  <c r="P290" i="1" s="1"/>
  <c r="R290" i="1"/>
  <c r="O278" i="1"/>
  <c r="P278" i="1" s="1"/>
  <c r="R278" i="1"/>
  <c r="O254" i="1"/>
  <c r="P254" i="1" s="1"/>
  <c r="R254" i="1"/>
  <c r="O242" i="1"/>
  <c r="P242" i="1" s="1"/>
  <c r="R242" i="1"/>
  <c r="O230" i="1"/>
  <c r="P230" i="1" s="1"/>
  <c r="R230" i="1"/>
  <c r="O206" i="1"/>
  <c r="P206" i="1" s="1"/>
  <c r="R206" i="1"/>
  <c r="O194" i="1"/>
  <c r="P194" i="1" s="1"/>
  <c r="R194" i="1"/>
  <c r="O182" i="1"/>
  <c r="P182" i="1" s="1"/>
  <c r="R182" i="1"/>
  <c r="O158" i="1"/>
  <c r="P158" i="1" s="1"/>
  <c r="R158" i="1"/>
  <c r="O146" i="1"/>
  <c r="P146" i="1" s="1"/>
  <c r="R146" i="1"/>
  <c r="O134" i="1"/>
  <c r="P134" i="1" s="1"/>
  <c r="R134" i="1"/>
  <c r="P122" i="1"/>
  <c r="R122" i="1"/>
  <c r="O98" i="1"/>
  <c r="P98" i="1" s="1"/>
  <c r="R98" i="1"/>
  <c r="O86" i="1"/>
  <c r="P86" i="1" s="1"/>
  <c r="R86" i="1"/>
  <c r="O61" i="1"/>
  <c r="P61" i="1" s="1"/>
  <c r="O48" i="1"/>
  <c r="P48" i="1" s="1"/>
  <c r="O24" i="1"/>
  <c r="P24" i="1" s="1"/>
  <c r="R24" i="1"/>
  <c r="R8" i="1"/>
  <c r="O361" i="1"/>
  <c r="P361" i="1" s="1"/>
  <c r="R361" i="1"/>
  <c r="O349" i="1"/>
  <c r="P349" i="1" s="1"/>
  <c r="R349" i="1"/>
  <c r="O337" i="1"/>
  <c r="P337" i="1" s="1"/>
  <c r="R337" i="1"/>
  <c r="O313" i="1"/>
  <c r="P313" i="1" s="1"/>
  <c r="R313" i="1"/>
  <c r="O301" i="1"/>
  <c r="P301" i="1" s="1"/>
  <c r="R301" i="1"/>
  <c r="O277" i="1"/>
  <c r="P277" i="1" s="1"/>
  <c r="R277" i="1"/>
  <c r="O265" i="1"/>
  <c r="P265" i="1" s="1"/>
  <c r="R265" i="1"/>
  <c r="O253" i="1"/>
  <c r="P253" i="1" s="1"/>
  <c r="R253" i="1"/>
  <c r="O229" i="1"/>
  <c r="P229" i="1" s="1"/>
  <c r="R229" i="1"/>
  <c r="O217" i="1"/>
  <c r="P217" i="1" s="1"/>
  <c r="R217" i="1"/>
  <c r="O205" i="1"/>
  <c r="P205" i="1" s="1"/>
  <c r="R205" i="1"/>
  <c r="O181" i="1"/>
  <c r="P181" i="1" s="1"/>
  <c r="R181" i="1"/>
  <c r="O169" i="1"/>
  <c r="P169" i="1" s="1"/>
  <c r="R169" i="1"/>
  <c r="O145" i="1"/>
  <c r="P145" i="1" s="1"/>
  <c r="R145" i="1"/>
  <c r="O133" i="1"/>
  <c r="P133" i="1" s="1"/>
  <c r="R133" i="1"/>
  <c r="P121" i="1"/>
  <c r="R121" i="1"/>
  <c r="O109" i="1"/>
  <c r="P109" i="1" s="1"/>
  <c r="R109" i="1"/>
  <c r="O85" i="1"/>
  <c r="P85" i="1" s="1"/>
  <c r="R85" i="1"/>
  <c r="O73" i="1"/>
  <c r="P73" i="1" s="1"/>
  <c r="O60" i="1"/>
  <c r="P60" i="1" s="1"/>
  <c r="O35" i="1"/>
  <c r="P35" i="1" s="1"/>
  <c r="R35" i="1"/>
  <c r="O23" i="1"/>
  <c r="P23" i="1" s="1"/>
  <c r="R23" i="1"/>
  <c r="O360" i="1"/>
  <c r="P360" i="1" s="1"/>
  <c r="R360" i="1"/>
  <c r="O348" i="1"/>
  <c r="P348" i="1" s="1"/>
  <c r="R348" i="1"/>
  <c r="O336" i="1"/>
  <c r="P336" i="1" s="1"/>
  <c r="R336" i="1"/>
  <c r="O324" i="1"/>
  <c r="P324" i="1" s="1"/>
  <c r="R324" i="1"/>
  <c r="O312" i="1"/>
  <c r="P312" i="1" s="1"/>
  <c r="R312" i="1"/>
  <c r="O300" i="1"/>
  <c r="P300" i="1" s="1"/>
  <c r="R300" i="1"/>
  <c r="O288" i="1"/>
  <c r="P288" i="1" s="1"/>
  <c r="R288" i="1"/>
  <c r="O276" i="1"/>
  <c r="P276" i="1" s="1"/>
  <c r="R276" i="1"/>
  <c r="O264" i="1"/>
  <c r="P264" i="1" s="1"/>
  <c r="R264" i="1"/>
  <c r="O252" i="1"/>
  <c r="P252" i="1" s="1"/>
  <c r="R252" i="1"/>
  <c r="O240" i="1"/>
  <c r="P240" i="1" s="1"/>
  <c r="R240" i="1"/>
  <c r="O228" i="1"/>
  <c r="P228" i="1" s="1"/>
  <c r="R228" i="1"/>
  <c r="O216" i="1"/>
  <c r="P216" i="1" s="1"/>
  <c r="R216" i="1"/>
  <c r="O204" i="1"/>
  <c r="P204" i="1" s="1"/>
  <c r="R204" i="1"/>
  <c r="O192" i="1"/>
  <c r="P192" i="1" s="1"/>
  <c r="R192" i="1"/>
  <c r="O180" i="1"/>
  <c r="P180" i="1" s="1"/>
  <c r="R180" i="1"/>
  <c r="O168" i="1"/>
  <c r="P168" i="1" s="1"/>
  <c r="R168" i="1"/>
  <c r="O156" i="1"/>
  <c r="P156" i="1" s="1"/>
  <c r="R156" i="1"/>
  <c r="O144" i="1"/>
  <c r="P144" i="1" s="1"/>
  <c r="R144" i="1"/>
  <c r="O132" i="1"/>
  <c r="P132" i="1" s="1"/>
  <c r="R132" i="1"/>
  <c r="P120" i="1"/>
  <c r="R120" i="1"/>
  <c r="O108" i="1"/>
  <c r="P108" i="1" s="1"/>
  <c r="R108" i="1"/>
  <c r="O96" i="1"/>
  <c r="P96" i="1" s="1"/>
  <c r="R96" i="1"/>
  <c r="O84" i="1"/>
  <c r="P84" i="1" s="1"/>
  <c r="R84" i="1"/>
  <c r="O72" i="1"/>
  <c r="P72" i="1" s="1"/>
  <c r="O59" i="1"/>
  <c r="P59" i="1" s="1"/>
  <c r="O46" i="1"/>
  <c r="P46" i="1" s="1"/>
  <c r="O34" i="1"/>
  <c r="P34" i="1" s="1"/>
  <c r="R34" i="1"/>
  <c r="R22" i="1"/>
  <c r="R10" i="1"/>
  <c r="O359" i="1"/>
  <c r="P359" i="1" s="1"/>
  <c r="R359" i="1"/>
  <c r="O347" i="1"/>
  <c r="P347" i="1" s="1"/>
  <c r="R347" i="1"/>
  <c r="O335" i="1"/>
  <c r="P335" i="1" s="1"/>
  <c r="R335" i="1"/>
  <c r="O323" i="1"/>
  <c r="P323" i="1" s="1"/>
  <c r="R323" i="1"/>
  <c r="O311" i="1"/>
  <c r="P311" i="1" s="1"/>
  <c r="R311" i="1"/>
  <c r="O299" i="1"/>
  <c r="P299" i="1" s="1"/>
  <c r="R299" i="1"/>
  <c r="O287" i="1"/>
  <c r="P287" i="1" s="1"/>
  <c r="R287" i="1"/>
  <c r="O275" i="1"/>
  <c r="P275" i="1" s="1"/>
  <c r="R275" i="1"/>
  <c r="O263" i="1"/>
  <c r="P263" i="1" s="1"/>
  <c r="R263" i="1"/>
  <c r="O251" i="1"/>
  <c r="P251" i="1" s="1"/>
  <c r="R251" i="1"/>
  <c r="O239" i="1"/>
  <c r="P239" i="1" s="1"/>
  <c r="R239" i="1"/>
  <c r="O227" i="1"/>
  <c r="P227" i="1" s="1"/>
  <c r="R227" i="1"/>
  <c r="O215" i="1"/>
  <c r="P215" i="1" s="1"/>
  <c r="R215" i="1"/>
  <c r="O203" i="1"/>
  <c r="P203" i="1" s="1"/>
  <c r="R203" i="1"/>
  <c r="O191" i="1"/>
  <c r="P191" i="1" s="1"/>
  <c r="R191" i="1"/>
  <c r="O179" i="1"/>
  <c r="P179" i="1" s="1"/>
  <c r="R179" i="1"/>
  <c r="O167" i="1"/>
  <c r="P167" i="1" s="1"/>
  <c r="R167" i="1"/>
  <c r="O155" i="1"/>
  <c r="P155" i="1" s="1"/>
  <c r="R155" i="1"/>
  <c r="O143" i="1"/>
  <c r="P143" i="1" s="1"/>
  <c r="R143" i="1"/>
  <c r="O131" i="1"/>
  <c r="P131" i="1" s="1"/>
  <c r="R131" i="1"/>
  <c r="P119" i="1"/>
  <c r="R119" i="1"/>
  <c r="O107" i="1"/>
  <c r="P107" i="1" s="1"/>
  <c r="R107" i="1"/>
  <c r="O95" i="1"/>
  <c r="P95" i="1" s="1"/>
  <c r="R95" i="1"/>
  <c r="O83" i="1"/>
  <c r="P83" i="1" s="1"/>
  <c r="R83" i="1"/>
  <c r="O71" i="1"/>
  <c r="P71" i="1" s="1"/>
  <c r="O58" i="1"/>
  <c r="P58" i="1" s="1"/>
  <c r="O45" i="1"/>
  <c r="P45" i="1" s="1"/>
  <c r="R45" i="1"/>
  <c r="O33" i="1"/>
  <c r="P33" i="1" s="1"/>
  <c r="R33" i="1"/>
  <c r="O21" i="1"/>
  <c r="P21" i="1" s="1"/>
  <c r="R21" i="1"/>
  <c r="O9" i="1"/>
  <c r="P9" i="1" s="1"/>
  <c r="R9" i="1"/>
  <c r="O333" i="1"/>
  <c r="P333" i="1" s="1"/>
  <c r="R333" i="1"/>
  <c r="O297" i="1"/>
  <c r="P297" i="1" s="1"/>
  <c r="R297" i="1"/>
  <c r="O261" i="1"/>
  <c r="P261" i="1" s="1"/>
  <c r="R261" i="1"/>
  <c r="O225" i="1"/>
  <c r="P225" i="1" s="1"/>
  <c r="R225" i="1"/>
  <c r="O177" i="1"/>
  <c r="P177" i="1" s="1"/>
  <c r="R177" i="1"/>
  <c r="O141" i="1"/>
  <c r="P141" i="1" s="1"/>
  <c r="R141" i="1"/>
  <c r="O81" i="1"/>
  <c r="P81" i="1" s="1"/>
  <c r="R81" i="1"/>
  <c r="O31" i="1"/>
  <c r="P31" i="1" s="1"/>
  <c r="R31" i="1"/>
  <c r="O332" i="1"/>
  <c r="P332" i="1" s="1"/>
  <c r="R332" i="1"/>
  <c r="O296" i="1"/>
  <c r="P296" i="1" s="1"/>
  <c r="R296" i="1"/>
  <c r="O248" i="1"/>
  <c r="P248" i="1" s="1"/>
  <c r="R248" i="1"/>
  <c r="O212" i="1"/>
  <c r="P212" i="1" s="1"/>
  <c r="R212" i="1"/>
  <c r="O164" i="1"/>
  <c r="P164" i="1" s="1"/>
  <c r="R164" i="1"/>
  <c r="O104" i="1"/>
  <c r="P104" i="1" s="1"/>
  <c r="R104" i="1"/>
  <c r="O80" i="1"/>
  <c r="P80" i="1" s="1"/>
  <c r="R80" i="1"/>
  <c r="O30" i="1"/>
  <c r="P30" i="1" s="1"/>
  <c r="R30" i="1"/>
  <c r="O343" i="1"/>
  <c r="P343" i="1" s="1"/>
  <c r="R343" i="1"/>
  <c r="O295" i="1"/>
  <c r="P295" i="1" s="1"/>
  <c r="R295" i="1"/>
  <c r="O247" i="1"/>
  <c r="P247" i="1" s="1"/>
  <c r="R247" i="1"/>
  <c r="O199" i="1"/>
  <c r="P199" i="1" s="1"/>
  <c r="R199" i="1"/>
  <c r="O151" i="1"/>
  <c r="P151" i="1" s="1"/>
  <c r="R151" i="1"/>
  <c r="P115" i="1"/>
  <c r="R115" i="1"/>
  <c r="O79" i="1"/>
  <c r="P79" i="1" s="1"/>
  <c r="R79" i="1"/>
  <c r="O54" i="1"/>
  <c r="P54" i="1" s="1"/>
  <c r="O41" i="1"/>
  <c r="P41" i="1" s="1"/>
  <c r="R41" i="1"/>
  <c r="O29" i="1"/>
  <c r="P29" i="1" s="1"/>
  <c r="R29" i="1"/>
  <c r="O342" i="1"/>
  <c r="P342" i="1" s="1"/>
  <c r="R342" i="1"/>
  <c r="O306" i="1"/>
  <c r="P306" i="1" s="1"/>
  <c r="R306" i="1"/>
  <c r="O258" i="1"/>
  <c r="P258" i="1" s="1"/>
  <c r="R258" i="1"/>
  <c r="O222" i="1"/>
  <c r="P222" i="1" s="1"/>
  <c r="R222" i="1"/>
  <c r="O186" i="1"/>
  <c r="P186" i="1" s="1"/>
  <c r="R186" i="1"/>
  <c r="O150" i="1"/>
  <c r="P150" i="1" s="1"/>
  <c r="R150" i="1"/>
  <c r="O102" i="1"/>
  <c r="P102" i="1" s="1"/>
  <c r="R102" i="1"/>
  <c r="O28" i="1"/>
  <c r="P28" i="1" s="1"/>
  <c r="R28" i="1"/>
  <c r="O329" i="1"/>
  <c r="P329" i="1" s="1"/>
  <c r="R329" i="1"/>
  <c r="O293" i="1"/>
  <c r="P293" i="1" s="1"/>
  <c r="R293" i="1"/>
  <c r="O245" i="1"/>
  <c r="P245" i="1" s="1"/>
  <c r="R245" i="1"/>
  <c r="O209" i="1"/>
  <c r="P209" i="1" s="1"/>
  <c r="R209" i="1"/>
  <c r="O173" i="1"/>
  <c r="P173" i="1" s="1"/>
  <c r="R173" i="1"/>
  <c r="O137" i="1"/>
  <c r="P137" i="1" s="1"/>
  <c r="R137" i="1"/>
  <c r="O113" i="1"/>
  <c r="P113" i="1" s="1"/>
  <c r="R113" i="1"/>
  <c r="O89" i="1"/>
  <c r="P89" i="1" s="1"/>
  <c r="R89" i="1"/>
  <c r="O51" i="1"/>
  <c r="P51" i="1" s="1"/>
  <c r="O39" i="1"/>
  <c r="P39" i="1" s="1"/>
  <c r="R39" i="1"/>
  <c r="O15" i="1"/>
  <c r="P15" i="1" s="1"/>
  <c r="R15" i="1"/>
  <c r="O352" i="1"/>
  <c r="P352" i="1" s="1"/>
  <c r="R352" i="1"/>
  <c r="O340" i="1"/>
  <c r="P340" i="1" s="1"/>
  <c r="R340" i="1"/>
  <c r="O328" i="1"/>
  <c r="P328" i="1" s="1"/>
  <c r="R328" i="1"/>
  <c r="O316" i="1"/>
  <c r="P316" i="1" s="1"/>
  <c r="R316" i="1"/>
  <c r="O304" i="1"/>
  <c r="P304" i="1" s="1"/>
  <c r="R304" i="1"/>
  <c r="O292" i="1"/>
  <c r="P292" i="1" s="1"/>
  <c r="R292" i="1"/>
  <c r="O280" i="1"/>
  <c r="P280" i="1" s="1"/>
  <c r="R280" i="1"/>
  <c r="O268" i="1"/>
  <c r="P268" i="1" s="1"/>
  <c r="R268" i="1"/>
  <c r="O256" i="1"/>
  <c r="P256" i="1" s="1"/>
  <c r="R256" i="1"/>
  <c r="O244" i="1"/>
  <c r="P244" i="1" s="1"/>
  <c r="R244" i="1"/>
  <c r="O232" i="1"/>
  <c r="P232" i="1" s="1"/>
  <c r="R232" i="1"/>
  <c r="O220" i="1"/>
  <c r="P220" i="1" s="1"/>
  <c r="R220" i="1"/>
  <c r="O208" i="1"/>
  <c r="P208" i="1" s="1"/>
  <c r="R208" i="1"/>
  <c r="O196" i="1"/>
  <c r="P196" i="1" s="1"/>
  <c r="R196" i="1"/>
  <c r="O184" i="1"/>
  <c r="P184" i="1" s="1"/>
  <c r="R184" i="1"/>
  <c r="O172" i="1"/>
  <c r="P172" i="1" s="1"/>
  <c r="R172" i="1"/>
  <c r="O160" i="1"/>
  <c r="P160" i="1" s="1"/>
  <c r="R160" i="1"/>
  <c r="O148" i="1"/>
  <c r="P148" i="1" s="1"/>
  <c r="R148" i="1"/>
  <c r="O136" i="1"/>
  <c r="P136" i="1" s="1"/>
  <c r="R136" i="1"/>
  <c r="P124" i="1"/>
  <c r="R124" i="1"/>
  <c r="O112" i="1"/>
  <c r="P112" i="1" s="1"/>
  <c r="R112" i="1"/>
  <c r="O100" i="1"/>
  <c r="P100" i="1" s="1"/>
  <c r="R100" i="1"/>
  <c r="O88" i="1"/>
  <c r="P88" i="1" s="1"/>
  <c r="R88" i="1"/>
  <c r="O76" i="1"/>
  <c r="P76" i="1" s="1"/>
  <c r="O63" i="1"/>
  <c r="P63" i="1" s="1"/>
  <c r="O50" i="1"/>
  <c r="P50" i="1" s="1"/>
  <c r="O38" i="1"/>
  <c r="P38" i="1" s="1"/>
  <c r="R38" i="1"/>
  <c r="O26" i="1"/>
  <c r="P26" i="1" s="1"/>
  <c r="R26" i="1"/>
  <c r="O14" i="1"/>
  <c r="P14" i="1" s="1"/>
  <c r="R14" i="1"/>
  <c r="O339" i="1"/>
  <c r="P339" i="1" s="1"/>
  <c r="R339" i="1"/>
  <c r="O303" i="1"/>
  <c r="P303" i="1" s="1"/>
  <c r="R303" i="1"/>
  <c r="O267" i="1"/>
  <c r="P267" i="1" s="1"/>
  <c r="R267" i="1"/>
  <c r="O231" i="1"/>
  <c r="P231" i="1" s="1"/>
  <c r="R231" i="1"/>
  <c r="O195" i="1"/>
  <c r="P195" i="1" s="1"/>
  <c r="R195" i="1"/>
  <c r="O159" i="1"/>
  <c r="P159" i="1" s="1"/>
  <c r="R159" i="1"/>
  <c r="P123" i="1"/>
  <c r="R123" i="1"/>
  <c r="O62" i="1"/>
  <c r="P62" i="1" s="1"/>
  <c r="O13" i="1"/>
  <c r="P13" i="1" s="1"/>
  <c r="R13" i="1"/>
  <c r="O350" i="1"/>
  <c r="P350" i="1" s="1"/>
  <c r="R350" i="1"/>
  <c r="O314" i="1"/>
  <c r="P314" i="1" s="1"/>
  <c r="R314" i="1"/>
  <c r="O266" i="1"/>
  <c r="P266" i="1" s="1"/>
  <c r="R266" i="1"/>
  <c r="O218" i="1"/>
  <c r="P218" i="1" s="1"/>
  <c r="R218" i="1"/>
  <c r="O170" i="1"/>
  <c r="P170" i="1" s="1"/>
  <c r="R170" i="1"/>
  <c r="O110" i="1"/>
  <c r="P110" i="1" s="1"/>
  <c r="R110" i="1"/>
  <c r="O74" i="1"/>
  <c r="P74" i="1" s="1"/>
  <c r="O36" i="1"/>
  <c r="P36" i="1" s="1"/>
  <c r="R36" i="1"/>
  <c r="O12" i="1"/>
  <c r="P12" i="1" s="1"/>
  <c r="R12" i="1"/>
  <c r="O325" i="1"/>
  <c r="P325" i="1" s="1"/>
  <c r="R325" i="1"/>
  <c r="O289" i="1"/>
  <c r="P289" i="1" s="1"/>
  <c r="R289" i="1"/>
  <c r="O241" i="1"/>
  <c r="P241" i="1" s="1"/>
  <c r="R241" i="1"/>
  <c r="O193" i="1"/>
  <c r="P193" i="1" s="1"/>
  <c r="R193" i="1"/>
  <c r="O157" i="1"/>
  <c r="P157" i="1" s="1"/>
  <c r="R157" i="1"/>
  <c r="O97" i="1"/>
  <c r="P97" i="1" s="1"/>
  <c r="R97" i="1"/>
  <c r="O47" i="1"/>
  <c r="P47" i="1" s="1"/>
  <c r="O11" i="1"/>
  <c r="P11" i="1" s="1"/>
  <c r="R11" i="1"/>
  <c r="O358" i="1"/>
  <c r="P358" i="1" s="1"/>
  <c r="R358" i="1"/>
  <c r="O346" i="1"/>
  <c r="P346" i="1" s="1"/>
  <c r="R346" i="1"/>
  <c r="O334" i="1"/>
  <c r="P334" i="1" s="1"/>
  <c r="R334" i="1"/>
  <c r="O322" i="1"/>
  <c r="P322" i="1" s="1"/>
  <c r="R322" i="1"/>
  <c r="O310" i="1"/>
  <c r="P310" i="1" s="1"/>
  <c r="R310" i="1"/>
  <c r="O298" i="1"/>
  <c r="P298" i="1" s="1"/>
  <c r="R298" i="1"/>
  <c r="O286" i="1"/>
  <c r="P286" i="1" s="1"/>
  <c r="R286" i="1"/>
  <c r="O274" i="1"/>
  <c r="P274" i="1" s="1"/>
  <c r="R274" i="1"/>
  <c r="O262" i="1"/>
  <c r="P262" i="1" s="1"/>
  <c r="R262" i="1"/>
  <c r="O250" i="1"/>
  <c r="P250" i="1" s="1"/>
  <c r="R250" i="1"/>
  <c r="O238" i="1"/>
  <c r="P238" i="1" s="1"/>
  <c r="R238" i="1"/>
  <c r="O226" i="1"/>
  <c r="P226" i="1" s="1"/>
  <c r="R226" i="1"/>
  <c r="O214" i="1"/>
  <c r="P214" i="1" s="1"/>
  <c r="R214" i="1"/>
  <c r="O202" i="1"/>
  <c r="P202" i="1" s="1"/>
  <c r="R202" i="1"/>
  <c r="O190" i="1"/>
  <c r="P190" i="1" s="1"/>
  <c r="R190" i="1"/>
  <c r="O178" i="1"/>
  <c r="P178" i="1" s="1"/>
  <c r="R178" i="1"/>
  <c r="O166" i="1"/>
  <c r="P166" i="1" s="1"/>
  <c r="R166" i="1"/>
  <c r="O154" i="1"/>
  <c r="P154" i="1" s="1"/>
  <c r="R154" i="1"/>
  <c r="O142" i="1"/>
  <c r="P142" i="1" s="1"/>
  <c r="R142" i="1"/>
  <c r="O130" i="1"/>
  <c r="P130" i="1" s="1"/>
  <c r="R130" i="1"/>
  <c r="P118" i="1"/>
  <c r="R118" i="1"/>
  <c r="O106" i="1"/>
  <c r="P106" i="1" s="1"/>
  <c r="R106" i="1"/>
  <c r="O94" i="1"/>
  <c r="P94" i="1" s="1"/>
  <c r="R94" i="1"/>
  <c r="O82" i="1"/>
  <c r="P82" i="1" s="1"/>
  <c r="R82" i="1"/>
  <c r="O69" i="1"/>
  <c r="P69" i="1" s="1"/>
  <c r="O57" i="1"/>
  <c r="P57" i="1" s="1"/>
  <c r="O44" i="1"/>
  <c r="P44" i="1" s="1"/>
  <c r="R44" i="1"/>
  <c r="O32" i="1"/>
  <c r="P32" i="1" s="1"/>
  <c r="R32" i="1"/>
  <c r="O20" i="1"/>
  <c r="P20" i="1" s="1"/>
  <c r="R20" i="1"/>
  <c r="R40" i="1"/>
  <c r="O17" i="1"/>
  <c r="O8" i="1"/>
  <c r="O22" i="1"/>
  <c r="O10" i="1"/>
  <c r="P1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P22" i="1" l="1"/>
  <c r="P8" i="1"/>
  <c r="P17" i="1"/>
  <c r="G70" i="1" l="1"/>
  <c r="E70" i="1"/>
  <c r="C70" i="1"/>
  <c r="R70" i="1" l="1"/>
  <c r="R65" i="1"/>
  <c r="R77" i="1"/>
  <c r="R67" i="1"/>
  <c r="R69" i="1"/>
  <c r="R68" i="1"/>
  <c r="R74" i="1"/>
  <c r="R71" i="1"/>
  <c r="R64" i="1"/>
  <c r="R72" i="1"/>
  <c r="R75" i="1"/>
  <c r="R76" i="1"/>
  <c r="R73" i="1"/>
  <c r="R63" i="1"/>
  <c r="R78" i="1"/>
  <c r="R66" i="1"/>
  <c r="O70" i="1"/>
  <c r="E53" i="1"/>
  <c r="G53" i="1"/>
  <c r="C53" i="1"/>
  <c r="R53" i="1" l="1"/>
  <c r="R61" i="1"/>
  <c r="R57" i="1"/>
  <c r="R56" i="1"/>
  <c r="R51" i="1"/>
  <c r="R52" i="1"/>
  <c r="R48" i="1"/>
  <c r="R58" i="1"/>
  <c r="R59" i="1"/>
  <c r="R47" i="1"/>
  <c r="R60" i="1"/>
  <c r="R50" i="1"/>
  <c r="R49" i="1"/>
  <c r="R55" i="1"/>
  <c r="R46" i="1"/>
  <c r="R62" i="1"/>
  <c r="R54" i="1"/>
  <c r="P70" i="1"/>
  <c r="O53" i="1"/>
  <c r="P53" i="1" l="1"/>
  <c r="AG30" i="8" l="1" a="1"/>
  <c r="AG30" i="8" s="1"/>
  <c r="Z31" i="8" a="1"/>
  <c r="Z31" i="8" s="1"/>
  <c r="AE31" i="8" a="1"/>
  <c r="AE31" i="8" s="1"/>
  <c r="AC32" i="8" a="1"/>
  <c r="AC32" i="8" s="1"/>
  <c r="K23" i="8" a="1"/>
  <c r="K23" i="8" s="1"/>
  <c r="I14" i="8" a="1"/>
  <c r="I14" i="8" s="1"/>
  <c r="Y35" i="8" a="1"/>
  <c r="Y35" i="8" s="1"/>
  <c r="Z33" i="8" a="1"/>
  <c r="Z33" i="8" s="1"/>
  <c r="O30" i="8" a="1"/>
  <c r="O30" i="8" s="1"/>
  <c r="AB18" i="8" a="1"/>
  <c r="AB18" i="8" s="1"/>
  <c r="AH23" i="8" a="1"/>
  <c r="AH23" i="8" s="1"/>
  <c r="H37" i="8" a="1"/>
  <c r="H37" i="8" s="1"/>
  <c r="M29" i="8" a="1"/>
  <c r="M29" i="8" s="1"/>
  <c r="T29" i="8" a="1"/>
  <c r="T29" i="8" s="1"/>
  <c r="X20" i="8" a="1"/>
  <c r="X20" i="8" s="1"/>
  <c r="AG31" i="8" a="1"/>
  <c r="AG31" i="8" s="1"/>
  <c r="L31" i="8" a="1"/>
  <c r="L31" i="8" s="1"/>
  <c r="AK31" i="8" a="1"/>
  <c r="AK31" i="8" s="1"/>
  <c r="L26" i="8" a="1"/>
  <c r="L26" i="8" s="1"/>
  <c r="K15" i="8" a="1"/>
  <c r="K15" i="8" s="1"/>
  <c r="AK18" i="8" a="1"/>
  <c r="AK18" i="8" s="1"/>
  <c r="AH31" i="8" a="1"/>
  <c r="AH31" i="8" s="1"/>
  <c r="AH32" i="8" a="1"/>
  <c r="AH32" i="8" s="1"/>
  <c r="AF32" i="8" a="1"/>
  <c r="AF32" i="8" s="1"/>
  <c r="AK33" i="8" a="1"/>
  <c r="AK33" i="8" s="1"/>
  <c r="P24" i="8" a="1"/>
  <c r="P24" i="8" s="1"/>
  <c r="AI15" i="8" a="1"/>
  <c r="AI15" i="8" s="1"/>
  <c r="Z36" i="8" a="1"/>
  <c r="Z36" i="8" s="1"/>
  <c r="AA34" i="8" a="1"/>
  <c r="AA34" i="8" s="1"/>
  <c r="X37" i="8" a="1"/>
  <c r="X37" i="8" s="1"/>
  <c r="Q37" i="8" a="1"/>
  <c r="Q37" i="8" s="1"/>
  <c r="AF35" i="8" a="1"/>
  <c r="AF35" i="8" s="1"/>
  <c r="AI36" i="8" a="1"/>
  <c r="AI36" i="8" s="1"/>
  <c r="AE27" i="8" a="1"/>
  <c r="AE27" i="8" s="1"/>
  <c r="W19" i="8" a="1"/>
  <c r="W19" i="8" s="1"/>
  <c r="K30" i="8" a="1"/>
  <c r="K30" i="8" s="1"/>
  <c r="AE24" i="8" a="1"/>
  <c r="AE24" i="8" s="1"/>
  <c r="W35" i="8" a="1"/>
  <c r="W35" i="8" s="1"/>
  <c r="AI16" i="8" a="1"/>
  <c r="AI16" i="8" s="1"/>
  <c r="R30" i="8" a="1"/>
  <c r="R30" i="8" s="1"/>
  <c r="Y22" i="8" a="1"/>
  <c r="Y22" i="8" s="1"/>
  <c r="I30" i="8" a="1"/>
  <c r="I30" i="8" s="1"/>
  <c r="M30" i="8" a="1"/>
  <c r="M30" i="8" s="1"/>
  <c r="L35" i="8" a="1"/>
  <c r="L35" i="8" s="1"/>
  <c r="H21" i="8" a="1"/>
  <c r="H21" i="8" s="1"/>
  <c r="P27" i="8" a="1"/>
  <c r="P27" i="8" s="1"/>
  <c r="T30" i="8" a="1"/>
  <c r="T30" i="8" s="1"/>
  <c r="Z25" i="8" a="1"/>
  <c r="Z25" i="8" s="1"/>
  <c r="Q14" i="8" a="1"/>
  <c r="Q14" i="8" s="1"/>
  <c r="O18" i="8" a="1"/>
  <c r="O18" i="8" s="1"/>
  <c r="I34" i="8" a="1"/>
  <c r="I34" i="8" s="1"/>
  <c r="AD25" i="8" a="1"/>
  <c r="AD25" i="8" s="1"/>
  <c r="AK23" i="8" a="1"/>
  <c r="AK23" i="8" s="1"/>
  <c r="W24" i="8" a="1"/>
  <c r="W24" i="8" s="1"/>
  <c r="M22" i="8" a="1"/>
  <c r="M22" i="8" s="1"/>
  <c r="K18" i="8" a="1"/>
  <c r="K18" i="8" s="1"/>
  <c r="G24" i="8" a="1"/>
  <c r="G24" i="8" s="1"/>
  <c r="L36" i="8" a="1"/>
  <c r="L36" i="8" s="1"/>
  <c r="V17" i="8" a="1"/>
  <c r="V17" i="8" s="1"/>
  <c r="P34" i="8" a="1"/>
  <c r="P34" i="8" s="1"/>
  <c r="R16" i="8" a="1"/>
  <c r="R16" i="8" s="1"/>
  <c r="G25" i="8" a="1"/>
  <c r="G25" i="8" s="1"/>
  <c r="AJ26" i="8" a="1"/>
  <c r="AJ26" i="8" s="1"/>
  <c r="Q27" i="8" a="1"/>
  <c r="Q27" i="8" s="1"/>
  <c r="H36" i="8" a="1"/>
  <c r="H36" i="8" s="1"/>
  <c r="T27" i="8" a="1"/>
  <c r="T27" i="8" s="1"/>
  <c r="AA25" i="8" a="1"/>
  <c r="AA25" i="8" s="1"/>
  <c r="W27" i="8" a="1"/>
  <c r="W27" i="8" s="1"/>
  <c r="AF24" i="8" a="1"/>
  <c r="AF24" i="8" s="1"/>
  <c r="AA24" i="8" a="1"/>
  <c r="AA24" i="8" s="1"/>
  <c r="AH36" i="8" a="1"/>
  <c r="AH36" i="8" s="1"/>
  <c r="J18" i="8" a="1"/>
  <c r="J18" i="8" s="1"/>
  <c r="AG34" i="8" a="1"/>
  <c r="AG34" i="8" s="1"/>
  <c r="AA16" i="8" a="1"/>
  <c r="AA16" i="8" s="1"/>
  <c r="W26" i="8" a="1"/>
  <c r="W26" i="8" s="1"/>
  <c r="Y29" i="8" a="1"/>
  <c r="Y29" i="8" s="1"/>
  <c r="AB30" i="8" a="1"/>
  <c r="AB30" i="8" s="1"/>
  <c r="AK15" i="8" a="1"/>
  <c r="AK15" i="8" s="1"/>
  <c r="I25" i="8" a="1"/>
  <c r="I25" i="8" s="1"/>
  <c r="AK32" i="8" a="1"/>
  <c r="AK32" i="8" s="1"/>
  <c r="V27" i="8" a="1"/>
  <c r="V27" i="8" s="1"/>
  <c r="Q16" i="8" a="1"/>
  <c r="Q16" i="8" s="1"/>
  <c r="AG20" i="8" a="1"/>
  <c r="AG20" i="8" s="1"/>
  <c r="AJ30" i="8" a="1"/>
  <c r="AJ30" i="8" s="1"/>
  <c r="AF25" i="8" a="1"/>
  <c r="AF25" i="8" s="1"/>
  <c r="M14" i="8" a="1"/>
  <c r="M14" i="8" s="1"/>
  <c r="U18" i="8" a="1"/>
  <c r="U18" i="8" s="1"/>
  <c r="AI31" i="8" a="1"/>
  <c r="AI31" i="8" s="1"/>
  <c r="T19" i="8" a="1"/>
  <c r="T19" i="8" s="1"/>
  <c r="N25" i="8" a="1"/>
  <c r="N25" i="8" s="1"/>
  <c r="S22" i="8" a="1"/>
  <c r="S22" i="8" s="1"/>
  <c r="AH33" i="8" a="1"/>
  <c r="AH33" i="8" s="1"/>
  <c r="G16" i="8" a="1"/>
  <c r="G16" i="8" s="1"/>
  <c r="J32" i="8" a="1"/>
  <c r="J32" i="8" s="1"/>
  <c r="I15" i="8" a="1"/>
  <c r="I15" i="8" s="1"/>
  <c r="AB20" i="8" a="1"/>
  <c r="AB20" i="8" s="1"/>
  <c r="I21" i="8" a="1"/>
  <c r="I21" i="8" s="1"/>
  <c r="AA33" i="8" a="1"/>
  <c r="AA33" i="8" s="1"/>
  <c r="X25" i="8" a="1"/>
  <c r="X25" i="8" s="1"/>
  <c r="X23" i="8" a="1"/>
  <c r="X23" i="8" s="1"/>
  <c r="AF37" i="8" a="1"/>
  <c r="AF37" i="8" s="1"/>
  <c r="K24" i="8" a="1"/>
  <c r="K24" i="8" s="1"/>
  <c r="W21" i="8" a="1"/>
  <c r="W21" i="8" s="1"/>
  <c r="V15" i="8" a="1"/>
  <c r="V15" i="8" s="1"/>
  <c r="AE23" i="8" a="1"/>
  <c r="AE23" i="8" s="1"/>
  <c r="AD35" i="8" a="1"/>
  <c r="AD35" i="8" s="1"/>
  <c r="P17" i="8" a="1"/>
  <c r="P17" i="8" s="1"/>
  <c r="G34" i="8" a="1"/>
  <c r="G34" i="8" s="1"/>
  <c r="O16" i="8" a="1"/>
  <c r="O16" i="8" s="1"/>
  <c r="Z24" i="8" a="1"/>
  <c r="Z24" i="8" s="1"/>
  <c r="M26" i="8" a="1"/>
  <c r="M26" i="8" s="1"/>
  <c r="Z34" i="8" a="1"/>
  <c r="Z34" i="8" s="1"/>
  <c r="AI25" i="8" a="1"/>
  <c r="AI25" i="8" s="1"/>
  <c r="L24" i="8" a="1"/>
  <c r="L24" i="8" s="1"/>
  <c r="O34" i="8" a="1"/>
  <c r="O34" i="8" s="1"/>
  <c r="Q31" i="8" a="1"/>
  <c r="Q31" i="8" s="1"/>
  <c r="S18" i="8" a="1"/>
  <c r="S18" i="8" s="1"/>
  <c r="AB23" i="8" a="1"/>
  <c r="AB23" i="8" s="1"/>
  <c r="AH27" i="8" a="1"/>
  <c r="AH27" i="8" s="1"/>
  <c r="AG16" i="8" a="1"/>
  <c r="AG16" i="8" s="1"/>
  <c r="Z21" i="8" a="1"/>
  <c r="Z21" i="8" s="1"/>
  <c r="S37" i="8" a="1"/>
  <c r="S37" i="8" s="1"/>
  <c r="X21" i="8" a="1"/>
  <c r="X21" i="8" s="1"/>
  <c r="H28" i="8" a="1"/>
  <c r="H28" i="8" s="1"/>
  <c r="S25" i="8" a="1"/>
  <c r="S25" i="8" s="1"/>
  <c r="AC18" i="8" a="1"/>
  <c r="AC18" i="8" s="1"/>
  <c r="AA35" i="8" a="1"/>
  <c r="AA35" i="8" s="1"/>
  <c r="S17" i="8" a="1"/>
  <c r="S17" i="8" s="1"/>
  <c r="G28" i="8" a="1"/>
  <c r="G28" i="8" s="1"/>
  <c r="AK14" i="8" a="1"/>
  <c r="AK14" i="8" s="1"/>
  <c r="I35" i="8" a="1"/>
  <c r="I35" i="8" s="1"/>
  <c r="AC37" i="8" a="1"/>
  <c r="AC37" i="8" s="1"/>
  <c r="AG17" i="8" a="1"/>
  <c r="AG17" i="8" s="1"/>
  <c r="R28" i="8" a="1"/>
  <c r="R28" i="8" s="1"/>
  <c r="L27" i="8" a="1"/>
  <c r="L27" i="8" s="1"/>
  <c r="AK30" i="8" a="1"/>
  <c r="AK30" i="8" s="1"/>
  <c r="I27" i="8" a="1"/>
  <c r="I27" i="8" s="1"/>
  <c r="Z20" i="8" a="1"/>
  <c r="Z20" i="8" s="1"/>
  <c r="J27" i="8" a="1"/>
  <c r="J27" i="8" s="1"/>
  <c r="S20" i="8" a="1"/>
  <c r="S20" i="8" s="1"/>
  <c r="AG37" i="8" a="1"/>
  <c r="AG37" i="8" s="1"/>
  <c r="I19" i="8" a="1"/>
  <c r="I19" i="8" s="1"/>
  <c r="K31" i="8" a="1"/>
  <c r="K31" i="8" s="1"/>
  <c r="M16" i="8" a="1"/>
  <c r="M16" i="8" s="1"/>
  <c r="X18" i="8" a="1"/>
  <c r="X18" i="8" s="1"/>
  <c r="R18" i="8" a="1"/>
  <c r="R18" i="8" s="1"/>
  <c r="AI28" i="8" a="1"/>
  <c r="AI28" i="8" s="1"/>
  <c r="X27" i="8" a="1"/>
  <c r="X27" i="8" s="1"/>
  <c r="I32" i="8" a="1"/>
  <c r="I32" i="8" s="1"/>
  <c r="AA28" i="8" a="1"/>
  <c r="AA28" i="8" s="1"/>
  <c r="H16" i="8" a="1"/>
  <c r="H16" i="8" s="1"/>
  <c r="AI29" i="8" a="1"/>
  <c r="AI29" i="8" s="1"/>
  <c r="J30" i="8" a="1"/>
  <c r="J30" i="8" s="1"/>
  <c r="AE17" i="8" a="1"/>
  <c r="AE17" i="8" s="1"/>
  <c r="AD22" i="8" a="1"/>
  <c r="AD22" i="8" s="1"/>
  <c r="N35" i="8" a="1"/>
  <c r="N35" i="8" s="1"/>
  <c r="M27" i="8" a="1"/>
  <c r="M27" i="8" s="1"/>
  <c r="N16" i="8" a="1"/>
  <c r="N16" i="8" s="1"/>
  <c r="W20" i="8" a="1"/>
  <c r="W20" i="8" s="1"/>
  <c r="AJ37" i="8" a="1"/>
  <c r="AJ37" i="8" s="1"/>
  <c r="S34" i="8" a="1"/>
  <c r="S34" i="8" s="1"/>
  <c r="AH20" i="8" a="1"/>
  <c r="AH20" i="8" s="1"/>
  <c r="G27" i="8" a="1"/>
  <c r="G27" i="8" s="1"/>
  <c r="R24" i="8" a="1"/>
  <c r="R24" i="8" s="1"/>
  <c r="W36" i="8" a="1"/>
  <c r="W36" i="8" s="1"/>
  <c r="AB17" i="8" a="1"/>
  <c r="AB17" i="8" s="1"/>
  <c r="Y34" i="8" a="1"/>
  <c r="Y34" i="8" s="1"/>
  <c r="W16" i="8" a="1"/>
  <c r="W16" i="8" s="1"/>
  <c r="AI37" i="8" a="1"/>
  <c r="AI37" i="8" s="1"/>
  <c r="AE28" i="8" a="1"/>
  <c r="AE28" i="8" s="1"/>
  <c r="AC29" i="8" a="1"/>
  <c r="AC29" i="8" s="1"/>
  <c r="AK29" i="8" a="1"/>
  <c r="AK29" i="8" s="1"/>
  <c r="K21" i="8" a="1"/>
  <c r="K21" i="8" s="1"/>
  <c r="N33" i="8" a="1"/>
  <c r="N33" i="8" s="1"/>
  <c r="AB31" i="8" a="1"/>
  <c r="AB31" i="8" s="1"/>
  <c r="H34" i="8" a="1"/>
  <c r="H34" i="8" s="1"/>
  <c r="AG26" i="8" a="1"/>
  <c r="AG26" i="8" s="1"/>
  <c r="AF15" i="8" a="1"/>
  <c r="AF15" i="8" s="1"/>
  <c r="G20" i="8" a="1"/>
  <c r="G20" i="8" s="1"/>
  <c r="AF33" i="8" a="1"/>
  <c r="AF33" i="8" s="1"/>
  <c r="P36" i="8" a="1"/>
  <c r="P36" i="8" s="1"/>
  <c r="U34" i="8" a="1"/>
  <c r="U34" i="8" s="1"/>
  <c r="G37" i="8" a="1"/>
  <c r="G37" i="8" s="1"/>
  <c r="N37" i="8" a="1"/>
  <c r="N37" i="8" s="1"/>
  <c r="T35" i="8" a="1"/>
  <c r="T35" i="8" s="1"/>
  <c r="AD26" i="8" a="1"/>
  <c r="AD26" i="8" s="1"/>
  <c r="V18" i="8" a="1"/>
  <c r="V18" i="8" s="1"/>
  <c r="J29" i="8" a="1"/>
  <c r="J29" i="8" s="1"/>
  <c r="T23" i="8" a="1"/>
  <c r="T23" i="8" s="1"/>
  <c r="K32" i="8" a="1"/>
  <c r="K32" i="8" s="1"/>
  <c r="AF29" i="8" a="1"/>
  <c r="AF29" i="8" s="1"/>
  <c r="AD30" i="8" a="1"/>
  <c r="AD30" i="8" s="1"/>
  <c r="V31" i="8" a="1"/>
  <c r="V31" i="8" s="1"/>
  <c r="L22" i="8" a="1"/>
  <c r="L22" i="8" s="1"/>
  <c r="AI14" i="8" a="1"/>
  <c r="AI14" i="8" s="1"/>
  <c r="Y32" i="8" a="1"/>
  <c r="Y32" i="8" s="1"/>
  <c r="T33" i="8" a="1"/>
  <c r="T33" i="8" s="1"/>
  <c r="AI34" i="8" a="1"/>
  <c r="AI34" i="8" s="1"/>
  <c r="M36" i="8" a="1"/>
  <c r="M36" i="8" s="1"/>
  <c r="R34" i="8" a="1"/>
  <c r="R34" i="8" s="1"/>
  <c r="AG36" i="8" a="1"/>
  <c r="AG36" i="8" s="1"/>
  <c r="AC25" i="8" a="1"/>
  <c r="AC25" i="8" s="1"/>
  <c r="U17" i="8" a="1"/>
  <c r="U17" i="8" s="1"/>
  <c r="AA36" i="8" a="1"/>
  <c r="AA36" i="8" s="1"/>
  <c r="I22" i="8" a="1"/>
  <c r="I22" i="8" s="1"/>
  <c r="AG28" i="8" a="1"/>
  <c r="AG28" i="8" s="1"/>
  <c r="U37" i="8" a="1"/>
  <c r="U37" i="8" s="1"/>
  <c r="X35" i="8" a="1"/>
  <c r="X35" i="8" s="1"/>
  <c r="AG19" i="8" a="1"/>
  <c r="AG19" i="8" s="1"/>
  <c r="AB25" i="8" a="1"/>
  <c r="AB25" i="8" s="1"/>
  <c r="AG29" i="8" a="1"/>
  <c r="AG29" i="8" s="1"/>
  <c r="P18" i="8" a="1"/>
  <c r="P18" i="8" s="1"/>
  <c r="S23" i="8" a="1"/>
  <c r="S23" i="8" s="1"/>
  <c r="AJ22" i="8" a="1"/>
  <c r="AJ22" i="8" s="1"/>
  <c r="Z30" i="8" a="1"/>
  <c r="Z30" i="8" s="1"/>
  <c r="AD27" i="8" a="1"/>
  <c r="AD27" i="8" s="1"/>
  <c r="AE20" i="8" a="1"/>
  <c r="AE20" i="8" s="1"/>
  <c r="U19" i="8" a="1"/>
  <c r="U19" i="8" s="1"/>
  <c r="AE32" i="8" a="1"/>
  <c r="AE32" i="8" s="1"/>
  <c r="AE16" i="8" a="1"/>
  <c r="AE16" i="8" s="1"/>
  <c r="J15" i="8" a="1"/>
  <c r="J15" i="8" s="1"/>
  <c r="AE15" i="8" a="1"/>
  <c r="AE15" i="8" s="1"/>
  <c r="AI19" i="8" a="1"/>
  <c r="AI19" i="8" s="1"/>
  <c r="AF30" i="8" a="1"/>
  <c r="AF30" i="8" s="1"/>
  <c r="X14" i="8" a="1"/>
  <c r="X14" i="8" s="1"/>
  <c r="AF28" i="8" a="1"/>
  <c r="AF28" i="8" s="1"/>
  <c r="P35" i="8" a="1"/>
  <c r="P35" i="8" s="1"/>
  <c r="I33" i="8" a="1"/>
  <c r="I33" i="8" s="1"/>
  <c r="R14" i="8" a="1"/>
  <c r="R14" i="8" s="1"/>
  <c r="AA29" i="8" a="1"/>
  <c r="AA29" i="8" s="1"/>
  <c r="R22" i="8" a="1"/>
  <c r="R22" i="8" s="1"/>
  <c r="AI20" i="8" a="1"/>
  <c r="AI20" i="8" s="1"/>
  <c r="AA19" i="8" a="1"/>
  <c r="AA19" i="8" s="1"/>
  <c r="Q36" i="8" a="1"/>
  <c r="Q36" i="8" s="1"/>
  <c r="T20" i="8" a="1"/>
  <c r="T20" i="8" s="1"/>
  <c r="S31" i="8" a="1"/>
  <c r="S31" i="8" s="1"/>
  <c r="N14" i="8" a="1"/>
  <c r="N14" i="8" s="1"/>
  <c r="R29" i="8" a="1"/>
  <c r="R29" i="8" s="1"/>
  <c r="AC34" i="8" a="1"/>
  <c r="AC34" i="8" s="1"/>
  <c r="O15" i="8" a="1"/>
  <c r="O15" i="8" s="1"/>
  <c r="X22" i="8" a="1"/>
  <c r="X22" i="8" s="1"/>
  <c r="AJ19" i="8" a="1"/>
  <c r="AJ19" i="8" s="1"/>
  <c r="AJ35" i="8" a="1"/>
  <c r="AJ35" i="8" s="1"/>
  <c r="Y24" i="8" a="1"/>
  <c r="Y24" i="8" s="1"/>
  <c r="K35" i="8" a="1"/>
  <c r="K35" i="8" s="1"/>
  <c r="Q34" i="8" a="1"/>
  <c r="Q34" i="8" s="1"/>
  <c r="H23" i="8" a="1"/>
  <c r="H23" i="8" s="1"/>
  <c r="AI30" i="8" a="1"/>
  <c r="AI30" i="8" s="1"/>
  <c r="M37" i="8" a="1"/>
  <c r="M37" i="8" s="1"/>
  <c r="AB27" i="8" a="1"/>
  <c r="AB27" i="8" s="1"/>
  <c r="AD16" i="8" a="1"/>
  <c r="AD16" i="8" s="1"/>
  <c r="R21" i="8" a="1"/>
  <c r="R21" i="8" s="1"/>
  <c r="I18" i="8" a="1"/>
  <c r="I18" i="8" s="1"/>
  <c r="Z28" i="8" a="1"/>
  <c r="Z28" i="8" s="1"/>
  <c r="R27" i="8" a="1"/>
  <c r="R27" i="8" s="1"/>
  <c r="W31" i="8" a="1"/>
  <c r="W31" i="8" s="1"/>
  <c r="M28" i="8" a="1"/>
  <c r="M28" i="8" s="1"/>
  <c r="H22" i="8" a="1"/>
  <c r="H22" i="8" s="1"/>
  <c r="U27" i="8" a="1"/>
  <c r="U27" i="8" s="1"/>
  <c r="Y20" i="8" a="1"/>
  <c r="Y20" i="8" s="1"/>
  <c r="O19" i="8" a="1"/>
  <c r="O19" i="8" s="1"/>
  <c r="N32" i="8" a="1"/>
  <c r="N32" i="8" s="1"/>
  <c r="V16" i="8" a="1"/>
  <c r="V16" i="8" s="1"/>
  <c r="L14" i="8" a="1"/>
  <c r="L14" i="8" s="1"/>
  <c r="I23" i="8" a="1"/>
  <c r="I23" i="8" s="1"/>
  <c r="Z19" i="8" a="1"/>
  <c r="Z19" i="8" s="1"/>
  <c r="X30" i="8" a="1"/>
  <c r="X30" i="8" s="1"/>
  <c r="AE14" i="8" a="1"/>
  <c r="AE14" i="8" s="1"/>
  <c r="W28" i="8" a="1"/>
  <c r="W28" i="8" s="1"/>
  <c r="AF34" i="8" a="1"/>
  <c r="AF34" i="8" s="1"/>
  <c r="W32" i="8" a="1"/>
  <c r="W32" i="8" s="1"/>
  <c r="AJ27" i="8" a="1"/>
  <c r="AJ27" i="8" s="1"/>
  <c r="AK20" i="8" a="1"/>
  <c r="AK20" i="8" s="1"/>
  <c r="AB19" i="8" a="1"/>
  <c r="AB19" i="8" s="1"/>
  <c r="L17" i="8" a="1"/>
  <c r="L17" i="8" s="1"/>
  <c r="N28" i="8" a="1"/>
  <c r="N28" i="8" s="1"/>
  <c r="AA26" i="8" a="1"/>
  <c r="AA26" i="8" s="1"/>
  <c r="AC15" i="8" a="1"/>
  <c r="AC15" i="8" s="1"/>
  <c r="AF19" i="8" a="1"/>
  <c r="AF19" i="8" s="1"/>
  <c r="R37" i="8" a="1"/>
  <c r="R37" i="8" s="1"/>
  <c r="AH28" i="8" a="1"/>
  <c r="AH28" i="8" s="1"/>
  <c r="K25" i="8" a="1"/>
  <c r="K25" i="8" s="1"/>
  <c r="AD14" i="8" a="1"/>
  <c r="AD14" i="8" s="1"/>
  <c r="T17" i="8" a="1"/>
  <c r="T17" i="8" s="1"/>
  <c r="S30" i="8" a="1"/>
  <c r="S30" i="8" s="1"/>
  <c r="AF18" i="8" a="1"/>
  <c r="AF18" i="8" s="1"/>
  <c r="M24" i="8" a="1"/>
  <c r="M24" i="8" s="1"/>
  <c r="M21" i="8" a="1"/>
  <c r="M21" i="8" s="1"/>
  <c r="AD32" i="8" a="1"/>
  <c r="AD32" i="8" s="1"/>
  <c r="Q15" i="8" a="1"/>
  <c r="Q15" i="8" s="1"/>
  <c r="AC30" i="8" a="1"/>
  <c r="AC30" i="8" s="1"/>
  <c r="Z14" i="8" a="1"/>
  <c r="Z14" i="8" s="1"/>
  <c r="AB37" i="8" a="1"/>
  <c r="AB37" i="8" s="1"/>
  <c r="AF17" i="8" a="1"/>
  <c r="AF17" i="8" s="1"/>
  <c r="G32" i="8" a="1"/>
  <c r="G32" i="8" s="1"/>
  <c r="N24" i="8" a="1"/>
  <c r="N24" i="8" s="1"/>
  <c r="P22" i="8" a="1"/>
  <c r="P22" i="8" s="1"/>
  <c r="Z22" i="8" a="1"/>
  <c r="Z22" i="8" s="1"/>
  <c r="Y19" i="8" a="1"/>
  <c r="Y19" i="8" s="1"/>
  <c r="G15" i="8" a="1"/>
  <c r="G15" i="8" s="1"/>
  <c r="AI22" i="8" a="1"/>
  <c r="AI22" i="8" s="1"/>
  <c r="AB34" i="8" a="1"/>
  <c r="AB34" i="8" s="1"/>
  <c r="S16" i="8" a="1"/>
  <c r="S16" i="8" s="1"/>
  <c r="AA32" i="8" a="1"/>
  <c r="AA32" i="8" s="1"/>
  <c r="T15" i="8" a="1"/>
  <c r="T15" i="8" s="1"/>
  <c r="AE22" i="8" a="1"/>
  <c r="AE22" i="8" s="1"/>
  <c r="X32" i="8" a="1"/>
  <c r="X32" i="8" s="1"/>
  <c r="L25" i="8" a="1"/>
  <c r="L25" i="8" s="1"/>
  <c r="AF22" i="8" a="1"/>
  <c r="AF22" i="8" s="1"/>
  <c r="Q23" i="8" a="1"/>
  <c r="Q23" i="8" s="1"/>
  <c r="AF20" i="8" a="1"/>
  <c r="AF20" i="8" s="1"/>
  <c r="I16" i="8" a="1"/>
  <c r="I16" i="8" s="1"/>
  <c r="W25" i="8" a="1"/>
  <c r="W25" i="8" s="1"/>
  <c r="G26" i="8" a="1"/>
  <c r="G26" i="8" s="1"/>
  <c r="H15" i="8" a="1"/>
  <c r="H15" i="8" s="1"/>
  <c r="AE18" i="8" a="1"/>
  <c r="AE18" i="8" s="1"/>
  <c r="Y36" i="8" a="1"/>
  <c r="Y36" i="8" s="1"/>
  <c r="AJ36" i="8" a="1"/>
  <c r="AJ36" i="8" s="1"/>
  <c r="V24" i="8" a="1"/>
  <c r="V24" i="8" s="1"/>
  <c r="AD34" i="8" a="1"/>
  <c r="AD34" i="8" s="1"/>
  <c r="AB29" i="8" a="1"/>
  <c r="AB29" i="8" s="1"/>
  <c r="L18" i="8" a="1"/>
  <c r="L18" i="8" s="1"/>
  <c r="M23" i="8" a="1"/>
  <c r="M23" i="8" s="1"/>
  <c r="AF36" i="8" a="1"/>
  <c r="AF36" i="8" s="1"/>
  <c r="H35" i="8" a="1"/>
  <c r="H35" i="8" s="1"/>
  <c r="AK37" i="8" a="1"/>
  <c r="AK37" i="8" s="1"/>
  <c r="AD37" i="8" a="1"/>
  <c r="AD37" i="8" s="1"/>
  <c r="N36" i="8" a="1"/>
  <c r="N36" i="8" s="1"/>
  <c r="S27" i="8" a="1"/>
  <c r="S27" i="8" s="1"/>
  <c r="G19" i="8" a="1"/>
  <c r="G19" i="8" s="1"/>
  <c r="Z29" i="8" a="1"/>
  <c r="Z29" i="8" s="1"/>
  <c r="AI35" i="8" a="1"/>
  <c r="AI35" i="8" s="1"/>
  <c r="J24" i="8" a="1"/>
  <c r="J24" i="8" s="1"/>
  <c r="AE33" i="8" a="1"/>
  <c r="AE33" i="8" s="1"/>
  <c r="O29" i="8" a="1"/>
  <c r="O29" i="8" s="1"/>
  <c r="S32" i="8" a="1"/>
  <c r="S32" i="8" s="1"/>
  <c r="X33" i="8" a="1"/>
  <c r="X33" i="8" s="1"/>
  <c r="Q33" i="8" a="1"/>
  <c r="Q33" i="8" s="1"/>
  <c r="AE34" i="8" a="1"/>
  <c r="AE34" i="8" s="1"/>
  <c r="AB24" i="8" a="1"/>
  <c r="AB24" i="8" s="1"/>
  <c r="T16" i="8" a="1"/>
  <c r="T16" i="8" s="1"/>
  <c r="K37" i="8" a="1"/>
  <c r="K37" i="8" s="1"/>
  <c r="Q35" i="8" a="1"/>
  <c r="Q35" i="8" s="1"/>
  <c r="N34" i="8" a="1"/>
  <c r="N34" i="8" s="1"/>
  <c r="AD20" i="8" a="1"/>
  <c r="AD20" i="8" s="1"/>
  <c r="AF26" i="8" a="1"/>
  <c r="AF26" i="8" s="1"/>
  <c r="AH37" i="8" a="1"/>
  <c r="AH37" i="8" s="1"/>
  <c r="R36" i="8" a="1"/>
  <c r="R36" i="8" s="1"/>
  <c r="Y37" i="8" a="1"/>
  <c r="Y37" i="8" s="1"/>
  <c r="AB28" i="8" a="1"/>
  <c r="AB28" i="8" s="1"/>
  <c r="U28" i="8" a="1"/>
  <c r="U28" i="8" s="1"/>
  <c r="H20" i="8" a="1"/>
  <c r="H20" i="8" s="1"/>
  <c r="AA30" i="8" a="1"/>
  <c r="AA30" i="8" s="1"/>
  <c r="R31" i="8" a="1"/>
  <c r="R31" i="8" s="1"/>
  <c r="L32" i="8" a="1"/>
  <c r="L32" i="8" s="1"/>
  <c r="P32" i="8" a="1"/>
  <c r="P32" i="8" s="1"/>
  <c r="O33" i="8" a="1"/>
  <c r="O33" i="8" s="1"/>
  <c r="AC23" i="8" a="1"/>
  <c r="AC23" i="8" s="1"/>
  <c r="S15" i="8" a="1"/>
  <c r="S15" i="8" s="1"/>
  <c r="J36" i="8" a="1"/>
  <c r="J36" i="8" s="1"/>
  <c r="K34" i="8" a="1"/>
  <c r="K34" i="8" s="1"/>
  <c r="AB36" i="8" a="1"/>
  <c r="AB36" i="8" s="1"/>
  <c r="AD31" i="8" a="1"/>
  <c r="AD31" i="8" s="1"/>
  <c r="Q19" i="8" a="1"/>
  <c r="Q19" i="8" s="1"/>
  <c r="AJ24" i="8" a="1"/>
  <c r="AJ24" i="8" s="1"/>
  <c r="I28" i="8" a="1"/>
  <c r="I28" i="8" s="1"/>
  <c r="K17" i="8" a="1"/>
  <c r="K17" i="8" s="1"/>
  <c r="AC21" i="8" a="1"/>
  <c r="AC21" i="8" s="1"/>
  <c r="G33" i="8" a="1"/>
  <c r="G33" i="8" s="1"/>
  <c r="X26" i="8" a="1"/>
  <c r="X26" i="8" s="1"/>
  <c r="Y15" i="8" a="1"/>
  <c r="Y15" i="8" s="1"/>
  <c r="V19" i="8" a="1"/>
  <c r="V19" i="8" s="1"/>
  <c r="K33" i="8" a="1"/>
  <c r="K33" i="8" s="1"/>
  <c r="N20" i="8" a="1"/>
  <c r="N20" i="8" s="1"/>
  <c r="AK25" i="8" a="1"/>
  <c r="AK25" i="8" s="1"/>
  <c r="P23" i="8" a="1"/>
  <c r="P23" i="8" s="1"/>
  <c r="M35" i="8" a="1"/>
  <c r="M35" i="8" s="1"/>
  <c r="AB16" i="8" a="1"/>
  <c r="AB16" i="8" s="1"/>
  <c r="M33" i="8" a="1"/>
  <c r="M33" i="8" s="1"/>
  <c r="AB15" i="8" a="1"/>
  <c r="AB15" i="8" s="1"/>
  <c r="AG23" i="8" a="1"/>
  <c r="AG23" i="8" s="1"/>
  <c r="Q24" i="8" a="1"/>
  <c r="Q24" i="8" s="1"/>
  <c r="AC24" i="8" a="1"/>
  <c r="AC24" i="8" s="1"/>
  <c r="O35" i="8" a="1"/>
  <c r="O35" i="8" s="1"/>
  <c r="P26" i="8" a="1"/>
  <c r="P26" i="8" s="1"/>
  <c r="J25" i="8" a="1"/>
  <c r="J25" i="8" s="1"/>
  <c r="S26" i="8" a="1"/>
  <c r="S26" i="8" s="1"/>
  <c r="AA23" i="8" a="1"/>
  <c r="AA23" i="8" s="1"/>
  <c r="M18" i="8" a="1"/>
  <c r="M18" i="8" s="1"/>
  <c r="AG24" i="8" a="1"/>
  <c r="AG24" i="8" s="1"/>
  <c r="O37" i="8" a="1"/>
  <c r="O37" i="8" s="1"/>
  <c r="Q18" i="8" a="1"/>
  <c r="Q18" i="8" s="1"/>
  <c r="J35" i="8" a="1"/>
  <c r="J35" i="8" s="1"/>
  <c r="G17" i="8" a="1"/>
  <c r="G17" i="8" s="1"/>
  <c r="AH26" i="8" a="1"/>
  <c r="AH26" i="8" s="1"/>
  <c r="N31" i="8" a="1"/>
  <c r="N31" i="8" s="1"/>
  <c r="AH35" i="8" a="1"/>
  <c r="AH35" i="8" s="1"/>
  <c r="N27" i="8" a="1"/>
  <c r="N27" i="8" s="1"/>
  <c r="V25" i="8" a="1"/>
  <c r="V25" i="8" s="1"/>
  <c r="K27" i="8" a="1"/>
  <c r="K27" i="8" s="1"/>
  <c r="U24" i="8" a="1"/>
  <c r="U24" i="8" s="1"/>
  <c r="AG14" i="8" a="1"/>
  <c r="AG14" i="8" s="1"/>
  <c r="O24" i="8" a="1"/>
  <c r="O24" i="8" s="1"/>
  <c r="AE19" i="8" a="1"/>
  <c r="AE19" i="8" s="1"/>
  <c r="AE25" i="8" a="1"/>
  <c r="AE25" i="8" s="1"/>
  <c r="AI21" i="8" a="1"/>
  <c r="AI21" i="8" s="1"/>
  <c r="X28" i="8" a="1"/>
  <c r="X28" i="8" s="1"/>
  <c r="AB33" i="8" a="1"/>
  <c r="AB33" i="8" s="1"/>
  <c r="R20" i="8" a="1"/>
  <c r="R20" i="8" s="1"/>
  <c r="O26" i="8" a="1"/>
  <c r="O26" i="8" s="1"/>
  <c r="AK24" i="8" a="1"/>
  <c r="AK24" i="8" s="1"/>
  <c r="AF14" i="8" a="1"/>
  <c r="AF14" i="8" s="1"/>
  <c r="N17" i="8" a="1"/>
  <c r="N17" i="8" s="1"/>
  <c r="O32" i="8" a="1"/>
  <c r="O32" i="8" s="1"/>
  <c r="T24" i="8" a="1"/>
  <c r="T24" i="8" s="1"/>
  <c r="U22" i="8" a="1"/>
  <c r="U22" i="8" s="1"/>
  <c r="AK22" i="8" a="1"/>
  <c r="AK22" i="8" s="1"/>
  <c r="AK19" i="8" a="1"/>
  <c r="AK19" i="8" s="1"/>
  <c r="Y16" i="8" a="1"/>
  <c r="Y16" i="8" s="1"/>
  <c r="J23" i="8" a="1"/>
  <c r="J23" i="8" s="1"/>
  <c r="AJ34" i="8" a="1"/>
  <c r="AJ34" i="8" s="1"/>
  <c r="X16" i="8" a="1"/>
  <c r="X16" i="8" s="1"/>
  <c r="AJ32" i="8" a="1"/>
  <c r="AJ32" i="8" s="1"/>
  <c r="X15" i="8" a="1"/>
  <c r="X15" i="8" s="1"/>
  <c r="U23" i="8" a="1"/>
  <c r="U23" i="8" s="1"/>
  <c r="W23" i="8" a="1"/>
  <c r="W23" i="8" s="1"/>
  <c r="AJ23" i="8" a="1"/>
  <c r="AJ23" i="8" s="1"/>
  <c r="G35" i="8" a="1"/>
  <c r="G35" i="8" s="1"/>
  <c r="J26" i="8" a="1"/>
  <c r="J26" i="8" s="1"/>
  <c r="AI24" i="8" a="1"/>
  <c r="AI24" i="8" s="1"/>
  <c r="O25" i="8" a="1"/>
  <c r="O25" i="8" s="1"/>
  <c r="O23" i="8" a="1"/>
  <c r="O23" i="8" s="1"/>
  <c r="V23" i="8" a="1"/>
  <c r="V23" i="8" s="1"/>
  <c r="U35" i="8" a="1"/>
  <c r="U35" i="8" s="1"/>
  <c r="I17" i="8" a="1"/>
  <c r="I17" i="8" s="1"/>
  <c r="AD33" i="8" a="1"/>
  <c r="AD33" i="8" s="1"/>
  <c r="T31" i="8" a="1"/>
  <c r="T31" i="8" s="1"/>
  <c r="O17" i="8" a="1"/>
  <c r="O17" i="8" s="1"/>
  <c r="W33" i="8" a="1"/>
  <c r="W33" i="8" s="1"/>
  <c r="AI23" i="8" a="1"/>
  <c r="AI23" i="8" s="1"/>
  <c r="V33" i="8" a="1"/>
  <c r="V33" i="8" s="1"/>
  <c r="AG32" i="8" a="1"/>
  <c r="AG32" i="8" s="1"/>
  <c r="T22" i="8" a="1"/>
  <c r="T22" i="8" s="1"/>
  <c r="AE29" i="8" a="1"/>
  <c r="AE29" i="8" s="1"/>
  <c r="X34" i="8" a="1"/>
  <c r="X34" i="8" s="1"/>
  <c r="H27" i="8" a="1"/>
  <c r="H27" i="8" s="1"/>
  <c r="J16" i="8" a="1"/>
  <c r="J16" i="8" s="1"/>
  <c r="Q20" i="8" a="1"/>
  <c r="Q20" i="8" s="1"/>
  <c r="AK36" i="8" a="1"/>
  <c r="AK36" i="8" s="1"/>
  <c r="H17" i="8" a="1"/>
  <c r="H17" i="8" s="1"/>
  <c r="AF27" i="8" a="1"/>
  <c r="AF27" i="8" s="1"/>
  <c r="H26" i="8" a="1"/>
  <c r="H26" i="8" s="1"/>
  <c r="AD28" i="8" a="1"/>
  <c r="AD28" i="8" s="1"/>
  <c r="AJ25" i="8" a="1"/>
  <c r="AJ25" i="8" s="1"/>
  <c r="AH16" i="8" a="1"/>
  <c r="AH16" i="8" s="1"/>
  <c r="T26" i="8" a="1"/>
  <c r="T26" i="8" s="1"/>
  <c r="X19" i="8" a="1"/>
  <c r="X19" i="8" s="1"/>
  <c r="AD36" i="8" a="1"/>
  <c r="AD36" i="8" s="1"/>
  <c r="N18" i="8" a="1"/>
  <c r="N18" i="8" s="1"/>
  <c r="V29" i="8" a="1"/>
  <c r="V29" i="8" s="1"/>
  <c r="R15" i="8" a="1"/>
  <c r="R15" i="8" s="1"/>
  <c r="N15" i="8" a="1"/>
  <c r="N15" i="8" s="1"/>
  <c r="Y18" i="8" a="1"/>
  <c r="Y18" i="8" s="1"/>
  <c r="L29" i="8" a="1"/>
  <c r="L29" i="8" s="1"/>
  <c r="AC27" i="8" a="1"/>
  <c r="AC27" i="8" s="1"/>
  <c r="Z32" i="8" a="1"/>
  <c r="Z32" i="8" s="1"/>
  <c r="N29" i="8" a="1"/>
  <c r="N29" i="8" s="1"/>
  <c r="AI26" i="8" a="1"/>
  <c r="AI26" i="8" s="1"/>
  <c r="L20" i="8" a="1"/>
  <c r="L20" i="8" s="1"/>
  <c r="V37" i="8" a="1"/>
  <c r="V37" i="8" s="1"/>
  <c r="AA18" i="8" a="1"/>
  <c r="AA18" i="8" s="1"/>
  <c r="Y30" i="8" a="1"/>
  <c r="Y30" i="8" s="1"/>
  <c r="AJ15" i="8" a="1"/>
  <c r="AJ15" i="8" s="1"/>
  <c r="G14" i="8" a="1"/>
  <c r="G14" i="8" s="1"/>
  <c r="AA14" i="8" a="1"/>
  <c r="AA14" i="8" s="1"/>
  <c r="U14" i="8" a="1"/>
  <c r="U14" i="8" s="1"/>
  <c r="S29" i="8" a="1"/>
  <c r="S29" i="8" s="1"/>
  <c r="N23" i="8" a="1"/>
  <c r="N23" i="8" s="1"/>
  <c r="Y31" i="8" a="1"/>
  <c r="Y31" i="8" s="1"/>
  <c r="AC31" i="8" a="1"/>
  <c r="AC31" i="8" s="1"/>
  <c r="AF21" i="8" a="1"/>
  <c r="AF21" i="8" s="1"/>
  <c r="Q28" i="8" a="1"/>
  <c r="Q28" i="8" s="1"/>
  <c r="V32" i="8" a="1"/>
  <c r="V32" i="8" s="1"/>
  <c r="U26" i="8" a="1"/>
  <c r="U26" i="8" s="1"/>
  <c r="P15" i="8" a="1"/>
  <c r="P15" i="8" s="1"/>
  <c r="P19" i="8" a="1"/>
  <c r="P19" i="8" s="1"/>
  <c r="AC35" i="8" a="1"/>
  <c r="AC35" i="8" s="1"/>
  <c r="V26" i="8" a="1"/>
  <c r="V26" i="8" s="1"/>
  <c r="AI32" i="8" a="1"/>
  <c r="AI32" i="8" s="1"/>
  <c r="J34" i="8" a="1"/>
  <c r="J34" i="8" s="1"/>
  <c r="AB35" i="8" a="1"/>
  <c r="AB35" i="8" s="1"/>
  <c r="AG33" i="8" a="1"/>
  <c r="AG33" i="8" s="1"/>
  <c r="K36" i="8" a="1"/>
  <c r="K36" i="8" s="1"/>
  <c r="Q25" i="8" a="1"/>
  <c r="Q25" i="8" s="1"/>
  <c r="AJ16" i="8" a="1"/>
  <c r="AJ16" i="8" s="1"/>
  <c r="AA37" i="8" a="1"/>
  <c r="AA37" i="8" s="1"/>
  <c r="I36" i="8" a="1"/>
  <c r="I36" i="8" s="1"/>
  <c r="U36" i="8" a="1"/>
  <c r="U36" i="8" s="1"/>
  <c r="S21" i="8" a="1"/>
  <c r="S21" i="8" s="1"/>
  <c r="AG27" i="8" a="1"/>
  <c r="AG27" i="8" s="1"/>
  <c r="U31" i="8" a="1"/>
  <c r="U31" i="8" s="1"/>
  <c r="Q30" i="8" a="1"/>
  <c r="Q30" i="8" s="1"/>
  <c r="I31" i="8" a="1"/>
  <c r="I31" i="8" s="1"/>
  <c r="O31" i="8" a="1"/>
  <c r="O31" i="8" s="1"/>
  <c r="H32" i="8" a="1"/>
  <c r="H32" i="8" s="1"/>
  <c r="AB22" i="8" a="1"/>
  <c r="AB22" i="8" s="1"/>
  <c r="Y14" i="8" a="1"/>
  <c r="Y14" i="8" s="1"/>
  <c r="J33" i="8" a="1"/>
  <c r="J33" i="8" s="1"/>
  <c r="X29" i="8" a="1"/>
  <c r="X29" i="8" s="1"/>
  <c r="AH17" i="8" a="1"/>
  <c r="AH17" i="8" s="1"/>
  <c r="G23" i="8" a="1"/>
  <c r="G23" i="8" s="1"/>
  <c r="AE35" i="8" a="1"/>
  <c r="AE35" i="8" s="1"/>
  <c r="AJ33" i="8" a="1"/>
  <c r="AJ33" i="8" s="1"/>
  <c r="O36" i="8" a="1"/>
  <c r="O36" i="8" s="1"/>
  <c r="AC36" i="8" a="1"/>
  <c r="AC36" i="8" s="1"/>
  <c r="AH34" i="8" a="1"/>
  <c r="AH34" i="8" s="1"/>
  <c r="AE37" i="8" a="1"/>
  <c r="AE37" i="8" s="1"/>
  <c r="R26" i="8" a="1"/>
  <c r="R26" i="8" s="1"/>
  <c r="AK17" i="8" a="1"/>
  <c r="AK17" i="8" s="1"/>
  <c r="P37" i="8" a="1"/>
  <c r="P37" i="8" s="1"/>
  <c r="Y28" i="8" a="1"/>
  <c r="Y28" i="8" s="1"/>
  <c r="P29" i="8" a="1"/>
  <c r="P29" i="8" s="1"/>
  <c r="N30" i="8" a="1"/>
  <c r="N30" i="8" s="1"/>
  <c r="W30" i="8" a="1"/>
  <c r="W30" i="8" s="1"/>
  <c r="AA21" i="8" a="1"/>
  <c r="AA21" i="8" s="1"/>
  <c r="V34" i="8" a="1"/>
  <c r="V34" i="8" s="1"/>
  <c r="M32" i="8" a="1"/>
  <c r="M32" i="8" s="1"/>
  <c r="V36" i="8" a="1"/>
  <c r="V36" i="8" s="1"/>
  <c r="Y27" i="8" a="1"/>
  <c r="Y27" i="8" s="1"/>
  <c r="Z16" i="8" a="1"/>
  <c r="Z16" i="8" s="1"/>
  <c r="J21" i="8" a="1"/>
  <c r="J21" i="8" s="1"/>
  <c r="AG22" i="8" a="1"/>
  <c r="AG22" i="8" s="1"/>
  <c r="T25" i="8" a="1"/>
  <c r="T25" i="8" s="1"/>
  <c r="AB14" i="8" a="1"/>
  <c r="AB14" i="8" s="1"/>
  <c r="AD17" i="8" a="1"/>
  <c r="AD17" i="8" s="1"/>
  <c r="S35" i="8" a="1"/>
  <c r="S35" i="8" s="1"/>
  <c r="AF23" i="8" a="1"/>
  <c r="AF23" i="8" s="1"/>
  <c r="AB32" i="8" a="1"/>
  <c r="AB32" i="8" s="1"/>
  <c r="G29" i="8" a="1"/>
  <c r="G29" i="8" s="1"/>
  <c r="R17" i="8" a="1"/>
  <c r="R17" i="8" s="1"/>
  <c r="N22" i="8" a="1"/>
  <c r="N22" i="8" s="1"/>
  <c r="J19" i="8" a="1"/>
  <c r="J19" i="8" s="1"/>
  <c r="AD29" i="8" a="1"/>
  <c r="AD29" i="8" s="1"/>
  <c r="J28" i="8" a="1"/>
  <c r="J28" i="8" s="1"/>
  <c r="AC33" i="8" a="1"/>
  <c r="AC33" i="8" s="1"/>
  <c r="AH30" i="8" a="1"/>
  <c r="AH30" i="8" s="1"/>
  <c r="W15" i="8" a="1"/>
  <c r="W15" i="8" s="1"/>
  <c r="T28" i="8" a="1"/>
  <c r="T28" i="8" s="1"/>
  <c r="V21" i="8" a="1"/>
  <c r="V21" i="8" s="1"/>
  <c r="P20" i="8" a="1"/>
  <c r="P20" i="8" s="1"/>
  <c r="AK34" i="8" a="1"/>
  <c r="AK34" i="8" s="1"/>
  <c r="G18" i="8" a="1"/>
  <c r="G18" i="8" s="1"/>
  <c r="L16" i="8" a="1"/>
  <c r="L16" i="8" s="1"/>
  <c r="AF31" i="8" a="1"/>
  <c r="AF31" i="8" s="1"/>
  <c r="AA20" i="8" a="1"/>
  <c r="AA20" i="8" s="1"/>
  <c r="AA31" i="8" a="1"/>
  <c r="AA31" i="8" s="1"/>
  <c r="H14" i="8" a="1"/>
  <c r="H14" i="8" s="1"/>
  <c r="L30" i="8" a="1"/>
  <c r="L30" i="8" s="1"/>
  <c r="AJ14" i="8" a="1"/>
  <c r="AJ14" i="8" s="1"/>
  <c r="AG35" i="8" a="1"/>
  <c r="AG35" i="8" s="1"/>
  <c r="AK28" i="8" a="1"/>
  <c r="AK28" i="8" s="1"/>
  <c r="G22" i="8" a="1"/>
  <c r="G22" i="8" s="1"/>
  <c r="AC20" i="8" a="1"/>
  <c r="AC20" i="8" s="1"/>
  <c r="N19" i="8" a="1"/>
  <c r="N19" i="8" s="1"/>
  <c r="AC16" i="8" a="1"/>
  <c r="AC16" i="8" s="1"/>
  <c r="L23" i="8" a="1"/>
  <c r="L23" i="8" s="1"/>
  <c r="AH24" i="8" a="1"/>
  <c r="AH24" i="8" s="1"/>
  <c r="V35" i="8" a="1"/>
  <c r="V35" i="8" s="1"/>
  <c r="U32" i="8" a="1"/>
  <c r="U32" i="8" s="1"/>
  <c r="M19" i="8" a="1"/>
  <c r="M19" i="8" s="1"/>
  <c r="AD24" i="8" a="1"/>
  <c r="AD24" i="8" s="1"/>
  <c r="K29" i="8" a="1"/>
  <c r="K29" i="8" s="1"/>
  <c r="AA17" i="8" a="1"/>
  <c r="AA17" i="8" s="1"/>
  <c r="V22" i="8" a="1"/>
  <c r="V22" i="8" s="1"/>
  <c r="Q22" i="8" a="1"/>
  <c r="Q22" i="8" s="1"/>
  <c r="W29" i="8" a="1"/>
  <c r="W29" i="8" s="1"/>
  <c r="AC26" i="8" a="1"/>
  <c r="AC26" i="8" s="1"/>
  <c r="AD19" i="8" a="1"/>
  <c r="AD19" i="8" s="1"/>
  <c r="J37" i="8" a="1"/>
  <c r="J37" i="8" s="1"/>
  <c r="T18" i="8" a="1"/>
  <c r="T18" i="8" s="1"/>
  <c r="H30" i="8" a="1"/>
  <c r="H30" i="8" s="1"/>
  <c r="AA15" i="8" a="1"/>
  <c r="AA15" i="8" s="1"/>
  <c r="M20" i="8" a="1"/>
  <c r="M20" i="8" s="1"/>
  <c r="AH18" i="8" a="1"/>
  <c r="AH18" i="8" s="1"/>
  <c r="U29" i="8" a="1"/>
  <c r="U29" i="8" s="1"/>
  <c r="T37" i="8" a="1"/>
  <c r="T37" i="8" s="1"/>
  <c r="AI27" i="8" a="1"/>
  <c r="AI27" i="8" s="1"/>
  <c r="L33" i="8" a="1"/>
  <c r="L33" i="8" s="1"/>
  <c r="P30" i="8" a="1"/>
  <c r="P30" i="8" s="1"/>
  <c r="AC22" i="8" a="1"/>
  <c r="AC22" i="8" s="1"/>
  <c r="K28" i="8" a="1"/>
  <c r="K28" i="8" s="1"/>
  <c r="Q21" i="8" a="1"/>
  <c r="Q21" i="8" s="1"/>
  <c r="J20" i="8" a="1"/>
  <c r="J20" i="8" s="1"/>
  <c r="AI33" i="8" a="1"/>
  <c r="AI33" i="8" s="1"/>
  <c r="Y17" i="8" a="1"/>
  <c r="Y17" i="8" s="1"/>
  <c r="G21" i="8" a="1"/>
  <c r="G21" i="8" s="1"/>
  <c r="S19" i="8" a="1"/>
  <c r="S19" i="8" s="1"/>
  <c r="G30" i="8" a="1"/>
  <c r="G30" i="8" s="1"/>
  <c r="AH14" i="8" a="1"/>
  <c r="AH14" i="8" s="1"/>
  <c r="P28" i="8" a="1"/>
  <c r="P28" i="8" s="1"/>
  <c r="R33" i="8" a="1"/>
  <c r="R33" i="8" s="1"/>
  <c r="U25" i="8" a="1"/>
  <c r="U25" i="8" s="1"/>
  <c r="AK21" i="8" a="1"/>
  <c r="AK21" i="8" s="1"/>
  <c r="P21" i="8" a="1"/>
  <c r="P21" i="8" s="1"/>
  <c r="AA27" i="8" a="1"/>
  <c r="AA27" i="8" s="1"/>
  <c r="Q32" i="8" a="1"/>
  <c r="Q32" i="8" s="1"/>
  <c r="AC19" i="8" a="1"/>
  <c r="AC19" i="8" s="1"/>
  <c r="Y25" i="8" a="1"/>
  <c r="Y25" i="8" s="1"/>
  <c r="T36" i="8" a="1"/>
  <c r="T36" i="8" s="1"/>
  <c r="S24" i="8" a="1"/>
  <c r="S24" i="8" s="1"/>
  <c r="M34" i="8" a="1"/>
  <c r="M34" i="8" s="1"/>
  <c r="V30" i="8" a="1"/>
  <c r="V30" i="8" s="1"/>
  <c r="AH22" i="8" a="1"/>
  <c r="AH22" i="8" s="1"/>
  <c r="T21" i="8" a="1"/>
  <c r="T21" i="8" s="1"/>
  <c r="N21" i="8" a="1"/>
  <c r="N21" i="8" s="1"/>
  <c r="AI17" i="8" a="1"/>
  <c r="AI17" i="8" s="1"/>
  <c r="L19" i="8" a="1"/>
  <c r="L19" i="8" s="1"/>
  <c r="K22" i="8" a="1"/>
  <c r="K22" i="8" s="1"/>
  <c r="Y33" i="8" a="1"/>
  <c r="Y33" i="8" s="1"/>
  <c r="AG15" i="8" a="1"/>
  <c r="AG15" i="8" s="1"/>
  <c r="X31" i="8" a="1"/>
  <c r="X31" i="8" s="1"/>
  <c r="J14" i="8" a="1"/>
  <c r="J14" i="8" s="1"/>
  <c r="AH19" i="8" a="1"/>
  <c r="AH19" i="8" s="1"/>
  <c r="O20" i="8" a="1"/>
  <c r="O20" i="8" s="1"/>
  <c r="S33" i="8" a="1"/>
  <c r="S33" i="8" s="1"/>
  <c r="R25" i="8" a="1"/>
  <c r="R25" i="8" s="1"/>
  <c r="R23" i="8" a="1"/>
  <c r="R23" i="8" s="1"/>
  <c r="I37" i="8" a="1"/>
  <c r="I37" i="8" s="1"/>
  <c r="AD23" i="8" a="1"/>
  <c r="AD23" i="8" s="1"/>
  <c r="L21" i="8" a="1"/>
  <c r="L21" i="8" s="1"/>
  <c r="AA22" i="8" a="1"/>
  <c r="AA22" i="8" s="1"/>
  <c r="T34" i="8" a="1"/>
  <c r="T34" i="8" s="1"/>
  <c r="K16" i="8" a="1"/>
  <c r="K16" i="8" s="1"/>
  <c r="R32" i="8" a="1"/>
  <c r="R32" i="8" s="1"/>
  <c r="L15" i="8" a="1"/>
  <c r="L15" i="8" s="1"/>
  <c r="AD21" i="8" a="1"/>
  <c r="AD21" i="8" s="1"/>
  <c r="J22" i="8" a="1"/>
  <c r="J22" i="8" s="1"/>
  <c r="H19" i="8" a="1"/>
  <c r="H19" i="8" s="1"/>
  <c r="AJ17" i="8" a="1"/>
  <c r="AJ17" i="8" s="1"/>
  <c r="U20" i="8" a="1"/>
  <c r="U20" i="8" s="1"/>
  <c r="Z26" i="8" a="1"/>
  <c r="Z26" i="8" s="1"/>
  <c r="M31" i="8" a="1"/>
  <c r="M31" i="8" s="1"/>
  <c r="AI18" i="8" a="1"/>
  <c r="AI18" i="8" s="1"/>
  <c r="X24" i="8" a="1"/>
  <c r="X24" i="8" s="1"/>
  <c r="Y23" i="8" a="1"/>
  <c r="Y23" i="8" s="1"/>
  <c r="T32" i="8" a="1"/>
  <c r="T32" i="8" s="1"/>
  <c r="V20" i="8" a="1"/>
  <c r="V20" i="8" s="1"/>
  <c r="K26" i="8" a="1"/>
  <c r="K26" i="8" s="1"/>
  <c r="V28" i="8" a="1"/>
  <c r="V28" i="8" s="1"/>
  <c r="H29" i="8" a="1"/>
  <c r="H29" i="8" s="1"/>
  <c r="AE36" i="8" a="1"/>
  <c r="AE36" i="8" s="1"/>
  <c r="AF16" i="8" a="1"/>
  <c r="AF16" i="8" s="1"/>
  <c r="Z27" i="8" a="1"/>
  <c r="Z27" i="8" s="1"/>
  <c r="AG25" i="8" a="1"/>
  <c r="AG25" i="8" s="1"/>
  <c r="O28" i="8" a="1"/>
  <c r="O28" i="8" s="1"/>
  <c r="M25" i="8" a="1"/>
  <c r="M25" i="8" s="1"/>
  <c r="P16" i="8" a="1"/>
  <c r="P16" i="8" s="1"/>
  <c r="I26" i="8" a="1"/>
  <c r="I26" i="8" s="1"/>
  <c r="R19" i="8" a="1"/>
  <c r="R19" i="8" s="1"/>
  <c r="S36" i="8" a="1"/>
  <c r="S36" i="8" s="1"/>
  <c r="H18" i="8" a="1"/>
  <c r="H18" i="8" s="1"/>
  <c r="AJ28" i="8" a="1"/>
  <c r="AJ28" i="8" s="1"/>
  <c r="K14" i="8" a="1"/>
  <c r="K14" i="8" s="1"/>
  <c r="L37" i="8" a="1"/>
  <c r="L37" i="8" s="1"/>
  <c r="Q17" i="8" a="1"/>
  <c r="Q17" i="8" s="1"/>
  <c r="AK27" i="8" a="1"/>
  <c r="AK27" i="8" s="1"/>
  <c r="N26" i="8" a="1"/>
  <c r="N26" i="8" s="1"/>
  <c r="Q29" i="8" a="1"/>
  <c r="Q29" i="8" s="1"/>
  <c r="Q26" i="8" a="1"/>
  <c r="Q26" i="8" s="1"/>
  <c r="AC17" i="8" a="1"/>
  <c r="AC17" i="8" s="1"/>
  <c r="W14" i="8" a="1"/>
  <c r="W14" i="8" s="1"/>
  <c r="J31" i="8" a="1"/>
  <c r="J31" i="8" s="1"/>
  <c r="AK35" i="8" a="1"/>
  <c r="AK35" i="8" s="1"/>
  <c r="L34" i="8" a="1"/>
  <c r="L34" i="8" s="1"/>
  <c r="P14" i="8" a="1"/>
  <c r="P14" i="8" s="1"/>
  <c r="AJ29" i="8" a="1"/>
  <c r="AJ29" i="8" s="1"/>
  <c r="W22" i="8" a="1"/>
  <c r="W22" i="8" s="1"/>
  <c r="O21" i="8" a="1"/>
  <c r="O21" i="8" s="1"/>
  <c r="I20" i="8" a="1"/>
  <c r="I20" i="8" s="1"/>
  <c r="W17" i="8" a="1"/>
  <c r="W17" i="8" s="1"/>
  <c r="J17" i="8" a="1"/>
  <c r="J17" i="8" s="1"/>
  <c r="AH21" i="8" a="1"/>
  <c r="AH21" i="8" s="1"/>
  <c r="P33" i="8" a="1"/>
  <c r="P33" i="8" s="1"/>
  <c r="AD15" i="8" a="1"/>
  <c r="AD15" i="8" s="1"/>
  <c r="P31" i="8" a="1"/>
  <c r="P31" i="8" s="1"/>
  <c r="O14" i="8" a="1"/>
  <c r="O14" i="8" s="1"/>
  <c r="AE30" i="8" a="1"/>
  <c r="AE30" i="8" s="1"/>
  <c r="Z23" i="8" a="1"/>
  <c r="Z23" i="8" s="1"/>
  <c r="AE21" i="8" a="1"/>
  <c r="AE21" i="8" s="1"/>
  <c r="Y21" i="8" a="1"/>
  <c r="Y21" i="8" s="1"/>
  <c r="AD18" i="8" a="1"/>
  <c r="AD18" i="8" s="1"/>
  <c r="AC28" i="8" a="1"/>
  <c r="AC28" i="8" s="1"/>
  <c r="AG21" i="8" a="1"/>
  <c r="AG21" i="8" s="1"/>
  <c r="I29" i="8" a="1"/>
  <c r="I29" i="8" s="1"/>
  <c r="AE26" i="8" a="1"/>
  <c r="AE26" i="8" s="1"/>
  <c r="I24" i="8" a="1"/>
  <c r="I24" i="8" s="1"/>
  <c r="AB21" i="8" a="1"/>
  <c r="AB21" i="8" s="1"/>
  <c r="H25" i="8" a="1"/>
  <c r="H25" i="8" s="1"/>
  <c r="Z37" i="8" a="1"/>
  <c r="Z37" i="8" s="1"/>
  <c r="W18" i="8" a="1"/>
  <c r="W18" i="8" s="1"/>
  <c r="R35" i="8" a="1"/>
  <c r="R35" i="8" s="1"/>
  <c r="M17" i="8" a="1"/>
  <c r="M17" i="8" s="1"/>
  <c r="O27" i="8" a="1"/>
  <c r="O27" i="8" s="1"/>
  <c r="U33" i="8" a="1"/>
  <c r="U33" i="8" s="1"/>
  <c r="W34" i="8" a="1"/>
  <c r="W34" i="8" s="1"/>
  <c r="W37" i="8" a="1"/>
  <c r="W37" i="8" s="1"/>
  <c r="X17" i="8" a="1"/>
  <c r="X17" i="8" s="1"/>
  <c r="L28" i="8" a="1"/>
  <c r="L28" i="8" s="1"/>
  <c r="AK26" i="8" a="1"/>
  <c r="AK26" i="8" s="1"/>
  <c r="AH29" i="8" a="1"/>
  <c r="AH29" i="8" s="1"/>
  <c r="AB26" i="8" a="1"/>
  <c r="AB26" i="8" s="1"/>
  <c r="AH25" i="8" a="1"/>
  <c r="AH25" i="8" s="1"/>
  <c r="K19" i="8" a="1"/>
  <c r="K19" i="8" s="1"/>
  <c r="G36" i="8" a="1"/>
  <c r="G36" i="8" s="1"/>
  <c r="Z17" i="8" a="1"/>
  <c r="Z17" i="8" s="1"/>
  <c r="S28" i="8" a="1"/>
  <c r="S28" i="8" s="1"/>
  <c r="V14" i="8" a="1"/>
  <c r="V14" i="8" s="1"/>
  <c r="Z35" i="8" a="1"/>
  <c r="Z35" i="8" s="1"/>
  <c r="Z15" i="8" a="1"/>
  <c r="Z15" i="8" s="1"/>
  <c r="K20" i="8" a="1"/>
  <c r="K20" i="8" s="1"/>
  <c r="S14" i="8" a="1"/>
  <c r="S14" i="8" s="1"/>
  <c r="P25" i="8" a="1"/>
  <c r="P25" i="8" s="1"/>
  <c r="AG18" i="8" a="1"/>
  <c r="AG18" i="8" s="1"/>
  <c r="U16" i="8" a="1"/>
  <c r="U16" i="8" s="1"/>
  <c r="Y26" i="8" a="1"/>
  <c r="Y26" i="8" s="1"/>
  <c r="AJ20" i="8" a="1"/>
  <c r="AJ20" i="8" s="1"/>
  <c r="AJ31" i="8" a="1"/>
  <c r="AJ31" i="8" s="1"/>
  <c r="M15" i="8" a="1"/>
  <c r="M15" i="8" s="1"/>
  <c r="U30" i="8" a="1"/>
  <c r="U30" i="8" s="1"/>
  <c r="AC14" i="8" a="1"/>
  <c r="AC14" i="8" s="1"/>
  <c r="X36" i="8" a="1"/>
  <c r="X36" i="8" s="1"/>
  <c r="AK16" i="8" a="1"/>
  <c r="AK16" i="8" s="1"/>
  <c r="H31" i="8" a="1"/>
  <c r="H31" i="8" s="1"/>
  <c r="H24" i="8" a="1"/>
  <c r="H24" i="8" s="1"/>
  <c r="AJ21" i="8" a="1"/>
  <c r="AJ21" i="8" s="1"/>
  <c r="O22" i="8" a="1"/>
  <c r="O22" i="8" s="1"/>
  <c r="AH15" i="8" a="1"/>
  <c r="AH15" i="8" s="1"/>
  <c r="U21" i="8" a="1"/>
  <c r="U21" i="8" s="1"/>
  <c r="H33" i="8" a="1"/>
  <c r="H33" i="8" s="1"/>
  <c r="U15" i="8" a="1"/>
  <c r="U15" i="8" s="1"/>
  <c r="G31" i="8" a="1"/>
  <c r="G31" i="8" s="1"/>
  <c r="T14" i="8" a="1"/>
  <c r="T14" i="8" s="1"/>
  <c r="Z18" i="8" a="1"/>
  <c r="Z18" i="8" s="1"/>
  <c r="AJ18" i="8" a="1"/>
  <c r="AJ18" i="8" s="1"/>
  <c r="O5" i="1"/>
  <c r="O6" i="1"/>
  <c r="AL17" i="8" l="1"/>
  <c r="AN17" i="8" s="1"/>
  <c r="R38" i="8"/>
  <c r="K38" i="8"/>
  <c r="AL22" i="8"/>
  <c r="AN22" i="8" s="1"/>
  <c r="I38" i="8"/>
  <c r="AC38" i="8"/>
  <c r="AL26" i="8"/>
  <c r="AN26" i="8" s="1"/>
  <c r="AL33" i="8"/>
  <c r="AN33" i="8" s="1"/>
  <c r="AL18" i="8"/>
  <c r="AN18" i="8" s="1"/>
  <c r="AL37" i="8"/>
  <c r="AN37" i="8" s="1"/>
  <c r="AL21" i="8"/>
  <c r="AN21" i="8" s="1"/>
  <c r="AL36" i="8"/>
  <c r="AN36" i="8" s="1"/>
  <c r="O38" i="8"/>
  <c r="N38" i="8"/>
  <c r="G38" i="8"/>
  <c r="AL14" i="8"/>
  <c r="H38" i="8"/>
  <c r="AL32" i="8"/>
  <c r="AN32" i="8" s="1"/>
  <c r="AL23" i="8"/>
  <c r="AN23" i="8" s="1"/>
  <c r="V38" i="8"/>
  <c r="AD38" i="8"/>
  <c r="AB38" i="8"/>
  <c r="M38" i="8"/>
  <c r="L38" i="8"/>
  <c r="AL35" i="8"/>
  <c r="AN35" i="8" s="1"/>
  <c r="AL19" i="8"/>
  <c r="AN19" i="8" s="1"/>
  <c r="J38" i="8"/>
  <c r="AH38" i="8"/>
  <c r="AL24" i="8"/>
  <c r="AN24" i="8" s="1"/>
  <c r="T38" i="8"/>
  <c r="P38" i="8"/>
  <c r="AL30" i="8"/>
  <c r="AN30" i="8" s="1"/>
  <c r="Q38" i="8"/>
  <c r="AG38" i="8"/>
  <c r="U38" i="8"/>
  <c r="W38" i="8"/>
  <c r="AL15" i="8"/>
  <c r="AN15" i="8" s="1"/>
  <c r="AL29" i="8"/>
  <c r="AN29" i="8" s="1"/>
  <c r="AL34" i="8"/>
  <c r="AN34" i="8" s="1"/>
  <c r="AK38" i="8"/>
  <c r="AI38" i="8"/>
  <c r="S38" i="8"/>
  <c r="AL20" i="8"/>
  <c r="AN20" i="8" s="1"/>
  <c r="Y38" i="8"/>
  <c r="AL16" i="8"/>
  <c r="AN16" i="8" s="1"/>
  <c r="AE38" i="8"/>
  <c r="AJ38" i="8"/>
  <c r="AL31" i="8"/>
  <c r="AN31" i="8" s="1"/>
  <c r="AL28" i="8"/>
  <c r="AN28" i="8" s="1"/>
  <c r="AL25" i="8"/>
  <c r="AN25" i="8" s="1"/>
  <c r="AL27" i="8"/>
  <c r="AN27" i="8" s="1"/>
  <c r="AF38" i="8"/>
  <c r="AA38" i="8"/>
  <c r="X38" i="8"/>
  <c r="Z38" i="8"/>
  <c r="AL38" i="8" l="1"/>
  <c r="AL12" i="8"/>
  <c r="AN14" i="8"/>
  <c r="AN38" i="8" l="1"/>
  <c r="AN12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9260A61-269D-4555-85D8-CAEBCDDA755B}" keepAlive="1" name="Requête - Tabel1" description="Connexion à la requête « Tabel1 » dans le classeur." type="5" refreshedVersion="8" background="1" saveData="1">
    <dbPr connection="Provider=Microsoft.Mashup.OleDb.1;Data Source=$Workbook$;Location=Tabel1;Extended Properties=&quot;&quot;" command="SELECT * FROM [Tabel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<sst xmlns="http://schemas.openxmlformats.org/spreadsheetml/2006/main" count="1967" uniqueCount="250">
  <si>
    <t>N°</t>
  </si>
  <si>
    <t>Start time</t>
  </si>
  <si>
    <t>End Time</t>
  </si>
  <si>
    <t>Total Hours</t>
  </si>
  <si>
    <t>Date</t>
  </si>
  <si>
    <t>Down time</t>
  </si>
  <si>
    <t>Work Description</t>
  </si>
  <si>
    <t>Localization</t>
  </si>
  <si>
    <t>Model</t>
  </si>
  <si>
    <t>Equipment</t>
  </si>
  <si>
    <t>New Parking Number</t>
  </si>
  <si>
    <t>WT1</t>
  </si>
  <si>
    <t>WT2</t>
  </si>
  <si>
    <t>WT3</t>
  </si>
  <si>
    <t>WT9</t>
  </si>
  <si>
    <t>GR3</t>
  </si>
  <si>
    <t>GR2</t>
  </si>
  <si>
    <t>FEL4</t>
  </si>
  <si>
    <t>TD4</t>
  </si>
  <si>
    <t>FEL2</t>
  </si>
  <si>
    <t>TT17</t>
  </si>
  <si>
    <t>WT8</t>
  </si>
  <si>
    <t>EX8</t>
  </si>
  <si>
    <t>EX5</t>
  </si>
  <si>
    <t>TT32</t>
  </si>
  <si>
    <t>FEL1</t>
  </si>
  <si>
    <t>TT19</t>
  </si>
  <si>
    <t>TT39</t>
  </si>
  <si>
    <t>Water Truck</t>
  </si>
  <si>
    <t>Grader</t>
  </si>
  <si>
    <t>Loader</t>
  </si>
  <si>
    <t>Bulldozer</t>
  </si>
  <si>
    <t>Tipper Truck</t>
  </si>
  <si>
    <t>Excavator</t>
  </si>
  <si>
    <t>Water Truck 20T / 1924.1</t>
  </si>
  <si>
    <t>Water Truck 20T / 1924.2</t>
  </si>
  <si>
    <t>Water Truck 20T / 1924.3</t>
  </si>
  <si>
    <t>Water Truck 20T / WT09</t>
  </si>
  <si>
    <t>CAT140H</t>
  </si>
  <si>
    <t>CAT12K.2</t>
  </si>
  <si>
    <t>Cat972G.2</t>
  </si>
  <si>
    <t>CATD8R.3</t>
  </si>
  <si>
    <t>Cat966H.2</t>
  </si>
  <si>
    <t>Water Truck 20T / WT08</t>
  </si>
  <si>
    <t>ZX520LCH-3</t>
  </si>
  <si>
    <t>CAT329E</t>
  </si>
  <si>
    <t>Cat966H.1</t>
  </si>
  <si>
    <t>8259AC00</t>
  </si>
  <si>
    <t>3993AG00</t>
  </si>
  <si>
    <t>4443AK00</t>
  </si>
  <si>
    <t>8491AP00</t>
  </si>
  <si>
    <t>8417AX00</t>
  </si>
  <si>
    <t>8494AP00</t>
  </si>
  <si>
    <t>8432AX00</t>
  </si>
  <si>
    <t>8419AX00</t>
  </si>
  <si>
    <t>8439AX00</t>
  </si>
  <si>
    <t>Main Access Road - Out Site</t>
  </si>
  <si>
    <t>DAILY MAIN ACCESS ROAD MAINTENANCE</t>
  </si>
  <si>
    <t>Compactor</t>
  </si>
  <si>
    <t xml:space="preserve"> CATCS-563E</t>
  </si>
  <si>
    <t>GR1</t>
  </si>
  <si>
    <t>LB2</t>
  </si>
  <si>
    <t>Lowbed</t>
  </si>
  <si>
    <t>CAT12K.1</t>
  </si>
  <si>
    <t>8386AS00</t>
  </si>
  <si>
    <t>LB Man 100T</t>
  </si>
  <si>
    <t>CIL PLANT</t>
  </si>
  <si>
    <t>TD1</t>
  </si>
  <si>
    <t>LB1</t>
  </si>
  <si>
    <t>TT29</t>
  </si>
  <si>
    <t>CATD8R.1</t>
  </si>
  <si>
    <t>9818AA08</t>
  </si>
  <si>
    <t>8429AX00</t>
  </si>
  <si>
    <t>LB ACTROS 60T</t>
  </si>
  <si>
    <t>BL1</t>
  </si>
  <si>
    <t>Backhoe Loader</t>
  </si>
  <si>
    <t>CAT432D</t>
  </si>
  <si>
    <t>Tipper Truck 20m3 / F39</t>
  </si>
  <si>
    <t>TT87</t>
  </si>
  <si>
    <t>8487AX00</t>
  </si>
  <si>
    <t>WT20</t>
  </si>
  <si>
    <t>9456AP00</t>
  </si>
  <si>
    <t>Water Truck 20T / WT20</t>
  </si>
  <si>
    <t>8430AX00</t>
  </si>
  <si>
    <t>TT30</t>
  </si>
  <si>
    <t>EX1</t>
  </si>
  <si>
    <t>CAT323D.1</t>
  </si>
  <si>
    <t>EX2</t>
  </si>
  <si>
    <t>CAT323D.2</t>
  </si>
  <si>
    <t>EX3</t>
  </si>
  <si>
    <t>CAT325D</t>
  </si>
  <si>
    <t>EX4</t>
  </si>
  <si>
    <t>CAT345D</t>
  </si>
  <si>
    <t>EX6</t>
  </si>
  <si>
    <t>Hi460</t>
  </si>
  <si>
    <t>EX7</t>
  </si>
  <si>
    <t>Tipper Truck 20m3 / F17</t>
  </si>
  <si>
    <t>Tipper Truck 20m3 / F18</t>
  </si>
  <si>
    <t>8418AX00</t>
  </si>
  <si>
    <t>TT18</t>
  </si>
  <si>
    <t>Tipper Truck 20m3 / F19</t>
  </si>
  <si>
    <t>Tipper Truck 20m3 / F28</t>
  </si>
  <si>
    <t>8428AX00</t>
  </si>
  <si>
    <t>TT28</t>
  </si>
  <si>
    <t>Tipper Truck 20m3 / F29</t>
  </si>
  <si>
    <t>Tipper Truck 20m3 / F30</t>
  </si>
  <si>
    <t>Tipper Truck 20m3 / F32</t>
  </si>
  <si>
    <t>Tipper Truck 20m3 / F40</t>
  </si>
  <si>
    <t>8440AX00</t>
  </si>
  <si>
    <t>TT40</t>
  </si>
  <si>
    <t>Tipper Truck 20m3 / F87</t>
  </si>
  <si>
    <t>Cat972G.1</t>
  </si>
  <si>
    <t>FEL3</t>
  </si>
  <si>
    <t>CAT980G</t>
  </si>
  <si>
    <t>FEL5</t>
  </si>
  <si>
    <t>CAT988</t>
  </si>
  <si>
    <t>FEL6</t>
  </si>
  <si>
    <t>CAT140K</t>
  </si>
  <si>
    <t>GR4</t>
  </si>
  <si>
    <t>CAT12K.3</t>
  </si>
  <si>
    <t>GR5</t>
  </si>
  <si>
    <t>CATD8R.2</t>
  </si>
  <si>
    <t>TD2</t>
  </si>
  <si>
    <t>CATD9</t>
  </si>
  <si>
    <t>TD3</t>
  </si>
  <si>
    <t>Mixer Truck</t>
  </si>
  <si>
    <t>Cement Truck</t>
  </si>
  <si>
    <t>8480AP00</t>
  </si>
  <si>
    <t>MT1</t>
  </si>
  <si>
    <t>6118AA08</t>
  </si>
  <si>
    <t>MT2</t>
  </si>
  <si>
    <t>Parking Number</t>
  </si>
  <si>
    <t>CATCS-563E</t>
  </si>
  <si>
    <r>
      <t xml:space="preserve">Azima Authorized Signatory
</t>
    </r>
    <r>
      <rPr>
        <sz val="11"/>
        <rFont val="Arial"/>
        <family val="2"/>
      </rPr>
      <t>(Name, Sign, and Date)</t>
    </r>
  </si>
  <si>
    <r>
      <rPr>
        <b/>
        <sz val="14"/>
        <rFont val="Arial"/>
        <family val="2"/>
      </rPr>
      <t>Kinross End User Approval</t>
    </r>
    <r>
      <rPr>
        <sz val="14"/>
        <rFont val="Arial"/>
        <family val="2"/>
      </rPr>
      <t xml:space="preserve">
</t>
    </r>
    <r>
      <rPr>
        <sz val="11"/>
        <rFont val="Arial"/>
        <family val="2"/>
      </rPr>
      <t>(Name, Sign, and Date)</t>
    </r>
  </si>
  <si>
    <t>Total Hrs</t>
  </si>
  <si>
    <r>
      <rPr>
        <b/>
        <sz val="24"/>
        <rFont val="Arial"/>
        <family val="2"/>
      </rPr>
      <t>Mobile Equipment Usage Details</t>
    </r>
    <r>
      <rPr>
        <sz val="10"/>
        <rFont val="Arial"/>
        <family val="2"/>
      </rPr>
      <t xml:space="preserve">
TAS-MSA-10809_ Mobile Equipment Rental Services/SCWO-10809-1</t>
    </r>
  </si>
  <si>
    <t>Task Description:</t>
  </si>
  <si>
    <t>Task Line On the Invoice:</t>
  </si>
  <si>
    <t>Month of the Inoivce</t>
  </si>
  <si>
    <t>Equipmement Details</t>
  </si>
  <si>
    <t>Daily Equipment Hours Breackdown</t>
  </si>
  <si>
    <t>Equipment Type</t>
  </si>
  <si>
    <t>Original WO Description</t>
  </si>
  <si>
    <t>Job Site Location</t>
  </si>
  <si>
    <t>WO No</t>
  </si>
  <si>
    <t>Hourely Rate (MRU)</t>
  </si>
  <si>
    <t> Total Cost (MRU)</t>
  </si>
  <si>
    <t>Grand Total</t>
  </si>
  <si>
    <t xml:space="preserve">  </t>
  </si>
  <si>
    <t>Timesheet Record - August 15th to September 14th, 2024</t>
  </si>
  <si>
    <t>EndTime 2</t>
  </si>
  <si>
    <t>controle</t>
  </si>
  <si>
    <t>Line #1</t>
  </si>
  <si>
    <t>Total</t>
  </si>
  <si>
    <t>Sous Total</t>
  </si>
  <si>
    <t>CAT320E.1</t>
  </si>
  <si>
    <t>CAT320E.2</t>
  </si>
  <si>
    <t>CP1</t>
  </si>
  <si>
    <t>DAILY MAIN ACCESS ROAD MAINTENANCE - SAND DUNES REMOVAL</t>
  </si>
  <si>
    <t xml:space="preserve">CLEANUP SCART </t>
  </si>
  <si>
    <t>WARTSILA</t>
  </si>
  <si>
    <t>SUPPLY WATER AROUND SITEWIDE</t>
  </si>
  <si>
    <t>TSF4/5</t>
  </si>
  <si>
    <t>7 TRUCCK'S LOADS OF SAND</t>
  </si>
  <si>
    <t>C23 AREA</t>
  </si>
  <si>
    <t>PROVIDE A CAT988 LOADER TO CLEAN A DRILL PAD AND BACKFILL SOME ASM DIGGING IN C23 TARGET / SENISA</t>
  </si>
  <si>
    <t>GM PARKING</t>
  </si>
  <si>
    <t>GM CAR PARKING REFRESHEMENT</t>
  </si>
  <si>
    <t>NEAR P4</t>
  </si>
  <si>
    <t>REPAIR LEAK IN PIPE DN400</t>
  </si>
  <si>
    <t>BATCHING PLANT</t>
  </si>
  <si>
    <t>MONTHLY BATCH PLANT DELIVERY, LOAD AND HAUL</t>
  </si>
  <si>
    <t>LAMAS</t>
  </si>
  <si>
    <t>WMF</t>
  </si>
  <si>
    <t>LOADER / WOO SCRAP REORGANIZATION AT WMF</t>
  </si>
  <si>
    <t>CLEANING DRAINAGE TRANCHE</t>
  </si>
  <si>
    <t>K9 - MOBILE CRUSHER</t>
  </si>
  <si>
    <t>K9 CRUSHER MEC DAILY INSP</t>
  </si>
  <si>
    <t>AREA 24K PROJECT</t>
  </si>
  <si>
    <t>TASIAST MAXAM EXPLOSIVE YARD</t>
  </si>
  <si>
    <t>ORICA YARD WASTE CLEANUP</t>
  </si>
  <si>
    <t>MINING - WEST BRANCH</t>
  </si>
  <si>
    <t xml:space="preserve">TRANSPORT MOBILE PUMP FROM GO LINE WB TO RO CIL PLANT </t>
  </si>
  <si>
    <t>PROVIDE EXCAVATOR FOR WOODEN POLE AT WMF</t>
  </si>
  <si>
    <t>EX9</t>
  </si>
  <si>
    <t>Cat329E</t>
  </si>
  <si>
    <t>ROADS TASIAST</t>
  </si>
  <si>
    <t>DAILY MAINTENANCE RING ROAD</t>
  </si>
  <si>
    <t>CARPENTER YARD</t>
  </si>
  <si>
    <t>CARPENTER YARD UPGRADE</t>
  </si>
  <si>
    <t>TSF4 TAILING STORAGE FACILITY</t>
  </si>
  <si>
    <t>RENTAL OF LOADER FOR TSF5 DECANT</t>
  </si>
  <si>
    <t>RESTORE SITE WIDE ROADS</t>
  </si>
  <si>
    <t>BOREFIELD PIPELINES</t>
  </si>
  <si>
    <t>EXPOSE &amp; BACK DAMAGED PIPE TO FIX LEAK @P4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</si>
  <si>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</si>
  <si>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</si>
  <si>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</si>
  <si>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</si>
  <si>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</si>
  <si>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</si>
  <si>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</si>
  <si>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</si>
  <si>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</si>
  <si>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</si>
  <si>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</si>
  <si>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</si>
  <si>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</si>
  <si>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</si>
  <si>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</si>
  <si>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30/8</t>
  </si>
  <si>
    <t>31/8</t>
  </si>
  <si>
    <t>1/9</t>
  </si>
  <si>
    <t>2/9</t>
  </si>
  <si>
    <t>3/9</t>
  </si>
  <si>
    <t>4/9</t>
  </si>
  <si>
    <t>5/9</t>
  </si>
  <si>
    <t>6/9</t>
  </si>
  <si>
    <t>7/9</t>
  </si>
  <si>
    <t>8/9</t>
  </si>
  <si>
    <t>9/9</t>
  </si>
  <si>
    <t>10/9</t>
  </si>
  <si>
    <t>11/9</t>
  </si>
  <si>
    <t>12/9</t>
  </si>
  <si>
    <t>13/9</t>
  </si>
  <si>
    <t>14/9</t>
  </si>
  <si>
    <t>PRICE</t>
  </si>
  <si>
    <t>AIRPORT RUNAWAY</t>
  </si>
  <si>
    <t>MAINTENANCE AIRPORT-3 T PER WEEK</t>
  </si>
  <si>
    <t>TSF5</t>
  </si>
  <si>
    <t>10 LOADS OF CRUSHER DUST + LOADER</t>
  </si>
  <si>
    <t>Facteur</t>
  </si>
  <si>
    <t>Tasiast Site Main Access Road Maintenance</t>
  </si>
  <si>
    <t>Line #2</t>
  </si>
  <si>
    <t>15/08/2024</t>
  </si>
  <si>
    <t>16/08/2024</t>
  </si>
  <si>
    <t>17/08/2024</t>
  </si>
  <si>
    <t>18/08/2024</t>
  </si>
  <si>
    <t>19/08/2024</t>
  </si>
  <si>
    <t>20/08/2024</t>
  </si>
  <si>
    <t>21/08/2024</t>
  </si>
  <si>
    <t>22/08/2024</t>
  </si>
  <si>
    <t>23/08/2024</t>
  </si>
  <si>
    <t>24/08/2024</t>
  </si>
  <si>
    <t>25/08/2024</t>
  </si>
  <si>
    <t>Total général</t>
  </si>
  <si>
    <t/>
  </si>
  <si>
    <t>(vide)</t>
  </si>
  <si>
    <t>Somme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</si>
</sst>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400]h:mm:ss\ AM/PM"/>
    <numFmt numFmtId="165" formatCode="[hh]:mm"/>
    <numFmt numFmtId="166" formatCode="[$-409]dd\-mmm\-yy;@"/>
    <numFmt numFmtId="167" formatCode="_-* #,##0\ _€_-;\-* #,##0\ _€_-;_-* &quot;-&quot;??\ _€_-;_-@_-"/>
    <numFmt numFmtId="168" formatCode="0.0"/>
    <numFmt numFmtId="169" formatCode="d/m;@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24"/>
      <name val="Arial"/>
      <family val="2"/>
    </font>
    <font>
      <b/>
      <sz val="12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7" fillId="0" borderId="0"/>
  </cellStyleXfs>
  <cellXfs count="96">
    <xf numFmtId="0" fontId="0" fillId="0" borderId="0" xfId="0"/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4" fillId="4" borderId="19" xfId="0" applyFont="1" applyFill="1" applyBorder="1" applyAlignment="1">
      <alignment horizontal="center" vertical="center" wrapText="1"/>
    </xf>
    <xf numFmtId="165" fontId="1" fillId="2" borderId="0" xfId="0" applyNumberFormat="1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64" fontId="16" fillId="0" borderId="0" xfId="0" applyNumberFormat="1" applyFont="1" applyAlignment="1">
      <alignment horizontal="right" vertical="center"/>
    </xf>
    <xf numFmtId="168" fontId="16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3" fontId="17" fillId="3" borderId="0" xfId="2" applyNumberFormat="1" applyFont="1" applyFill="1" applyAlignment="1">
      <alignment horizontal="center" vertical="center"/>
    </xf>
    <xf numFmtId="0" fontId="13" fillId="4" borderId="9" xfId="2" applyFont="1" applyFill="1" applyBorder="1" applyAlignment="1">
      <alignment horizontal="centerContinuous" vertical="center"/>
    </xf>
    <xf numFmtId="0" fontId="13" fillId="4" borderId="16" xfId="2" applyFont="1" applyFill="1" applyBorder="1" applyAlignment="1">
      <alignment horizontal="centerContinuous" vertical="center"/>
    </xf>
    <xf numFmtId="0" fontId="13" fillId="4" borderId="10" xfId="2" applyFont="1" applyFill="1" applyBorder="1" applyAlignment="1">
      <alignment horizontal="centerContinuous" vertical="center"/>
    </xf>
    <xf numFmtId="0" fontId="5" fillId="0" borderId="17" xfId="0" applyFont="1" applyBorder="1" applyAlignment="1">
      <alignment horizontal="center" vertical="center"/>
    </xf>
    <xf numFmtId="0" fontId="9" fillId="3" borderId="25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 wrapText="1"/>
    </xf>
    <xf numFmtId="0" fontId="5" fillId="6" borderId="14" xfId="0" applyFont="1" applyFill="1" applyBorder="1" applyAlignment="1">
      <alignment horizontal="center" vertical="center"/>
    </xf>
    <xf numFmtId="0" fontId="9" fillId="3" borderId="0" xfId="2" applyFont="1" applyFill="1" applyAlignment="1">
      <alignment horizontal="left" vertical="center" wrapText="1"/>
    </xf>
    <xf numFmtId="0" fontId="13" fillId="4" borderId="14" xfId="2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7" fillId="3" borderId="0" xfId="2" applyFill="1" applyAlignment="1">
      <alignment vertical="center"/>
    </xf>
    <xf numFmtId="0" fontId="9" fillId="3" borderId="0" xfId="2" applyFont="1" applyFill="1" applyAlignment="1">
      <alignment vertical="center"/>
    </xf>
    <xf numFmtId="17" fontId="9" fillId="3" borderId="0" xfId="2" applyNumberFormat="1" applyFont="1" applyFill="1" applyAlignment="1">
      <alignment horizontal="left" vertical="center"/>
    </xf>
    <xf numFmtId="3" fontId="9" fillId="3" borderId="0" xfId="2" applyNumberFormat="1" applyFont="1" applyFill="1" applyAlignment="1">
      <alignment vertical="center"/>
    </xf>
    <xf numFmtId="0" fontId="17" fillId="3" borderId="0" xfId="2" applyFont="1" applyFill="1" applyAlignment="1">
      <alignment vertical="center"/>
    </xf>
    <xf numFmtId="0" fontId="13" fillId="4" borderId="25" xfId="2" applyFont="1" applyFill="1" applyBorder="1" applyAlignment="1">
      <alignment horizontal="center" vertical="center"/>
    </xf>
    <xf numFmtId="0" fontId="13" fillId="4" borderId="14" xfId="2" applyFont="1" applyFill="1" applyBorder="1" applyAlignment="1">
      <alignment horizontal="center" vertical="center" wrapText="1"/>
    </xf>
    <xf numFmtId="0" fontId="14" fillId="4" borderId="28" xfId="0" applyFont="1" applyFill="1" applyBorder="1" applyAlignment="1">
      <alignment horizontal="center" vertical="center"/>
    </xf>
    <xf numFmtId="169" fontId="14" fillId="4" borderId="29" xfId="0" applyNumberFormat="1" applyFont="1" applyFill="1" applyBorder="1" applyAlignment="1">
      <alignment horizontal="center" vertical="center" textRotation="180"/>
    </xf>
    <xf numFmtId="169" fontId="14" fillId="4" borderId="30" xfId="0" applyNumberFormat="1" applyFont="1" applyFill="1" applyBorder="1" applyAlignment="1">
      <alignment horizontal="center" vertical="center" textRotation="180"/>
    </xf>
    <xf numFmtId="169" fontId="14" fillId="4" borderId="31" xfId="0" applyNumberFormat="1" applyFont="1" applyFill="1" applyBorder="1" applyAlignment="1">
      <alignment horizontal="center" vertical="center" textRotation="180"/>
    </xf>
    <xf numFmtId="169" fontId="14" fillId="4" borderId="32" xfId="0" applyNumberFormat="1" applyFont="1" applyFill="1" applyBorder="1" applyAlignment="1">
      <alignment horizontal="center" vertical="center" textRotation="180"/>
    </xf>
    <xf numFmtId="0" fontId="14" fillId="4" borderId="33" xfId="0" applyFont="1" applyFill="1" applyBorder="1" applyAlignment="1">
      <alignment horizontal="center" vertical="center" wrapText="1"/>
    </xf>
    <xf numFmtId="0" fontId="14" fillId="4" borderId="26" xfId="0" applyFont="1" applyFill="1" applyBorder="1" applyAlignment="1">
      <alignment horizontal="center" vertical="center" wrapText="1"/>
    </xf>
    <xf numFmtId="14" fontId="7" fillId="3" borderId="0" xfId="2" applyNumberFormat="1" applyFill="1" applyAlignment="1">
      <alignment vertical="center"/>
    </xf>
    <xf numFmtId="0" fontId="15" fillId="3" borderId="17" xfId="0" applyFont="1" applyFill="1" applyBorder="1" applyAlignment="1">
      <alignment horizontal="center" vertical="center"/>
    </xf>
    <xf numFmtId="0" fontId="15" fillId="5" borderId="21" xfId="0" applyFont="1" applyFill="1" applyBorder="1" applyAlignment="1">
      <alignment horizontal="center" vertical="center"/>
    </xf>
    <xf numFmtId="0" fontId="15" fillId="5" borderId="14" xfId="0" applyFont="1" applyFill="1" applyBorder="1" applyAlignment="1">
      <alignment horizontal="center" vertical="center"/>
    </xf>
    <xf numFmtId="0" fontId="15" fillId="5" borderId="28" xfId="0" applyFont="1" applyFill="1" applyBorder="1" applyAlignment="1">
      <alignment horizontal="center" vertical="center"/>
    </xf>
    <xf numFmtId="0" fontId="9" fillId="3" borderId="12" xfId="2" applyFont="1" applyFill="1" applyBorder="1" applyAlignment="1">
      <alignment horizontal="center" vertical="center" wrapText="1"/>
    </xf>
    <xf numFmtId="0" fontId="9" fillId="3" borderId="12" xfId="2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5" fillId="5" borderId="27" xfId="0" applyFont="1" applyFill="1" applyBorder="1" applyAlignment="1">
      <alignment horizontal="center" vertical="center"/>
    </xf>
    <xf numFmtId="0" fontId="14" fillId="4" borderId="34" xfId="0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center" vertical="center"/>
    </xf>
    <xf numFmtId="167" fontId="14" fillId="4" borderId="17" xfId="1" applyNumberFormat="1" applyFont="1" applyFill="1" applyBorder="1" applyAlignment="1">
      <alignment horizontal="center" vertical="center"/>
    </xf>
    <xf numFmtId="0" fontId="10" fillId="3" borderId="0" xfId="2" applyFont="1" applyFill="1" applyAlignment="1">
      <alignment vertical="center"/>
    </xf>
    <xf numFmtId="1" fontId="9" fillId="3" borderId="14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textRotation="75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8" fillId="3" borderId="0" xfId="2" applyFont="1" applyFill="1" applyAlignment="1">
      <alignment horizontal="center" vertical="center" wrapText="1"/>
    </xf>
    <xf numFmtId="0" fontId="10" fillId="3" borderId="0" xfId="2" applyFont="1" applyFill="1" applyAlignment="1">
      <alignment horizontal="center" vertical="center" wrapText="1"/>
    </xf>
    <xf numFmtId="0" fontId="7" fillId="3" borderId="0" xfId="2" applyFill="1" applyAlignment="1">
      <alignment horizontal="center" vertical="center" wrapText="1"/>
    </xf>
    <xf numFmtId="0" fontId="7" fillId="3" borderId="0" xfId="2" applyFill="1" applyAlignment="1">
      <alignment horizontal="center" vertical="center"/>
    </xf>
    <xf numFmtId="0" fontId="9" fillId="3" borderId="0" xfId="2" applyFont="1" applyFill="1" applyAlignment="1">
      <alignment horizontal="left" vertical="center"/>
    </xf>
    <xf numFmtId="0" fontId="9" fillId="3" borderId="0" xfId="2" applyFont="1" applyFill="1" applyAlignment="1">
      <alignment horizontal="left" vertical="center" wrapText="1"/>
    </xf>
    <xf numFmtId="0" fontId="13" fillId="4" borderId="18" xfId="2" applyFont="1" applyFill="1" applyBorder="1" applyAlignment="1">
      <alignment horizontal="center" vertical="center" wrapText="1"/>
    </xf>
    <xf numFmtId="0" fontId="13" fillId="4" borderId="19" xfId="2" applyFont="1" applyFill="1" applyBorder="1" applyAlignment="1">
      <alignment horizontal="center" vertical="center" wrapText="1"/>
    </xf>
    <xf numFmtId="0" fontId="13" fillId="4" borderId="20" xfId="2" applyFont="1" applyFill="1" applyBorder="1" applyAlignment="1">
      <alignment horizontal="center" vertical="center" wrapText="1"/>
    </xf>
    <xf numFmtId="0" fontId="13" fillId="4" borderId="21" xfId="2" applyFont="1" applyFill="1" applyBorder="1" applyAlignment="1">
      <alignment horizontal="center" vertical="center" wrapText="1"/>
    </xf>
    <xf numFmtId="0" fontId="13" fillId="4" borderId="14" xfId="2" applyFont="1" applyFill="1" applyBorder="1" applyAlignment="1">
      <alignment horizontal="center" vertical="center" wrapText="1"/>
    </xf>
    <xf numFmtId="0" fontId="13" fillId="4" borderId="22" xfId="2" applyFont="1" applyFill="1" applyBorder="1" applyAlignment="1">
      <alignment horizontal="center" vertical="center" wrapText="1"/>
    </xf>
    <xf numFmtId="0" fontId="13" fillId="4" borderId="18" xfId="2" applyFont="1" applyFill="1" applyBorder="1" applyAlignment="1">
      <alignment horizontal="center" vertical="center"/>
    </xf>
    <xf numFmtId="0" fontId="13" fillId="4" borderId="19" xfId="2" applyFont="1" applyFill="1" applyBorder="1" applyAlignment="1">
      <alignment horizontal="center" vertical="center"/>
    </xf>
    <xf numFmtId="0" fontId="13" fillId="4" borderId="20" xfId="2" applyFont="1" applyFill="1" applyBorder="1" applyAlignment="1">
      <alignment horizontal="center" vertical="center"/>
    </xf>
    <xf numFmtId="17" fontId="13" fillId="4" borderId="24" xfId="2" applyNumberFormat="1" applyFont="1" applyFill="1" applyBorder="1" applyAlignment="1">
      <alignment horizontal="center" vertical="center"/>
    </xf>
    <xf numFmtId="0" fontId="13" fillId="4" borderId="12" xfId="2" applyFont="1" applyFill="1" applyBorder="1" applyAlignment="1">
      <alignment horizontal="center" vertical="center"/>
    </xf>
    <xf numFmtId="17" fontId="13" fillId="4" borderId="12" xfId="2" applyNumberFormat="1" applyFont="1" applyFill="1" applyBorder="1" applyAlignment="1">
      <alignment horizontal="center" vertical="center"/>
    </xf>
    <xf numFmtId="0" fontId="13" fillId="4" borderId="23" xfId="2" applyFont="1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3">
    <cellStyle name="Milliers" xfId="1" builtinId="3"/>
    <cellStyle name="Normal" xfId="0" builtinId="0"/>
    <cellStyle name="Normal 2" xfId="2" xr:uid="{4D0DE27F-48F7-4518-B8EB-F77F18E9F557}"/>
  </cellStyles>
  <dxfs count="1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left style="medium">
          <color rgb="FF000000"/>
        </left>
        <right style="medium">
          <color rgb="FF000000"/>
        </right>
        <bottom style="thin">
          <color auto="1"/>
        </bottom>
      </border>
    </dxf>
    <dxf>
      <alignment vertical="center" indent="0" justifyLastLine="0" shrinkToFit="0" readingOrder="0"/>
    </dxf>
    <dxf>
      <border outline="0">
        <bottom style="thin">
          <color auto="1"/>
        </bottom>
      </border>
    </dxf>
    <dxf>
      <alignment vertical="center" indent="0" justifyLastLine="0" shrinkToFit="0" readingOrder="0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$-409]dd\-mmm\-yy;@"/>
      <alignment horizontal="center" vertical="center" textRotation="0" wrapText="0" indent="0" justifyLastLine="0" shrinkToFit="0" readingOrder="0"/>
    </dxf>
    <dxf>
      <numFmt numFmtId="166" formatCode="[$-409]d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F400]h:mm:ss\ AM/PM"/>
      <fill>
        <patternFill patternType="solid">
          <fgColor indexed="64"/>
          <bgColor theme="4"/>
        </patternFill>
      </fill>
      <alignment vertical="center" textRotation="0" indent="0" justifyLastLine="0" shrinkToFit="0" readingOrder="0"/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sai/Timesheet%20Record%20-%20August%2015th%20to%20September%2014th,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Legand"/>
      <sheetName val="Invoice"/>
      <sheetName val="Timesheet Record"/>
      <sheetName val="Line #1"/>
      <sheetName val="Line #2"/>
      <sheetName val="Line #3"/>
      <sheetName val="Line #4"/>
      <sheetName val="Line #5"/>
      <sheetName val="Line #6"/>
      <sheetName val="Line #7"/>
      <sheetName val="Line #8"/>
      <sheetName val="Line #9"/>
      <sheetName val="Line #10"/>
      <sheetName val="Line #11"/>
      <sheetName val="Line #12"/>
      <sheetName val="Line #13"/>
      <sheetName val="Line #14"/>
      <sheetName val="Line #15"/>
      <sheetName val="Line #16"/>
      <sheetName val="Line #17"/>
      <sheetName val="Line #18"/>
      <sheetName val="Line #19"/>
      <sheetName val="Line #20"/>
      <sheetName val="Line #21"/>
      <sheetName val="Line #22"/>
      <sheetName val="Timesheet Record - August 15th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536.140803819442" createdVersion="8" refreshedVersion="8" minRefreshableVersion="3" recordCount="356" xr:uid="{D8A28386-6538-4183-A9E0-5A2DB7443AF3}">
  <cacheSource type="worksheet">
    <worksheetSource name="Tabel1"/>
  </cacheSource>
  <cacheFields count="17">
    <cacheField name="N°" numFmtId="0">
      <sharedItems containsSemiMixedTypes="0" containsString="0" containsNumber="1" containsInteger="1" minValue="1" maxValue="356"/>
    </cacheField>
    <cacheField name="New Parking Number" numFmtId="0">
      <sharedItems/>
    </cacheField>
    <cacheField name="Date" numFmtId="166">
      <sharedItems containsNonDate="0" containsDate="1" containsString="0" containsBlank="1" minDate="2024-08-15T00:00:00" maxDate="2024-08-26T00:00:00" count="12"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m/>
      </sharedItems>
    </cacheField>
    <cacheField name="Equipment Type" numFmtId="0">
      <sharedItems count="10">
        <s v="Water Truck"/>
        <s v="Grader"/>
        <s v="Loader"/>
        <s v="Bulldozer"/>
        <s v="Tipper Truck"/>
        <s v="Backhoe Loader"/>
        <s v="Lowbed"/>
        <s v="Excavator"/>
        <s v="Compactor"/>
        <s v=""/>
      </sharedItems>
    </cacheField>
    <cacheField name="Model" numFmtId="0">
      <sharedItems containsBlank="1"/>
    </cacheField>
    <cacheField name="Equipment" numFmtId="0">
      <sharedItems count="29">
        <s v="Water Truck 20T / 1924.1"/>
        <s v="Water Truck 20T / 1924.2"/>
        <s v="Water Truck 20T / 1924.3"/>
        <s v="Water Truck 20T / WT09"/>
        <s v="CAT12K.1"/>
        <s v="CAT12K.2"/>
        <s v="Cat972G.2"/>
        <s v="CATD8R.1"/>
        <s v="Cat966H.1"/>
        <s v="Tipper Truck 20m3 / F17"/>
        <s v="Water Truck 20T / WT08"/>
        <s v="Cat966H.2"/>
        <s v="Tipper Truck 20m3 / F32"/>
        <s v="Tipper Truck 20m3 / F87"/>
        <s v="Tipper Truck 20m3 / F39"/>
        <s v="CAT988"/>
        <s v="CAT432D"/>
        <s v="LB ACTROS 60T"/>
        <s v="LB Man 100T"/>
        <s v="CAT323D.1"/>
        <s v="CAT980G"/>
        <s v="CAT320E.2"/>
        <s v="Tipper Truck 20m3 / F19"/>
        <s v="CAT329E"/>
        <s v="CATD8R.3"/>
        <s v="Tipper Truck 20m3 / F30"/>
        <s v=" CATCS-563E"/>
        <s v="Tipper Truck 20m3 / F29"/>
        <s v=""/>
      </sharedItems>
    </cacheField>
    <cacheField name="Localization" numFmtId="0">
      <sharedItems containsBlank="1"/>
    </cacheField>
    <cacheField name="Work Description" numFmtId="0">
      <sharedItems containsBlank="1" count="23">
        <s v="DAILY MAIN ACCESS ROAD MAINTENANCE"/>
        <s v="DAILY MAIN ACCESS ROAD MAINTENANCE - SAND DUNES REMOVAL"/>
        <s v="CLEANUP SCART "/>
        <s v="SUPPLY WATER AROUND SITEWIDE"/>
        <s v="7 TRUCCK'S LOADS OF SAND"/>
        <s v="PROVIDE A CAT988 LOADER TO CLEAN A DRILL PAD AND BACKFILL SOME ASM DIGGING IN C23 TARGET / SENISA"/>
        <s v="GM CAR PARKING REFRESHEMENT"/>
        <s v="REPAIR LEAK IN PIPE DN400"/>
        <s v="MONTHLY BATCH PLANT DELIVERY, LOAD AND HAUL"/>
        <m/>
        <s v="LOADER / WOO SCRAP REORGANIZATION AT WMF"/>
        <s v="CLEANING DRAINAGE TRANCHE"/>
        <s v="K9 CRUSHER MEC DAILY INSP"/>
        <s v="ORICA YARD WASTE CLEANUP"/>
        <s v="TRANSPORT MOBILE PUMP FROM GO LINE WB TO RO CIL PLANT "/>
        <s v="PROVIDE EXCAVATOR FOR WOODEN POLE AT WMF"/>
        <s v="DAILY MAINTENANCE RING ROAD"/>
        <s v="CARPENTER YARD UPGRADE"/>
        <s v="RENTAL OF LOADER FOR TSF5 DECANT"/>
        <s v="RESTORE SITE WIDE ROADS"/>
        <s v="EXPOSE &amp; BACK DAMAGED PIPE TO FIX LEAK @P4"/>
        <s v="10 LOADS OF CRUSHER DUST + LOADER"/>
        <s v="MAINTENANCE AIRPORT-3 T PER WEEK"/>
      </sharedItems>
    </cacheField>
    <cacheField name="Facteur" numFmtId="0">
      <sharedItems containsBlank="1" count="3">
        <s v="Line #1"/>
        <s v="Line #2"/>
        <m/>
      </sharedItems>
    </cacheField>
    <cacheField name="WO No" numFmtId="0">
      <sharedItems containsString="0" containsBlank="1" containsNumber="1" containsInteger="1" minValue="5086336" maxValue="5257918" count="25">
        <n v="5239743"/>
        <n v="5092509"/>
        <n v="5198487"/>
        <n v="5253778"/>
        <n v="5250776"/>
        <n v="5246686"/>
        <n v="5249877"/>
        <n v="5250657"/>
        <n v="5246410"/>
        <m/>
        <n v="5246135"/>
        <n v="5252466"/>
        <n v="5252655"/>
        <n v="5240419"/>
        <n v="5253954"/>
        <n v="5254073"/>
        <n v="5249725"/>
        <n v="5246134"/>
        <n v="5086336"/>
        <n v="5257354"/>
        <n v="5257366"/>
        <n v="5257918"/>
        <n v="5252183"/>
        <n v="5248839"/>
        <n v="5252184"/>
      </sharedItems>
    </cacheField>
    <cacheField name="Start time" numFmtId="164">
      <sharedItems containsNonDate="0" containsDate="1" containsString="0" containsBlank="1" minDate="1899-12-30T07:00:00" maxDate="1899-12-30T21:00:00"/>
    </cacheField>
    <cacheField name="Down time" numFmtId="164">
      <sharedItems containsNonDate="0" containsDate="1" containsString="0" containsBlank="1" minDate="1899-12-30T00:00:00" maxDate="1899-12-30T02:00:00"/>
    </cacheField>
    <cacheField name="End Time" numFmtId="164">
      <sharedItems containsNonDate="0" containsDate="1" containsString="0" containsBlank="1" minDate="1899-12-30T01:00:00" maxDate="1900-01-01T00:00:00"/>
    </cacheField>
    <cacheField name="Total Hours" numFmtId="164">
      <sharedItems containsSemiMixedTypes="0" containsNonDate="0" containsDate="1" containsString="0" minDate="1899-12-30T01:00:00" maxDate="1900-01-24T00:00:00"/>
    </cacheField>
    <cacheField name="Total" numFmtId="168">
      <sharedItems containsSemiMixedTypes="0" containsString="0" containsNumber="1" containsInteger="1" minValue="0" maxValue="11"/>
    </cacheField>
    <cacheField name="EndTime 2" numFmtId="165">
      <sharedItems containsSemiMixedTypes="0" containsNonDate="0" containsDate="1" containsString="0" minDate="1899-12-30T00:00:00" maxDate="1899-12-31T05:00:00"/>
    </cacheField>
    <cacheField name="controle" numFmtId="1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6">
  <r>
    <n v="1"/>
    <s v="WT1"/>
    <x v="0"/>
    <x v="0"/>
    <s v="8259AC00"/>
    <x v="0"/>
    <s v="Main Access Road - Out Site"/>
    <x v="0"/>
    <x v="0"/>
    <x v="0"/>
    <d v="1899-12-30T08:00:00"/>
    <d v="1899-12-30T01:00:00"/>
    <d v="1899-12-30T17:00:00"/>
    <d v="1899-12-30T08:00:00"/>
    <n v="8"/>
    <d v="1899-12-30T17:00:00"/>
    <n v="1"/>
  </r>
  <r>
    <n v="2"/>
    <s v="WT2"/>
    <x v="0"/>
    <x v="0"/>
    <s v="3993AG00"/>
    <x v="1"/>
    <s v="Main Access Road - Out Site"/>
    <x v="0"/>
    <x v="0"/>
    <x v="0"/>
    <d v="1899-12-30T08:00:00"/>
    <d v="1899-12-30T01:00:00"/>
    <d v="1899-12-30T17:00:00"/>
    <d v="1899-12-30T08:00:00"/>
    <n v="8"/>
    <d v="1899-12-30T17:00:00"/>
    <n v="1"/>
  </r>
  <r>
    <n v="3"/>
    <s v="WT3"/>
    <x v="0"/>
    <x v="0"/>
    <s v="4443AK00"/>
    <x v="2"/>
    <s v="Main Access Road - Out Site"/>
    <x v="0"/>
    <x v="0"/>
    <x v="0"/>
    <d v="1899-12-30T08:00:00"/>
    <d v="1899-12-30T01:00:00"/>
    <d v="1899-12-30T17:00:00"/>
    <d v="1899-12-30T08:00:00"/>
    <n v="8"/>
    <d v="1899-12-30T17:00:00"/>
    <n v="1"/>
  </r>
  <r>
    <n v="4"/>
    <s v="WT9"/>
    <x v="0"/>
    <x v="0"/>
    <s v="8491AP00"/>
    <x v="3"/>
    <s v="Main Access Road - Out Site"/>
    <x v="0"/>
    <x v="0"/>
    <x v="0"/>
    <d v="1899-12-30T08:00:00"/>
    <d v="1899-12-30T01:00:00"/>
    <d v="1899-12-30T17:00:00"/>
    <d v="1899-12-30T08:00:00"/>
    <n v="8"/>
    <d v="1899-12-30T17:00:00"/>
    <n v="1"/>
  </r>
  <r>
    <n v="5"/>
    <s v="GR1"/>
    <x v="0"/>
    <x v="1"/>
    <s v="CAT12K.1"/>
    <x v="4"/>
    <s v="Main Access Road - Out Site"/>
    <x v="0"/>
    <x v="0"/>
    <x v="0"/>
    <d v="1899-12-30T08:00:00"/>
    <d v="1899-12-30T01:00:00"/>
    <d v="1899-12-30T17:00:00"/>
    <d v="1899-12-30T08:00:00"/>
    <n v="8"/>
    <d v="1899-12-30T17:00:00"/>
    <n v="1"/>
  </r>
  <r>
    <n v="6"/>
    <s v="GR2"/>
    <x v="0"/>
    <x v="1"/>
    <s v="CAT12K.2"/>
    <x v="5"/>
    <s v="Main Access Road - Out Site"/>
    <x v="0"/>
    <x v="0"/>
    <x v="0"/>
    <d v="1899-12-30T08:00:00"/>
    <d v="1899-12-30T01:00:00"/>
    <d v="1899-12-30T17:00:00"/>
    <d v="1899-12-30T08:00:00"/>
    <n v="8"/>
    <d v="1899-12-30T17:00:00"/>
    <n v="1"/>
  </r>
  <r>
    <n v="7"/>
    <s v="FEL4"/>
    <x v="0"/>
    <x v="2"/>
    <s v="Cat972G.2"/>
    <x v="6"/>
    <s v="Main Access Road - Out Site"/>
    <x v="0"/>
    <x v="0"/>
    <x v="0"/>
    <d v="1899-12-30T08:00:00"/>
    <d v="1899-12-30T01:00:00"/>
    <d v="1899-12-30T17:00:00"/>
    <d v="1899-12-30T08:00:00"/>
    <n v="8"/>
    <d v="1899-12-30T17:00:00"/>
    <n v="1"/>
  </r>
  <r>
    <n v="8"/>
    <s v="TD1"/>
    <x v="0"/>
    <x v="3"/>
    <s v="CATD8R.1"/>
    <x v="7"/>
    <s v="Main Access Road - Out Site"/>
    <x v="1"/>
    <x v="0"/>
    <x v="1"/>
    <d v="1899-12-30T08:00:00"/>
    <d v="1899-12-30T01:00:00"/>
    <d v="1899-12-30T17:00:00"/>
    <d v="1899-12-30T08:00:00"/>
    <n v="8"/>
    <d v="1899-12-30T17:00:00"/>
    <n v="1"/>
  </r>
  <r>
    <n v="9"/>
    <s v="FEL1"/>
    <x v="0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0"/>
    <s v="FEL1"/>
    <x v="0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11"/>
    <s v="TT17"/>
    <x v="0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2"/>
    <s v="WT8"/>
    <x v="0"/>
    <x v="0"/>
    <s v="8494AP00"/>
    <x v="10"/>
    <s v="WARTSILA"/>
    <x v="3"/>
    <x v="2"/>
    <x v="3"/>
    <d v="1899-12-30T07:00:00"/>
    <d v="1899-12-30T01:00:00"/>
    <d v="1899-12-30T17:00:00"/>
    <d v="1899-12-30T09:00:00"/>
    <n v="9"/>
    <d v="1899-12-30T17:00:00"/>
    <n v="1"/>
  </r>
  <r>
    <n v="13"/>
    <s v="FEL2"/>
    <x v="0"/>
    <x v="2"/>
    <s v="Cat966H.2"/>
    <x v="11"/>
    <s v="TSF4/5"/>
    <x v="4"/>
    <x v="2"/>
    <x v="4"/>
    <d v="1899-12-30T15:00:00"/>
    <d v="1899-12-30T00:00:00"/>
    <d v="1899-12-30T17:00:00"/>
    <d v="1899-12-30T02:00:00"/>
    <n v="2"/>
    <d v="1899-12-30T17:00:00"/>
    <n v="1"/>
  </r>
  <r>
    <n v="14"/>
    <s v="TT32"/>
    <x v="0"/>
    <x v="4"/>
    <s v="8432AX00"/>
    <x v="12"/>
    <s v="TSF4/5"/>
    <x v="4"/>
    <x v="2"/>
    <x v="4"/>
    <d v="1899-12-30T15:00:00"/>
    <d v="1899-12-30T00:00:00"/>
    <d v="1899-12-30T17:00:00"/>
    <d v="1899-12-30T02:00:00"/>
    <n v="2"/>
    <d v="1899-12-30T17:00:00"/>
    <n v="1"/>
  </r>
  <r>
    <n v="15"/>
    <s v="TT87"/>
    <x v="0"/>
    <x v="4"/>
    <s v="8487AX00"/>
    <x v="13"/>
    <s v="TSF4/5"/>
    <x v="4"/>
    <x v="2"/>
    <x v="4"/>
    <d v="1899-12-30T15:00:00"/>
    <d v="1899-12-30T00:00:00"/>
    <d v="1899-12-30T17:00:00"/>
    <d v="1899-12-30T02:00:00"/>
    <n v="2"/>
    <d v="1899-12-30T17:00:00"/>
    <n v="1"/>
  </r>
  <r>
    <n v="16"/>
    <s v="TT39"/>
    <x v="0"/>
    <x v="4"/>
    <s v="8439AX00"/>
    <x v="14"/>
    <s v="TSF4/5"/>
    <x v="4"/>
    <x v="2"/>
    <x v="4"/>
    <d v="1899-12-30T15:00:00"/>
    <d v="1899-12-30T00:00:00"/>
    <d v="1899-12-30T17:00:00"/>
    <d v="1899-12-30T02:00:00"/>
    <n v="2"/>
    <d v="1899-12-30T17:00:00"/>
    <n v="1"/>
  </r>
  <r>
    <n v="17"/>
    <s v="FEL6"/>
    <x v="0"/>
    <x v="2"/>
    <s v="CAT988"/>
    <x v="15"/>
    <s v="C23 AREA"/>
    <x v="5"/>
    <x v="2"/>
    <x v="5"/>
    <d v="1899-12-30T09:00:00"/>
    <d v="1899-12-30T00:00:00"/>
    <d v="1899-12-30T13:00:00"/>
    <d v="1899-12-30T04:00:00"/>
    <n v="4"/>
    <d v="1899-12-30T13:00:00"/>
    <n v="1"/>
  </r>
  <r>
    <n v="18"/>
    <s v="TT87"/>
    <x v="0"/>
    <x v="4"/>
    <s v="8487AX00"/>
    <x v="13"/>
    <s v="GM PARKING"/>
    <x v="6"/>
    <x v="2"/>
    <x v="6"/>
    <d v="1899-12-30T19:00:00"/>
    <d v="1899-12-30T00:00:00"/>
    <d v="1899-12-31T00:00:00"/>
    <d v="1899-12-30T05:00:00"/>
    <n v="5"/>
    <d v="1899-12-31T00:00:00"/>
    <n v="1"/>
  </r>
  <r>
    <n v="19"/>
    <s v="BL1"/>
    <x v="0"/>
    <x v="5"/>
    <s v="CAT432D"/>
    <x v="16"/>
    <s v="GM PARKING"/>
    <x v="6"/>
    <x v="2"/>
    <x v="6"/>
    <d v="1899-12-30T19:00:00"/>
    <d v="1899-12-30T00:00:00"/>
    <d v="1899-12-30T03:00:00"/>
    <d v="1900-01-22T08:00:00"/>
    <n v="8"/>
    <d v="1899-12-31T03:00:00"/>
    <n v="1"/>
  </r>
  <r>
    <n v="20"/>
    <s v="BL1"/>
    <x v="0"/>
    <x v="5"/>
    <s v="CAT432D"/>
    <x v="16"/>
    <s v="NEAR P4"/>
    <x v="7"/>
    <x v="2"/>
    <x v="7"/>
    <d v="1899-12-30T10:00:00"/>
    <d v="1899-12-30T01:00:00"/>
    <d v="1899-12-30T15:00:00"/>
    <d v="1899-12-30T04:00:00"/>
    <n v="4"/>
    <d v="1899-12-30T15:00:00"/>
    <n v="1"/>
  </r>
  <r>
    <n v="21"/>
    <s v="LB1"/>
    <x v="0"/>
    <x v="6"/>
    <s v="9818AA08"/>
    <x v="17"/>
    <s v="NEAR P4"/>
    <x v="7"/>
    <x v="2"/>
    <x v="7"/>
    <d v="1899-12-30T09:00:00"/>
    <d v="1899-12-30T01:00:00"/>
    <d v="1899-12-30T16:00:00"/>
    <d v="1899-12-30T06:00:00"/>
    <n v="6"/>
    <d v="1899-12-30T16:00:00"/>
    <n v="1"/>
  </r>
  <r>
    <n v="22"/>
    <s v="WT1"/>
    <x v="1"/>
    <x v="0"/>
    <s v="8259AC00"/>
    <x v="0"/>
    <s v="Main Access Road - Out Site"/>
    <x v="0"/>
    <x v="0"/>
    <x v="0"/>
    <d v="1899-12-30T08:00:00"/>
    <d v="1899-12-30T00:00:00"/>
    <d v="1899-12-30T13:00:00"/>
    <d v="1899-12-30T05:00:00"/>
    <n v="5"/>
    <d v="1899-12-30T13:00:00"/>
    <n v="1"/>
  </r>
  <r>
    <n v="23"/>
    <s v="WT2"/>
    <x v="1"/>
    <x v="0"/>
    <s v="3993AG00"/>
    <x v="1"/>
    <s v="Main Access Road - Out Site"/>
    <x v="0"/>
    <x v="0"/>
    <x v="0"/>
    <d v="1899-12-30T08:00:00"/>
    <d v="1899-12-30T00:00:00"/>
    <d v="1899-12-30T13:00:00"/>
    <d v="1899-12-30T05:00:00"/>
    <n v="5"/>
    <d v="1899-12-30T13:00:00"/>
    <n v="1"/>
  </r>
  <r>
    <n v="24"/>
    <s v="WT3"/>
    <x v="1"/>
    <x v="0"/>
    <s v="4443AK00"/>
    <x v="2"/>
    <s v="Main Access Road - Out Site"/>
    <x v="0"/>
    <x v="0"/>
    <x v="0"/>
    <d v="1899-12-30T08:00:00"/>
    <d v="1899-12-30T00:00:00"/>
    <d v="1899-12-30T13:00:00"/>
    <d v="1899-12-30T05:00:00"/>
    <n v="5"/>
    <d v="1899-12-30T13:00:00"/>
    <n v="1"/>
  </r>
  <r>
    <n v="25"/>
    <s v="WT9"/>
    <x v="1"/>
    <x v="0"/>
    <s v="8491AP00"/>
    <x v="3"/>
    <s v="Main Access Road - Out Site"/>
    <x v="0"/>
    <x v="0"/>
    <x v="0"/>
    <d v="1899-12-30T08:00:00"/>
    <d v="1899-12-30T00:00:00"/>
    <d v="1899-12-30T13:00:00"/>
    <d v="1899-12-30T05:00:00"/>
    <n v="5"/>
    <d v="1899-12-30T13:00:00"/>
    <n v="1"/>
  </r>
  <r>
    <n v="26"/>
    <s v="GR1"/>
    <x v="1"/>
    <x v="1"/>
    <s v="CAT12K.1"/>
    <x v="4"/>
    <s v="Main Access Road - Out Site"/>
    <x v="0"/>
    <x v="0"/>
    <x v="0"/>
    <d v="1899-12-30T08:00:00"/>
    <d v="1899-12-30T00:00:00"/>
    <d v="1899-12-30T13:00:00"/>
    <d v="1899-12-30T05:00:00"/>
    <n v="5"/>
    <d v="1899-12-30T13:00:00"/>
    <n v="1"/>
  </r>
  <r>
    <n v="27"/>
    <s v="GR2"/>
    <x v="1"/>
    <x v="1"/>
    <s v="CAT12K.2"/>
    <x v="5"/>
    <s v="Main Access Road - Out Site"/>
    <x v="0"/>
    <x v="0"/>
    <x v="0"/>
    <d v="1899-12-30T08:00:00"/>
    <d v="1899-12-30T00:00:00"/>
    <d v="1899-12-30T13:00:00"/>
    <d v="1899-12-30T05:00:00"/>
    <n v="5"/>
    <d v="1899-12-30T13:00:00"/>
    <n v="1"/>
  </r>
  <r>
    <n v="28"/>
    <s v="FEL4"/>
    <x v="1"/>
    <x v="2"/>
    <s v="Cat972G.2"/>
    <x v="6"/>
    <s v="Main Access Road - Out Site"/>
    <x v="0"/>
    <x v="0"/>
    <x v="0"/>
    <d v="1899-12-30T08:00:00"/>
    <d v="1899-12-30T00:00:00"/>
    <d v="1899-12-30T13:00:00"/>
    <d v="1899-12-30T05:00:00"/>
    <n v="5"/>
    <d v="1899-12-30T13:00:00"/>
    <n v="1"/>
  </r>
  <r>
    <n v="29"/>
    <s v="TD1"/>
    <x v="1"/>
    <x v="3"/>
    <s v="CATD8R.1"/>
    <x v="7"/>
    <s v="Main Access Road - Out Site"/>
    <x v="1"/>
    <x v="0"/>
    <x v="1"/>
    <d v="1899-12-30T08:00:00"/>
    <d v="1899-12-30T01:00:00"/>
    <d v="1899-12-30T13:00:00"/>
    <d v="1899-12-30T04:00:00"/>
    <n v="4"/>
    <d v="1899-12-30T13:00:00"/>
    <n v="1"/>
  </r>
  <r>
    <n v="30"/>
    <s v="FEL1"/>
    <x v="1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31"/>
    <s v="FEL1"/>
    <x v="1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32"/>
    <s v="TT17"/>
    <x v="1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33"/>
    <s v="WT8"/>
    <x v="1"/>
    <x v="0"/>
    <s v="8494AP00"/>
    <x v="10"/>
    <s v="WARTSILA"/>
    <x v="3"/>
    <x v="2"/>
    <x v="3"/>
    <d v="1899-12-30T07:00:00"/>
    <d v="1899-12-30T00:00:00"/>
    <d v="1899-12-30T13:00:00"/>
    <d v="1899-12-30T06:00:00"/>
    <n v="6"/>
    <d v="1899-12-30T13:00:00"/>
    <n v="1"/>
  </r>
  <r>
    <n v="34"/>
    <s v="LB2"/>
    <x v="1"/>
    <x v="6"/>
    <s v="8386AS00"/>
    <x v="18"/>
    <s v="C23 AREA"/>
    <x v="5"/>
    <x v="2"/>
    <x v="5"/>
    <d v="1899-12-30T16:00:00"/>
    <d v="1899-12-30T00:00:00"/>
    <d v="1899-12-30T20:00:00"/>
    <d v="1899-12-30T04:00:00"/>
    <n v="4"/>
    <d v="1899-12-30T20:00:00"/>
    <n v="1"/>
  </r>
  <r>
    <n v="35"/>
    <s v="BL1"/>
    <x v="1"/>
    <x v="5"/>
    <s v="CAT432D"/>
    <x v="16"/>
    <s v="BATCHING PLANT"/>
    <x v="8"/>
    <x v="2"/>
    <x v="8"/>
    <d v="1899-12-30T20:00:00"/>
    <d v="1899-12-30T00:00:00"/>
    <d v="1899-12-30T23:00:00"/>
    <d v="1899-12-30T03:00:00"/>
    <n v="3"/>
    <d v="1899-12-30T23:00:00"/>
    <n v="1"/>
  </r>
  <r>
    <n v="36"/>
    <s v="TT87"/>
    <x v="1"/>
    <x v="4"/>
    <s v="8487AX00"/>
    <x v="13"/>
    <s v="BATCHING PLANT"/>
    <x v="8"/>
    <x v="2"/>
    <x v="8"/>
    <d v="1899-12-30T21:00:00"/>
    <d v="1899-12-30T00:00:00"/>
    <d v="1899-12-30T01:00:00"/>
    <d v="1900-01-22T04:00:00"/>
    <n v="4"/>
    <d v="1899-12-31T01:00:00"/>
    <n v="1"/>
  </r>
  <r>
    <n v="37"/>
    <s v="EX3"/>
    <x v="1"/>
    <x v="7"/>
    <s v="CAT323D.1"/>
    <x v="19"/>
    <s v="LAMAS"/>
    <x v="9"/>
    <x v="2"/>
    <x v="9"/>
    <d v="1899-12-30T10:00:00"/>
    <d v="1899-12-30T01:00:00"/>
    <d v="1899-12-30T14:00:00"/>
    <d v="1899-12-30T03:00:00"/>
    <n v="3"/>
    <d v="1899-12-30T14:00:00"/>
    <n v="1"/>
  </r>
  <r>
    <n v="38"/>
    <s v="LB1"/>
    <x v="1"/>
    <x v="6"/>
    <s v="9818AA08"/>
    <x v="17"/>
    <s v="LAMAS"/>
    <x v="9"/>
    <x v="2"/>
    <x v="9"/>
    <d v="1899-12-30T08:00:00"/>
    <d v="1899-12-30T01:00:00"/>
    <d v="1899-12-30T16:00:00"/>
    <d v="1899-12-30T07:00:00"/>
    <n v="7"/>
    <d v="1899-12-30T16:00:00"/>
    <n v="1"/>
  </r>
  <r>
    <n v="39"/>
    <s v="WT1"/>
    <x v="2"/>
    <x v="0"/>
    <s v="8259AC00"/>
    <x v="0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40"/>
    <s v="WT2"/>
    <x v="2"/>
    <x v="0"/>
    <s v="3993AG00"/>
    <x v="1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41"/>
    <s v="WT3"/>
    <x v="2"/>
    <x v="0"/>
    <s v="4443AK00"/>
    <x v="2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42"/>
    <s v="WT9"/>
    <x v="2"/>
    <x v="0"/>
    <s v="8491AP00"/>
    <x v="3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43"/>
    <s v="GR1"/>
    <x v="2"/>
    <x v="1"/>
    <s v="CAT12K.1"/>
    <x v="4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44"/>
    <s v="GR2"/>
    <x v="2"/>
    <x v="1"/>
    <s v="CAT12K.2"/>
    <x v="5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45"/>
    <s v="FEL4"/>
    <x v="2"/>
    <x v="2"/>
    <s v="Cat972G.2"/>
    <x v="6"/>
    <s v="Main Access Road - Out Site"/>
    <x v="0"/>
    <x v="0"/>
    <x v="10"/>
    <d v="1899-12-30T08:00:00"/>
    <d v="1899-12-30T01:00:00"/>
    <d v="1899-12-30T19:00:00"/>
    <d v="1899-12-30T10:00:00"/>
    <n v="10"/>
    <d v="1899-12-30T19:00:00"/>
    <n v="1"/>
  </r>
  <r>
    <n v="46"/>
    <s v="TD1"/>
    <x v="2"/>
    <x v="3"/>
    <s v="CATD8R.1"/>
    <x v="7"/>
    <s v="Main Access Road - Out Site"/>
    <x v="1"/>
    <x v="0"/>
    <x v="1"/>
    <d v="1899-12-30T08:00:00"/>
    <d v="1899-12-30T01:00:00"/>
    <d v="1899-12-30T17:00:00"/>
    <d v="1899-12-30T08:00:00"/>
    <n v="8"/>
    <d v="1899-12-30T17:00:00"/>
    <n v="1"/>
  </r>
  <r>
    <n v="47"/>
    <s v="FEL1"/>
    <x v="2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48"/>
    <s v="FEL1"/>
    <x v="2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49"/>
    <s v="TT17"/>
    <x v="2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50"/>
    <s v="WT8"/>
    <x v="2"/>
    <x v="0"/>
    <s v="8494AP00"/>
    <x v="10"/>
    <s v="WARTSILA"/>
    <x v="3"/>
    <x v="2"/>
    <x v="3"/>
    <d v="1899-12-30T07:00:00"/>
    <d v="1899-12-30T01:00:00"/>
    <d v="1899-12-30T17:00:00"/>
    <d v="1899-12-30T09:00:00"/>
    <n v="9"/>
    <d v="1899-12-30T17:00:00"/>
    <n v="1"/>
  </r>
  <r>
    <n v="51"/>
    <s v="FEL5"/>
    <x v="2"/>
    <x v="2"/>
    <s v="CAT980G"/>
    <x v="20"/>
    <s v="WMF"/>
    <x v="10"/>
    <x v="2"/>
    <x v="11"/>
    <d v="1899-12-30T08:00:00"/>
    <d v="1899-12-30T01:00:00"/>
    <d v="1899-12-30T15:00:00"/>
    <d v="1899-12-30T06:00:00"/>
    <n v="6"/>
    <d v="1899-12-30T15:00:00"/>
    <n v="1"/>
  </r>
  <r>
    <n v="52"/>
    <s v="FEL2"/>
    <x v="2"/>
    <x v="2"/>
    <s v="Cat966H.2"/>
    <x v="11"/>
    <s v="BATCHING PLANT"/>
    <x v="8"/>
    <x v="2"/>
    <x v="8"/>
    <d v="1899-12-30T08:00:00"/>
    <d v="1899-12-30T01:00:00"/>
    <d v="1899-12-30T17:00:00"/>
    <d v="1899-12-30T08:00:00"/>
    <n v="8"/>
    <d v="1899-12-30T17:00:00"/>
    <n v="1"/>
  </r>
  <r>
    <n v="53"/>
    <s v="TT87"/>
    <x v="2"/>
    <x v="4"/>
    <s v="8487AX00"/>
    <x v="13"/>
    <s v="BATCHING PLANT"/>
    <x v="8"/>
    <x v="2"/>
    <x v="8"/>
    <d v="1899-12-30T08:00:00"/>
    <d v="1899-12-30T00:00:00"/>
    <d v="1899-12-30T12:00:00"/>
    <d v="1899-12-30T04:00:00"/>
    <n v="4"/>
    <d v="1899-12-30T12:00:00"/>
    <n v="1"/>
  </r>
  <r>
    <n v="54"/>
    <s v="TT87"/>
    <x v="2"/>
    <x v="4"/>
    <s v="8487AX00"/>
    <x v="13"/>
    <s v="BATCHING PLANT"/>
    <x v="8"/>
    <x v="2"/>
    <x v="8"/>
    <d v="1899-12-30T15:00:00"/>
    <d v="1899-12-30T00:00:00"/>
    <d v="1899-12-30T17:00:00"/>
    <d v="1899-12-30T02:00:00"/>
    <n v="2"/>
    <d v="1899-12-30T17:00:00"/>
    <n v="1"/>
  </r>
  <r>
    <n v="55"/>
    <s v="BL1"/>
    <x v="2"/>
    <x v="5"/>
    <s v="CAT432D"/>
    <x v="16"/>
    <s v="AREA 24K PROJECT"/>
    <x v="11"/>
    <x v="2"/>
    <x v="12"/>
    <d v="1899-12-30T08:00:00"/>
    <d v="1899-12-30T01:00:00"/>
    <d v="1899-12-30T17:00:00"/>
    <d v="1899-12-30T08:00:00"/>
    <n v="8"/>
    <d v="1899-12-30T17:00:00"/>
    <n v="1"/>
  </r>
  <r>
    <n v="56"/>
    <s v="WT1"/>
    <x v="3"/>
    <x v="0"/>
    <s v="8259AC00"/>
    <x v="0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57"/>
    <s v="WT2"/>
    <x v="3"/>
    <x v="0"/>
    <s v="3993AG00"/>
    <x v="1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58"/>
    <s v="WT3"/>
    <x v="3"/>
    <x v="0"/>
    <s v="4443AK00"/>
    <x v="2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59"/>
    <s v="WT9"/>
    <x v="3"/>
    <x v="0"/>
    <s v="8491AP00"/>
    <x v="3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60"/>
    <s v="GR1"/>
    <x v="3"/>
    <x v="1"/>
    <s v="CAT12K.1"/>
    <x v="4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61"/>
    <s v="GR2"/>
    <x v="3"/>
    <x v="1"/>
    <s v="CAT12K.2"/>
    <x v="5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62"/>
    <s v="FEL4"/>
    <x v="3"/>
    <x v="2"/>
    <s v="Cat972G.2"/>
    <x v="6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63"/>
    <s v="TD1"/>
    <x v="3"/>
    <x v="3"/>
    <s v="CATD8R.1"/>
    <x v="7"/>
    <s v="Main Access Road - Out Site"/>
    <x v="1"/>
    <x v="0"/>
    <x v="1"/>
    <d v="1899-12-30T10:00:00"/>
    <d v="1899-12-30T01:00:00"/>
    <d v="1899-12-30T17:00:00"/>
    <d v="1899-12-30T06:00:00"/>
    <n v="6"/>
    <d v="1899-12-30T17:00:00"/>
    <n v="1"/>
  </r>
  <r>
    <n v="64"/>
    <s v="FEL1"/>
    <x v="3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65"/>
    <s v="FEL1"/>
    <x v="3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66"/>
    <s v="TT17"/>
    <x v="3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67"/>
    <s v="WT8"/>
    <x v="3"/>
    <x v="0"/>
    <s v="8494AP00"/>
    <x v="10"/>
    <s v="WARTSILA"/>
    <x v="3"/>
    <x v="2"/>
    <x v="3"/>
    <d v="1899-12-30T07:00:00"/>
    <d v="1899-12-30T01:00:00"/>
    <d v="1899-12-30T17:00:00"/>
    <d v="1899-12-30T09:00:00"/>
    <n v="9"/>
    <d v="1899-12-30T17:00:00"/>
    <n v="1"/>
  </r>
  <r>
    <n v="68"/>
    <s v="FEL2"/>
    <x v="3"/>
    <x v="2"/>
    <s v="Cat966H.2"/>
    <x v="11"/>
    <s v="BATCHING PLANT"/>
    <x v="8"/>
    <x v="2"/>
    <x v="8"/>
    <d v="1899-12-30T09:00:00"/>
    <d v="1899-12-30T00:00:00"/>
    <d v="1899-12-30T11:00:00"/>
    <d v="1899-12-30T02:00:00"/>
    <n v="2"/>
    <d v="1899-12-30T11:00:00"/>
    <n v="1"/>
  </r>
  <r>
    <n v="69"/>
    <s v="FEL2"/>
    <x v="3"/>
    <x v="2"/>
    <s v="Cat966H.2"/>
    <x v="11"/>
    <s v="BATCHING PLANT"/>
    <x v="8"/>
    <x v="2"/>
    <x v="8"/>
    <d v="1899-12-30T14:00:00"/>
    <d v="1899-12-30T00:00:00"/>
    <d v="1899-12-30T17:00:00"/>
    <d v="1899-12-30T03:00:00"/>
    <n v="3"/>
    <d v="1899-12-30T17:00:00"/>
    <n v="1"/>
  </r>
  <r>
    <n v="70"/>
    <s v="TT87"/>
    <x v="3"/>
    <x v="4"/>
    <s v="8487AX00"/>
    <x v="13"/>
    <s v="K9 - MOBILE CRUSHER"/>
    <x v="12"/>
    <x v="2"/>
    <x v="13"/>
    <d v="1899-12-30T09:00:00"/>
    <d v="1899-12-30T01:00:00"/>
    <d v="1899-12-30T16:00:00"/>
    <d v="1899-12-30T06:00:00"/>
    <n v="6"/>
    <d v="1899-12-30T16:00:00"/>
    <n v="1"/>
  </r>
  <r>
    <n v="71"/>
    <s v="EX2"/>
    <x v="3"/>
    <x v="7"/>
    <s v="CAT320E.2"/>
    <x v="21"/>
    <s v="AREA 24K PROJECT"/>
    <x v="11"/>
    <x v="2"/>
    <x v="12"/>
    <d v="1899-12-30T08:00:00"/>
    <d v="1899-12-30T00:00:00"/>
    <d v="1899-12-30T10:00:00"/>
    <d v="1899-12-30T02:00:00"/>
    <n v="2"/>
    <d v="1899-12-30T10:00:00"/>
    <n v="1"/>
  </r>
  <r>
    <n v="72"/>
    <s v="WT1"/>
    <x v="4"/>
    <x v="0"/>
    <s v="8259AC00"/>
    <x v="0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73"/>
    <s v="WT2"/>
    <x v="4"/>
    <x v="0"/>
    <s v="3993AG00"/>
    <x v="1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74"/>
    <s v="WT3"/>
    <x v="4"/>
    <x v="0"/>
    <s v="4443AK00"/>
    <x v="2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75"/>
    <s v="WT9"/>
    <x v="4"/>
    <x v="0"/>
    <s v="8491AP00"/>
    <x v="3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76"/>
    <s v="GR1"/>
    <x v="4"/>
    <x v="1"/>
    <s v="CAT12K.1"/>
    <x v="4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77"/>
    <s v="GR2"/>
    <x v="4"/>
    <x v="1"/>
    <s v="CAT12K.2"/>
    <x v="5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78"/>
    <s v="FEL4"/>
    <x v="4"/>
    <x v="2"/>
    <s v="Cat972G.2"/>
    <x v="6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79"/>
    <s v="TD1"/>
    <x v="4"/>
    <x v="3"/>
    <s v="CATD8R.1"/>
    <x v="7"/>
    <s v="Main Access Road - Out Site"/>
    <x v="1"/>
    <x v="0"/>
    <x v="1"/>
    <d v="1899-12-30T08:00:00"/>
    <d v="1899-12-30T01:00:00"/>
    <d v="1899-12-30T17:00:00"/>
    <d v="1899-12-30T08:00:00"/>
    <n v="8"/>
    <d v="1899-12-30T17:00:00"/>
    <n v="1"/>
  </r>
  <r>
    <n v="80"/>
    <s v="FEL1"/>
    <x v="4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81"/>
    <s v="FEL1"/>
    <x v="4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82"/>
    <s v="TT17"/>
    <x v="4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83"/>
    <s v="WT8"/>
    <x v="4"/>
    <x v="0"/>
    <s v="8494AP00"/>
    <x v="10"/>
    <s v="WARTSILA"/>
    <x v="3"/>
    <x v="2"/>
    <x v="3"/>
    <d v="1899-12-30T07:00:00"/>
    <d v="1899-12-30T01:00:00"/>
    <d v="1899-12-30T17:00:00"/>
    <d v="1899-12-30T09:00:00"/>
    <n v="9"/>
    <d v="1899-12-30T17:00:00"/>
    <n v="1"/>
  </r>
  <r>
    <n v="84"/>
    <s v="FEL2"/>
    <x v="4"/>
    <x v="2"/>
    <s v="Cat966H.2"/>
    <x v="11"/>
    <s v="TASIAST MAXAM EXPLOSIVE YARD"/>
    <x v="13"/>
    <x v="2"/>
    <x v="14"/>
    <d v="1899-12-30T10:00:00"/>
    <d v="1899-12-30T00:00:00"/>
    <d v="1899-12-30T13:00:00"/>
    <d v="1899-12-30T03:00:00"/>
    <n v="3"/>
    <d v="1899-12-30T13:00:00"/>
    <n v="1"/>
  </r>
  <r>
    <n v="85"/>
    <s v="TT87"/>
    <x v="4"/>
    <x v="4"/>
    <s v="8487AX00"/>
    <x v="13"/>
    <s v="TASIAST MAXAM EXPLOSIVE YARD"/>
    <x v="13"/>
    <x v="2"/>
    <x v="14"/>
    <d v="1899-12-30T10:00:00"/>
    <d v="1899-12-30T00:00:00"/>
    <d v="1899-12-30T13:00:00"/>
    <d v="1899-12-30T03:00:00"/>
    <n v="3"/>
    <d v="1899-12-30T13:00:00"/>
    <n v="1"/>
  </r>
  <r>
    <n v="86"/>
    <s v="FEL2"/>
    <x v="4"/>
    <x v="2"/>
    <s v="Cat966H.2"/>
    <x v="11"/>
    <s v="MINING - WEST BRANCH"/>
    <x v="14"/>
    <x v="2"/>
    <x v="15"/>
    <d v="1899-12-30T13:00:00"/>
    <d v="1899-12-30T00:00:00"/>
    <d v="1899-12-30T19:00:00"/>
    <d v="1899-12-30T06:00:00"/>
    <n v="6"/>
    <d v="1899-12-30T19:00:00"/>
    <n v="1"/>
  </r>
  <r>
    <n v="87"/>
    <s v="BL1"/>
    <x v="4"/>
    <x v="5"/>
    <s v="CAT432D"/>
    <x v="16"/>
    <s v="BATCHING PLANT"/>
    <x v="8"/>
    <x v="2"/>
    <x v="8"/>
    <d v="1899-12-30T12:00:00"/>
    <d v="1899-12-30T00:00:00"/>
    <d v="1899-12-30T13:00:00"/>
    <d v="1899-12-30T01:00:00"/>
    <n v="1"/>
    <d v="1899-12-30T13:00:00"/>
    <n v="1"/>
  </r>
  <r>
    <n v="88"/>
    <s v="WT1"/>
    <x v="5"/>
    <x v="0"/>
    <s v="8259AC00"/>
    <x v="0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89"/>
    <s v="WT2"/>
    <x v="5"/>
    <x v="0"/>
    <s v="3993AG00"/>
    <x v="1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90"/>
    <s v="WT3"/>
    <x v="5"/>
    <x v="0"/>
    <s v="4443AK00"/>
    <x v="2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91"/>
    <s v="WT9"/>
    <x v="5"/>
    <x v="0"/>
    <s v="8491AP00"/>
    <x v="3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92"/>
    <s v="GR1"/>
    <x v="5"/>
    <x v="1"/>
    <s v="CAT12K.1"/>
    <x v="4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93"/>
    <s v="GR2"/>
    <x v="5"/>
    <x v="1"/>
    <s v="CAT12K.2"/>
    <x v="5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94"/>
    <s v="FEL4"/>
    <x v="5"/>
    <x v="2"/>
    <s v="Cat972G.2"/>
    <x v="6"/>
    <s v="Main Access Road - Out Site"/>
    <x v="0"/>
    <x v="0"/>
    <x v="10"/>
    <d v="1899-12-30T11:00:00"/>
    <d v="1899-12-30T01:00:00"/>
    <d v="1899-12-30T17:00:00"/>
    <d v="1899-12-30T05:00:00"/>
    <n v="5"/>
    <d v="1899-12-30T17:00:00"/>
    <n v="1"/>
  </r>
  <r>
    <n v="95"/>
    <s v="TD1"/>
    <x v="5"/>
    <x v="3"/>
    <s v="CATD8R.1"/>
    <x v="7"/>
    <s v="Main Access Road - Out Site"/>
    <x v="1"/>
    <x v="0"/>
    <x v="1"/>
    <d v="1899-12-30T08:00:00"/>
    <d v="1899-12-30T01:00:00"/>
    <d v="1899-12-30T17:00:00"/>
    <d v="1899-12-30T08:00:00"/>
    <n v="8"/>
    <d v="1899-12-30T17:00:00"/>
    <n v="1"/>
  </r>
  <r>
    <n v="96"/>
    <s v="FEL1"/>
    <x v="5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97"/>
    <s v="FEL1"/>
    <x v="5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98"/>
    <s v="TT17"/>
    <x v="5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99"/>
    <s v="WT8"/>
    <x v="5"/>
    <x v="0"/>
    <s v="8494AP00"/>
    <x v="10"/>
    <s v="WARTSILA"/>
    <x v="3"/>
    <x v="2"/>
    <x v="3"/>
    <d v="1899-12-30T07:00:00"/>
    <d v="1899-12-30T02:00:00"/>
    <d v="1899-12-30T17:00:00"/>
    <d v="1899-12-30T08:00:00"/>
    <n v="8"/>
    <d v="1899-12-30T17:00:00"/>
    <n v="1"/>
  </r>
  <r>
    <n v="100"/>
    <s v="FEL2"/>
    <x v="5"/>
    <x v="2"/>
    <s v="Cat966H.2"/>
    <x v="11"/>
    <s v="BATCHING PLANT"/>
    <x v="8"/>
    <x v="2"/>
    <x v="8"/>
    <d v="1899-12-30T08:00:00"/>
    <d v="1899-12-30T00:00:00"/>
    <d v="1899-12-30T12:00:00"/>
    <d v="1899-12-30T04:00:00"/>
    <n v="4"/>
    <d v="1899-12-30T12:00:00"/>
    <n v="1"/>
  </r>
  <r>
    <n v="101"/>
    <s v="FEL2"/>
    <x v="5"/>
    <x v="2"/>
    <s v="Cat966H.2"/>
    <x v="11"/>
    <s v="BATCHING PLANT"/>
    <x v="8"/>
    <x v="2"/>
    <x v="8"/>
    <d v="1899-12-30T14:00:00"/>
    <d v="1899-12-30T00:00:00"/>
    <d v="1899-12-30T16:00:00"/>
    <d v="1899-12-30T02:00:00"/>
    <n v="2"/>
    <d v="1899-12-30T16:00:00"/>
    <n v="1"/>
  </r>
  <r>
    <n v="102"/>
    <s v="TT19"/>
    <x v="5"/>
    <x v="4"/>
    <s v="8419AX00"/>
    <x v="22"/>
    <s v="BATCHING PLANT"/>
    <x v="8"/>
    <x v="2"/>
    <x v="8"/>
    <d v="1899-12-30T14:00:00"/>
    <d v="1899-12-30T00:00:00"/>
    <d v="1899-12-30T16:00:00"/>
    <d v="1899-12-30T02:00:00"/>
    <n v="2"/>
    <d v="1899-12-30T16:00:00"/>
    <n v="1"/>
  </r>
  <r>
    <n v="103"/>
    <s v="TT32"/>
    <x v="5"/>
    <x v="4"/>
    <s v="8432AX00"/>
    <x v="12"/>
    <s v="BATCHING PLANT"/>
    <x v="8"/>
    <x v="2"/>
    <x v="8"/>
    <d v="1899-12-30T08:00:00"/>
    <d v="1899-12-30T01:00:00"/>
    <d v="1899-12-30T16:00:00"/>
    <d v="1899-12-30T07:00:00"/>
    <n v="7"/>
    <d v="1899-12-30T16:00:00"/>
    <n v="1"/>
  </r>
  <r>
    <n v="104"/>
    <s v="TT87"/>
    <x v="5"/>
    <x v="4"/>
    <s v="8487AX00"/>
    <x v="13"/>
    <s v="BATCHING PLANT"/>
    <x v="8"/>
    <x v="2"/>
    <x v="8"/>
    <d v="1899-12-30T14:00:00"/>
    <d v="1899-12-30T00:00:00"/>
    <d v="1899-12-30T16:00:00"/>
    <d v="1899-12-30T02:00:00"/>
    <n v="2"/>
    <d v="1899-12-30T16:00:00"/>
    <n v="1"/>
  </r>
  <r>
    <n v="105"/>
    <s v="BL1"/>
    <x v="5"/>
    <x v="5"/>
    <s v="CAT432D"/>
    <x v="16"/>
    <s v="BATCHING PLANT"/>
    <x v="8"/>
    <x v="2"/>
    <x v="8"/>
    <d v="1899-12-30T08:00:00"/>
    <d v="1899-12-30T01:00:00"/>
    <d v="1899-12-30T17:00:00"/>
    <d v="1899-12-30T08:00:00"/>
    <n v="8"/>
    <d v="1899-12-30T17:00:00"/>
    <n v="1"/>
  </r>
  <r>
    <n v="106"/>
    <s v="EX6"/>
    <x v="5"/>
    <x v="7"/>
    <s v="CAT329E"/>
    <x v="23"/>
    <s v="WMF"/>
    <x v="15"/>
    <x v="2"/>
    <x v="16"/>
    <d v="1899-12-30T08:00:00"/>
    <d v="1899-12-30T01:00:00"/>
    <d v="1899-12-30T17:00:00"/>
    <d v="1899-12-30T08:00:00"/>
    <n v="8"/>
    <d v="1899-12-30T17:00:00"/>
    <n v="1"/>
  </r>
  <r>
    <n v="107"/>
    <s v="LB1"/>
    <x v="5"/>
    <x v="6"/>
    <s v="9818AA08"/>
    <x v="17"/>
    <s v="WMF"/>
    <x v="15"/>
    <x v="2"/>
    <x v="16"/>
    <d v="1899-12-30T07:00:00"/>
    <d v="1899-12-30T00:00:00"/>
    <d v="1899-12-30T08:00:00"/>
    <d v="1899-12-30T01:00:00"/>
    <n v="1"/>
    <d v="1899-12-30T08:00:00"/>
    <n v="1"/>
  </r>
  <r>
    <n v="108"/>
    <s v="WT1"/>
    <x v="6"/>
    <x v="0"/>
    <s v="8259AC00"/>
    <x v="0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09"/>
    <s v="WT2"/>
    <x v="6"/>
    <x v="0"/>
    <s v="3993AG00"/>
    <x v="1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10"/>
    <s v="WT3"/>
    <x v="6"/>
    <x v="0"/>
    <s v="4443AK00"/>
    <x v="2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11"/>
    <s v="WT9"/>
    <x v="6"/>
    <x v="0"/>
    <s v="8491AP00"/>
    <x v="3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12"/>
    <s v="GR1"/>
    <x v="6"/>
    <x v="1"/>
    <s v="CAT12K.1"/>
    <x v="4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13"/>
    <s v="GR2"/>
    <x v="6"/>
    <x v="1"/>
    <s v="CAT12K.2"/>
    <x v="5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14"/>
    <s v="FEL4"/>
    <x v="6"/>
    <x v="2"/>
    <s v="Cat972G.2"/>
    <x v="6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15"/>
    <s v="TD4"/>
    <x v="6"/>
    <x v="3"/>
    <s v="CATD8R.3"/>
    <x v="24"/>
    <s v="Main Access Road - Out Site"/>
    <x v="1"/>
    <x v="0"/>
    <x v="1"/>
    <d v="1899-12-30T08:00:00"/>
    <d v="1899-12-30T01:00:00"/>
    <d v="1899-12-30T17:00:00"/>
    <d v="1899-12-30T08:00:00"/>
    <n v="8"/>
    <d v="1899-12-30T17:00:00"/>
    <n v="1"/>
  </r>
  <r>
    <n v="116"/>
    <s v="WT8"/>
    <x v="6"/>
    <x v="0"/>
    <s v="8494AP00"/>
    <x v="10"/>
    <s v="WARTSILA"/>
    <x v="3"/>
    <x v="2"/>
    <x v="3"/>
    <d v="1899-12-30T07:00:00"/>
    <d v="1899-12-30T01:00:00"/>
    <d v="1899-12-30T17:00:00"/>
    <d v="1899-12-30T09:00:00"/>
    <n v="9"/>
    <d v="1899-12-30T17:00:00"/>
    <n v="1"/>
  </r>
  <r>
    <n v="117"/>
    <s v="FEL1"/>
    <x v="6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18"/>
    <s v="FEL1"/>
    <x v="6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119"/>
    <s v="TT17"/>
    <x v="6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20"/>
    <s v="EX6"/>
    <x v="6"/>
    <x v="7"/>
    <s v="CAT329E"/>
    <x v="23"/>
    <s v="WMF"/>
    <x v="15"/>
    <x v="2"/>
    <x v="16"/>
    <d v="1899-12-30T08:00:00"/>
    <d v="1899-12-30T01:00:00"/>
    <d v="1899-12-30T17:00:00"/>
    <d v="1899-12-30T08:00:00"/>
    <n v="8"/>
    <d v="1899-12-30T17:00:00"/>
    <n v="1"/>
  </r>
  <r>
    <n v="121"/>
    <s v="EX2"/>
    <x v="6"/>
    <x v="7"/>
    <s v="CAT320E.2"/>
    <x v="21"/>
    <s v="ROADS TASIAST"/>
    <x v="16"/>
    <x v="2"/>
    <x v="17"/>
    <d v="1899-12-30T09:00:00"/>
    <d v="1899-12-30T01:00:00"/>
    <d v="1899-12-30T17:00:00"/>
    <d v="1899-12-30T07:00:00"/>
    <n v="7"/>
    <d v="1899-12-30T17:00:00"/>
    <n v="1"/>
  </r>
  <r>
    <n v="122"/>
    <s v="LB1"/>
    <x v="6"/>
    <x v="6"/>
    <s v="9818AA08"/>
    <x v="17"/>
    <s v="ROADS TASIAST"/>
    <x v="16"/>
    <x v="2"/>
    <x v="17"/>
    <d v="1899-12-30T08:00:00"/>
    <d v="1899-12-30T01:00:00"/>
    <d v="1899-12-30T18:00:00"/>
    <d v="1899-12-30T09:00:00"/>
    <n v="9"/>
    <d v="1899-12-30T18:00:00"/>
    <n v="1"/>
  </r>
  <r>
    <n v="123"/>
    <s v="FEL2"/>
    <x v="6"/>
    <x v="2"/>
    <s v="Cat966H.2"/>
    <x v="11"/>
    <s v="ROADS TASIAST"/>
    <x v="16"/>
    <x v="2"/>
    <x v="17"/>
    <d v="1899-12-30T15:00:00"/>
    <d v="1899-12-30T00:00:00"/>
    <d v="1899-12-30T18:00:00"/>
    <d v="1899-12-30T03:00:00"/>
    <n v="3"/>
    <d v="1899-12-30T18:00:00"/>
    <n v="1"/>
  </r>
  <r>
    <n v="124"/>
    <s v="TT19"/>
    <x v="6"/>
    <x v="4"/>
    <s v="8419AX00"/>
    <x v="22"/>
    <s v="ROADS TASIAST"/>
    <x v="16"/>
    <x v="2"/>
    <x v="17"/>
    <d v="1899-12-30T14:00:00"/>
    <d v="1899-12-30T00:00:00"/>
    <d v="1899-12-30T16:00:00"/>
    <d v="1899-12-30T02:00:00"/>
    <n v="2"/>
    <d v="1899-12-30T16:00:00"/>
    <n v="1"/>
  </r>
  <r>
    <n v="125"/>
    <s v="FEL2"/>
    <x v="6"/>
    <x v="2"/>
    <s v="Cat966H.2"/>
    <x v="11"/>
    <s v="CARPENTER YARD"/>
    <x v="17"/>
    <x v="2"/>
    <x v="18"/>
    <d v="1899-12-30T11:00:00"/>
    <d v="1899-12-30T01:00:00"/>
    <d v="1899-12-30T15:00:00"/>
    <d v="1899-12-30T03:00:00"/>
    <n v="3"/>
    <d v="1899-12-30T15:00:00"/>
    <n v="1"/>
  </r>
  <r>
    <n v="126"/>
    <s v="TT87"/>
    <x v="6"/>
    <x v="4"/>
    <s v="8487AX00"/>
    <x v="13"/>
    <s v="CARPENTER YARD"/>
    <x v="17"/>
    <x v="2"/>
    <x v="18"/>
    <d v="1899-12-30T14:00:00"/>
    <d v="1899-12-30T00:00:00"/>
    <d v="1899-12-30T15:00:00"/>
    <d v="1899-12-30T01:00:00"/>
    <n v="1"/>
    <d v="1899-12-30T15:00:00"/>
    <n v="1"/>
  </r>
  <r>
    <n v="127"/>
    <s v="WT1"/>
    <x v="7"/>
    <x v="0"/>
    <s v="8259AC00"/>
    <x v="0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28"/>
    <s v="WT2"/>
    <x v="7"/>
    <x v="0"/>
    <s v="3993AG00"/>
    <x v="1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29"/>
    <s v="WT3"/>
    <x v="7"/>
    <x v="0"/>
    <s v="4443AK00"/>
    <x v="2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30"/>
    <s v="WT9"/>
    <x v="7"/>
    <x v="0"/>
    <s v="8491AP00"/>
    <x v="3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31"/>
    <s v="GR1"/>
    <x v="7"/>
    <x v="1"/>
    <s v="CAT12K.1"/>
    <x v="4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32"/>
    <s v="GR2"/>
    <x v="7"/>
    <x v="1"/>
    <s v="CAT12K.2"/>
    <x v="5"/>
    <s v="Main Access Road - Out Site"/>
    <x v="0"/>
    <x v="0"/>
    <x v="10"/>
    <d v="1899-12-30T08:00:00"/>
    <d v="1899-12-30T00:00:00"/>
    <d v="1899-12-30T11:00:00"/>
    <d v="1899-12-30T03:00:00"/>
    <n v="3"/>
    <d v="1899-12-30T11:00:00"/>
    <n v="1"/>
  </r>
  <r>
    <n v="133"/>
    <s v="FEL4"/>
    <x v="7"/>
    <x v="2"/>
    <s v="Cat972G.2"/>
    <x v="6"/>
    <s v="Main Access Road - Out Site"/>
    <x v="0"/>
    <x v="0"/>
    <x v="10"/>
    <d v="1899-12-30T08:00:00"/>
    <d v="1899-12-30T01:00:00"/>
    <d v="1899-12-30T17:00:00"/>
    <d v="1899-12-30T08:00:00"/>
    <n v="8"/>
    <d v="1899-12-30T17:00:00"/>
    <n v="1"/>
  </r>
  <r>
    <n v="134"/>
    <s v="TD4"/>
    <x v="7"/>
    <x v="3"/>
    <s v="CATD8R.3"/>
    <x v="24"/>
    <s v="Main Access Road - Out Site"/>
    <x v="1"/>
    <x v="0"/>
    <x v="1"/>
    <d v="1899-12-30T08:00:00"/>
    <d v="1899-12-30T01:00:00"/>
    <d v="1899-12-30T17:00:00"/>
    <d v="1899-12-30T08:00:00"/>
    <n v="8"/>
    <d v="1899-12-30T17:00:00"/>
    <n v="1"/>
  </r>
  <r>
    <n v="135"/>
    <s v="WT8"/>
    <x v="7"/>
    <x v="0"/>
    <s v="8494AP00"/>
    <x v="10"/>
    <s v="WARTSILA"/>
    <x v="3"/>
    <x v="2"/>
    <x v="3"/>
    <d v="1899-12-30T07:00:00"/>
    <d v="1899-12-30T01:00:00"/>
    <d v="1899-12-30T17:00:00"/>
    <d v="1899-12-30T09:00:00"/>
    <n v="9"/>
    <d v="1899-12-30T17:00:00"/>
    <n v="1"/>
  </r>
  <r>
    <n v="136"/>
    <s v="FEL1"/>
    <x v="7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37"/>
    <s v="FEL1"/>
    <x v="7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138"/>
    <s v="TT17"/>
    <x v="7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39"/>
    <s v="FEL2"/>
    <x v="7"/>
    <x v="2"/>
    <s v="Cat966H.2"/>
    <x v="11"/>
    <s v="BATCHING PLANT"/>
    <x v="8"/>
    <x v="2"/>
    <x v="8"/>
    <d v="1899-12-30T10:00:00"/>
    <d v="1899-12-30T00:00:00"/>
    <d v="1899-12-30T12:00:00"/>
    <d v="1899-12-30T02:00:00"/>
    <n v="2"/>
    <d v="1899-12-30T12:00:00"/>
    <n v="1"/>
  </r>
  <r>
    <n v="140"/>
    <s v="TT19"/>
    <x v="7"/>
    <x v="4"/>
    <s v="8419AX00"/>
    <x v="22"/>
    <s v="BATCHING PLANT"/>
    <x v="8"/>
    <x v="2"/>
    <x v="8"/>
    <d v="1899-12-30T10:00:00"/>
    <d v="1899-12-30T00:00:00"/>
    <d v="1899-12-30T12:00:00"/>
    <d v="1899-12-30T02:00:00"/>
    <n v="2"/>
    <d v="1899-12-30T12:00:00"/>
    <n v="1"/>
  </r>
  <r>
    <n v="141"/>
    <s v="TT87"/>
    <x v="7"/>
    <x v="4"/>
    <s v="8487AX00"/>
    <x v="13"/>
    <s v="BATCHING PLANT"/>
    <x v="8"/>
    <x v="2"/>
    <x v="8"/>
    <d v="1899-12-30T10:00:00"/>
    <d v="1899-12-30T00:00:00"/>
    <d v="1899-12-30T12:00:00"/>
    <d v="1899-12-30T02:00:00"/>
    <n v="2"/>
    <d v="1899-12-30T12:00:00"/>
    <n v="1"/>
  </r>
  <r>
    <n v="142"/>
    <s v="FEL2"/>
    <x v="7"/>
    <x v="2"/>
    <s v="Cat966H.2"/>
    <x v="11"/>
    <s v="TSF4 TAILING STORAGE FACILITY"/>
    <x v="18"/>
    <x v="2"/>
    <x v="19"/>
    <d v="1899-12-30T14:00:00"/>
    <d v="1899-12-30T00:00:00"/>
    <d v="1899-12-30T18:00:00"/>
    <d v="1899-12-30T04:00:00"/>
    <n v="4"/>
    <d v="1899-12-30T18:00:00"/>
    <n v="1"/>
  </r>
  <r>
    <n v="143"/>
    <s v="GR2"/>
    <x v="7"/>
    <x v="1"/>
    <s v="CAT12K.2"/>
    <x v="5"/>
    <s v="ROADS TASIAST"/>
    <x v="19"/>
    <x v="2"/>
    <x v="20"/>
    <d v="1899-12-30T12:00:00"/>
    <d v="1899-12-30T01:00:00"/>
    <d v="1899-12-30T22:00:00"/>
    <d v="1899-12-30T09:00:00"/>
    <n v="9"/>
    <d v="1899-12-30T22:00:00"/>
    <n v="1"/>
  </r>
  <r>
    <n v="144"/>
    <s v="TT32"/>
    <x v="7"/>
    <x v="4"/>
    <s v="8432AX00"/>
    <x v="12"/>
    <s v="ROADS TASIAST"/>
    <x v="19"/>
    <x v="2"/>
    <x v="20"/>
    <d v="1899-12-30T12:00:00"/>
    <d v="1899-12-30T01:00:00"/>
    <d v="1899-12-30T20:00:00"/>
    <d v="1899-12-30T07:00:00"/>
    <n v="7"/>
    <d v="1899-12-30T20:00:00"/>
    <n v="1"/>
  </r>
  <r>
    <n v="145"/>
    <s v="TT30"/>
    <x v="7"/>
    <x v="4"/>
    <s v="8430AX00"/>
    <x v="25"/>
    <s v="ROADS TASIAST"/>
    <x v="19"/>
    <x v="2"/>
    <x v="20"/>
    <d v="1899-12-30T12:00:00"/>
    <d v="1899-12-30T01:00:00"/>
    <d v="1899-12-30T20:00:00"/>
    <d v="1899-12-30T07:00:00"/>
    <n v="7"/>
    <d v="1899-12-30T20:00:00"/>
    <n v="1"/>
  </r>
  <r>
    <n v="146"/>
    <s v="TT87"/>
    <x v="7"/>
    <x v="4"/>
    <s v="8487AX00"/>
    <x v="13"/>
    <s v="ROADS TASIAST"/>
    <x v="19"/>
    <x v="2"/>
    <x v="20"/>
    <d v="1899-12-30T12:00:00"/>
    <d v="1899-12-30T01:00:00"/>
    <d v="1899-12-30T20:00:00"/>
    <d v="1899-12-30T07:00:00"/>
    <n v="7"/>
    <d v="1899-12-30T20:00:00"/>
    <n v="1"/>
  </r>
  <r>
    <n v="147"/>
    <s v="CP1"/>
    <x v="7"/>
    <x v="8"/>
    <s v="CATCS-563E"/>
    <x v="26"/>
    <s v="ROADS TASIAST"/>
    <x v="19"/>
    <x v="2"/>
    <x v="20"/>
    <d v="1899-12-30T16:00:00"/>
    <d v="1899-12-30T00:00:00"/>
    <d v="1899-12-30T18:00:00"/>
    <d v="1899-12-30T02:00:00"/>
    <n v="2"/>
    <d v="1899-12-30T18:00:00"/>
    <n v="1"/>
  </r>
  <r>
    <n v="148"/>
    <s v="BL1"/>
    <x v="7"/>
    <x v="5"/>
    <s v="CAT432D"/>
    <x v="16"/>
    <s v="ROADS TASIAST"/>
    <x v="19"/>
    <x v="2"/>
    <x v="20"/>
    <d v="1899-12-30T08:00:00"/>
    <d v="1899-12-30T01:00:00"/>
    <d v="1899-12-30T16:00:00"/>
    <d v="1899-12-30T07:00:00"/>
    <n v="7"/>
    <d v="1899-12-30T16:00:00"/>
    <n v="1"/>
  </r>
  <r>
    <n v="149"/>
    <s v="WT1"/>
    <x v="8"/>
    <x v="0"/>
    <s v="8259AC00"/>
    <x v="0"/>
    <s v="Main Access Road - Out Site"/>
    <x v="0"/>
    <x v="0"/>
    <x v="10"/>
    <d v="1899-12-30T08:00:00"/>
    <d v="1899-12-30T00:00:00"/>
    <d v="1899-12-30T13:00:00"/>
    <d v="1899-12-30T05:00:00"/>
    <n v="5"/>
    <d v="1899-12-30T13:00:00"/>
    <n v="1"/>
  </r>
  <r>
    <n v="150"/>
    <s v="WT2"/>
    <x v="8"/>
    <x v="0"/>
    <s v="3993AG00"/>
    <x v="1"/>
    <s v="Main Access Road - Out Site"/>
    <x v="0"/>
    <x v="0"/>
    <x v="10"/>
    <d v="1899-12-30T08:00:00"/>
    <d v="1899-12-30T00:00:00"/>
    <d v="1899-12-30T13:00:00"/>
    <d v="1899-12-30T05:00:00"/>
    <n v="5"/>
    <d v="1899-12-30T13:00:00"/>
    <n v="1"/>
  </r>
  <r>
    <n v="151"/>
    <s v="WT3"/>
    <x v="8"/>
    <x v="0"/>
    <s v="4443AK00"/>
    <x v="2"/>
    <s v="Main Access Road - Out Site"/>
    <x v="0"/>
    <x v="0"/>
    <x v="10"/>
    <d v="1899-12-30T08:00:00"/>
    <d v="1899-12-30T00:00:00"/>
    <d v="1899-12-30T13:00:00"/>
    <d v="1899-12-30T05:00:00"/>
    <n v="5"/>
    <d v="1899-12-30T13:00:00"/>
    <n v="1"/>
  </r>
  <r>
    <n v="152"/>
    <s v="WT9"/>
    <x v="8"/>
    <x v="0"/>
    <s v="8491AP00"/>
    <x v="3"/>
    <s v="Main Access Road - Out Site"/>
    <x v="0"/>
    <x v="0"/>
    <x v="10"/>
    <d v="1899-12-30T08:00:00"/>
    <d v="1899-12-30T00:00:00"/>
    <d v="1899-12-30T13:00:00"/>
    <d v="1899-12-30T05:00:00"/>
    <n v="5"/>
    <d v="1899-12-30T13:00:00"/>
    <n v="1"/>
  </r>
  <r>
    <n v="153"/>
    <s v="GR1"/>
    <x v="8"/>
    <x v="1"/>
    <s v="CAT12K.1"/>
    <x v="4"/>
    <s v="Main Access Road - Out Site"/>
    <x v="0"/>
    <x v="0"/>
    <x v="10"/>
    <d v="1899-12-30T08:00:00"/>
    <d v="1899-12-30T00:00:00"/>
    <d v="1899-12-30T13:00:00"/>
    <d v="1899-12-30T05:00:00"/>
    <n v="5"/>
    <d v="1899-12-30T13:00:00"/>
    <n v="1"/>
  </r>
  <r>
    <n v="154"/>
    <s v="FEL4"/>
    <x v="8"/>
    <x v="2"/>
    <s v="Cat972G.2"/>
    <x v="6"/>
    <s v="Main Access Road - Out Site"/>
    <x v="0"/>
    <x v="0"/>
    <x v="10"/>
    <d v="1899-12-30T08:00:00"/>
    <d v="1899-12-30T00:00:00"/>
    <d v="1899-12-30T13:00:00"/>
    <d v="1899-12-30T05:00:00"/>
    <n v="5"/>
    <d v="1899-12-30T13:00:00"/>
    <n v="1"/>
  </r>
  <r>
    <n v="155"/>
    <s v="TD4"/>
    <x v="8"/>
    <x v="3"/>
    <s v="CATD8R.3"/>
    <x v="24"/>
    <s v="Main Access Road - Out Site"/>
    <x v="1"/>
    <x v="0"/>
    <x v="1"/>
    <d v="1899-12-30T08:00:00"/>
    <d v="1899-12-30T00:00:00"/>
    <d v="1899-12-30T13:00:00"/>
    <d v="1899-12-30T05:00:00"/>
    <n v="5"/>
    <d v="1899-12-30T13:00:00"/>
    <n v="1"/>
  </r>
  <r>
    <n v="156"/>
    <s v="WT8"/>
    <x v="8"/>
    <x v="0"/>
    <s v="8494AP00"/>
    <x v="10"/>
    <s v="WARTSILA"/>
    <x v="3"/>
    <x v="2"/>
    <x v="3"/>
    <d v="1899-12-30T07:00:00"/>
    <d v="1899-12-30T02:00:00"/>
    <d v="1899-12-30T18:00:00"/>
    <d v="1899-12-30T09:00:00"/>
    <n v="9"/>
    <d v="1899-12-30T18:00:00"/>
    <n v="1"/>
  </r>
  <r>
    <n v="157"/>
    <s v="FEL1"/>
    <x v="8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58"/>
    <s v="FEL1"/>
    <x v="8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159"/>
    <s v="TT17"/>
    <x v="8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60"/>
    <s v="LB1"/>
    <x v="8"/>
    <x v="6"/>
    <s v="9818AA08"/>
    <x v="17"/>
    <s v="BOREFIELD PIPELINES"/>
    <x v="20"/>
    <x v="2"/>
    <x v="21"/>
    <d v="1899-12-30T11:00:00"/>
    <d v="1899-12-30T00:00:00"/>
    <d v="1899-12-30T18:00:00"/>
    <d v="1899-12-30T07:00:00"/>
    <n v="7"/>
    <d v="1899-12-30T18:00:00"/>
    <n v="1"/>
  </r>
  <r>
    <n v="161"/>
    <s v="EX3"/>
    <x v="8"/>
    <x v="7"/>
    <s v="CAT323D.1"/>
    <x v="19"/>
    <s v="BOREFIELD PIPELINES"/>
    <x v="20"/>
    <x v="2"/>
    <x v="21"/>
    <d v="1899-12-30T12:00:00"/>
    <d v="1899-12-30T00:00:00"/>
    <d v="1899-12-30T17:00:00"/>
    <d v="1899-12-30T05:00:00"/>
    <n v="5"/>
    <d v="1899-12-30T17:00:00"/>
    <n v="1"/>
  </r>
  <r>
    <n v="162"/>
    <s v="EX6"/>
    <x v="8"/>
    <x v="7"/>
    <s v="CAT329E"/>
    <x v="23"/>
    <s v="WMF"/>
    <x v="15"/>
    <x v="2"/>
    <x v="16"/>
    <d v="1899-12-30T10:00:00"/>
    <d v="1899-12-30T00:00:00"/>
    <d v="1899-12-30T14:00:00"/>
    <d v="1899-12-30T04:00:00"/>
    <n v="4"/>
    <d v="1899-12-30T14:00:00"/>
    <n v="1"/>
  </r>
  <r>
    <n v="163"/>
    <s v="GR2"/>
    <x v="8"/>
    <x v="1"/>
    <s v="CAT12K.2"/>
    <x v="5"/>
    <s v="ROADS TASIAST"/>
    <x v="19"/>
    <x v="2"/>
    <x v="20"/>
    <d v="1899-12-30T10:00:00"/>
    <d v="1899-12-30T00:00:00"/>
    <d v="1899-12-30T14:00:00"/>
    <d v="1899-12-30T04:00:00"/>
    <n v="4"/>
    <d v="1899-12-30T14:00:00"/>
    <n v="1"/>
  </r>
  <r>
    <n v="164"/>
    <s v="TT32"/>
    <x v="8"/>
    <x v="4"/>
    <s v="8432AX00"/>
    <x v="12"/>
    <s v="ROADS TASIAST"/>
    <x v="19"/>
    <x v="2"/>
    <x v="20"/>
    <d v="1899-12-30T07:00:00"/>
    <d v="1899-12-30T00:00:00"/>
    <d v="1899-12-30T13:00:00"/>
    <d v="1899-12-30T06:00:00"/>
    <n v="6"/>
    <d v="1899-12-30T13:00:00"/>
    <n v="1"/>
  </r>
  <r>
    <n v="165"/>
    <s v="TT30"/>
    <x v="8"/>
    <x v="4"/>
    <s v="8430AX00"/>
    <x v="25"/>
    <s v="ROADS TASIAST"/>
    <x v="19"/>
    <x v="2"/>
    <x v="20"/>
    <d v="1899-12-30T07:00:00"/>
    <d v="1899-12-30T00:00:00"/>
    <d v="1899-12-30T13:00:00"/>
    <d v="1899-12-30T06:00:00"/>
    <n v="6"/>
    <d v="1899-12-30T13:00:00"/>
    <n v="1"/>
  </r>
  <r>
    <n v="166"/>
    <s v="TT87"/>
    <x v="8"/>
    <x v="4"/>
    <s v="8487AX00"/>
    <x v="13"/>
    <s v="ROADS TASIAST"/>
    <x v="19"/>
    <x v="2"/>
    <x v="20"/>
    <d v="1899-12-30T07:00:00"/>
    <d v="1899-12-30T00:00:00"/>
    <d v="1899-12-30T13:00:00"/>
    <d v="1899-12-30T06:00:00"/>
    <n v="6"/>
    <d v="1899-12-30T13:00:00"/>
    <n v="1"/>
  </r>
  <r>
    <n v="167"/>
    <s v="BL1"/>
    <x v="8"/>
    <x v="5"/>
    <s v="CAT432D"/>
    <x v="16"/>
    <s v="ROADS TASIAST"/>
    <x v="19"/>
    <x v="2"/>
    <x v="20"/>
    <d v="1899-12-30T09:00:00"/>
    <d v="1899-12-30T00:00:00"/>
    <d v="1899-12-30T11:00:00"/>
    <d v="1899-12-30T02:00:00"/>
    <n v="2"/>
    <d v="1899-12-30T11:00:00"/>
    <n v="1"/>
  </r>
  <r>
    <n v="168"/>
    <s v="WT1"/>
    <x v="9"/>
    <x v="0"/>
    <s v="8259AC00"/>
    <x v="0"/>
    <s v="Main Access Road - Out Site"/>
    <x v="0"/>
    <x v="0"/>
    <x v="22"/>
    <d v="1899-12-30T08:00:00"/>
    <d v="1899-12-30T01:00:00"/>
    <d v="1899-12-30T17:00:00"/>
    <d v="1899-12-30T08:00:00"/>
    <n v="8"/>
    <d v="1899-12-30T17:00:00"/>
    <n v="1"/>
  </r>
  <r>
    <n v="169"/>
    <s v="WT2"/>
    <x v="9"/>
    <x v="0"/>
    <s v="3993AG00"/>
    <x v="1"/>
    <s v="Main Access Road - Out Site"/>
    <x v="0"/>
    <x v="0"/>
    <x v="22"/>
    <d v="1899-12-30T08:00:00"/>
    <d v="1899-12-30T01:00:00"/>
    <d v="1899-12-30T17:00:00"/>
    <d v="1899-12-30T08:00:00"/>
    <n v="8"/>
    <d v="1899-12-30T17:00:00"/>
    <n v="1"/>
  </r>
  <r>
    <n v="170"/>
    <s v="WT3"/>
    <x v="9"/>
    <x v="0"/>
    <s v="4443AK00"/>
    <x v="2"/>
    <s v="Main Access Road - Out Site"/>
    <x v="0"/>
    <x v="0"/>
    <x v="22"/>
    <d v="1899-12-30T08:00:00"/>
    <d v="1899-12-30T01:00:00"/>
    <d v="1899-12-30T17:00:00"/>
    <d v="1899-12-30T08:00:00"/>
    <n v="8"/>
    <d v="1899-12-30T17:00:00"/>
    <n v="1"/>
  </r>
  <r>
    <n v="171"/>
    <s v="WT9"/>
    <x v="9"/>
    <x v="0"/>
    <s v="8491AP00"/>
    <x v="3"/>
    <s v="Main Access Road - Out Site"/>
    <x v="0"/>
    <x v="0"/>
    <x v="22"/>
    <d v="1899-12-30T08:00:00"/>
    <d v="1899-12-30T00:00:00"/>
    <d v="1899-12-30T10:00:00"/>
    <d v="1899-12-30T02:00:00"/>
    <n v="2"/>
    <d v="1899-12-30T10:00:00"/>
    <n v="1"/>
  </r>
  <r>
    <n v="172"/>
    <s v="GR1"/>
    <x v="9"/>
    <x v="1"/>
    <s v="CAT12K.1"/>
    <x v="4"/>
    <s v="Main Access Road - Out Site"/>
    <x v="0"/>
    <x v="0"/>
    <x v="22"/>
    <d v="1899-12-30T08:00:00"/>
    <d v="1899-12-30T01:00:00"/>
    <d v="1899-12-30T17:00:00"/>
    <d v="1899-12-30T08:00:00"/>
    <n v="8"/>
    <d v="1899-12-30T17:00:00"/>
    <n v="1"/>
  </r>
  <r>
    <n v="173"/>
    <s v="FEL4"/>
    <x v="9"/>
    <x v="2"/>
    <s v="Cat972G.2"/>
    <x v="6"/>
    <s v="Main Access Road - Out Site"/>
    <x v="0"/>
    <x v="0"/>
    <x v="22"/>
    <d v="1899-12-30T08:00:00"/>
    <d v="1899-12-30T01:00:00"/>
    <d v="1899-12-30T17:00:00"/>
    <d v="1899-12-30T08:00:00"/>
    <n v="8"/>
    <d v="1899-12-30T17:00:00"/>
    <n v="1"/>
  </r>
  <r>
    <n v="174"/>
    <s v="TD4"/>
    <x v="9"/>
    <x v="3"/>
    <s v="CATD8R.3"/>
    <x v="24"/>
    <s v="Main Access Road - Out Site"/>
    <x v="1"/>
    <x v="0"/>
    <x v="1"/>
    <d v="1899-12-30T08:00:00"/>
    <d v="1899-12-30T01:00:00"/>
    <d v="1899-12-30T15:00:00"/>
    <d v="1899-12-30T06:00:00"/>
    <n v="6"/>
    <d v="1899-12-30T15:00:00"/>
    <n v="1"/>
  </r>
  <r>
    <n v="175"/>
    <s v="TD4"/>
    <x v="9"/>
    <x v="3"/>
    <s v="CATD8R.3"/>
    <x v="24"/>
    <s v="Main Access Road - Out Site"/>
    <x v="1"/>
    <x v="0"/>
    <x v="1"/>
    <d v="1899-12-30T16:00:00"/>
    <d v="1899-12-30T00:00:00"/>
    <d v="1899-12-30T17:00:00"/>
    <d v="1899-12-30T01:00:00"/>
    <n v="1"/>
    <d v="1899-12-30T17:00:00"/>
    <n v="1"/>
  </r>
  <r>
    <n v="176"/>
    <s v="LB1"/>
    <x v="9"/>
    <x v="6"/>
    <s v="9818AA08"/>
    <x v="17"/>
    <s v="Main Access Road - Out Site"/>
    <x v="1"/>
    <x v="0"/>
    <x v="1"/>
    <d v="1899-12-30T14:00:00"/>
    <d v="1899-12-30T00:00:00"/>
    <d v="1899-12-30T18:00:00"/>
    <d v="1899-12-30T04:00:00"/>
    <n v="4"/>
    <d v="1899-12-30T18:00:00"/>
    <n v="1"/>
  </r>
  <r>
    <n v="177"/>
    <s v="WT8"/>
    <x v="9"/>
    <x v="0"/>
    <s v="8494AP00"/>
    <x v="10"/>
    <s v="WARTSILA"/>
    <x v="3"/>
    <x v="2"/>
    <x v="3"/>
    <d v="1899-12-30T07:00:00"/>
    <d v="1899-12-30T01:00:00"/>
    <d v="1899-12-30T18:00:00"/>
    <d v="1899-12-30T10:00:00"/>
    <n v="10"/>
    <d v="1899-12-30T18:00:00"/>
    <n v="1"/>
  </r>
  <r>
    <n v="178"/>
    <s v="FEL1"/>
    <x v="9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79"/>
    <s v="FEL1"/>
    <x v="9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180"/>
    <s v="TT17"/>
    <x v="9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81"/>
    <s v="GR2"/>
    <x v="9"/>
    <x v="1"/>
    <s v="CAT12K.2"/>
    <x v="5"/>
    <s v="ROADS TASIAST"/>
    <x v="19"/>
    <x v="2"/>
    <x v="20"/>
    <d v="1899-12-30T08:00:00"/>
    <d v="1899-12-30T01:00:00"/>
    <d v="1899-12-30T18:00:00"/>
    <d v="1899-12-30T09:00:00"/>
    <n v="9"/>
    <d v="1899-12-30T18:00:00"/>
    <n v="1"/>
  </r>
  <r>
    <n v="182"/>
    <s v="FEL2"/>
    <x v="9"/>
    <x v="2"/>
    <s v="Cat966H.2"/>
    <x v="11"/>
    <s v="ROADS TASIAST"/>
    <x v="19"/>
    <x v="2"/>
    <x v="20"/>
    <d v="1899-12-30T08:00:00"/>
    <d v="1899-12-30T00:00:00"/>
    <d v="1899-12-30T12:00:00"/>
    <d v="1899-12-30T04:00:00"/>
    <n v="4"/>
    <d v="1899-12-30T12:00:00"/>
    <n v="1"/>
  </r>
  <r>
    <n v="183"/>
    <s v="TT29"/>
    <x v="9"/>
    <x v="4"/>
    <s v="8429AX00"/>
    <x v="27"/>
    <s v="ROADS TASIAST"/>
    <x v="19"/>
    <x v="2"/>
    <x v="20"/>
    <d v="1899-12-30T10:00:00"/>
    <d v="1899-12-30T01:00:00"/>
    <d v="1899-12-30T18:00:00"/>
    <d v="1899-12-30T07:00:00"/>
    <n v="7"/>
    <d v="1899-12-30T18:00:00"/>
    <n v="1"/>
  </r>
  <r>
    <n v="184"/>
    <s v="TT30"/>
    <x v="9"/>
    <x v="4"/>
    <s v="8430AX00"/>
    <x v="25"/>
    <s v="ROADS TASIAST"/>
    <x v="19"/>
    <x v="2"/>
    <x v="20"/>
    <d v="1899-12-30T08:00:00"/>
    <d v="1899-12-30T01:00:00"/>
    <d v="1899-12-30T16:00:00"/>
    <d v="1899-12-30T07:00:00"/>
    <n v="7"/>
    <d v="1899-12-30T16:00:00"/>
    <n v="1"/>
  </r>
  <r>
    <n v="185"/>
    <s v="TT32"/>
    <x v="9"/>
    <x v="4"/>
    <s v="8432AX00"/>
    <x v="12"/>
    <s v="ROADS TASIAST"/>
    <x v="19"/>
    <x v="2"/>
    <x v="20"/>
    <d v="1899-12-30T08:00:00"/>
    <d v="1899-12-30T01:00:00"/>
    <d v="1899-12-30T17:00:00"/>
    <d v="1899-12-30T08:00:00"/>
    <n v="8"/>
    <d v="1899-12-30T17:00:00"/>
    <n v="1"/>
  </r>
  <r>
    <n v="186"/>
    <s v="TT87"/>
    <x v="9"/>
    <x v="4"/>
    <s v="8487AX00"/>
    <x v="13"/>
    <s v="ROADS TASIAST"/>
    <x v="19"/>
    <x v="2"/>
    <x v="20"/>
    <d v="1899-12-30T08:00:00"/>
    <d v="1899-12-30T01:00:00"/>
    <d v="1899-12-30T17:00:00"/>
    <d v="1899-12-30T08:00:00"/>
    <n v="8"/>
    <d v="1899-12-30T17:00:00"/>
    <n v="1"/>
  </r>
  <r>
    <n v="187"/>
    <s v="FEL5"/>
    <x v="9"/>
    <x v="2"/>
    <s v="CAT980G"/>
    <x v="20"/>
    <s v="TSF5"/>
    <x v="21"/>
    <x v="2"/>
    <x v="23"/>
    <d v="1899-12-30T14:00:00"/>
    <d v="1899-12-30T00:00:00"/>
    <d v="1899-12-30T16:00:00"/>
    <d v="1899-12-30T02:00:00"/>
    <n v="2"/>
    <d v="1899-12-30T16:00:00"/>
    <n v="1"/>
  </r>
  <r>
    <n v="188"/>
    <s v="WT9"/>
    <x v="9"/>
    <x v="0"/>
    <s v="8491AP00"/>
    <x v="3"/>
    <s v="AIRPORT RUNAWAY"/>
    <x v="22"/>
    <x v="2"/>
    <x v="24"/>
    <d v="1899-12-30T11:00:00"/>
    <d v="1899-12-30T01:00:00"/>
    <d v="1899-12-30T16:00:00"/>
    <d v="1899-12-30T04:00:00"/>
    <n v="4"/>
    <d v="1899-12-30T16:00:00"/>
    <n v="1"/>
  </r>
  <r>
    <n v="189"/>
    <s v="WT1"/>
    <x v="10"/>
    <x v="0"/>
    <s v="8259AC00"/>
    <x v="0"/>
    <s v="Main Access Road - Out Site"/>
    <x v="0"/>
    <x v="0"/>
    <x v="22"/>
    <d v="1899-12-30T08:00:00"/>
    <d v="1899-12-30T01:00:00"/>
    <d v="1899-12-30T17:00:00"/>
    <d v="1899-12-30T08:00:00"/>
    <n v="8"/>
    <d v="1899-12-30T17:00:00"/>
    <n v="1"/>
  </r>
  <r>
    <n v="190"/>
    <s v="WT2"/>
    <x v="10"/>
    <x v="0"/>
    <s v="3993AG00"/>
    <x v="1"/>
    <s v="Main Access Road - Out Site"/>
    <x v="0"/>
    <x v="0"/>
    <x v="22"/>
    <d v="1899-12-30T08:00:00"/>
    <d v="1899-12-30T01:00:00"/>
    <d v="1899-12-30T17:00:00"/>
    <d v="1899-12-30T08:00:00"/>
    <n v="8"/>
    <d v="1899-12-30T17:00:00"/>
    <n v="1"/>
  </r>
  <r>
    <n v="191"/>
    <s v="WT3"/>
    <x v="10"/>
    <x v="0"/>
    <s v="4443AK00"/>
    <x v="2"/>
    <s v="Main Access Road - Out Site"/>
    <x v="0"/>
    <x v="0"/>
    <x v="22"/>
    <d v="1899-12-30T08:00:00"/>
    <d v="1899-12-30T01:00:00"/>
    <d v="1899-12-30T17:00:00"/>
    <d v="1899-12-30T08:00:00"/>
    <n v="8"/>
    <d v="1899-12-30T17:00:00"/>
    <n v="1"/>
  </r>
  <r>
    <n v="192"/>
    <s v="GR1"/>
    <x v="10"/>
    <x v="1"/>
    <s v="CAT12K.1"/>
    <x v="4"/>
    <s v="Main Access Road - Out Site"/>
    <x v="0"/>
    <x v="0"/>
    <x v="22"/>
    <d v="1899-12-30T08:00:00"/>
    <d v="1899-12-30T01:00:00"/>
    <d v="1899-12-30T17:00:00"/>
    <d v="1899-12-30T08:00:00"/>
    <n v="8"/>
    <d v="1899-12-30T17:00:00"/>
    <n v="1"/>
  </r>
  <r>
    <n v="193"/>
    <s v="FEL4"/>
    <x v="10"/>
    <x v="2"/>
    <s v="Cat972G.2"/>
    <x v="6"/>
    <s v="Main Access Road - Out Site"/>
    <x v="0"/>
    <x v="0"/>
    <x v="22"/>
    <d v="1899-12-30T08:00:00"/>
    <d v="1899-12-30T01:00:00"/>
    <d v="1899-12-30T17:00:00"/>
    <d v="1899-12-30T08:00:00"/>
    <n v="8"/>
    <d v="1899-12-30T17:00:00"/>
    <n v="1"/>
  </r>
  <r>
    <n v="194"/>
    <s v="TD4"/>
    <x v="10"/>
    <x v="3"/>
    <s v="CATD8R.3"/>
    <x v="24"/>
    <s v="Main Access Road - Out Site"/>
    <x v="1"/>
    <x v="0"/>
    <x v="1"/>
    <d v="1899-12-30T08:00:00"/>
    <d v="1899-12-30T01:00:00"/>
    <d v="1899-12-30T17:00:00"/>
    <d v="1899-12-30T08:00:00"/>
    <n v="8"/>
    <d v="1899-12-30T17:00:00"/>
    <n v="1"/>
  </r>
  <r>
    <n v="195"/>
    <s v="WT8"/>
    <x v="10"/>
    <x v="0"/>
    <s v="8494AP00"/>
    <x v="10"/>
    <s v="WARTSILA"/>
    <x v="3"/>
    <x v="2"/>
    <x v="3"/>
    <d v="1899-12-30T07:00:00"/>
    <d v="1899-12-30T01:00:00"/>
    <d v="1899-12-30T17:00:00"/>
    <d v="1899-12-30T09:00:00"/>
    <n v="9"/>
    <d v="1899-12-30T17:00:00"/>
    <n v="1"/>
  </r>
  <r>
    <n v="196"/>
    <s v="FEL1"/>
    <x v="10"/>
    <x v="2"/>
    <s v="Cat966H.1"/>
    <x v="8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97"/>
    <s v="FEL1"/>
    <x v="10"/>
    <x v="2"/>
    <s v="Cat966H.1"/>
    <x v="8"/>
    <s v="CIL PLANT"/>
    <x v="2"/>
    <x v="1"/>
    <x v="2"/>
    <d v="1899-12-30T19:00:00"/>
    <d v="1899-12-30T00:00:00"/>
    <d v="1899-12-30T05:00:00"/>
    <d v="1900-01-22T10:00:00"/>
    <n v="10"/>
    <d v="1899-12-31T05:00:00"/>
    <n v="1"/>
  </r>
  <r>
    <n v="198"/>
    <s v="TT17"/>
    <x v="10"/>
    <x v="4"/>
    <s v="8417AX00"/>
    <x v="9"/>
    <s v="CIL PLANT"/>
    <x v="2"/>
    <x v="1"/>
    <x v="2"/>
    <d v="1899-12-30T07:00:00"/>
    <d v="1899-12-30T01:00:00"/>
    <d v="1899-12-30T19:00:00"/>
    <d v="1899-12-30T11:00:00"/>
    <n v="11"/>
    <d v="1899-12-30T19:00:00"/>
    <n v="1"/>
  </r>
  <r>
    <n v="199"/>
    <s v="GR2"/>
    <x v="10"/>
    <x v="1"/>
    <s v="CAT12K.2"/>
    <x v="5"/>
    <s v="ROADS TASIAST"/>
    <x v="19"/>
    <x v="2"/>
    <x v="20"/>
    <d v="1899-12-30T08:00:00"/>
    <d v="1899-12-30T01:00:00"/>
    <d v="1899-12-30T17:00:00"/>
    <d v="1899-12-30T08:00:00"/>
    <n v="8"/>
    <d v="1899-12-30T17:00:00"/>
    <n v="1"/>
  </r>
  <r>
    <n v="200"/>
    <s v="FEL2"/>
    <x v="10"/>
    <x v="2"/>
    <s v="Cat966H.2"/>
    <x v="11"/>
    <s v="ROADS TASIAST"/>
    <x v="19"/>
    <x v="2"/>
    <x v="20"/>
    <d v="1899-12-30T08:00:00"/>
    <d v="1899-12-30T01:00:00"/>
    <d v="1899-12-30T17:00:00"/>
    <d v="1899-12-30T08:00:00"/>
    <n v="8"/>
    <d v="1899-12-30T17:00:00"/>
    <n v="1"/>
  </r>
  <r>
    <n v="201"/>
    <s v="TT29"/>
    <x v="10"/>
    <x v="4"/>
    <s v="8429AX00"/>
    <x v="27"/>
    <s v="ROADS TASIAST"/>
    <x v="19"/>
    <x v="2"/>
    <x v="20"/>
    <d v="1899-12-30T08:00:00"/>
    <d v="1899-12-30T01:00:00"/>
    <d v="1899-12-30T17:00:00"/>
    <d v="1899-12-30T08:00:00"/>
    <n v="8"/>
    <d v="1899-12-30T17:00:00"/>
    <n v="1"/>
  </r>
  <r>
    <n v="202"/>
    <s v="TT32"/>
    <x v="10"/>
    <x v="4"/>
    <s v="8432AX00"/>
    <x v="12"/>
    <s v="ROADS TASIAST"/>
    <x v="19"/>
    <x v="2"/>
    <x v="20"/>
    <d v="1899-12-30T08:00:00"/>
    <d v="1899-12-30T01:00:00"/>
    <d v="1899-12-30T16:00:00"/>
    <d v="1899-12-30T07:00:00"/>
    <n v="7"/>
    <d v="1899-12-30T16:00:00"/>
    <n v="1"/>
  </r>
  <r>
    <n v="203"/>
    <s v="FEL5"/>
    <x v="10"/>
    <x v="2"/>
    <s v="CAT980G"/>
    <x v="20"/>
    <s v="TSF5"/>
    <x v="21"/>
    <x v="2"/>
    <x v="23"/>
    <d v="1899-12-30T14:00:00"/>
    <d v="1899-12-30T00:00:00"/>
    <d v="1899-12-30T17:00:00"/>
    <d v="1899-12-30T03:00:00"/>
    <n v="3"/>
    <d v="1899-12-30T17:00:00"/>
    <n v="1"/>
  </r>
  <r>
    <n v="204"/>
    <s v="TT30"/>
    <x v="10"/>
    <x v="4"/>
    <s v="8430AX00"/>
    <x v="25"/>
    <s v="TSF5"/>
    <x v="21"/>
    <x v="2"/>
    <x v="23"/>
    <d v="1899-12-30T14:00:00"/>
    <d v="1899-12-30T00:00:00"/>
    <d v="1899-12-30T17:00:00"/>
    <d v="1899-12-30T03:00:00"/>
    <n v="3"/>
    <d v="1899-12-30T17:00:00"/>
    <n v="1"/>
  </r>
  <r>
    <n v="205"/>
    <s v="TT87"/>
    <x v="10"/>
    <x v="4"/>
    <s v="8487AX00"/>
    <x v="13"/>
    <s v="TSF5"/>
    <x v="21"/>
    <x v="2"/>
    <x v="23"/>
    <d v="1899-12-30T14:00:00"/>
    <d v="1899-12-30T00:00:00"/>
    <d v="1899-12-30T17:00:00"/>
    <d v="1899-12-30T03:00:00"/>
    <n v="3"/>
    <d v="1899-12-30T17:00:00"/>
    <n v="1"/>
  </r>
  <r>
    <n v="206"/>
    <s v=" "/>
    <x v="11"/>
    <x v="9"/>
    <m/>
    <x v="28"/>
    <m/>
    <x v="9"/>
    <x v="2"/>
    <x v="9"/>
    <m/>
    <m/>
    <m/>
    <d v="1900-01-23T00:00:00"/>
    <n v="0"/>
    <d v="1899-12-30T00:00:00"/>
    <n v="0"/>
  </r>
  <r>
    <n v="207"/>
    <s v=" "/>
    <x v="11"/>
    <x v="9"/>
    <m/>
    <x v="28"/>
    <m/>
    <x v="9"/>
    <x v="2"/>
    <x v="9"/>
    <m/>
    <m/>
    <m/>
    <d v="1900-01-23T00:00:00"/>
    <n v="0"/>
    <d v="1899-12-30T00:00:00"/>
    <n v="0"/>
  </r>
  <r>
    <n v="208"/>
    <s v=" "/>
    <x v="11"/>
    <x v="9"/>
    <m/>
    <x v="28"/>
    <m/>
    <x v="9"/>
    <x v="2"/>
    <x v="9"/>
    <m/>
    <m/>
    <m/>
    <d v="1900-01-23T00:00:00"/>
    <n v="0"/>
    <d v="1899-12-30T00:00:00"/>
    <n v="0"/>
  </r>
  <r>
    <n v="209"/>
    <s v=" "/>
    <x v="11"/>
    <x v="9"/>
    <m/>
    <x v="28"/>
    <m/>
    <x v="9"/>
    <x v="2"/>
    <x v="9"/>
    <m/>
    <m/>
    <m/>
    <d v="1900-01-23T00:00:00"/>
    <n v="0"/>
    <d v="1899-12-30T00:00:00"/>
    <n v="0"/>
  </r>
  <r>
    <n v="210"/>
    <s v=" "/>
    <x v="11"/>
    <x v="9"/>
    <m/>
    <x v="28"/>
    <m/>
    <x v="9"/>
    <x v="2"/>
    <x v="9"/>
    <m/>
    <m/>
    <m/>
    <d v="1900-01-23T00:00:00"/>
    <n v="0"/>
    <d v="1899-12-30T00:00:00"/>
    <n v="0"/>
  </r>
  <r>
    <n v="211"/>
    <s v=" "/>
    <x v="11"/>
    <x v="9"/>
    <m/>
    <x v="28"/>
    <m/>
    <x v="9"/>
    <x v="2"/>
    <x v="9"/>
    <m/>
    <m/>
    <m/>
    <d v="1900-01-23T00:00:00"/>
    <n v="0"/>
    <d v="1899-12-30T00:00:00"/>
    <n v="0"/>
  </r>
  <r>
    <n v="212"/>
    <s v=" "/>
    <x v="11"/>
    <x v="9"/>
    <m/>
    <x v="28"/>
    <m/>
    <x v="9"/>
    <x v="2"/>
    <x v="9"/>
    <m/>
    <m/>
    <m/>
    <d v="1900-01-23T00:00:00"/>
    <n v="0"/>
    <d v="1899-12-30T00:00:00"/>
    <n v="0"/>
  </r>
  <r>
    <n v="213"/>
    <s v=" "/>
    <x v="11"/>
    <x v="9"/>
    <m/>
    <x v="28"/>
    <m/>
    <x v="9"/>
    <x v="2"/>
    <x v="9"/>
    <m/>
    <m/>
    <m/>
    <d v="1900-01-23T00:00:00"/>
    <n v="0"/>
    <d v="1899-12-30T00:00:00"/>
    <n v="0"/>
  </r>
  <r>
    <n v="214"/>
    <s v=" "/>
    <x v="11"/>
    <x v="9"/>
    <m/>
    <x v="28"/>
    <m/>
    <x v="9"/>
    <x v="2"/>
    <x v="9"/>
    <m/>
    <m/>
    <m/>
    <d v="1900-01-23T00:00:00"/>
    <n v="0"/>
    <d v="1899-12-30T00:00:00"/>
    <n v="0"/>
  </r>
  <r>
    <n v="215"/>
    <s v=" "/>
    <x v="11"/>
    <x v="9"/>
    <m/>
    <x v="28"/>
    <m/>
    <x v="9"/>
    <x v="2"/>
    <x v="9"/>
    <m/>
    <m/>
    <m/>
    <d v="1900-01-23T00:00:00"/>
    <n v="0"/>
    <d v="1899-12-30T00:00:00"/>
    <n v="0"/>
  </r>
  <r>
    <n v="216"/>
    <s v=" "/>
    <x v="11"/>
    <x v="9"/>
    <m/>
    <x v="28"/>
    <m/>
    <x v="9"/>
    <x v="2"/>
    <x v="9"/>
    <m/>
    <m/>
    <m/>
    <d v="1900-01-23T00:00:00"/>
    <n v="0"/>
    <d v="1899-12-30T00:00:00"/>
    <n v="0"/>
  </r>
  <r>
    <n v="217"/>
    <s v=" "/>
    <x v="11"/>
    <x v="9"/>
    <m/>
    <x v="28"/>
    <m/>
    <x v="9"/>
    <x v="2"/>
    <x v="9"/>
    <m/>
    <m/>
    <m/>
    <d v="1900-01-23T00:00:00"/>
    <n v="0"/>
    <d v="1899-12-30T00:00:00"/>
    <n v="0"/>
  </r>
  <r>
    <n v="218"/>
    <s v=" "/>
    <x v="11"/>
    <x v="9"/>
    <m/>
    <x v="28"/>
    <m/>
    <x v="9"/>
    <x v="2"/>
    <x v="9"/>
    <m/>
    <m/>
    <m/>
    <d v="1900-01-23T00:00:00"/>
    <n v="0"/>
    <d v="1899-12-30T00:00:00"/>
    <n v="0"/>
  </r>
  <r>
    <n v="219"/>
    <s v=" "/>
    <x v="11"/>
    <x v="9"/>
    <m/>
    <x v="28"/>
    <m/>
    <x v="9"/>
    <x v="2"/>
    <x v="9"/>
    <m/>
    <m/>
    <m/>
    <d v="1900-01-23T00:00:00"/>
    <n v="0"/>
    <d v="1899-12-30T00:00:00"/>
    <n v="0"/>
  </r>
  <r>
    <n v="220"/>
    <s v=" "/>
    <x v="11"/>
    <x v="9"/>
    <m/>
    <x v="28"/>
    <m/>
    <x v="9"/>
    <x v="2"/>
    <x v="9"/>
    <m/>
    <m/>
    <m/>
    <d v="1900-01-23T00:00:00"/>
    <n v="0"/>
    <d v="1899-12-30T00:00:00"/>
    <n v="0"/>
  </r>
  <r>
    <n v="221"/>
    <s v=" "/>
    <x v="11"/>
    <x v="9"/>
    <m/>
    <x v="28"/>
    <m/>
    <x v="9"/>
    <x v="2"/>
    <x v="9"/>
    <m/>
    <m/>
    <m/>
    <d v="1900-01-23T00:00:00"/>
    <n v="0"/>
    <d v="1899-12-30T00:00:00"/>
    <n v="0"/>
  </r>
  <r>
    <n v="222"/>
    <s v=" "/>
    <x v="11"/>
    <x v="9"/>
    <m/>
    <x v="28"/>
    <m/>
    <x v="9"/>
    <x v="2"/>
    <x v="9"/>
    <m/>
    <m/>
    <m/>
    <d v="1900-01-23T00:00:00"/>
    <n v="0"/>
    <d v="1899-12-30T00:00:00"/>
    <n v="0"/>
  </r>
  <r>
    <n v="223"/>
    <s v=" "/>
    <x v="11"/>
    <x v="9"/>
    <m/>
    <x v="28"/>
    <m/>
    <x v="9"/>
    <x v="2"/>
    <x v="9"/>
    <m/>
    <m/>
    <m/>
    <d v="1900-01-23T00:00:00"/>
    <n v="0"/>
    <d v="1899-12-30T00:00:00"/>
    <n v="0"/>
  </r>
  <r>
    <n v="224"/>
    <s v=" "/>
    <x v="11"/>
    <x v="9"/>
    <m/>
    <x v="28"/>
    <m/>
    <x v="9"/>
    <x v="2"/>
    <x v="9"/>
    <m/>
    <m/>
    <m/>
    <d v="1900-01-23T00:00:00"/>
    <n v="0"/>
    <d v="1899-12-30T00:00:00"/>
    <n v="0"/>
  </r>
  <r>
    <n v="225"/>
    <s v=" "/>
    <x v="11"/>
    <x v="9"/>
    <m/>
    <x v="28"/>
    <m/>
    <x v="9"/>
    <x v="2"/>
    <x v="9"/>
    <m/>
    <m/>
    <m/>
    <d v="1900-01-23T00:00:00"/>
    <n v="0"/>
    <d v="1899-12-30T00:00:00"/>
    <n v="0"/>
  </r>
  <r>
    <n v="226"/>
    <s v=" "/>
    <x v="11"/>
    <x v="9"/>
    <m/>
    <x v="28"/>
    <m/>
    <x v="9"/>
    <x v="2"/>
    <x v="9"/>
    <m/>
    <m/>
    <m/>
    <d v="1900-01-23T00:00:00"/>
    <n v="0"/>
    <d v="1899-12-30T00:00:00"/>
    <n v="0"/>
  </r>
  <r>
    <n v="227"/>
    <s v=" "/>
    <x v="11"/>
    <x v="9"/>
    <m/>
    <x v="28"/>
    <m/>
    <x v="9"/>
    <x v="2"/>
    <x v="9"/>
    <m/>
    <m/>
    <m/>
    <d v="1900-01-23T00:00:00"/>
    <n v="0"/>
    <d v="1899-12-30T00:00:00"/>
    <n v="0"/>
  </r>
  <r>
    <n v="228"/>
    <s v=" "/>
    <x v="11"/>
    <x v="9"/>
    <m/>
    <x v="28"/>
    <m/>
    <x v="9"/>
    <x v="2"/>
    <x v="9"/>
    <m/>
    <m/>
    <m/>
    <d v="1900-01-23T00:00:00"/>
    <n v="0"/>
    <d v="1899-12-30T00:00:00"/>
    <n v="0"/>
  </r>
  <r>
    <n v="229"/>
    <s v=" "/>
    <x v="11"/>
    <x v="9"/>
    <m/>
    <x v="28"/>
    <m/>
    <x v="9"/>
    <x v="2"/>
    <x v="9"/>
    <m/>
    <m/>
    <m/>
    <d v="1900-01-23T00:00:00"/>
    <n v="0"/>
    <d v="1899-12-30T00:00:00"/>
    <n v="0"/>
  </r>
  <r>
    <n v="230"/>
    <s v=" "/>
    <x v="11"/>
    <x v="9"/>
    <m/>
    <x v="28"/>
    <m/>
    <x v="9"/>
    <x v="2"/>
    <x v="9"/>
    <m/>
    <m/>
    <m/>
    <d v="1900-01-23T00:00:00"/>
    <n v="0"/>
    <d v="1899-12-30T00:00:00"/>
    <n v="0"/>
  </r>
  <r>
    <n v="231"/>
    <s v=" "/>
    <x v="11"/>
    <x v="9"/>
    <m/>
    <x v="28"/>
    <m/>
    <x v="9"/>
    <x v="2"/>
    <x v="9"/>
    <m/>
    <m/>
    <m/>
    <d v="1900-01-23T00:00:00"/>
    <n v="0"/>
    <d v="1899-12-30T00:00:00"/>
    <n v="0"/>
  </r>
  <r>
    <n v="232"/>
    <s v=" "/>
    <x v="11"/>
    <x v="9"/>
    <m/>
    <x v="28"/>
    <m/>
    <x v="9"/>
    <x v="2"/>
    <x v="9"/>
    <m/>
    <m/>
    <m/>
    <d v="1900-01-23T00:00:00"/>
    <n v="0"/>
    <d v="1899-12-30T00:00:00"/>
    <n v="0"/>
  </r>
  <r>
    <n v="233"/>
    <s v=" "/>
    <x v="11"/>
    <x v="9"/>
    <m/>
    <x v="28"/>
    <m/>
    <x v="9"/>
    <x v="2"/>
    <x v="9"/>
    <m/>
    <m/>
    <m/>
    <d v="1900-01-23T00:00:00"/>
    <n v="0"/>
    <d v="1899-12-30T00:00:00"/>
    <n v="0"/>
  </r>
  <r>
    <n v="234"/>
    <s v=" "/>
    <x v="11"/>
    <x v="9"/>
    <m/>
    <x v="28"/>
    <m/>
    <x v="9"/>
    <x v="2"/>
    <x v="9"/>
    <m/>
    <m/>
    <m/>
    <d v="1900-01-23T00:00:00"/>
    <n v="0"/>
    <d v="1899-12-30T00:00:00"/>
    <n v="0"/>
  </r>
  <r>
    <n v="235"/>
    <s v=" "/>
    <x v="11"/>
    <x v="9"/>
    <m/>
    <x v="28"/>
    <m/>
    <x v="9"/>
    <x v="2"/>
    <x v="9"/>
    <m/>
    <m/>
    <m/>
    <d v="1900-01-23T00:00:00"/>
    <n v="0"/>
    <d v="1899-12-30T00:00:00"/>
    <n v="0"/>
  </r>
  <r>
    <n v="236"/>
    <s v=" "/>
    <x v="11"/>
    <x v="9"/>
    <m/>
    <x v="28"/>
    <m/>
    <x v="9"/>
    <x v="2"/>
    <x v="9"/>
    <m/>
    <m/>
    <m/>
    <d v="1900-01-23T00:00:00"/>
    <n v="0"/>
    <d v="1899-12-30T00:00:00"/>
    <n v="0"/>
  </r>
  <r>
    <n v="237"/>
    <s v=" "/>
    <x v="11"/>
    <x v="9"/>
    <m/>
    <x v="28"/>
    <m/>
    <x v="9"/>
    <x v="2"/>
    <x v="9"/>
    <m/>
    <m/>
    <m/>
    <d v="1900-01-23T00:00:00"/>
    <n v="0"/>
    <d v="1899-12-30T00:00:00"/>
    <n v="0"/>
  </r>
  <r>
    <n v="238"/>
    <s v=" "/>
    <x v="11"/>
    <x v="9"/>
    <m/>
    <x v="28"/>
    <m/>
    <x v="9"/>
    <x v="2"/>
    <x v="9"/>
    <m/>
    <m/>
    <m/>
    <d v="1900-01-23T00:00:00"/>
    <n v="0"/>
    <d v="1899-12-30T00:00:00"/>
    <n v="0"/>
  </r>
  <r>
    <n v="239"/>
    <s v=" "/>
    <x v="11"/>
    <x v="9"/>
    <m/>
    <x v="28"/>
    <m/>
    <x v="9"/>
    <x v="2"/>
    <x v="9"/>
    <m/>
    <m/>
    <m/>
    <d v="1900-01-23T00:00:00"/>
    <n v="0"/>
    <d v="1899-12-30T00:00:00"/>
    <n v="0"/>
  </r>
  <r>
    <n v="240"/>
    <s v=" "/>
    <x v="11"/>
    <x v="9"/>
    <m/>
    <x v="28"/>
    <m/>
    <x v="9"/>
    <x v="2"/>
    <x v="9"/>
    <m/>
    <m/>
    <m/>
    <d v="1900-01-23T00:00:00"/>
    <n v="0"/>
    <d v="1899-12-30T00:00:00"/>
    <n v="0"/>
  </r>
  <r>
    <n v="241"/>
    <s v=" "/>
    <x v="11"/>
    <x v="9"/>
    <m/>
    <x v="28"/>
    <m/>
    <x v="9"/>
    <x v="2"/>
    <x v="9"/>
    <m/>
    <m/>
    <m/>
    <d v="1900-01-23T00:00:00"/>
    <n v="0"/>
    <d v="1899-12-30T00:00:00"/>
    <n v="0"/>
  </r>
  <r>
    <n v="242"/>
    <s v=" "/>
    <x v="11"/>
    <x v="9"/>
    <m/>
    <x v="28"/>
    <m/>
    <x v="9"/>
    <x v="2"/>
    <x v="9"/>
    <m/>
    <m/>
    <m/>
    <d v="1900-01-23T00:00:00"/>
    <n v="0"/>
    <d v="1899-12-30T00:00:00"/>
    <n v="0"/>
  </r>
  <r>
    <n v="243"/>
    <s v=" "/>
    <x v="11"/>
    <x v="9"/>
    <m/>
    <x v="28"/>
    <m/>
    <x v="9"/>
    <x v="2"/>
    <x v="9"/>
    <m/>
    <m/>
    <m/>
    <d v="1900-01-23T00:00:00"/>
    <n v="0"/>
    <d v="1899-12-30T00:00:00"/>
    <n v="0"/>
  </r>
  <r>
    <n v="244"/>
    <s v=" "/>
    <x v="11"/>
    <x v="9"/>
    <m/>
    <x v="28"/>
    <m/>
    <x v="9"/>
    <x v="2"/>
    <x v="9"/>
    <m/>
    <m/>
    <m/>
    <d v="1900-01-23T00:00:00"/>
    <n v="0"/>
    <d v="1899-12-30T00:00:00"/>
    <n v="0"/>
  </r>
  <r>
    <n v="245"/>
    <s v=" "/>
    <x v="11"/>
    <x v="9"/>
    <m/>
    <x v="28"/>
    <m/>
    <x v="9"/>
    <x v="2"/>
    <x v="9"/>
    <m/>
    <m/>
    <m/>
    <d v="1900-01-23T00:00:00"/>
    <n v="0"/>
    <d v="1899-12-30T00:00:00"/>
    <n v="0"/>
  </r>
  <r>
    <n v="246"/>
    <s v=" "/>
    <x v="11"/>
    <x v="9"/>
    <m/>
    <x v="28"/>
    <m/>
    <x v="9"/>
    <x v="2"/>
    <x v="9"/>
    <m/>
    <m/>
    <m/>
    <d v="1900-01-23T00:00:00"/>
    <n v="0"/>
    <d v="1899-12-30T00:00:00"/>
    <n v="0"/>
  </r>
  <r>
    <n v="247"/>
    <s v=" "/>
    <x v="11"/>
    <x v="9"/>
    <m/>
    <x v="28"/>
    <m/>
    <x v="9"/>
    <x v="2"/>
    <x v="9"/>
    <m/>
    <m/>
    <m/>
    <d v="1900-01-23T00:00:00"/>
    <n v="0"/>
    <d v="1899-12-30T00:00:00"/>
    <n v="0"/>
  </r>
  <r>
    <n v="248"/>
    <s v=" "/>
    <x v="11"/>
    <x v="9"/>
    <m/>
    <x v="28"/>
    <m/>
    <x v="9"/>
    <x v="2"/>
    <x v="9"/>
    <m/>
    <m/>
    <m/>
    <d v="1900-01-23T00:00:00"/>
    <n v="0"/>
    <d v="1899-12-30T00:00:00"/>
    <n v="0"/>
  </r>
  <r>
    <n v="249"/>
    <s v=" "/>
    <x v="11"/>
    <x v="9"/>
    <m/>
    <x v="28"/>
    <m/>
    <x v="9"/>
    <x v="2"/>
    <x v="9"/>
    <m/>
    <m/>
    <m/>
    <d v="1900-01-23T00:00:00"/>
    <n v="0"/>
    <d v="1899-12-30T00:00:00"/>
    <n v="0"/>
  </r>
  <r>
    <n v="250"/>
    <s v=" "/>
    <x v="11"/>
    <x v="9"/>
    <m/>
    <x v="28"/>
    <m/>
    <x v="9"/>
    <x v="2"/>
    <x v="9"/>
    <m/>
    <m/>
    <m/>
    <d v="1900-01-23T00:00:00"/>
    <n v="0"/>
    <d v="1899-12-30T00:00:00"/>
    <n v="0"/>
  </r>
  <r>
    <n v="251"/>
    <s v=" "/>
    <x v="11"/>
    <x v="9"/>
    <m/>
    <x v="28"/>
    <m/>
    <x v="9"/>
    <x v="2"/>
    <x v="9"/>
    <m/>
    <m/>
    <m/>
    <d v="1900-01-23T00:00:00"/>
    <n v="0"/>
    <d v="1899-12-30T00:00:00"/>
    <n v="0"/>
  </r>
  <r>
    <n v="252"/>
    <s v=" "/>
    <x v="11"/>
    <x v="9"/>
    <m/>
    <x v="28"/>
    <m/>
    <x v="9"/>
    <x v="2"/>
    <x v="9"/>
    <m/>
    <m/>
    <m/>
    <d v="1900-01-23T00:00:00"/>
    <n v="0"/>
    <d v="1899-12-30T00:00:00"/>
    <n v="0"/>
  </r>
  <r>
    <n v="253"/>
    <s v=" "/>
    <x v="11"/>
    <x v="9"/>
    <m/>
    <x v="28"/>
    <m/>
    <x v="9"/>
    <x v="2"/>
    <x v="9"/>
    <m/>
    <m/>
    <m/>
    <d v="1900-01-23T00:00:00"/>
    <n v="0"/>
    <d v="1899-12-30T00:00:00"/>
    <n v="0"/>
  </r>
  <r>
    <n v="254"/>
    <s v=" "/>
    <x v="11"/>
    <x v="9"/>
    <m/>
    <x v="28"/>
    <m/>
    <x v="9"/>
    <x v="2"/>
    <x v="9"/>
    <m/>
    <m/>
    <m/>
    <d v="1900-01-23T00:00:00"/>
    <n v="0"/>
    <d v="1899-12-30T00:00:00"/>
    <n v="0"/>
  </r>
  <r>
    <n v="255"/>
    <s v=" "/>
    <x v="11"/>
    <x v="9"/>
    <m/>
    <x v="28"/>
    <m/>
    <x v="9"/>
    <x v="2"/>
    <x v="9"/>
    <m/>
    <m/>
    <m/>
    <d v="1900-01-23T00:00:00"/>
    <n v="0"/>
    <d v="1899-12-30T00:00:00"/>
    <n v="0"/>
  </r>
  <r>
    <n v="256"/>
    <s v=" "/>
    <x v="11"/>
    <x v="9"/>
    <m/>
    <x v="28"/>
    <m/>
    <x v="9"/>
    <x v="2"/>
    <x v="9"/>
    <m/>
    <m/>
    <m/>
    <d v="1900-01-23T00:00:00"/>
    <n v="0"/>
    <d v="1899-12-30T00:00:00"/>
    <n v="0"/>
  </r>
  <r>
    <n v="257"/>
    <s v=" "/>
    <x v="11"/>
    <x v="9"/>
    <m/>
    <x v="28"/>
    <m/>
    <x v="9"/>
    <x v="2"/>
    <x v="9"/>
    <m/>
    <m/>
    <m/>
    <d v="1900-01-23T00:00:00"/>
    <n v="0"/>
    <d v="1899-12-30T00:00:00"/>
    <n v="0"/>
  </r>
  <r>
    <n v="258"/>
    <s v=" "/>
    <x v="11"/>
    <x v="9"/>
    <m/>
    <x v="28"/>
    <m/>
    <x v="9"/>
    <x v="2"/>
    <x v="9"/>
    <m/>
    <m/>
    <m/>
    <d v="1900-01-23T00:00:00"/>
    <n v="0"/>
    <d v="1899-12-30T00:00:00"/>
    <n v="0"/>
  </r>
  <r>
    <n v="259"/>
    <s v=" "/>
    <x v="11"/>
    <x v="9"/>
    <m/>
    <x v="28"/>
    <m/>
    <x v="9"/>
    <x v="2"/>
    <x v="9"/>
    <m/>
    <m/>
    <m/>
    <d v="1900-01-23T00:00:00"/>
    <n v="0"/>
    <d v="1899-12-30T00:00:00"/>
    <n v="0"/>
  </r>
  <r>
    <n v="260"/>
    <s v=" "/>
    <x v="11"/>
    <x v="9"/>
    <m/>
    <x v="28"/>
    <m/>
    <x v="9"/>
    <x v="2"/>
    <x v="9"/>
    <m/>
    <m/>
    <m/>
    <d v="1900-01-23T00:00:00"/>
    <n v="0"/>
    <d v="1899-12-30T00:00:00"/>
    <n v="0"/>
  </r>
  <r>
    <n v="261"/>
    <s v=" "/>
    <x v="11"/>
    <x v="9"/>
    <m/>
    <x v="28"/>
    <m/>
    <x v="9"/>
    <x v="2"/>
    <x v="9"/>
    <m/>
    <m/>
    <m/>
    <d v="1900-01-23T00:00:00"/>
    <n v="0"/>
    <d v="1899-12-30T00:00:00"/>
    <n v="0"/>
  </r>
  <r>
    <n v="262"/>
    <s v=" "/>
    <x v="11"/>
    <x v="9"/>
    <m/>
    <x v="28"/>
    <m/>
    <x v="9"/>
    <x v="2"/>
    <x v="9"/>
    <m/>
    <m/>
    <m/>
    <d v="1900-01-23T00:00:00"/>
    <n v="0"/>
    <d v="1899-12-30T00:00:00"/>
    <n v="0"/>
  </r>
  <r>
    <n v="263"/>
    <s v=" "/>
    <x v="11"/>
    <x v="9"/>
    <m/>
    <x v="28"/>
    <m/>
    <x v="9"/>
    <x v="2"/>
    <x v="9"/>
    <m/>
    <m/>
    <m/>
    <d v="1900-01-23T00:00:00"/>
    <n v="0"/>
    <d v="1899-12-30T00:00:00"/>
    <n v="0"/>
  </r>
  <r>
    <n v="264"/>
    <s v=" "/>
    <x v="11"/>
    <x v="9"/>
    <m/>
    <x v="28"/>
    <m/>
    <x v="9"/>
    <x v="2"/>
    <x v="9"/>
    <m/>
    <m/>
    <m/>
    <d v="1900-01-23T00:00:00"/>
    <n v="0"/>
    <d v="1899-12-30T00:00:00"/>
    <n v="0"/>
  </r>
  <r>
    <n v="265"/>
    <s v=" "/>
    <x v="11"/>
    <x v="9"/>
    <m/>
    <x v="28"/>
    <m/>
    <x v="9"/>
    <x v="2"/>
    <x v="9"/>
    <m/>
    <m/>
    <m/>
    <d v="1900-01-23T00:00:00"/>
    <n v="0"/>
    <d v="1899-12-30T00:00:00"/>
    <n v="0"/>
  </r>
  <r>
    <n v="266"/>
    <s v=" "/>
    <x v="11"/>
    <x v="9"/>
    <m/>
    <x v="28"/>
    <m/>
    <x v="9"/>
    <x v="2"/>
    <x v="9"/>
    <m/>
    <m/>
    <m/>
    <d v="1900-01-23T00:00:00"/>
    <n v="0"/>
    <d v="1899-12-30T00:00:00"/>
    <n v="0"/>
  </r>
  <r>
    <n v="267"/>
    <s v=" "/>
    <x v="11"/>
    <x v="9"/>
    <m/>
    <x v="28"/>
    <m/>
    <x v="9"/>
    <x v="2"/>
    <x v="9"/>
    <m/>
    <m/>
    <m/>
    <d v="1900-01-23T00:00:00"/>
    <n v="0"/>
    <d v="1899-12-30T00:00:00"/>
    <n v="0"/>
  </r>
  <r>
    <n v="268"/>
    <s v=" "/>
    <x v="11"/>
    <x v="9"/>
    <m/>
    <x v="28"/>
    <m/>
    <x v="9"/>
    <x v="2"/>
    <x v="9"/>
    <m/>
    <m/>
    <m/>
    <d v="1900-01-23T00:00:00"/>
    <n v="0"/>
    <d v="1899-12-30T00:00:00"/>
    <n v="0"/>
  </r>
  <r>
    <n v="269"/>
    <s v=" "/>
    <x v="11"/>
    <x v="9"/>
    <m/>
    <x v="28"/>
    <m/>
    <x v="9"/>
    <x v="2"/>
    <x v="9"/>
    <m/>
    <m/>
    <m/>
    <d v="1900-01-23T00:00:00"/>
    <n v="0"/>
    <d v="1899-12-30T00:00:00"/>
    <n v="0"/>
  </r>
  <r>
    <n v="270"/>
    <s v=" "/>
    <x v="11"/>
    <x v="9"/>
    <m/>
    <x v="28"/>
    <m/>
    <x v="9"/>
    <x v="2"/>
    <x v="9"/>
    <m/>
    <m/>
    <m/>
    <d v="1900-01-23T00:00:00"/>
    <n v="0"/>
    <d v="1899-12-30T00:00:00"/>
    <n v="0"/>
  </r>
  <r>
    <n v="271"/>
    <s v=" "/>
    <x v="11"/>
    <x v="9"/>
    <m/>
    <x v="28"/>
    <m/>
    <x v="9"/>
    <x v="2"/>
    <x v="9"/>
    <m/>
    <m/>
    <m/>
    <d v="1900-01-23T00:00:00"/>
    <n v="0"/>
    <d v="1899-12-30T00:00:00"/>
    <n v="0"/>
  </r>
  <r>
    <n v="272"/>
    <s v=" "/>
    <x v="11"/>
    <x v="9"/>
    <m/>
    <x v="28"/>
    <m/>
    <x v="9"/>
    <x v="2"/>
    <x v="9"/>
    <m/>
    <m/>
    <m/>
    <d v="1900-01-23T00:00:00"/>
    <n v="0"/>
    <d v="1899-12-30T00:00:00"/>
    <n v="0"/>
  </r>
  <r>
    <n v="273"/>
    <s v=" "/>
    <x v="11"/>
    <x v="9"/>
    <m/>
    <x v="28"/>
    <m/>
    <x v="9"/>
    <x v="2"/>
    <x v="9"/>
    <m/>
    <m/>
    <m/>
    <d v="1900-01-23T00:00:00"/>
    <n v="0"/>
    <d v="1899-12-30T00:00:00"/>
    <n v="0"/>
  </r>
  <r>
    <n v="274"/>
    <s v=" "/>
    <x v="11"/>
    <x v="9"/>
    <m/>
    <x v="28"/>
    <m/>
    <x v="9"/>
    <x v="2"/>
    <x v="9"/>
    <m/>
    <m/>
    <m/>
    <d v="1900-01-23T00:00:00"/>
    <n v="0"/>
    <d v="1899-12-30T00:00:00"/>
    <n v="0"/>
  </r>
  <r>
    <n v="275"/>
    <s v=" "/>
    <x v="11"/>
    <x v="9"/>
    <m/>
    <x v="28"/>
    <m/>
    <x v="9"/>
    <x v="2"/>
    <x v="9"/>
    <m/>
    <m/>
    <m/>
    <d v="1900-01-23T00:00:00"/>
    <n v="0"/>
    <d v="1899-12-30T00:00:00"/>
    <n v="0"/>
  </r>
  <r>
    <n v="276"/>
    <s v=" "/>
    <x v="11"/>
    <x v="9"/>
    <m/>
    <x v="28"/>
    <m/>
    <x v="9"/>
    <x v="2"/>
    <x v="9"/>
    <m/>
    <m/>
    <m/>
    <d v="1900-01-23T00:00:00"/>
    <n v="0"/>
    <d v="1899-12-30T00:00:00"/>
    <n v="0"/>
  </r>
  <r>
    <n v="277"/>
    <s v=" "/>
    <x v="11"/>
    <x v="9"/>
    <m/>
    <x v="28"/>
    <m/>
    <x v="9"/>
    <x v="2"/>
    <x v="9"/>
    <m/>
    <m/>
    <m/>
    <d v="1900-01-23T00:00:00"/>
    <n v="0"/>
    <d v="1899-12-30T00:00:00"/>
    <n v="0"/>
  </r>
  <r>
    <n v="278"/>
    <s v=" "/>
    <x v="11"/>
    <x v="9"/>
    <m/>
    <x v="28"/>
    <m/>
    <x v="9"/>
    <x v="2"/>
    <x v="9"/>
    <m/>
    <m/>
    <m/>
    <d v="1900-01-23T00:00:00"/>
    <n v="0"/>
    <d v="1899-12-30T00:00:00"/>
    <n v="0"/>
  </r>
  <r>
    <n v="279"/>
    <s v=" "/>
    <x v="11"/>
    <x v="9"/>
    <m/>
    <x v="28"/>
    <m/>
    <x v="9"/>
    <x v="2"/>
    <x v="9"/>
    <m/>
    <m/>
    <m/>
    <d v="1900-01-23T00:00:00"/>
    <n v="0"/>
    <d v="1899-12-30T00:00:00"/>
    <n v="0"/>
  </r>
  <r>
    <n v="280"/>
    <s v=" "/>
    <x v="11"/>
    <x v="9"/>
    <m/>
    <x v="28"/>
    <m/>
    <x v="9"/>
    <x v="2"/>
    <x v="9"/>
    <m/>
    <m/>
    <m/>
    <d v="1900-01-23T00:00:00"/>
    <n v="0"/>
    <d v="1899-12-30T00:00:00"/>
    <n v="0"/>
  </r>
  <r>
    <n v="281"/>
    <s v=" "/>
    <x v="11"/>
    <x v="9"/>
    <m/>
    <x v="28"/>
    <m/>
    <x v="9"/>
    <x v="2"/>
    <x v="9"/>
    <m/>
    <m/>
    <m/>
    <d v="1900-01-23T00:00:00"/>
    <n v="0"/>
    <d v="1899-12-30T00:00:00"/>
    <n v="0"/>
  </r>
  <r>
    <n v="282"/>
    <s v=" "/>
    <x v="11"/>
    <x v="9"/>
    <m/>
    <x v="28"/>
    <m/>
    <x v="9"/>
    <x v="2"/>
    <x v="9"/>
    <m/>
    <m/>
    <m/>
    <d v="1900-01-23T00:00:00"/>
    <n v="0"/>
    <d v="1899-12-30T00:00:00"/>
    <n v="0"/>
  </r>
  <r>
    <n v="283"/>
    <s v=" "/>
    <x v="11"/>
    <x v="9"/>
    <m/>
    <x v="28"/>
    <m/>
    <x v="9"/>
    <x v="2"/>
    <x v="9"/>
    <m/>
    <m/>
    <m/>
    <d v="1900-01-23T00:00:00"/>
    <n v="0"/>
    <d v="1899-12-30T00:00:00"/>
    <n v="0"/>
  </r>
  <r>
    <n v="284"/>
    <s v=" "/>
    <x v="11"/>
    <x v="9"/>
    <m/>
    <x v="28"/>
    <m/>
    <x v="9"/>
    <x v="2"/>
    <x v="9"/>
    <m/>
    <m/>
    <m/>
    <d v="1900-01-23T00:00:00"/>
    <n v="0"/>
    <d v="1899-12-30T00:00:00"/>
    <n v="0"/>
  </r>
  <r>
    <n v="285"/>
    <s v=" "/>
    <x v="11"/>
    <x v="9"/>
    <m/>
    <x v="28"/>
    <m/>
    <x v="9"/>
    <x v="2"/>
    <x v="9"/>
    <m/>
    <m/>
    <m/>
    <d v="1900-01-23T00:00:00"/>
    <n v="0"/>
    <d v="1899-12-30T00:00:00"/>
    <n v="0"/>
  </r>
  <r>
    <n v="286"/>
    <s v=" "/>
    <x v="11"/>
    <x v="9"/>
    <m/>
    <x v="28"/>
    <m/>
    <x v="9"/>
    <x v="2"/>
    <x v="9"/>
    <m/>
    <m/>
    <m/>
    <d v="1900-01-23T00:00:00"/>
    <n v="0"/>
    <d v="1899-12-30T00:00:00"/>
    <n v="0"/>
  </r>
  <r>
    <n v="287"/>
    <s v=" "/>
    <x v="11"/>
    <x v="9"/>
    <m/>
    <x v="28"/>
    <m/>
    <x v="9"/>
    <x v="2"/>
    <x v="9"/>
    <m/>
    <m/>
    <m/>
    <d v="1900-01-23T00:00:00"/>
    <n v="0"/>
    <d v="1899-12-30T00:00:00"/>
    <n v="0"/>
  </r>
  <r>
    <n v="288"/>
    <s v=" "/>
    <x v="11"/>
    <x v="9"/>
    <m/>
    <x v="28"/>
    <m/>
    <x v="9"/>
    <x v="2"/>
    <x v="9"/>
    <m/>
    <m/>
    <m/>
    <d v="1900-01-23T00:00:00"/>
    <n v="0"/>
    <d v="1899-12-30T00:00:00"/>
    <n v="0"/>
  </r>
  <r>
    <n v="289"/>
    <s v=" "/>
    <x v="11"/>
    <x v="9"/>
    <m/>
    <x v="28"/>
    <m/>
    <x v="9"/>
    <x v="2"/>
    <x v="9"/>
    <m/>
    <m/>
    <m/>
    <d v="1900-01-23T00:00:00"/>
    <n v="0"/>
    <d v="1899-12-30T00:00:00"/>
    <n v="0"/>
  </r>
  <r>
    <n v="290"/>
    <s v=" "/>
    <x v="11"/>
    <x v="9"/>
    <m/>
    <x v="28"/>
    <m/>
    <x v="9"/>
    <x v="2"/>
    <x v="9"/>
    <m/>
    <m/>
    <m/>
    <d v="1900-01-23T00:00:00"/>
    <n v="0"/>
    <d v="1899-12-30T00:00:00"/>
    <n v="0"/>
  </r>
  <r>
    <n v="291"/>
    <s v=" "/>
    <x v="11"/>
    <x v="9"/>
    <m/>
    <x v="28"/>
    <m/>
    <x v="9"/>
    <x v="2"/>
    <x v="9"/>
    <m/>
    <m/>
    <m/>
    <d v="1900-01-23T00:00:00"/>
    <n v="0"/>
    <d v="1899-12-30T00:00:00"/>
    <n v="0"/>
  </r>
  <r>
    <n v="292"/>
    <s v=" "/>
    <x v="11"/>
    <x v="9"/>
    <m/>
    <x v="28"/>
    <m/>
    <x v="9"/>
    <x v="2"/>
    <x v="9"/>
    <m/>
    <m/>
    <m/>
    <d v="1900-01-23T00:00:00"/>
    <n v="0"/>
    <d v="1899-12-30T00:00:00"/>
    <n v="0"/>
  </r>
  <r>
    <n v="293"/>
    <s v=" "/>
    <x v="11"/>
    <x v="9"/>
    <m/>
    <x v="28"/>
    <m/>
    <x v="9"/>
    <x v="2"/>
    <x v="9"/>
    <m/>
    <m/>
    <m/>
    <d v="1900-01-23T00:00:00"/>
    <n v="0"/>
    <d v="1899-12-30T00:00:00"/>
    <n v="0"/>
  </r>
  <r>
    <n v="294"/>
    <s v=" "/>
    <x v="11"/>
    <x v="9"/>
    <m/>
    <x v="28"/>
    <m/>
    <x v="9"/>
    <x v="2"/>
    <x v="9"/>
    <m/>
    <m/>
    <m/>
    <d v="1900-01-23T00:00:00"/>
    <n v="0"/>
    <d v="1899-12-30T00:00:00"/>
    <n v="0"/>
  </r>
  <r>
    <n v="295"/>
    <s v=" "/>
    <x v="11"/>
    <x v="9"/>
    <m/>
    <x v="28"/>
    <m/>
    <x v="9"/>
    <x v="2"/>
    <x v="9"/>
    <m/>
    <m/>
    <m/>
    <d v="1900-01-23T00:00:00"/>
    <n v="0"/>
    <d v="1899-12-30T00:00:00"/>
    <n v="0"/>
  </r>
  <r>
    <n v="296"/>
    <s v=" "/>
    <x v="11"/>
    <x v="9"/>
    <m/>
    <x v="28"/>
    <m/>
    <x v="9"/>
    <x v="2"/>
    <x v="9"/>
    <m/>
    <m/>
    <m/>
    <d v="1900-01-23T00:00:00"/>
    <n v="0"/>
    <d v="1899-12-30T00:00:00"/>
    <n v="0"/>
  </r>
  <r>
    <n v="297"/>
    <s v=" "/>
    <x v="11"/>
    <x v="9"/>
    <m/>
    <x v="28"/>
    <m/>
    <x v="9"/>
    <x v="2"/>
    <x v="9"/>
    <m/>
    <m/>
    <m/>
    <d v="1900-01-23T00:00:00"/>
    <n v="0"/>
    <d v="1899-12-30T00:00:00"/>
    <n v="0"/>
  </r>
  <r>
    <n v="298"/>
    <s v=" "/>
    <x v="11"/>
    <x v="9"/>
    <m/>
    <x v="28"/>
    <m/>
    <x v="9"/>
    <x v="2"/>
    <x v="9"/>
    <m/>
    <m/>
    <m/>
    <d v="1900-01-23T00:00:00"/>
    <n v="0"/>
    <d v="1899-12-30T00:00:00"/>
    <n v="0"/>
  </r>
  <r>
    <n v="299"/>
    <s v=" "/>
    <x v="11"/>
    <x v="9"/>
    <m/>
    <x v="28"/>
    <m/>
    <x v="9"/>
    <x v="2"/>
    <x v="9"/>
    <m/>
    <m/>
    <m/>
    <d v="1900-01-23T00:00:00"/>
    <n v="0"/>
    <d v="1899-12-30T00:00:00"/>
    <n v="0"/>
  </r>
  <r>
    <n v="300"/>
    <s v=" "/>
    <x v="11"/>
    <x v="9"/>
    <m/>
    <x v="28"/>
    <m/>
    <x v="9"/>
    <x v="2"/>
    <x v="9"/>
    <m/>
    <m/>
    <m/>
    <d v="1900-01-23T00:00:00"/>
    <n v="0"/>
    <d v="1899-12-30T00:00:00"/>
    <n v="0"/>
  </r>
  <r>
    <n v="301"/>
    <s v=" "/>
    <x v="11"/>
    <x v="9"/>
    <m/>
    <x v="28"/>
    <m/>
    <x v="9"/>
    <x v="2"/>
    <x v="9"/>
    <m/>
    <m/>
    <m/>
    <d v="1900-01-23T00:00:00"/>
    <n v="0"/>
    <d v="1899-12-30T00:00:00"/>
    <n v="0"/>
  </r>
  <r>
    <n v="302"/>
    <s v=" "/>
    <x v="11"/>
    <x v="9"/>
    <m/>
    <x v="28"/>
    <m/>
    <x v="9"/>
    <x v="2"/>
    <x v="9"/>
    <m/>
    <m/>
    <m/>
    <d v="1900-01-23T00:00:00"/>
    <n v="0"/>
    <d v="1899-12-30T00:00:00"/>
    <n v="0"/>
  </r>
  <r>
    <n v="303"/>
    <s v=" "/>
    <x v="11"/>
    <x v="9"/>
    <m/>
    <x v="28"/>
    <m/>
    <x v="9"/>
    <x v="2"/>
    <x v="9"/>
    <m/>
    <m/>
    <m/>
    <d v="1900-01-23T00:00:00"/>
    <n v="0"/>
    <d v="1899-12-30T00:00:00"/>
    <n v="0"/>
  </r>
  <r>
    <n v="304"/>
    <s v=" "/>
    <x v="11"/>
    <x v="9"/>
    <m/>
    <x v="28"/>
    <m/>
    <x v="9"/>
    <x v="2"/>
    <x v="9"/>
    <m/>
    <m/>
    <m/>
    <d v="1900-01-23T00:00:00"/>
    <n v="0"/>
    <d v="1899-12-30T00:00:00"/>
    <n v="0"/>
  </r>
  <r>
    <n v="305"/>
    <s v=" "/>
    <x v="11"/>
    <x v="9"/>
    <m/>
    <x v="28"/>
    <m/>
    <x v="9"/>
    <x v="2"/>
    <x v="9"/>
    <m/>
    <m/>
    <m/>
    <d v="1900-01-23T00:00:00"/>
    <n v="0"/>
    <d v="1899-12-30T00:00:00"/>
    <n v="0"/>
  </r>
  <r>
    <n v="306"/>
    <s v=" "/>
    <x v="11"/>
    <x v="9"/>
    <m/>
    <x v="28"/>
    <m/>
    <x v="9"/>
    <x v="2"/>
    <x v="9"/>
    <m/>
    <m/>
    <m/>
    <d v="1900-01-23T00:00:00"/>
    <n v="0"/>
    <d v="1899-12-30T00:00:00"/>
    <n v="0"/>
  </r>
  <r>
    <n v="307"/>
    <s v=" "/>
    <x v="11"/>
    <x v="9"/>
    <m/>
    <x v="28"/>
    <m/>
    <x v="9"/>
    <x v="2"/>
    <x v="9"/>
    <m/>
    <m/>
    <m/>
    <d v="1900-01-23T00:00:00"/>
    <n v="0"/>
    <d v="1899-12-30T00:00:00"/>
    <n v="0"/>
  </r>
  <r>
    <n v="308"/>
    <s v=" "/>
    <x v="11"/>
    <x v="9"/>
    <m/>
    <x v="28"/>
    <m/>
    <x v="9"/>
    <x v="2"/>
    <x v="9"/>
    <m/>
    <m/>
    <m/>
    <d v="1900-01-23T00:00:00"/>
    <n v="0"/>
    <d v="1899-12-30T00:00:00"/>
    <n v="0"/>
  </r>
  <r>
    <n v="309"/>
    <s v=" "/>
    <x v="11"/>
    <x v="9"/>
    <m/>
    <x v="28"/>
    <m/>
    <x v="9"/>
    <x v="2"/>
    <x v="9"/>
    <m/>
    <m/>
    <m/>
    <d v="1900-01-23T00:00:00"/>
    <n v="0"/>
    <d v="1899-12-30T00:00:00"/>
    <n v="0"/>
  </r>
  <r>
    <n v="310"/>
    <s v=" "/>
    <x v="11"/>
    <x v="9"/>
    <m/>
    <x v="28"/>
    <m/>
    <x v="9"/>
    <x v="2"/>
    <x v="9"/>
    <m/>
    <m/>
    <m/>
    <d v="1900-01-23T00:00:00"/>
    <n v="0"/>
    <d v="1899-12-30T00:00:00"/>
    <n v="0"/>
  </r>
  <r>
    <n v="311"/>
    <s v=" "/>
    <x v="11"/>
    <x v="9"/>
    <m/>
    <x v="28"/>
    <m/>
    <x v="9"/>
    <x v="2"/>
    <x v="9"/>
    <m/>
    <m/>
    <m/>
    <d v="1900-01-23T00:00:00"/>
    <n v="0"/>
    <d v="1899-12-30T00:00:00"/>
    <n v="0"/>
  </r>
  <r>
    <n v="312"/>
    <s v=" "/>
    <x v="11"/>
    <x v="9"/>
    <m/>
    <x v="28"/>
    <m/>
    <x v="9"/>
    <x v="2"/>
    <x v="9"/>
    <m/>
    <m/>
    <m/>
    <d v="1900-01-23T00:00:00"/>
    <n v="0"/>
    <d v="1899-12-30T00:00:00"/>
    <n v="0"/>
  </r>
  <r>
    <n v="313"/>
    <s v=" "/>
    <x v="11"/>
    <x v="9"/>
    <m/>
    <x v="28"/>
    <m/>
    <x v="9"/>
    <x v="2"/>
    <x v="9"/>
    <m/>
    <m/>
    <m/>
    <d v="1900-01-23T00:00:00"/>
    <n v="0"/>
    <d v="1899-12-30T00:00:00"/>
    <n v="0"/>
  </r>
  <r>
    <n v="314"/>
    <s v=" "/>
    <x v="11"/>
    <x v="9"/>
    <m/>
    <x v="28"/>
    <m/>
    <x v="9"/>
    <x v="2"/>
    <x v="9"/>
    <m/>
    <m/>
    <m/>
    <d v="1900-01-23T00:00:00"/>
    <n v="0"/>
    <d v="1899-12-30T00:00:00"/>
    <n v="0"/>
  </r>
  <r>
    <n v="315"/>
    <s v=" "/>
    <x v="11"/>
    <x v="9"/>
    <m/>
    <x v="28"/>
    <m/>
    <x v="9"/>
    <x v="2"/>
    <x v="9"/>
    <m/>
    <m/>
    <m/>
    <d v="1900-01-23T00:00:00"/>
    <n v="0"/>
    <d v="1899-12-30T00:00:00"/>
    <n v="0"/>
  </r>
  <r>
    <n v="316"/>
    <s v=" "/>
    <x v="11"/>
    <x v="9"/>
    <m/>
    <x v="28"/>
    <m/>
    <x v="9"/>
    <x v="2"/>
    <x v="9"/>
    <m/>
    <m/>
    <m/>
    <d v="1900-01-23T00:00:00"/>
    <n v="0"/>
    <d v="1899-12-30T00:00:00"/>
    <n v="0"/>
  </r>
  <r>
    <n v="317"/>
    <s v=" "/>
    <x v="11"/>
    <x v="9"/>
    <m/>
    <x v="28"/>
    <m/>
    <x v="9"/>
    <x v="2"/>
    <x v="9"/>
    <m/>
    <m/>
    <m/>
    <d v="1900-01-23T00:00:00"/>
    <n v="0"/>
    <d v="1899-12-30T00:00:00"/>
    <n v="0"/>
  </r>
  <r>
    <n v="318"/>
    <s v=" "/>
    <x v="11"/>
    <x v="9"/>
    <m/>
    <x v="28"/>
    <m/>
    <x v="9"/>
    <x v="2"/>
    <x v="9"/>
    <m/>
    <m/>
    <m/>
    <d v="1900-01-23T00:00:00"/>
    <n v="0"/>
    <d v="1899-12-30T00:00:00"/>
    <n v="0"/>
  </r>
  <r>
    <n v="319"/>
    <s v=" "/>
    <x v="11"/>
    <x v="9"/>
    <m/>
    <x v="28"/>
    <m/>
    <x v="9"/>
    <x v="2"/>
    <x v="9"/>
    <m/>
    <m/>
    <m/>
    <d v="1900-01-23T00:00:00"/>
    <n v="0"/>
    <d v="1899-12-30T00:00:00"/>
    <n v="0"/>
  </r>
  <r>
    <n v="320"/>
    <s v=" "/>
    <x v="11"/>
    <x v="9"/>
    <m/>
    <x v="28"/>
    <m/>
    <x v="9"/>
    <x v="2"/>
    <x v="9"/>
    <m/>
    <m/>
    <m/>
    <d v="1900-01-23T00:00:00"/>
    <n v="0"/>
    <d v="1899-12-30T00:00:00"/>
    <n v="0"/>
  </r>
  <r>
    <n v="321"/>
    <s v=" "/>
    <x v="11"/>
    <x v="9"/>
    <m/>
    <x v="28"/>
    <m/>
    <x v="9"/>
    <x v="2"/>
    <x v="9"/>
    <m/>
    <m/>
    <m/>
    <d v="1900-01-23T00:00:00"/>
    <n v="0"/>
    <d v="1899-12-30T00:00:00"/>
    <n v="0"/>
  </r>
  <r>
    <n v="322"/>
    <s v=" "/>
    <x v="11"/>
    <x v="9"/>
    <m/>
    <x v="28"/>
    <m/>
    <x v="9"/>
    <x v="2"/>
    <x v="9"/>
    <m/>
    <m/>
    <m/>
    <d v="1900-01-23T00:00:00"/>
    <n v="0"/>
    <d v="1899-12-30T00:00:00"/>
    <n v="0"/>
  </r>
  <r>
    <n v="323"/>
    <s v=" "/>
    <x v="11"/>
    <x v="9"/>
    <m/>
    <x v="28"/>
    <m/>
    <x v="9"/>
    <x v="2"/>
    <x v="9"/>
    <m/>
    <m/>
    <m/>
    <d v="1900-01-23T00:00:00"/>
    <n v="0"/>
    <d v="1899-12-30T00:00:00"/>
    <n v="0"/>
  </r>
  <r>
    <n v="324"/>
    <s v=" "/>
    <x v="11"/>
    <x v="9"/>
    <m/>
    <x v="28"/>
    <m/>
    <x v="9"/>
    <x v="2"/>
    <x v="9"/>
    <m/>
    <m/>
    <m/>
    <d v="1900-01-23T00:00:00"/>
    <n v="0"/>
    <d v="1899-12-30T00:00:00"/>
    <n v="0"/>
  </r>
  <r>
    <n v="325"/>
    <s v=" "/>
    <x v="11"/>
    <x v="9"/>
    <m/>
    <x v="28"/>
    <m/>
    <x v="9"/>
    <x v="2"/>
    <x v="9"/>
    <m/>
    <m/>
    <m/>
    <d v="1900-01-23T00:00:00"/>
    <n v="0"/>
    <d v="1899-12-30T00:00:00"/>
    <n v="0"/>
  </r>
  <r>
    <n v="326"/>
    <s v=" "/>
    <x v="11"/>
    <x v="9"/>
    <m/>
    <x v="28"/>
    <m/>
    <x v="9"/>
    <x v="2"/>
    <x v="9"/>
    <m/>
    <m/>
    <m/>
    <d v="1900-01-23T00:00:00"/>
    <n v="0"/>
    <d v="1899-12-30T00:00:00"/>
    <n v="0"/>
  </r>
  <r>
    <n v="327"/>
    <s v=" "/>
    <x v="11"/>
    <x v="9"/>
    <m/>
    <x v="28"/>
    <m/>
    <x v="9"/>
    <x v="2"/>
    <x v="9"/>
    <m/>
    <m/>
    <m/>
    <d v="1900-01-23T00:00:00"/>
    <n v="0"/>
    <d v="1899-12-30T00:00:00"/>
    <n v="0"/>
  </r>
  <r>
    <n v="328"/>
    <s v=" "/>
    <x v="11"/>
    <x v="9"/>
    <m/>
    <x v="28"/>
    <m/>
    <x v="9"/>
    <x v="2"/>
    <x v="9"/>
    <m/>
    <m/>
    <m/>
    <d v="1900-01-23T00:00:00"/>
    <n v="0"/>
    <d v="1899-12-30T00:00:00"/>
    <n v="0"/>
  </r>
  <r>
    <n v="329"/>
    <s v=" "/>
    <x v="11"/>
    <x v="9"/>
    <m/>
    <x v="28"/>
    <m/>
    <x v="9"/>
    <x v="2"/>
    <x v="9"/>
    <m/>
    <m/>
    <m/>
    <d v="1900-01-23T00:00:00"/>
    <n v="0"/>
    <d v="1899-12-30T00:00:00"/>
    <n v="0"/>
  </r>
  <r>
    <n v="330"/>
    <s v=" "/>
    <x v="11"/>
    <x v="9"/>
    <m/>
    <x v="28"/>
    <m/>
    <x v="9"/>
    <x v="2"/>
    <x v="9"/>
    <m/>
    <m/>
    <m/>
    <d v="1900-01-23T00:00:00"/>
    <n v="0"/>
    <d v="1899-12-30T00:00:00"/>
    <n v="0"/>
  </r>
  <r>
    <n v="331"/>
    <s v=" "/>
    <x v="11"/>
    <x v="9"/>
    <m/>
    <x v="28"/>
    <m/>
    <x v="9"/>
    <x v="2"/>
    <x v="9"/>
    <m/>
    <m/>
    <m/>
    <d v="1900-01-23T00:00:00"/>
    <n v="0"/>
    <d v="1899-12-30T00:00:00"/>
    <n v="0"/>
  </r>
  <r>
    <n v="332"/>
    <s v=" "/>
    <x v="11"/>
    <x v="9"/>
    <m/>
    <x v="28"/>
    <m/>
    <x v="9"/>
    <x v="2"/>
    <x v="9"/>
    <m/>
    <m/>
    <m/>
    <d v="1900-01-23T00:00:00"/>
    <n v="0"/>
    <d v="1899-12-30T00:00:00"/>
    <n v="0"/>
  </r>
  <r>
    <n v="333"/>
    <s v=" "/>
    <x v="11"/>
    <x v="9"/>
    <m/>
    <x v="28"/>
    <m/>
    <x v="9"/>
    <x v="2"/>
    <x v="9"/>
    <m/>
    <m/>
    <m/>
    <d v="1900-01-23T00:00:00"/>
    <n v="0"/>
    <d v="1899-12-30T00:00:00"/>
    <n v="0"/>
  </r>
  <r>
    <n v="334"/>
    <s v=" "/>
    <x v="11"/>
    <x v="9"/>
    <m/>
    <x v="28"/>
    <m/>
    <x v="9"/>
    <x v="2"/>
    <x v="9"/>
    <m/>
    <m/>
    <m/>
    <d v="1900-01-23T00:00:00"/>
    <n v="0"/>
    <d v="1899-12-30T00:00:00"/>
    <n v="0"/>
  </r>
  <r>
    <n v="335"/>
    <s v=" "/>
    <x v="11"/>
    <x v="9"/>
    <m/>
    <x v="28"/>
    <m/>
    <x v="9"/>
    <x v="2"/>
    <x v="9"/>
    <m/>
    <m/>
    <m/>
    <d v="1900-01-23T00:00:00"/>
    <n v="0"/>
    <d v="1899-12-30T00:00:00"/>
    <n v="0"/>
  </r>
  <r>
    <n v="336"/>
    <s v=" "/>
    <x v="11"/>
    <x v="9"/>
    <m/>
    <x v="28"/>
    <m/>
    <x v="9"/>
    <x v="2"/>
    <x v="9"/>
    <m/>
    <m/>
    <m/>
    <d v="1900-01-23T00:00:00"/>
    <n v="0"/>
    <d v="1899-12-30T00:00:00"/>
    <n v="0"/>
  </r>
  <r>
    <n v="337"/>
    <s v=" "/>
    <x v="11"/>
    <x v="9"/>
    <m/>
    <x v="28"/>
    <m/>
    <x v="9"/>
    <x v="2"/>
    <x v="9"/>
    <m/>
    <m/>
    <m/>
    <d v="1900-01-23T00:00:00"/>
    <n v="0"/>
    <d v="1899-12-30T00:00:00"/>
    <n v="0"/>
  </r>
  <r>
    <n v="338"/>
    <s v=" "/>
    <x v="11"/>
    <x v="9"/>
    <m/>
    <x v="28"/>
    <m/>
    <x v="9"/>
    <x v="2"/>
    <x v="9"/>
    <m/>
    <m/>
    <m/>
    <d v="1900-01-23T00:00:00"/>
    <n v="0"/>
    <d v="1899-12-30T00:00:00"/>
    <n v="0"/>
  </r>
  <r>
    <n v="339"/>
    <s v=" "/>
    <x v="11"/>
    <x v="9"/>
    <m/>
    <x v="28"/>
    <m/>
    <x v="9"/>
    <x v="2"/>
    <x v="9"/>
    <m/>
    <m/>
    <m/>
    <d v="1900-01-23T00:00:00"/>
    <n v="0"/>
    <d v="1899-12-30T00:00:00"/>
    <n v="0"/>
  </r>
  <r>
    <n v="340"/>
    <s v=" "/>
    <x v="11"/>
    <x v="9"/>
    <m/>
    <x v="28"/>
    <m/>
    <x v="9"/>
    <x v="2"/>
    <x v="9"/>
    <m/>
    <m/>
    <m/>
    <d v="1900-01-23T00:00:00"/>
    <n v="0"/>
    <d v="1899-12-30T00:00:00"/>
    <n v="0"/>
  </r>
  <r>
    <n v="341"/>
    <s v=" "/>
    <x v="11"/>
    <x v="9"/>
    <m/>
    <x v="28"/>
    <m/>
    <x v="9"/>
    <x v="2"/>
    <x v="9"/>
    <m/>
    <m/>
    <m/>
    <d v="1900-01-23T00:00:00"/>
    <n v="0"/>
    <d v="1899-12-30T00:00:00"/>
    <n v="0"/>
  </r>
  <r>
    <n v="342"/>
    <s v=" "/>
    <x v="11"/>
    <x v="9"/>
    <m/>
    <x v="28"/>
    <m/>
    <x v="9"/>
    <x v="2"/>
    <x v="9"/>
    <m/>
    <m/>
    <m/>
    <d v="1900-01-23T00:00:00"/>
    <n v="0"/>
    <d v="1899-12-30T00:00:00"/>
    <n v="0"/>
  </r>
  <r>
    <n v="343"/>
    <s v=" "/>
    <x v="11"/>
    <x v="9"/>
    <m/>
    <x v="28"/>
    <m/>
    <x v="9"/>
    <x v="2"/>
    <x v="9"/>
    <m/>
    <m/>
    <m/>
    <d v="1900-01-23T00:00:00"/>
    <n v="0"/>
    <d v="1899-12-30T00:00:00"/>
    <n v="0"/>
  </r>
  <r>
    <n v="344"/>
    <s v=" "/>
    <x v="11"/>
    <x v="9"/>
    <m/>
    <x v="28"/>
    <m/>
    <x v="9"/>
    <x v="2"/>
    <x v="9"/>
    <m/>
    <m/>
    <m/>
    <d v="1900-01-23T00:00:00"/>
    <n v="0"/>
    <d v="1899-12-30T00:00:00"/>
    <n v="0"/>
  </r>
  <r>
    <n v="345"/>
    <s v=" "/>
    <x v="11"/>
    <x v="9"/>
    <m/>
    <x v="28"/>
    <m/>
    <x v="9"/>
    <x v="2"/>
    <x v="9"/>
    <m/>
    <m/>
    <m/>
    <d v="1900-01-23T00:00:00"/>
    <n v="0"/>
    <d v="1899-12-30T00:00:00"/>
    <n v="0"/>
  </r>
  <r>
    <n v="346"/>
    <s v=" "/>
    <x v="11"/>
    <x v="9"/>
    <m/>
    <x v="28"/>
    <m/>
    <x v="9"/>
    <x v="2"/>
    <x v="9"/>
    <m/>
    <m/>
    <m/>
    <d v="1900-01-23T00:00:00"/>
    <n v="0"/>
    <d v="1899-12-30T00:00:00"/>
    <n v="0"/>
  </r>
  <r>
    <n v="347"/>
    <s v=" "/>
    <x v="11"/>
    <x v="9"/>
    <m/>
    <x v="28"/>
    <m/>
    <x v="9"/>
    <x v="2"/>
    <x v="9"/>
    <m/>
    <m/>
    <m/>
    <d v="1900-01-23T00:00:00"/>
    <n v="0"/>
    <d v="1899-12-30T00:00:00"/>
    <n v="0"/>
  </r>
  <r>
    <n v="348"/>
    <s v=" "/>
    <x v="11"/>
    <x v="9"/>
    <m/>
    <x v="28"/>
    <m/>
    <x v="9"/>
    <x v="2"/>
    <x v="9"/>
    <m/>
    <m/>
    <m/>
    <d v="1900-01-23T00:00:00"/>
    <n v="0"/>
    <d v="1899-12-30T00:00:00"/>
    <n v="0"/>
  </r>
  <r>
    <n v="349"/>
    <s v=" "/>
    <x v="11"/>
    <x v="9"/>
    <m/>
    <x v="28"/>
    <m/>
    <x v="9"/>
    <x v="2"/>
    <x v="9"/>
    <m/>
    <m/>
    <m/>
    <d v="1900-01-23T00:00:00"/>
    <n v="0"/>
    <d v="1899-12-30T00:00:00"/>
    <n v="0"/>
  </r>
  <r>
    <n v="350"/>
    <s v=" "/>
    <x v="11"/>
    <x v="9"/>
    <m/>
    <x v="28"/>
    <m/>
    <x v="9"/>
    <x v="2"/>
    <x v="9"/>
    <m/>
    <m/>
    <m/>
    <d v="1900-01-23T00:00:00"/>
    <n v="0"/>
    <d v="1899-12-30T00:00:00"/>
    <n v="0"/>
  </r>
  <r>
    <n v="351"/>
    <s v=" "/>
    <x v="11"/>
    <x v="9"/>
    <m/>
    <x v="28"/>
    <m/>
    <x v="9"/>
    <x v="2"/>
    <x v="9"/>
    <m/>
    <m/>
    <m/>
    <d v="1900-01-23T00:00:00"/>
    <n v="0"/>
    <d v="1899-12-30T00:00:00"/>
    <n v="0"/>
  </r>
  <r>
    <n v="352"/>
    <s v=" "/>
    <x v="11"/>
    <x v="9"/>
    <m/>
    <x v="28"/>
    <m/>
    <x v="9"/>
    <x v="2"/>
    <x v="9"/>
    <m/>
    <m/>
    <m/>
    <d v="1900-01-23T00:00:00"/>
    <n v="0"/>
    <d v="1899-12-30T00:00:00"/>
    <n v="0"/>
  </r>
  <r>
    <n v="353"/>
    <s v=" "/>
    <x v="11"/>
    <x v="9"/>
    <m/>
    <x v="28"/>
    <m/>
    <x v="9"/>
    <x v="2"/>
    <x v="9"/>
    <m/>
    <m/>
    <m/>
    <d v="1900-01-23T00:00:00"/>
    <n v="0"/>
    <d v="1899-12-30T00:00:00"/>
    <n v="0"/>
  </r>
  <r>
    <n v="354"/>
    <s v=" "/>
    <x v="11"/>
    <x v="9"/>
    <m/>
    <x v="28"/>
    <m/>
    <x v="9"/>
    <x v="2"/>
    <x v="9"/>
    <m/>
    <m/>
    <m/>
    <d v="1900-01-23T00:00:00"/>
    <n v="0"/>
    <d v="1899-12-30T00:00:00"/>
    <n v="0"/>
  </r>
  <r>
    <n v="355"/>
    <s v=" "/>
    <x v="11"/>
    <x v="9"/>
    <m/>
    <x v="28"/>
    <m/>
    <x v="9"/>
    <x v="2"/>
    <x v="9"/>
    <m/>
    <m/>
    <m/>
    <d v="1900-01-23T00:00:00"/>
    <n v="0"/>
    <d v="1899-12-30T00:00:00"/>
    <n v="0"/>
  </r>
  <r>
    <n v="356"/>
    <s v=" "/>
    <x v="11"/>
    <x v="9"/>
    <m/>
    <x v="28"/>
    <m/>
    <x v="9"/>
    <x v="2"/>
    <x v="9"/>
    <m/>
    <m/>
    <m/>
    <d v="1900-01-23T00:00:00"/>
    <n v="0"/>
    <d v="1899-12-30T00:00: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ADC60A-EFDA-4424-863F-7D831CF99EF4}" name="Tableau croisé dynamique1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P28" firstHeaderRow="1" firstDataRow="2" firstDataCol="4" rowPageCount="1" colPageCount="1"/>
  <pivotFields count="17">
    <pivotField compact="0" outline="0" showAll="0" defaultSubtotal="0"/>
    <pivotField compact="0" outline="0" showAll="0" defaultSubtotal="0"/>
    <pivotField axis="axisCol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10">
        <item x="9"/>
        <item x="5"/>
        <item x="3"/>
        <item x="8"/>
        <item x="7"/>
        <item x="1"/>
        <item x="2"/>
        <item x="6"/>
        <item x="4"/>
        <item x="0"/>
      </items>
    </pivotField>
    <pivotField compact="0" outline="0" showAll="0" defaultSubtotal="0"/>
    <pivotField axis="axisRow" compact="0" outline="0" showAll="0" defaultSubtotal="0">
      <items count="29">
        <item x="28"/>
        <item x="26"/>
        <item x="4"/>
        <item x="5"/>
        <item x="21"/>
        <item x="19"/>
        <item x="23"/>
        <item x="16"/>
        <item x="8"/>
        <item x="11"/>
        <item x="6"/>
        <item x="20"/>
        <item x="15"/>
        <item x="7"/>
        <item x="24"/>
        <item x="17"/>
        <item x="18"/>
        <item x="9"/>
        <item x="22"/>
        <item x="27"/>
        <item x="25"/>
        <item x="12"/>
        <item x="14"/>
        <item x="13"/>
        <item x="0"/>
        <item x="1"/>
        <item x="2"/>
        <item x="10"/>
        <item x="3"/>
      </items>
    </pivotField>
    <pivotField compact="0" outline="0" showAll="0" defaultSubtotal="0"/>
    <pivotField axis="axisRow" compact="0" outline="0" showAll="0" defaultSubtotal="0">
      <items count="23">
        <item x="21"/>
        <item x="4"/>
        <item x="17"/>
        <item x="11"/>
        <item x="2"/>
        <item x="0"/>
        <item x="1"/>
        <item x="16"/>
        <item x="20"/>
        <item x="6"/>
        <item x="12"/>
        <item x="10"/>
        <item x="22"/>
        <item x="8"/>
        <item x="13"/>
        <item x="5"/>
        <item x="15"/>
        <item x="18"/>
        <item x="7"/>
        <item x="19"/>
        <item x="3"/>
        <item x="14"/>
        <item x="9"/>
      </items>
    </pivotField>
    <pivotField axis="axisPage" compact="0" outline="0" multipleItemSelectionAllowed="1" showAll="0" defaultSubtotal="0">
      <items count="3">
        <item x="0"/>
        <item h="1" x="1"/>
        <item h="1" x="2"/>
      </items>
    </pivotField>
    <pivotField axis="axisRow" compact="0" outline="0" showAll="0" defaultSubtotal="0">
      <items count="25">
        <item x="18"/>
        <item x="1"/>
        <item x="2"/>
        <item x="0"/>
        <item x="13"/>
        <item x="17"/>
        <item x="10"/>
        <item x="8"/>
        <item x="5"/>
        <item x="23"/>
        <item x="16"/>
        <item x="6"/>
        <item x="7"/>
        <item x="4"/>
        <item x="22"/>
        <item x="24"/>
        <item x="11"/>
        <item x="12"/>
        <item x="3"/>
        <item x="14"/>
        <item x="15"/>
        <item x="19"/>
        <item x="20"/>
        <item x="21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numFmtId="164" outline="0" showAll="0" defaultSubtotal="0"/>
    <pivotField dataField="1" compact="0" numFmtId="168" outline="0" showAll="0" defaultSubtotal="0"/>
    <pivotField compact="0" numFmtId="165" outline="0" showAll="0" defaultSubtotal="0"/>
    <pivotField compact="0" numFmtId="1" outline="0" showAll="0" defaultSubtotal="0"/>
  </pivotFields>
  <rowFields count="4">
    <field x="5"/>
    <field x="3"/>
    <field x="7"/>
    <field x="9"/>
  </rowFields>
  <rowItems count="24">
    <i>
      <x v="2"/>
      <x v="5"/>
      <x v="5"/>
      <x v="3"/>
    </i>
    <i r="3">
      <x v="6"/>
    </i>
    <i r="3">
      <x v="14"/>
    </i>
    <i>
      <x v="3"/>
      <x v="5"/>
      <x v="5"/>
      <x v="3"/>
    </i>
    <i r="3">
      <x v="6"/>
    </i>
    <i>
      <x v="10"/>
      <x v="6"/>
      <x v="5"/>
      <x v="3"/>
    </i>
    <i r="3">
      <x v="6"/>
    </i>
    <i r="3">
      <x v="14"/>
    </i>
    <i>
      <x v="13"/>
      <x v="2"/>
      <x v="6"/>
      <x v="1"/>
    </i>
    <i>
      <x v="14"/>
      <x v="2"/>
      <x v="6"/>
      <x v="1"/>
    </i>
    <i>
      <x v="15"/>
      <x v="7"/>
      <x v="6"/>
      <x v="1"/>
    </i>
    <i>
      <x v="24"/>
      <x v="9"/>
      <x v="5"/>
      <x v="3"/>
    </i>
    <i r="3">
      <x v="6"/>
    </i>
    <i r="3">
      <x v="14"/>
    </i>
    <i>
      <x v="25"/>
      <x v="9"/>
      <x v="5"/>
      <x v="3"/>
    </i>
    <i r="3">
      <x v="6"/>
    </i>
    <i r="3">
      <x v="14"/>
    </i>
    <i>
      <x v="26"/>
      <x v="9"/>
      <x v="5"/>
      <x v="3"/>
    </i>
    <i r="3">
      <x v="6"/>
    </i>
    <i r="3">
      <x v="14"/>
    </i>
    <i>
      <x v="28"/>
      <x v="9"/>
      <x v="5"/>
      <x v="3"/>
    </i>
    <i r="3">
      <x v="6"/>
    </i>
    <i r="3">
      <x v="14"/>
    </i>
    <i t="grand">
      <x/>
    </i>
  </rowItems>
  <colFields count="1">
    <field x="2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pageFields count="1">
    <pageField fld="8" hier="-1"/>
  </pageFields>
  <dataFields count="1">
    <dataField name="Somme de Total" fld="14" baseField="0" baseItem="0"/>
  </dataField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AD8AC3-31BD-4C51-971B-F30C72C9100A}" name="Tableau croisé dynamique1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P7" firstHeaderRow="1" firstDataRow="2" firstDataCol="4" rowPageCount="1" colPageCount="1"/>
  <pivotFields count="17">
    <pivotField compact="0" outline="0" showAll="0" defaultSubtotal="0"/>
    <pivotField compact="0" outline="0" showAll="0" defaultSubtotal="0"/>
    <pivotField axis="axisCol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10">
        <item x="9"/>
        <item x="5"/>
        <item x="3"/>
        <item x="8"/>
        <item x="7"/>
        <item x="1"/>
        <item x="2"/>
        <item x="6"/>
        <item x="4"/>
        <item x="0"/>
      </items>
    </pivotField>
    <pivotField compact="0" outline="0" showAll="0" defaultSubtotal="0"/>
    <pivotField axis="axisRow" compact="0" outline="0" showAll="0" defaultSubtotal="0">
      <items count="29">
        <item x="28"/>
        <item x="26"/>
        <item x="4"/>
        <item x="5"/>
        <item x="21"/>
        <item x="19"/>
        <item x="23"/>
        <item x="16"/>
        <item x="8"/>
        <item x="11"/>
        <item x="6"/>
        <item x="20"/>
        <item x="15"/>
        <item x="7"/>
        <item x="24"/>
        <item x="17"/>
        <item x="18"/>
        <item x="9"/>
        <item x="22"/>
        <item x="27"/>
        <item x="25"/>
        <item x="12"/>
        <item x="14"/>
        <item x="13"/>
        <item x="0"/>
        <item x="1"/>
        <item x="2"/>
        <item x="10"/>
        <item x="3"/>
      </items>
    </pivotField>
    <pivotField compact="0" outline="0" showAll="0" defaultSubtotal="0"/>
    <pivotField axis="axisRow" compact="0" outline="0" showAll="0" defaultSubtotal="0">
      <items count="23">
        <item x="21"/>
        <item x="4"/>
        <item x="17"/>
        <item x="11"/>
        <item x="2"/>
        <item x="0"/>
        <item x="1"/>
        <item x="16"/>
        <item x="20"/>
        <item x="6"/>
        <item x="12"/>
        <item x="10"/>
        <item x="22"/>
        <item x="8"/>
        <item x="13"/>
        <item x="5"/>
        <item x="15"/>
        <item x="18"/>
        <item x="7"/>
        <item x="19"/>
        <item x="3"/>
        <item x="14"/>
        <item x="9"/>
      </items>
    </pivotField>
    <pivotField axis="axisPage" compact="0" outline="0" multipleItemSelectionAllowed="1" showAll="0" defaultSubtotal="0">
      <items count="3">
        <item h="1" x="0"/>
        <item x="1"/>
        <item h="1" x="2"/>
      </items>
    </pivotField>
    <pivotField axis="axisRow" compact="0" outline="0" showAll="0" defaultSubtotal="0">
      <items count="25">
        <item x="18"/>
        <item x="1"/>
        <item x="2"/>
        <item x="0"/>
        <item x="13"/>
        <item x="17"/>
        <item x="10"/>
        <item x="8"/>
        <item x="5"/>
        <item x="23"/>
        <item x="16"/>
        <item x="6"/>
        <item x="7"/>
        <item x="4"/>
        <item x="22"/>
        <item x="24"/>
        <item x="11"/>
        <item x="12"/>
        <item x="3"/>
        <item x="14"/>
        <item x="15"/>
        <item x="19"/>
        <item x="20"/>
        <item x="21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numFmtId="164" outline="0" showAll="0" defaultSubtotal="0"/>
    <pivotField dataField="1" compact="0" numFmtId="168" outline="0" showAll="0" defaultSubtotal="0"/>
    <pivotField compact="0" numFmtId="165" outline="0" showAll="0" defaultSubtotal="0"/>
    <pivotField compact="0" numFmtId="1" outline="0" showAll="0" defaultSubtotal="0"/>
  </pivotFields>
  <rowFields count="4">
    <field x="5"/>
    <field x="3"/>
    <field x="7"/>
    <field x="9"/>
  </rowFields>
  <rowItems count="3">
    <i>
      <x v="8"/>
      <x v="6"/>
      <x v="4"/>
      <x v="2"/>
    </i>
    <i>
      <x v="17"/>
      <x v="8"/>
      <x v="4"/>
      <x v="2"/>
    </i>
    <i t="grand">
      <x/>
    </i>
  </rowItems>
  <colFields count="1">
    <field x="2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pageFields count="1">
    <pageField fld="8" hier="-1"/>
  </pageFields>
  <dataFields count="1">
    <dataField name="Somme de Total" fld="14" baseField="0" baseItem="0"/>
  </dataField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984D778-B3E3-4F33-8614-88CB0D378A58}" name="Tableau croisé dynamique1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Q54" firstHeaderRow="1" firstDataRow="2" firstDataCol="4" rowPageCount="1" colPageCount="1"/>
  <pivotFields count="17">
    <pivotField compact="0" outline="0" showAll="0" defaultSubtotal="0"/>
    <pivotField compact="0" outline="0" showAll="0" defaultSubtotal="0"/>
    <pivotField axis="axisCol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10">
        <item x="9"/>
        <item x="5"/>
        <item x="3"/>
        <item x="8"/>
        <item x="7"/>
        <item x="1"/>
        <item x="2"/>
        <item x="6"/>
        <item x="4"/>
        <item x="0"/>
      </items>
    </pivotField>
    <pivotField compact="0" outline="0" showAll="0" defaultSubtotal="0"/>
    <pivotField axis="axisRow" compact="0" outline="0" showAll="0" defaultSubtotal="0">
      <items count="29">
        <item x="28"/>
        <item x="26"/>
        <item x="4"/>
        <item x="5"/>
        <item x="21"/>
        <item x="19"/>
        <item x="23"/>
        <item x="16"/>
        <item x="8"/>
        <item x="11"/>
        <item x="6"/>
        <item x="20"/>
        <item x="15"/>
        <item x="7"/>
        <item x="24"/>
        <item x="17"/>
        <item x="18"/>
        <item x="9"/>
        <item x="22"/>
        <item x="27"/>
        <item x="25"/>
        <item x="12"/>
        <item x="14"/>
        <item x="13"/>
        <item x="0"/>
        <item x="1"/>
        <item x="2"/>
        <item x="10"/>
        <item x="3"/>
      </items>
    </pivotField>
    <pivotField compact="0" outline="0" showAll="0" defaultSubtotal="0"/>
    <pivotField axis="axisRow" compact="0" outline="0" showAll="0" defaultSubtotal="0">
      <items count="23">
        <item x="21"/>
        <item x="4"/>
        <item x="17"/>
        <item x="11"/>
        <item x="2"/>
        <item x="0"/>
        <item x="1"/>
        <item x="16"/>
        <item x="20"/>
        <item x="6"/>
        <item x="12"/>
        <item x="10"/>
        <item x="22"/>
        <item x="8"/>
        <item x="13"/>
        <item x="5"/>
        <item x="15"/>
        <item x="18"/>
        <item x="7"/>
        <item x="19"/>
        <item x="3"/>
        <item x="14"/>
        <item x="9"/>
      </items>
    </pivotField>
    <pivotField axis="axisPage" compact="0" outline="0" multipleItemSelectionAllowed="1" showAll="0" defaultSubtotal="0">
      <items count="3">
        <item h="1" x="0"/>
        <item h="1" x="1"/>
        <item x="2"/>
      </items>
    </pivotField>
    <pivotField axis="axisRow" compact="0" outline="0" showAll="0" defaultSubtotal="0">
      <items count="25">
        <item x="18"/>
        <item x="1"/>
        <item x="2"/>
        <item x="0"/>
        <item x="13"/>
        <item x="17"/>
        <item x="10"/>
        <item x="8"/>
        <item x="5"/>
        <item x="23"/>
        <item x="16"/>
        <item x="6"/>
        <item x="7"/>
        <item x="4"/>
        <item x="22"/>
        <item x="24"/>
        <item x="11"/>
        <item x="12"/>
        <item x="3"/>
        <item x="14"/>
        <item x="15"/>
        <item x="19"/>
        <item x="20"/>
        <item x="21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numFmtId="164" outline="0" showAll="0" defaultSubtotal="0"/>
    <pivotField dataField="1" compact="0" numFmtId="168" outline="0" showAll="0" defaultSubtotal="0"/>
    <pivotField compact="0" numFmtId="165" outline="0" showAll="0" defaultSubtotal="0"/>
    <pivotField compact="0" numFmtId="1" outline="0" showAll="0" defaultSubtotal="0"/>
  </pivotFields>
  <rowFields count="4">
    <field x="5"/>
    <field x="3"/>
    <field x="7"/>
    <field x="9"/>
  </rowFields>
  <rowItems count="50">
    <i>
      <x/>
      <x/>
      <x v="22"/>
      <x v="24"/>
    </i>
    <i>
      <x v="1"/>
      <x v="3"/>
      <x v="19"/>
      <x v="22"/>
    </i>
    <i>
      <x v="3"/>
      <x v="5"/>
      <x v="19"/>
      <x v="22"/>
    </i>
    <i>
      <x v="4"/>
      <x v="4"/>
      <x v="3"/>
      <x v="17"/>
    </i>
    <i r="2">
      <x v="7"/>
      <x v="5"/>
    </i>
    <i>
      <x v="5"/>
      <x v="4"/>
      <x v="8"/>
      <x v="23"/>
    </i>
    <i r="2">
      <x v="22"/>
      <x v="24"/>
    </i>
    <i>
      <x v="6"/>
      <x v="4"/>
      <x v="16"/>
      <x v="10"/>
    </i>
    <i>
      <x v="7"/>
      <x v="1"/>
      <x v="3"/>
      <x v="17"/>
    </i>
    <i r="2">
      <x v="9"/>
      <x v="11"/>
    </i>
    <i r="2">
      <x v="13"/>
      <x v="7"/>
    </i>
    <i r="2">
      <x v="18"/>
      <x v="12"/>
    </i>
    <i r="2">
      <x v="19"/>
      <x v="22"/>
    </i>
    <i>
      <x v="9"/>
      <x v="6"/>
      <x v="1"/>
      <x v="13"/>
    </i>
    <i r="2">
      <x v="2"/>
      <x/>
    </i>
    <i r="2">
      <x v="7"/>
      <x v="5"/>
    </i>
    <i r="2">
      <x v="13"/>
      <x v="7"/>
    </i>
    <i r="2">
      <x v="14"/>
      <x v="19"/>
    </i>
    <i r="2">
      <x v="17"/>
      <x v="21"/>
    </i>
    <i r="2">
      <x v="19"/>
      <x v="22"/>
    </i>
    <i r="2">
      <x v="21"/>
      <x v="20"/>
    </i>
    <i>
      <x v="11"/>
      <x v="6"/>
      <x/>
      <x v="9"/>
    </i>
    <i r="2">
      <x v="11"/>
      <x v="16"/>
    </i>
    <i>
      <x v="12"/>
      <x v="6"/>
      <x v="15"/>
      <x v="8"/>
    </i>
    <i>
      <x v="15"/>
      <x v="7"/>
      <x v="7"/>
      <x v="5"/>
    </i>
    <i r="2">
      <x v="8"/>
      <x v="23"/>
    </i>
    <i r="2">
      <x v="16"/>
      <x v="10"/>
    </i>
    <i r="2">
      <x v="18"/>
      <x v="12"/>
    </i>
    <i r="2">
      <x v="22"/>
      <x v="24"/>
    </i>
    <i>
      <x v="16"/>
      <x v="7"/>
      <x v="15"/>
      <x v="8"/>
    </i>
    <i>
      <x v="18"/>
      <x v="8"/>
      <x v="7"/>
      <x v="5"/>
    </i>
    <i r="2">
      <x v="13"/>
      <x v="7"/>
    </i>
    <i>
      <x v="19"/>
      <x v="8"/>
      <x v="19"/>
      <x v="22"/>
    </i>
    <i>
      <x v="20"/>
      <x v="8"/>
      <x/>
      <x v="9"/>
    </i>
    <i r="2">
      <x v="19"/>
      <x v="22"/>
    </i>
    <i>
      <x v="21"/>
      <x v="8"/>
      <x v="1"/>
      <x v="13"/>
    </i>
    <i r="2">
      <x v="13"/>
      <x v="7"/>
    </i>
    <i r="2">
      <x v="19"/>
      <x v="22"/>
    </i>
    <i>
      <x v="22"/>
      <x v="8"/>
      <x v="1"/>
      <x v="13"/>
    </i>
    <i>
      <x v="23"/>
      <x v="8"/>
      <x/>
      <x v="9"/>
    </i>
    <i r="2">
      <x v="1"/>
      <x v="13"/>
    </i>
    <i r="2">
      <x v="2"/>
      <x/>
    </i>
    <i r="2">
      <x v="9"/>
      <x v="11"/>
    </i>
    <i r="2">
      <x v="10"/>
      <x v="4"/>
    </i>
    <i r="2">
      <x v="13"/>
      <x v="7"/>
    </i>
    <i r="2">
      <x v="14"/>
      <x v="19"/>
    </i>
    <i r="2">
      <x v="19"/>
      <x v="22"/>
    </i>
    <i>
      <x v="27"/>
      <x v="9"/>
      <x v="20"/>
      <x v="18"/>
    </i>
    <i>
      <x v="28"/>
      <x v="9"/>
      <x v="12"/>
      <x v="15"/>
    </i>
    <i t="grand">
      <x/>
    </i>
  </rowItems>
  <colFields count="1">
    <field x="2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pageFields count="1">
    <pageField fld="8" hier="-1"/>
  </pageFields>
  <dataFields count="1">
    <dataField name="Somme de Total" fld="14" baseField="0" baseItem="0"/>
  </dataField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6BCBF37-E0DF-4EC4-AFAC-F2194EF8EAFD}" autoFormatId="16" applyNumberFormats="0" applyBorderFormats="0" applyFontFormats="0" applyPatternFormats="0" applyAlignmentFormats="0" applyWidthHeightFormats="0">
  <queryTableRefresh nextId="21">
    <queryTableFields count="16">
      <queryTableField id="15" name="Equipment Type" tableColumnId="15"/>
      <queryTableField id="1" name="Equipment" tableColumnId="1"/>
      <queryTableField id="19" name="Work Description" tableColumnId="17"/>
      <queryTableField id="2" name="Facteur" tableColumnId="2"/>
      <queryTableField id="3" name="WO No" tableColumnId="3"/>
      <queryTableField id="4" name="15/08/2024" tableColumnId="4"/>
      <queryTableField id="5" name="16/08/2024" tableColumnId="5"/>
      <queryTableField id="6" name="17/08/2024" tableColumnId="6"/>
      <queryTableField id="7" name="18/08/2024" tableColumnId="7"/>
      <queryTableField id="8" name="19/08/2024" tableColumnId="8"/>
      <queryTableField id="9" name="20/08/2024" tableColumnId="9"/>
      <queryTableField id="10" name="21/08/2024" tableColumnId="10"/>
      <queryTableField id="11" name="22/08/2024" tableColumnId="11"/>
      <queryTableField id="12" name="23/08/2024" tableColumnId="12"/>
      <queryTableField id="13" name="24/08/2024" tableColumnId="13"/>
      <queryTableField id="14" name="25/08/2024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42A466-E55E-4240-A7D7-C8311A8B55E9}" name="Tableau2" displayName="Tableau2" ref="B3:F49" totalsRowShown="0" headerRowDxfId="105" dataDxfId="103" headerRowBorderDxfId="104" tableBorderDxfId="102">
  <autoFilter ref="B3:F49" xr:uid="{8A42A466-E55E-4240-A7D7-C8311A8B55E9}"/>
  <tableColumns count="5">
    <tableColumn id="1" xr3:uid="{B90070ED-A56B-4773-B9A1-3525FD6908E6}" name="Equipment Type" dataDxfId="101"/>
    <tableColumn id="2" xr3:uid="{1DEC3C44-5D7B-4276-96CC-1E612FE48FBA}" name="Equipment" dataDxfId="100"/>
    <tableColumn id="3" xr3:uid="{45DE3D59-BFD5-483E-A960-7D21429E465E}" name="Model" dataDxfId="99"/>
    <tableColumn id="4" xr3:uid="{568ACC46-51AC-4EF8-B3D9-EED98B1AFD58}" name="Parking Number" dataDxfId="98"/>
    <tableColumn id="5" xr3:uid="{BED200C4-8BE3-4BDC-B7E4-4E41DC3D3835}" name="PRICE" dataDxfId="9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35AB46B-38D4-4B7F-9A5F-701C42BB84FB}" name="Tabel1_1" displayName="Tabel1_1" ref="A2:P205" tableType="queryTable" totalsRowShown="0">
  <autoFilter ref="A2:P205" xr:uid="{C35AB46B-38D4-4B7F-9A5F-701C42BB84FB}">
    <filterColumn colId="3">
      <filters>
        <filter val="Line #1"/>
      </filters>
    </filterColumn>
  </autoFilter>
  <tableColumns count="16">
    <tableColumn id="15" xr3:uid="{CAC33AEA-45E8-4D3B-BE75-FAB0F6D93105}" uniqueName="15" name="Equipment Type" queryTableFieldId="15"/>
    <tableColumn id="1" xr3:uid="{3CA08C36-8FBD-4A1F-A12B-8EE2892077A6}" uniqueName="1" name="Equipment" queryTableFieldId="1"/>
    <tableColumn id="17" xr3:uid="{FA86BB1F-8342-4B01-BA1F-97A8FE854147}" uniqueName="17" name="Work Description" queryTableFieldId="19"/>
    <tableColumn id="2" xr3:uid="{82E5E142-15E9-494C-877C-1A1B19FFE766}" uniqueName="2" name="Facteur" queryTableFieldId="2"/>
    <tableColumn id="3" xr3:uid="{CBBECEFB-E004-4F14-8859-B98C0B4B116E}" uniqueName="3" name="WO No" queryTableFieldId="3"/>
    <tableColumn id="4" xr3:uid="{652EDFED-61AE-4CAA-8B9B-8B2BC3F04D9C}" uniqueName="4" name="15/08/2024" queryTableFieldId="4" dataDxfId="96"/>
    <tableColumn id="5" xr3:uid="{0039D0F4-3786-4FCF-9C9F-39361866D8A2}" uniqueName="5" name="16/08/2024" queryTableFieldId="5" dataDxfId="95"/>
    <tableColumn id="6" xr3:uid="{52ADD29C-5731-4007-A9F7-99126D3B6A3C}" uniqueName="6" name="17/08/2024" queryTableFieldId="6" dataDxfId="94"/>
    <tableColumn id="7" xr3:uid="{0F342EB9-EEC2-4CDF-86A6-B614773BB97E}" uniqueName="7" name="18/08/2024" queryTableFieldId="7" dataDxfId="93"/>
    <tableColumn id="8" xr3:uid="{C9B18DE5-4017-42B0-9211-EA7B3A92BB4D}" uniqueName="8" name="19/08/2024" queryTableFieldId="8" dataDxfId="92"/>
    <tableColumn id="9" xr3:uid="{CF13158D-2895-461F-B1D0-3EFB89128081}" uniqueName="9" name="20/08/2024" queryTableFieldId="9" dataDxfId="91"/>
    <tableColumn id="10" xr3:uid="{E3886267-9373-4535-B63F-849E9A44A202}" uniqueName="10" name="21/08/2024" queryTableFieldId="10" dataDxfId="90"/>
    <tableColumn id="11" xr3:uid="{AC8D0AA9-F8CD-47CE-BCF2-8BEBB67AD5C0}" uniqueName="11" name="22/08/2024" queryTableFieldId="11" dataDxfId="89"/>
    <tableColumn id="12" xr3:uid="{995D78DA-B413-4FBD-B174-5B7202C52038}" uniqueName="12" name="23/08/2024" queryTableFieldId="12" dataDxfId="88"/>
    <tableColumn id="13" xr3:uid="{151CF8AE-5840-4CF5-8630-7DBF7B92FE34}" uniqueName="13" name="24/08/2024" queryTableFieldId="13" dataDxfId="87"/>
    <tableColumn id="14" xr3:uid="{A0FA4093-1655-4877-9517-406D42B3D78D}" uniqueName="14" name="25/08/2024" queryTableFieldId="14" dataDxfId="8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90C26-2E33-4DDC-9894-F13029E4313F}" name="Tabel1" displayName="Tabel1" ref="B7:R363" totalsRowShown="0" headerRowDxfId="82" dataDxfId="81">
  <autoFilter ref="B7:R363" xr:uid="{DA490C26-2E33-4DDC-9894-F13029E4313F}"/>
  <tableColumns count="17">
    <tableColumn id="1" xr3:uid="{60C8FFB5-A8B1-487C-91AF-2D5316FA20F3}" name="N°" dataDxfId="80" totalsRowDxfId="79"/>
    <tableColumn id="2" xr3:uid="{BB52BEC3-F9E6-4AEF-BD94-4A6BB0CE2C8C}" name="New Parking Number" dataDxfId="78" totalsRowDxfId="77">
      <calculatedColumnFormula>IFERROR(VLOOKUP(Tabel1[[#This Row],[Model]],Tableau2[[Model]:[Parking Number]],2,FALSE)," ")</calculatedColumnFormula>
    </tableColumn>
    <tableColumn id="14" xr3:uid="{A5221CD4-E2B5-44B2-9A67-B29244AC6C69}" name="Date" dataDxfId="76" totalsRowDxfId="75"/>
    <tableColumn id="13" xr3:uid="{DFBA4F5E-28FE-40C2-AC76-8663975E96DD}" name="Equipment Type" dataDxfId="74" totalsRowDxfId="73">
      <calculatedColumnFormula>IF(Tabel1[[#This Row],[Model]]="", "",INDEX(Tableau2[Equipment Type],MATCH(Tabel1[[#This Row],[Model]],Tableau2[Model],0)))</calculatedColumnFormula>
    </tableColumn>
    <tableColumn id="15" xr3:uid="{AD553B93-D02C-4113-A47B-21433F42D040}" name="Model" dataDxfId="72" totalsRowDxfId="71"/>
    <tableColumn id="16" xr3:uid="{D5CA19C0-ABDE-4AD1-8B61-A039776F242D}" name="Equipment" dataDxfId="70" totalsRowDxfId="69">
      <calculatedColumnFormula>IF(Tabel1[[#This Row],[Model]]="", "",INDEX(Tableau2[Equipment],MATCH(Tabel1[[#This Row],[Model]],Tableau2[Model],0)))</calculatedColumnFormula>
    </tableColumn>
    <tableColumn id="10" xr3:uid="{B63D9A9A-F568-4568-8938-43EECC9FECE5}" name="Localization" dataDxfId="68" totalsRowDxfId="67"/>
    <tableColumn id="11" xr3:uid="{CDE369A9-A7FE-4766-8B5A-D9A60E3F2E1C}" name="Work Description" dataDxfId="66" totalsRowDxfId="65"/>
    <tableColumn id="18" xr3:uid="{641CFD0C-30A8-4F1E-B760-678DCDA69508}" name="Facteur" dataDxfId="64"/>
    <tableColumn id="12" xr3:uid="{10610DAF-E35D-444D-B791-CC5642EA648E}" name="WO No" dataDxfId="63" totalsRowDxfId="62"/>
    <tableColumn id="3" xr3:uid="{645F418E-BE1C-4F31-A61E-F65CE8F2FAD2}" name="Start time" dataDxfId="61" totalsRowDxfId="60"/>
    <tableColumn id="9" xr3:uid="{3D80978B-D783-4E7B-9609-88E932793547}" name="Down time" dataDxfId="59" totalsRowDxfId="58"/>
    <tableColumn id="8" xr3:uid="{CC9FBF1F-80D6-459D-A475-A579FB1BD12B}" name="End Time" dataDxfId="57" totalsRowDxfId="56"/>
    <tableColumn id="4" xr3:uid="{F769FAEC-3EBA-46B0-AB79-907770DA15A3}" name="Total Hours" dataDxfId="55" totalsRowDxfId="54">
      <calculatedColumnFormula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calculatedColumnFormula>
    </tableColumn>
    <tableColumn id="5" xr3:uid="{515232D4-B053-4F23-BA26-F7DA72C52A77}" name="Total" dataDxfId="53" totalsRowDxfId="52">
      <calculatedColumnFormula>HOUR(Tabel1[[#This Row],[Total Hours]])+MINUTE(Tabel1[[#This Row],[Total Hours]])/60+SECOND(Tabel1[[#This Row],[Total Hours]])/3600</calculatedColumnFormula>
    </tableColumn>
    <tableColumn id="7" xr3:uid="{AECC97E5-F0CB-4CD7-96F7-DCAD810674C6}" name="EndTime 2" dataDxfId="51" totalsRowDxfId="50">
      <calculatedColumnFormula>Tabel1[[#This Row],[End Time]]+(Tabel1[[#This Row],[End Time]]&lt;Tabel1[[#This Row],[Start time]])</calculatedColumnFormula>
    </tableColumn>
    <tableColumn id="6" xr3:uid="{B94EDFB6-1940-4438-BB21-D415A203FFA5}" name="controle" dataDxfId="49" totalsRowDxfId="48">
      <calculatedColumnFormula>COUNTIFS(Tabel1[Date],Tabel1[[#This Row],[Date]],Tabel1[New Parking Number],Tabel1[[#This Row],[New Parking Number]],Tabel1[EndTime 2],"&gt;"&amp;Tabel1[[#This Row],[Start time]],Tabel1[Start time],"&lt;"&amp;Tabel1[[#This Row],[EndTime 2]])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3487778-6BA8-49E0-A615-1457A749D2B9}" name="Table46" displayName="Table46" ref="B13:AN37" totalsRowShown="0" headerRowDxfId="42" dataDxfId="40" headerRowBorderDxfId="41" tableBorderDxfId="39">
  <autoFilter ref="B13:AN37" xr:uid="{83487778-6BA8-49E0-A615-1457A749D2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</autoFilter>
  <tableColumns count="39">
    <tableColumn id="1" xr3:uid="{C69A5B2C-008F-4A2C-A9EA-B61CAAACFB37}" name="Equipment" dataDxfId="38" dataCellStyle="Normal 2"/>
    <tableColumn id="2" xr3:uid="{56FFEFE5-3B17-421C-9DAE-FF11417F3FD7}" name="Equipment Type" dataDxfId="37" dataCellStyle="Normal 2">
      <calculatedColumnFormula>IF(Table46[[#This Row],[Equipment]]="", "",INDEX([1]!Tableau2[#Data],MATCH(Table46[[#This Row],[Equipment]],[1]!Tableau2[Equipment],0),MATCH(Table46[[#Headers],[Equipment Type]],[1]!Tableau2[#Headers],0)))</calculatedColumnFormula>
    </tableColumn>
    <tableColumn id="3" xr3:uid="{8015D706-FC3E-4A04-81B3-68501B86194A}" name="Original WO Description" dataDxfId="36" dataCellStyle="Normal 2"/>
    <tableColumn id="4" xr3:uid="{C2AA80F9-1ECB-44A6-BF05-981B5F1AECF9}" name="Job Site Location" dataDxfId="35" dataCellStyle="Normal 2"/>
    <tableColumn id="5" xr3:uid="{70AD2839-B9C2-4BC7-87F2-2D14B73C0436}" name="WO No" dataDxfId="34"/>
    <tableColumn id="6" xr3:uid="{D5C39871-D69E-4E75-B6EF-51F9869259E1}" name="15/8" dataDxfId="33">
      <calculatedColumnFormula array="1">SUMPRODUCT((Tabel1[Equipment]=Table46[[#This Row],[Equipment]])*(Tabel1[Facteur]=$D$8)*(Tabel1[Date]=G$13*1)*(Tabel1[WO No]=Table46[[#This Row],[WO No]])*(Tabel1[Total]))</calculatedColumnFormula>
    </tableColumn>
    <tableColumn id="7" xr3:uid="{09541D60-AF9B-4B43-8966-03C62B416990}" name="16/8" dataDxfId="32">
      <calculatedColumnFormula array="1">SUMPRODUCT((Tabel1[Equipment]=Table46[[#This Row],[Equipment]])*(Tabel1[Facteur]=$D$8)*(Tabel1[Date]=H$13*1)*(Tabel1[WO No]=Table46[[#This Row],[WO No]])*(Tabel1[Total]))</calculatedColumnFormula>
    </tableColumn>
    <tableColumn id="8" xr3:uid="{D65E7AB1-9871-4EE2-9955-2EFF52F76DBA}" name="17/8" dataDxfId="31">
      <calculatedColumnFormula array="1">SUMPRODUCT((Tabel1[Equipment]=Table46[[#This Row],[Equipment]])*(Tabel1[Facteur]=$D$8)*(Tabel1[Date]=I$13*1)*(Tabel1[WO No]=Table46[[#This Row],[WO No]])*(Tabel1[Total]))</calculatedColumnFormula>
    </tableColumn>
    <tableColumn id="9" xr3:uid="{643400FB-1D2F-4DAA-8E76-A12E72C95BD6}" name="18/8" dataDxfId="30">
      <calculatedColumnFormula array="1">SUMPRODUCT((Tabel1[Equipment]=Table46[[#This Row],[Equipment]])*(Tabel1[Facteur]=$D$8)*(Tabel1[Date]=J$13*1)*(Tabel1[WO No]=Table46[[#This Row],[WO No]])*(Tabel1[Total]))</calculatedColumnFormula>
    </tableColumn>
    <tableColumn id="10" xr3:uid="{B8EC1A85-F88F-4942-9850-AFE73B8819CA}" name="19/8" dataDxfId="29">
      <calculatedColumnFormula array="1">SUMPRODUCT((Tabel1[Equipment]=Table46[[#This Row],[Equipment]])*(Tabel1[Facteur]=$D$8)*(Tabel1[Date]=K$13*1)*(Tabel1[WO No]=Table46[[#This Row],[WO No]])*(Tabel1[Total]))</calculatedColumnFormula>
    </tableColumn>
    <tableColumn id="11" xr3:uid="{DFCA9186-6755-4178-89F5-5589FC697C4D}" name="20/8" dataDxfId="28">
      <calculatedColumnFormula array="1">SUMPRODUCT((Tabel1[Equipment]=Table46[[#This Row],[Equipment]])*(Tabel1[Facteur]=$D$8)*(Tabel1[Date]=L$13*1)*(Tabel1[WO No]=Table46[[#This Row],[WO No]])*(Tabel1[Total]))</calculatedColumnFormula>
    </tableColumn>
    <tableColumn id="12" xr3:uid="{1CE0FCDE-FE40-44A9-A7BA-EA5CFF6998F7}" name="21/8" dataDxfId="27">
      <calculatedColumnFormula array="1">SUMPRODUCT((Tabel1[Equipment]=Table46[[#This Row],[Equipment]])*(Tabel1[Facteur]=$D$8)*(Tabel1[Date]=M$13*1)*(Tabel1[WO No]=Table46[[#This Row],[WO No]])*(Tabel1[Total]))</calculatedColumnFormula>
    </tableColumn>
    <tableColumn id="13" xr3:uid="{496399CD-F28E-4155-BA74-AD53F449360F}" name="22/8" dataDxfId="26">
      <calculatedColumnFormula array="1">SUMPRODUCT((Tabel1[Equipment]=Table46[[#This Row],[Equipment]])*(Tabel1[Facteur]=$D$8)*(Tabel1[Date]=N$13*1)*(Tabel1[WO No]=Table46[[#This Row],[WO No]])*(Tabel1[Total]))</calculatedColumnFormula>
    </tableColumn>
    <tableColumn id="14" xr3:uid="{341CBE29-F2DA-43E2-B638-1324968B265F}" name="23/8" dataDxfId="25">
      <calculatedColumnFormula array="1">SUMPRODUCT((Tabel1[Equipment]=Table46[[#This Row],[Equipment]])*(Tabel1[Facteur]=$D$8)*(Tabel1[Date]=O$13*1)*(Tabel1[WO No]=Table46[[#This Row],[WO No]])*(Tabel1[Total]))</calculatedColumnFormula>
    </tableColumn>
    <tableColumn id="15" xr3:uid="{2FA20A2A-F3CB-4BAB-B5CC-4632977BB380}" name="24/8" dataDxfId="24">
      <calculatedColumnFormula array="1">SUMPRODUCT((Tabel1[Equipment]=Table46[[#This Row],[Equipment]])*(Tabel1[Facteur]=$D$8)*(Tabel1[Date]=P$13*1)*(Tabel1[WO No]=Table46[[#This Row],[WO No]])*(Tabel1[Total]))</calculatedColumnFormula>
    </tableColumn>
    <tableColumn id="16" xr3:uid="{9A677A94-CFBA-4916-B53D-2953DA6FA7F6}" name="25/8" dataDxfId="23">
      <calculatedColumnFormula array="1">SUMPRODUCT((Tabel1[Equipment]=Table46[[#This Row],[Equipment]])*(Tabel1[Facteur]=$D$8)*(Tabel1[Date]=Q$13*1)*(Tabel1[WO No]=Table46[[#This Row],[WO No]])*(Tabel1[Total]))</calculatedColumnFormula>
    </tableColumn>
    <tableColumn id="17" xr3:uid="{0A629F3A-A724-4051-9E69-CEBC71FDDAD1}" name="26/8" dataDxfId="22">
      <calculatedColumnFormula array="1">SUMPRODUCT((Tabel1[Equipment]=Table46[[#This Row],[Equipment]])*(Tabel1[Facteur]=$D$8)*(Tabel1[Date]=R$13*1)*(Tabel1[WO No]=Table46[[#This Row],[WO No]])*(Tabel1[Total]))</calculatedColumnFormula>
    </tableColumn>
    <tableColumn id="18" xr3:uid="{EB41E9EE-8366-4B94-9F10-CF295479D455}" name="27/8" dataDxfId="21">
      <calculatedColumnFormula array="1">SUMPRODUCT((Tabel1[Equipment]=Table46[[#This Row],[Equipment]])*(Tabel1[Facteur]=$D$8)*(Tabel1[Date]=S$13*1)*(Tabel1[WO No]=Table46[[#This Row],[WO No]])*(Tabel1[Total]))</calculatedColumnFormula>
    </tableColumn>
    <tableColumn id="19" xr3:uid="{6FE0A18A-DF65-4B76-BF0B-D798FFF33056}" name="28/8" dataDxfId="20">
      <calculatedColumnFormula array="1">SUMPRODUCT((Tabel1[Equipment]=Table46[[#This Row],[Equipment]])*(Tabel1[Facteur]=$D$8)*(Tabel1[Date]=T$13*1)*(Tabel1[WO No]=Table46[[#This Row],[WO No]])*(Tabel1[Total]))</calculatedColumnFormula>
    </tableColumn>
    <tableColumn id="20" xr3:uid="{3706C1D9-2A55-42CA-9304-363670EAB83E}" name="29/8" dataDxfId="19">
      <calculatedColumnFormula array="1">SUMPRODUCT((Tabel1[Equipment]=Table46[[#This Row],[Equipment]])*(Tabel1[Facteur]=$D$8)*(Tabel1[Date]=U$13*1)*(Tabel1[WO No]=Table46[[#This Row],[WO No]])*(Tabel1[Total]))</calculatedColumnFormula>
    </tableColumn>
    <tableColumn id="21" xr3:uid="{97080C0D-8392-460B-97C3-3A8A82795F2C}" name="30/8" dataDxfId="18">
      <calculatedColumnFormula array="1">SUMPRODUCT((Tabel1[Equipment]=Table46[[#This Row],[Equipment]])*(Tabel1[Facteur]=$D$8)*(Tabel1[Date]=V$13*1)*(Tabel1[WO No]=Table46[[#This Row],[WO No]])*(Tabel1[Total]))</calculatedColumnFormula>
    </tableColumn>
    <tableColumn id="22" xr3:uid="{09E483EF-36A6-4442-9D5A-59D9611474C1}" name="31/8" dataDxfId="17">
      <calculatedColumnFormula array="1">SUMPRODUCT((Tabel1[Equipment]=Table46[[#This Row],[Equipment]])*(Tabel1[Facteur]=$D$8)*(Tabel1[Date]=W$13*1)*(Tabel1[WO No]=Table46[[#This Row],[WO No]])*(Tabel1[Total]))</calculatedColumnFormula>
    </tableColumn>
    <tableColumn id="23" xr3:uid="{93E03EB0-98D3-46D1-8C21-36A70896B0C5}" name="1/9" dataDxfId="16">
      <calculatedColumnFormula array="1">SUMPRODUCT((Tabel1[Equipment]=Table46[[#This Row],[Equipment]])*(Tabel1[Facteur]=$D$8)*(Tabel1[Date]=X$13*1)*(Tabel1[WO No]=Table46[[#This Row],[WO No]])*(Tabel1[Total]))</calculatedColumnFormula>
    </tableColumn>
    <tableColumn id="24" xr3:uid="{295F542E-509C-4083-9DFF-8512355F61C5}" name="2/9" dataDxfId="15">
      <calculatedColumnFormula array="1">SUMPRODUCT((Tabel1[Equipment]=Table46[[#This Row],[Equipment]])*(Tabel1[Facteur]=$D$8)*(Tabel1[Date]=Y$13*1)*(Tabel1[WO No]=Table46[[#This Row],[WO No]])*(Tabel1[Total]))</calculatedColumnFormula>
    </tableColumn>
    <tableColumn id="25" xr3:uid="{2C5EBFF9-B27B-4FDA-A893-66D622B8DFCB}" name="3/9" dataDxfId="14">
      <calculatedColumnFormula array="1">SUMPRODUCT((Tabel1[Equipment]=Table46[[#This Row],[Equipment]])*(Tabel1[Facteur]=$D$8)*(Tabel1[Date]=Z$13*1)*(Tabel1[WO No]=Table46[[#This Row],[WO No]])*(Tabel1[Total]))</calculatedColumnFormula>
    </tableColumn>
    <tableColumn id="26" xr3:uid="{AF71D820-31F6-4A32-BFC5-BA074E8CE265}" name="4/9" dataDxfId="13">
      <calculatedColumnFormula array="1">SUMPRODUCT((Tabel1[Equipment]=Table46[[#This Row],[Equipment]])*(Tabel1[Facteur]=$D$8)*(Tabel1[Date]=AA$13*1)*(Tabel1[WO No]=Table46[[#This Row],[WO No]])*(Tabel1[Total]))</calculatedColumnFormula>
    </tableColumn>
    <tableColumn id="27" xr3:uid="{DBCC8DFB-2AB8-4B60-97F2-39908016A379}" name="5/9" dataDxfId="12">
      <calculatedColumnFormula array="1">SUMPRODUCT((Tabel1[Equipment]=Table46[[#This Row],[Equipment]])*(Tabel1[Facteur]=$D$8)*(Tabel1[Date]=AB$13*1)*(Tabel1[WO No]=Table46[[#This Row],[WO No]])*(Tabel1[Total]))</calculatedColumnFormula>
    </tableColumn>
    <tableColumn id="28" xr3:uid="{CA41880F-9CB2-4F6E-BE22-963E3783BA2C}" name="6/9" dataDxfId="11">
      <calculatedColumnFormula array="1">SUMPRODUCT((Tabel1[Equipment]=Table46[[#This Row],[Equipment]])*(Tabel1[Facteur]=$D$8)*(Tabel1[Date]=AC$13*1)*(Tabel1[WO No]=Table46[[#This Row],[WO No]])*(Tabel1[Total]))</calculatedColumnFormula>
    </tableColumn>
    <tableColumn id="29" xr3:uid="{2E72339C-8C60-450E-BE6C-F0B87F5F9A69}" name="7/9" dataDxfId="10">
      <calculatedColumnFormula array="1">SUMPRODUCT((Tabel1[Equipment]=Table46[[#This Row],[Equipment]])*(Tabel1[Facteur]=$D$8)*(Tabel1[Date]=AD$13*1)*(Tabel1[WO No]=Table46[[#This Row],[WO No]])*(Tabel1[Total]))</calculatedColumnFormula>
    </tableColumn>
    <tableColumn id="30" xr3:uid="{D96E3F71-AFB3-4515-B70C-61D67D5E95F1}" name="8/9" dataDxfId="9">
      <calculatedColumnFormula array="1">SUMPRODUCT((Tabel1[Equipment]=Table46[[#This Row],[Equipment]])*(Tabel1[Facteur]=$D$8)*(Tabel1[Date]=AE$13*1)*(Tabel1[WO No]=Table46[[#This Row],[WO No]])*(Tabel1[Total]))</calculatedColumnFormula>
    </tableColumn>
    <tableColumn id="31" xr3:uid="{D99BAF03-1088-42D7-AAF0-1E40575913FB}" name="9/9" dataDxfId="8">
      <calculatedColumnFormula array="1">SUMPRODUCT((Tabel1[Equipment]=Table46[[#This Row],[Equipment]])*(Tabel1[Facteur]=$D$8)*(Tabel1[Date]=AF$13*1)*(Tabel1[WO No]=Table46[[#This Row],[WO No]])*(Tabel1[Total]))</calculatedColumnFormula>
    </tableColumn>
    <tableColumn id="32" xr3:uid="{6557AF9F-7F98-4176-84FC-9E44410D8A5A}" name="10/9" dataDxfId="7">
      <calculatedColumnFormula array="1">SUMPRODUCT((Tabel1[Equipment]=Table46[[#This Row],[Equipment]])*(Tabel1[Facteur]=$D$8)*(Tabel1[Date]=AG$13*1)*(Tabel1[WO No]=Table46[[#This Row],[WO No]])*(Tabel1[Total]))</calculatedColumnFormula>
    </tableColumn>
    <tableColumn id="33" xr3:uid="{204AE6F0-30B0-4D91-984F-4DA322864E5B}" name="11/9" dataDxfId="6">
      <calculatedColumnFormula array="1">SUMPRODUCT((Tabel1[Equipment]=Table46[[#This Row],[Equipment]])*(Tabel1[Facteur]=$D$8)*(Tabel1[Date]=AH$13*1)*(Tabel1[WO No]=Table46[[#This Row],[WO No]])*(Tabel1[Total]))</calculatedColumnFormula>
    </tableColumn>
    <tableColumn id="34" xr3:uid="{EAA81024-84EC-4C75-8A49-C60DE4454EBC}" name="12/9" dataDxfId="5">
      <calculatedColumnFormula array="1">SUMPRODUCT((Tabel1[Equipment]=Table46[[#This Row],[Equipment]])*(Tabel1[Facteur]=$D$8)*(Tabel1[Date]=AI$13*1)*(Tabel1[WO No]=Table46[[#This Row],[WO No]])*(Tabel1[Total]))</calculatedColumnFormula>
    </tableColumn>
    <tableColumn id="35" xr3:uid="{DB4AA9C9-7408-46B8-A814-60BE68C7567A}" name="13/9" dataDxfId="4">
      <calculatedColumnFormula array="1">SUMPRODUCT((Tabel1[Equipment]=Table46[[#This Row],[Equipment]])*(Tabel1[Facteur]=$D$8)*(Tabel1[Date]=AJ$13*1)*(Tabel1[WO No]=Table46[[#This Row],[WO No]])*(Tabel1[Total]))</calculatedColumnFormula>
    </tableColumn>
    <tableColumn id="36" xr3:uid="{AC0CD823-8BB2-4988-AB37-FD9E577EA729}" name="14/9" dataDxfId="3">
      <calculatedColumnFormula array="1">SUMPRODUCT((Tabel1[Equipment]=Table46[[#This Row],[Equipment]])*(Tabel1[Facteur]=$D$8)*(Tabel1[Date]=AK$13*1)*(Tabel1[WO No]=Table46[[#This Row],[WO No]])*(Tabel1[Total]))</calculatedColumnFormula>
    </tableColumn>
    <tableColumn id="37" xr3:uid="{D18E89D9-6863-48FD-9E4E-FFEA15617912}" name="Total Hrs" dataDxfId="2">
      <calculatedColumnFormula>SUM(Table46[[#This Row],[15/8]:[14/9]])</calculatedColumnFormula>
    </tableColumn>
    <tableColumn id="38" xr3:uid="{CEDF4AEC-2296-48F5-80CC-96DF35C423B0}" name="Hourely Rate (MRU)" dataDxfId="1">
      <calculatedColumnFormula>IF(Table46[[#This Row],[Equipment]]="","",VLOOKUP(Table46[[#This Row],[Equipment]],Tableau2[[#All],[Equipment]:[PRICE]],4,0))</calculatedColumnFormula>
    </tableColumn>
    <tableColumn id="39" xr3:uid="{E4CE178E-97E5-4721-81CF-BE840EE6950E}" name=" Total Cost (MRU)" dataDxfId="0">
      <calculatedColumnFormula>Table46[[#This Row],[Total Hrs]]* Table46[[#This Row],[Hourely Rate (MRU)]]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36D9C35-B9E2-4D62-B45B-660D50B2E0C1}">
  <we:reference id="wa104380862" version="3.0.0.0" store="fr-FR" storeType="OMEX"/>
  <we:alternateReferences>
    <we:reference id="WA104380862" version="3.0.0.0" store="WA104380862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91400-C435-409F-951D-C912B6E22853}">
  <sheetPr codeName="Feuil3"/>
  <dimension ref="B3:F49"/>
  <sheetViews>
    <sheetView workbookViewId="0">
      <selection activeCell="F29" sqref="C29:F29"/>
    </sheetView>
  </sheetViews>
  <sheetFormatPr baseColWidth="10" defaultColWidth="10.88671875" defaultRowHeight="14.4" x14ac:dyDescent="0.3"/>
  <cols>
    <col min="1" max="1" width="10.88671875" style="8"/>
    <col min="2" max="2" width="16.21875" style="8" bestFit="1" customWidth="1"/>
    <col min="3" max="3" width="25" style="8" bestFit="1" customWidth="1"/>
    <col min="4" max="4" width="14.21875" style="8" bestFit="1" customWidth="1"/>
    <col min="5" max="5" width="22" style="8" customWidth="1"/>
    <col min="6" max="16384" width="10.88671875" style="8"/>
  </cols>
  <sheetData>
    <row r="3" spans="2:6" ht="15" thickBot="1" x14ac:dyDescent="0.35">
      <c r="B3" s="15" t="s">
        <v>142</v>
      </c>
      <c r="C3" s="15" t="s">
        <v>9</v>
      </c>
      <c r="D3" s="15" t="s">
        <v>8</v>
      </c>
      <c r="E3" s="15" t="s">
        <v>131</v>
      </c>
      <c r="F3" s="15" t="s">
        <v>227</v>
      </c>
    </row>
    <row r="4" spans="2:6" x14ac:dyDescent="0.3">
      <c r="B4" s="11" t="s">
        <v>33</v>
      </c>
      <c r="C4" s="12" t="s">
        <v>156</v>
      </c>
      <c r="D4" s="12" t="s">
        <v>156</v>
      </c>
      <c r="E4" s="13" t="s">
        <v>85</v>
      </c>
      <c r="F4" s="28">
        <v>1500</v>
      </c>
    </row>
    <row r="5" spans="2:6" x14ac:dyDescent="0.3">
      <c r="B5" s="14" t="s">
        <v>33</v>
      </c>
      <c r="C5" s="12" t="s">
        <v>157</v>
      </c>
      <c r="D5" s="12" t="s">
        <v>157</v>
      </c>
      <c r="E5" s="14" t="s">
        <v>87</v>
      </c>
      <c r="F5" s="14">
        <v>1500</v>
      </c>
    </row>
    <row r="6" spans="2:6" x14ac:dyDescent="0.3">
      <c r="B6" s="14" t="s">
        <v>33</v>
      </c>
      <c r="C6" s="14" t="s">
        <v>86</v>
      </c>
      <c r="D6" s="14" t="s">
        <v>86</v>
      </c>
      <c r="E6" s="14" t="s">
        <v>89</v>
      </c>
      <c r="F6" s="14">
        <v>1500</v>
      </c>
    </row>
    <row r="7" spans="2:6" x14ac:dyDescent="0.3">
      <c r="B7" s="14" t="s">
        <v>33</v>
      </c>
      <c r="C7" s="14" t="s">
        <v>88</v>
      </c>
      <c r="D7" s="14" t="s">
        <v>88</v>
      </c>
      <c r="E7" s="14" t="s">
        <v>91</v>
      </c>
      <c r="F7" s="14">
        <v>1500</v>
      </c>
    </row>
    <row r="8" spans="2:6" x14ac:dyDescent="0.3">
      <c r="B8" s="14" t="s">
        <v>33</v>
      </c>
      <c r="C8" s="14" t="s">
        <v>90</v>
      </c>
      <c r="D8" s="14" t="s">
        <v>90</v>
      </c>
      <c r="E8" s="14" t="s">
        <v>23</v>
      </c>
      <c r="F8" s="14">
        <v>1650</v>
      </c>
    </row>
    <row r="9" spans="2:6" x14ac:dyDescent="0.3">
      <c r="B9" s="14" t="s">
        <v>33</v>
      </c>
      <c r="C9" s="14" t="s">
        <v>45</v>
      </c>
      <c r="D9" s="14" t="s">
        <v>45</v>
      </c>
      <c r="E9" s="14" t="s">
        <v>93</v>
      </c>
      <c r="F9" s="14">
        <v>1700</v>
      </c>
    </row>
    <row r="10" spans="2:6" x14ac:dyDescent="0.3">
      <c r="B10" s="14" t="s">
        <v>33</v>
      </c>
      <c r="C10" s="14" t="s">
        <v>92</v>
      </c>
      <c r="D10" s="14" t="s">
        <v>92</v>
      </c>
      <c r="E10" s="14" t="s">
        <v>95</v>
      </c>
      <c r="F10" s="14">
        <v>2000</v>
      </c>
    </row>
    <row r="11" spans="2:6" x14ac:dyDescent="0.3">
      <c r="B11" s="14" t="s">
        <v>33</v>
      </c>
      <c r="C11" s="14" t="s">
        <v>94</v>
      </c>
      <c r="D11" s="14" t="s">
        <v>94</v>
      </c>
      <c r="E11" s="14" t="s">
        <v>22</v>
      </c>
      <c r="F11" s="14">
        <v>2250</v>
      </c>
    </row>
    <row r="12" spans="2:6" x14ac:dyDescent="0.3">
      <c r="B12" s="14" t="s">
        <v>33</v>
      </c>
      <c r="C12" s="14" t="s">
        <v>44</v>
      </c>
      <c r="D12" s="14" t="s">
        <v>44</v>
      </c>
      <c r="E12" s="14" t="s">
        <v>185</v>
      </c>
      <c r="F12" s="14">
        <v>2500</v>
      </c>
    </row>
    <row r="13" spans="2:6" x14ac:dyDescent="0.3">
      <c r="B13" s="14" t="s">
        <v>32</v>
      </c>
      <c r="C13" s="14" t="s">
        <v>96</v>
      </c>
      <c r="D13" s="14" t="s">
        <v>51</v>
      </c>
      <c r="E13" s="14" t="s">
        <v>20</v>
      </c>
      <c r="F13" s="14">
        <v>970</v>
      </c>
    </row>
    <row r="14" spans="2:6" x14ac:dyDescent="0.3">
      <c r="B14" s="14" t="s">
        <v>32</v>
      </c>
      <c r="C14" s="14" t="s">
        <v>97</v>
      </c>
      <c r="D14" s="14" t="s">
        <v>98</v>
      </c>
      <c r="E14" s="14" t="s">
        <v>99</v>
      </c>
      <c r="F14" s="14">
        <v>970</v>
      </c>
    </row>
    <row r="15" spans="2:6" x14ac:dyDescent="0.3">
      <c r="B15" s="14" t="s">
        <v>32</v>
      </c>
      <c r="C15" s="14" t="s">
        <v>100</v>
      </c>
      <c r="D15" s="14" t="s">
        <v>54</v>
      </c>
      <c r="E15" s="14" t="s">
        <v>26</v>
      </c>
      <c r="F15" s="14">
        <v>970</v>
      </c>
    </row>
    <row r="16" spans="2:6" x14ac:dyDescent="0.3">
      <c r="B16" s="14" t="s">
        <v>32</v>
      </c>
      <c r="C16" s="14" t="s">
        <v>101</v>
      </c>
      <c r="D16" s="14" t="s">
        <v>102</v>
      </c>
      <c r="E16" s="14" t="s">
        <v>103</v>
      </c>
      <c r="F16" s="14">
        <v>970</v>
      </c>
    </row>
    <row r="17" spans="2:6" x14ac:dyDescent="0.3">
      <c r="B17" s="14" t="s">
        <v>32</v>
      </c>
      <c r="C17" s="14" t="s">
        <v>104</v>
      </c>
      <c r="D17" s="14" t="s">
        <v>72</v>
      </c>
      <c r="E17" s="14" t="s">
        <v>69</v>
      </c>
      <c r="F17" s="14">
        <v>970</v>
      </c>
    </row>
    <row r="18" spans="2:6" x14ac:dyDescent="0.3">
      <c r="B18" s="14" t="s">
        <v>32</v>
      </c>
      <c r="C18" s="14" t="s">
        <v>105</v>
      </c>
      <c r="D18" s="14" t="s">
        <v>83</v>
      </c>
      <c r="E18" s="14" t="s">
        <v>84</v>
      </c>
      <c r="F18" s="14">
        <v>970</v>
      </c>
    </row>
    <row r="19" spans="2:6" x14ac:dyDescent="0.3">
      <c r="B19" s="14" t="s">
        <v>32</v>
      </c>
      <c r="C19" s="14" t="s">
        <v>106</v>
      </c>
      <c r="D19" s="14" t="s">
        <v>53</v>
      </c>
      <c r="E19" s="14" t="s">
        <v>24</v>
      </c>
      <c r="F19" s="14">
        <v>970</v>
      </c>
    </row>
    <row r="20" spans="2:6" x14ac:dyDescent="0.3">
      <c r="B20" s="14" t="s">
        <v>32</v>
      </c>
      <c r="C20" s="14" t="s">
        <v>77</v>
      </c>
      <c r="D20" s="14" t="s">
        <v>55</v>
      </c>
      <c r="E20" s="14" t="s">
        <v>27</v>
      </c>
      <c r="F20" s="14">
        <v>970</v>
      </c>
    </row>
    <row r="21" spans="2:6" x14ac:dyDescent="0.3">
      <c r="B21" s="14" t="s">
        <v>32</v>
      </c>
      <c r="C21" s="14" t="s">
        <v>107</v>
      </c>
      <c r="D21" s="14" t="s">
        <v>108</v>
      </c>
      <c r="E21" s="14" t="s">
        <v>109</v>
      </c>
      <c r="F21" s="14">
        <v>970</v>
      </c>
    </row>
    <row r="22" spans="2:6" x14ac:dyDescent="0.3">
      <c r="B22" s="14" t="s">
        <v>32</v>
      </c>
      <c r="C22" s="14" t="s">
        <v>110</v>
      </c>
      <c r="D22" s="14" t="s">
        <v>79</v>
      </c>
      <c r="E22" s="14" t="s">
        <v>78</v>
      </c>
      <c r="F22" s="14">
        <v>970</v>
      </c>
    </row>
    <row r="23" spans="2:6" x14ac:dyDescent="0.3">
      <c r="B23" s="14" t="s">
        <v>28</v>
      </c>
      <c r="C23" s="14" t="s">
        <v>34</v>
      </c>
      <c r="D23" s="14" t="s">
        <v>47</v>
      </c>
      <c r="E23" s="14" t="s">
        <v>11</v>
      </c>
      <c r="F23" s="14">
        <v>970</v>
      </c>
    </row>
    <row r="24" spans="2:6" x14ac:dyDescent="0.3">
      <c r="B24" s="14" t="s">
        <v>28</v>
      </c>
      <c r="C24" s="14" t="s">
        <v>35</v>
      </c>
      <c r="D24" s="14" t="s">
        <v>48</v>
      </c>
      <c r="E24" s="14" t="s">
        <v>12</v>
      </c>
      <c r="F24" s="14">
        <v>970</v>
      </c>
    </row>
    <row r="25" spans="2:6" x14ac:dyDescent="0.3">
      <c r="B25" s="14" t="s">
        <v>28</v>
      </c>
      <c r="C25" s="14" t="s">
        <v>36</v>
      </c>
      <c r="D25" s="14" t="s">
        <v>49</v>
      </c>
      <c r="E25" s="14" t="s">
        <v>13</v>
      </c>
      <c r="F25" s="14">
        <v>970</v>
      </c>
    </row>
    <row r="26" spans="2:6" x14ac:dyDescent="0.3">
      <c r="B26" s="14" t="s">
        <v>28</v>
      </c>
      <c r="C26" s="14" t="s">
        <v>43</v>
      </c>
      <c r="D26" s="14" t="s">
        <v>52</v>
      </c>
      <c r="E26" s="14" t="s">
        <v>21</v>
      </c>
      <c r="F26" s="14">
        <v>970</v>
      </c>
    </row>
    <row r="27" spans="2:6" x14ac:dyDescent="0.3">
      <c r="B27" s="14" t="s">
        <v>28</v>
      </c>
      <c r="C27" s="14" t="s">
        <v>37</v>
      </c>
      <c r="D27" s="14" t="s">
        <v>50</v>
      </c>
      <c r="E27" s="14" t="s">
        <v>14</v>
      </c>
      <c r="F27" s="14">
        <v>970</v>
      </c>
    </row>
    <row r="28" spans="2:6" x14ac:dyDescent="0.3">
      <c r="B28" s="14" t="s">
        <v>28</v>
      </c>
      <c r="C28" s="14" t="s">
        <v>82</v>
      </c>
      <c r="D28" s="14" t="s">
        <v>81</v>
      </c>
      <c r="E28" s="14" t="s">
        <v>80</v>
      </c>
      <c r="F28" s="14">
        <v>970</v>
      </c>
    </row>
    <row r="29" spans="2:6" x14ac:dyDescent="0.3">
      <c r="B29" s="14" t="s">
        <v>30</v>
      </c>
      <c r="C29" s="32" t="s">
        <v>46</v>
      </c>
      <c r="D29" s="32" t="s">
        <v>46</v>
      </c>
      <c r="E29" s="32" t="s">
        <v>25</v>
      </c>
      <c r="F29" s="32">
        <v>1550</v>
      </c>
    </row>
    <row r="30" spans="2:6" x14ac:dyDescent="0.3">
      <c r="B30" s="14" t="s">
        <v>30</v>
      </c>
      <c r="C30" s="14" t="s">
        <v>42</v>
      </c>
      <c r="D30" s="14" t="s">
        <v>42</v>
      </c>
      <c r="E30" s="14" t="s">
        <v>19</v>
      </c>
      <c r="F30" s="14">
        <v>1550</v>
      </c>
    </row>
    <row r="31" spans="2:6" x14ac:dyDescent="0.3">
      <c r="B31" s="14" t="s">
        <v>30</v>
      </c>
      <c r="C31" s="14" t="s">
        <v>111</v>
      </c>
      <c r="D31" s="14" t="s">
        <v>111</v>
      </c>
      <c r="E31" s="14" t="s">
        <v>112</v>
      </c>
      <c r="F31" s="14">
        <v>1750</v>
      </c>
    </row>
    <row r="32" spans="2:6" x14ac:dyDescent="0.3">
      <c r="B32" s="14" t="s">
        <v>30</v>
      </c>
      <c r="C32" s="14" t="s">
        <v>40</v>
      </c>
      <c r="D32" s="14" t="s">
        <v>40</v>
      </c>
      <c r="E32" s="14" t="s">
        <v>17</v>
      </c>
      <c r="F32" s="14">
        <v>1750</v>
      </c>
    </row>
    <row r="33" spans="2:6" x14ac:dyDescent="0.3">
      <c r="B33" s="14" t="s">
        <v>30</v>
      </c>
      <c r="C33" s="14" t="s">
        <v>113</v>
      </c>
      <c r="D33" s="14" t="s">
        <v>113</v>
      </c>
      <c r="E33" s="14" t="s">
        <v>114</v>
      </c>
      <c r="F33" s="14">
        <v>1750</v>
      </c>
    </row>
    <row r="34" spans="2:6" x14ac:dyDescent="0.3">
      <c r="B34" s="14" t="s">
        <v>30</v>
      </c>
      <c r="C34" s="14" t="s">
        <v>115</v>
      </c>
      <c r="D34" s="14" t="s">
        <v>115</v>
      </c>
      <c r="E34" s="14" t="s">
        <v>116</v>
      </c>
      <c r="F34" s="14">
        <v>4000</v>
      </c>
    </row>
    <row r="35" spans="2:6" x14ac:dyDescent="0.3">
      <c r="B35" s="14" t="s">
        <v>29</v>
      </c>
      <c r="C35" s="14" t="s">
        <v>63</v>
      </c>
      <c r="D35" s="14" t="s">
        <v>63</v>
      </c>
      <c r="E35" s="14" t="s">
        <v>60</v>
      </c>
      <c r="F35" s="14">
        <v>1650</v>
      </c>
    </row>
    <row r="36" spans="2:6" x14ac:dyDescent="0.3">
      <c r="B36" s="14" t="s">
        <v>29</v>
      </c>
      <c r="C36" s="14" t="s">
        <v>39</v>
      </c>
      <c r="D36" s="14" t="s">
        <v>39</v>
      </c>
      <c r="E36" s="14" t="s">
        <v>16</v>
      </c>
      <c r="F36" s="14">
        <v>1650</v>
      </c>
    </row>
    <row r="37" spans="2:6" x14ac:dyDescent="0.3">
      <c r="B37" s="14" t="s">
        <v>29</v>
      </c>
      <c r="C37" s="14" t="s">
        <v>38</v>
      </c>
      <c r="D37" s="14" t="s">
        <v>38</v>
      </c>
      <c r="E37" s="14" t="s">
        <v>15</v>
      </c>
      <c r="F37" s="14">
        <v>1650</v>
      </c>
    </row>
    <row r="38" spans="2:6" x14ac:dyDescent="0.3">
      <c r="B38" s="14" t="s">
        <v>29</v>
      </c>
      <c r="C38" s="14" t="s">
        <v>117</v>
      </c>
      <c r="D38" s="14" t="s">
        <v>117</v>
      </c>
      <c r="E38" s="14" t="s">
        <v>118</v>
      </c>
      <c r="F38" s="14">
        <v>1650</v>
      </c>
    </row>
    <row r="39" spans="2:6" x14ac:dyDescent="0.3">
      <c r="B39" s="14" t="s">
        <v>29</v>
      </c>
      <c r="C39" s="14" t="s">
        <v>119</v>
      </c>
      <c r="D39" s="14" t="s">
        <v>119</v>
      </c>
      <c r="E39" s="14" t="s">
        <v>120</v>
      </c>
      <c r="F39" s="14">
        <v>1650</v>
      </c>
    </row>
    <row r="40" spans="2:6" x14ac:dyDescent="0.3">
      <c r="B40" s="14" t="s">
        <v>31</v>
      </c>
      <c r="C40" s="14" t="s">
        <v>70</v>
      </c>
      <c r="D40" s="14" t="s">
        <v>70</v>
      </c>
      <c r="E40" s="14" t="s">
        <v>67</v>
      </c>
      <c r="F40" s="14">
        <v>3000</v>
      </c>
    </row>
    <row r="41" spans="2:6" x14ac:dyDescent="0.3">
      <c r="B41" s="14" t="s">
        <v>31</v>
      </c>
      <c r="C41" s="14" t="s">
        <v>121</v>
      </c>
      <c r="D41" s="14" t="s">
        <v>121</v>
      </c>
      <c r="E41" s="14" t="s">
        <v>122</v>
      </c>
      <c r="F41" s="14">
        <v>3000</v>
      </c>
    </row>
    <row r="42" spans="2:6" x14ac:dyDescent="0.3">
      <c r="B42" s="14" t="s">
        <v>31</v>
      </c>
      <c r="C42" s="14" t="s">
        <v>123</v>
      </c>
      <c r="D42" s="14" t="s">
        <v>123</v>
      </c>
      <c r="E42" s="14" t="s">
        <v>124</v>
      </c>
      <c r="F42" s="14">
        <v>4500</v>
      </c>
    </row>
    <row r="43" spans="2:6" x14ac:dyDescent="0.3">
      <c r="B43" s="14" t="s">
        <v>31</v>
      </c>
      <c r="C43" s="14" t="s">
        <v>41</v>
      </c>
      <c r="D43" s="14" t="s">
        <v>41</v>
      </c>
      <c r="E43" s="14" t="s">
        <v>18</v>
      </c>
      <c r="F43" s="14">
        <v>3000</v>
      </c>
    </row>
    <row r="44" spans="2:6" x14ac:dyDescent="0.3">
      <c r="B44" s="14" t="s">
        <v>75</v>
      </c>
      <c r="C44" s="14" t="s">
        <v>76</v>
      </c>
      <c r="D44" s="14" t="s">
        <v>76</v>
      </c>
      <c r="E44" s="14" t="s">
        <v>74</v>
      </c>
      <c r="F44" s="14">
        <v>1300</v>
      </c>
    </row>
    <row r="45" spans="2:6" x14ac:dyDescent="0.3">
      <c r="B45" s="14" t="s">
        <v>58</v>
      </c>
      <c r="C45" s="14" t="s">
        <v>59</v>
      </c>
      <c r="D45" s="14" t="s">
        <v>132</v>
      </c>
      <c r="E45" s="14" t="s">
        <v>158</v>
      </c>
      <c r="F45" s="14">
        <v>1300</v>
      </c>
    </row>
    <row r="46" spans="2:6" x14ac:dyDescent="0.3">
      <c r="B46" s="14" t="s">
        <v>125</v>
      </c>
      <c r="C46" s="14" t="s">
        <v>126</v>
      </c>
      <c r="D46" s="14" t="s">
        <v>127</v>
      </c>
      <c r="E46" s="14" t="s">
        <v>128</v>
      </c>
      <c r="F46" s="14">
        <v>1300</v>
      </c>
    </row>
    <row r="47" spans="2:6" x14ac:dyDescent="0.3">
      <c r="B47" s="14" t="s">
        <v>125</v>
      </c>
      <c r="C47" s="14" t="s">
        <v>126</v>
      </c>
      <c r="D47" s="14" t="s">
        <v>129</v>
      </c>
      <c r="E47" s="14" t="s">
        <v>130</v>
      </c>
      <c r="F47" s="14">
        <v>1300</v>
      </c>
    </row>
    <row r="48" spans="2:6" x14ac:dyDescent="0.3">
      <c r="B48" s="14" t="s">
        <v>62</v>
      </c>
      <c r="C48" s="14" t="s">
        <v>73</v>
      </c>
      <c r="D48" s="14" t="s">
        <v>71</v>
      </c>
      <c r="E48" s="14" t="s">
        <v>68</v>
      </c>
      <c r="F48" s="14">
        <v>1000</v>
      </c>
    </row>
    <row r="49" spans="2:6" x14ac:dyDescent="0.3">
      <c r="B49" s="12" t="s">
        <v>62</v>
      </c>
      <c r="C49" s="12" t="s">
        <v>65</v>
      </c>
      <c r="D49" s="12" t="s">
        <v>64</v>
      </c>
      <c r="E49" s="12" t="s">
        <v>61</v>
      </c>
      <c r="F49" s="12">
        <v>1200</v>
      </c>
    </row>
  </sheetData>
  <phoneticPr fontId="3" type="noConversion"/>
  <conditionalFormatting sqref="E4:E5 E7 E9 E11">
    <cfRule type="expression" dxfId="109" priority="4">
      <formula>$B$4</formula>
    </cfRule>
  </conditionalFormatting>
  <conditionalFormatting sqref="E6 E8 E10 E12">
    <cfRule type="expression" dxfId="108" priority="3">
      <formula>$B$4</formula>
    </cfRule>
  </conditionalFormatting>
  <conditionalFormatting sqref="F7 F9 F11">
    <cfRule type="expression" dxfId="107" priority="2">
      <formula>$B$4</formula>
    </cfRule>
  </conditionalFormatting>
  <conditionalFormatting sqref="F8 F10">
    <cfRule type="expression" dxfId="106" priority="1">
      <formula>$B$4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E385F-16A2-4F8D-B5D2-D80DA96C8EB6}">
  <dimension ref="A2:P205"/>
  <sheetViews>
    <sheetView showGridLines="0" workbookViewId="0">
      <selection activeCell="A2" sqref="A2:P205"/>
    </sheetView>
  </sheetViews>
  <sheetFormatPr baseColWidth="10" defaultRowHeight="14.4" x14ac:dyDescent="0.3"/>
  <cols>
    <col min="1" max="1" width="17" bestFit="1" customWidth="1"/>
    <col min="2" max="2" width="21.88671875" bestFit="1" customWidth="1"/>
    <col min="3" max="3" width="80.88671875" bestFit="1" customWidth="1"/>
    <col min="4" max="4" width="9.44140625" bestFit="1" customWidth="1"/>
    <col min="5" max="5" width="9.21875" style="4" bestFit="1" customWidth="1"/>
    <col min="6" max="16" width="8.21875" style="4" bestFit="1" customWidth="1"/>
    <col min="17" max="17" width="13" customWidth="1"/>
  </cols>
  <sheetData>
    <row r="2" spans="1:16" ht="58.8" x14ac:dyDescent="0.3">
      <c r="A2" t="s">
        <v>142</v>
      </c>
      <c r="B2" t="s">
        <v>9</v>
      </c>
      <c r="C2" t="s">
        <v>6</v>
      </c>
      <c r="D2" t="s">
        <v>232</v>
      </c>
      <c r="E2" t="s">
        <v>145</v>
      </c>
      <c r="F2" s="64" t="s">
        <v>235</v>
      </c>
      <c r="G2" s="64" t="s">
        <v>236</v>
      </c>
      <c r="H2" s="64" t="s">
        <v>237</v>
      </c>
      <c r="I2" s="64" t="s">
        <v>238</v>
      </c>
      <c r="J2" s="64" t="s">
        <v>239</v>
      </c>
      <c r="K2" s="64" t="s">
        <v>240</v>
      </c>
      <c r="L2" s="64" t="s">
        <v>241</v>
      </c>
      <c r="M2" s="64" t="s">
        <v>242</v>
      </c>
      <c r="N2" s="64" t="s">
        <v>243</v>
      </c>
      <c r="O2" s="64" t="s">
        <v>244</v>
      </c>
      <c r="P2" s="64" t="s">
        <v>245</v>
      </c>
    </row>
    <row r="3" spans="1:16" hidden="1" x14ac:dyDescent="0.3">
      <c r="A3" t="s">
        <v>75</v>
      </c>
      <c r="B3" t="s">
        <v>76</v>
      </c>
      <c r="C3" t="s">
        <v>176</v>
      </c>
      <c r="E3">
        <v>5252655</v>
      </c>
      <c r="H3" s="4">
        <v>8</v>
      </c>
    </row>
    <row r="4" spans="1:16" hidden="1" x14ac:dyDescent="0.3">
      <c r="A4" t="s">
        <v>32</v>
      </c>
      <c r="B4" t="s">
        <v>106</v>
      </c>
      <c r="C4" t="s">
        <v>164</v>
      </c>
      <c r="E4">
        <v>5250776</v>
      </c>
      <c r="F4" s="4">
        <v>2</v>
      </c>
    </row>
    <row r="5" spans="1:16" hidden="1" x14ac:dyDescent="0.3">
      <c r="A5" t="s">
        <v>32</v>
      </c>
      <c r="B5" t="s">
        <v>105</v>
      </c>
      <c r="C5" t="s">
        <v>193</v>
      </c>
      <c r="E5">
        <v>5257366</v>
      </c>
      <c r="O5" s="4">
        <v>7</v>
      </c>
    </row>
    <row r="6" spans="1:16" hidden="1" x14ac:dyDescent="0.3">
      <c r="A6" t="s">
        <v>32</v>
      </c>
      <c r="B6" t="s">
        <v>105</v>
      </c>
      <c r="C6" t="s">
        <v>193</v>
      </c>
      <c r="E6">
        <v>5257366</v>
      </c>
      <c r="N6" s="4">
        <v>6</v>
      </c>
    </row>
    <row r="7" spans="1:16" hidden="1" x14ac:dyDescent="0.3">
      <c r="A7" t="s">
        <v>32</v>
      </c>
      <c r="B7" t="s">
        <v>105</v>
      </c>
      <c r="C7" t="s">
        <v>193</v>
      </c>
      <c r="E7">
        <v>5257366</v>
      </c>
      <c r="M7" s="4">
        <v>7</v>
      </c>
    </row>
    <row r="8" spans="1:16" hidden="1" x14ac:dyDescent="0.3">
      <c r="A8" t="s">
        <v>32</v>
      </c>
      <c r="B8" t="s">
        <v>105</v>
      </c>
      <c r="C8" t="s">
        <v>231</v>
      </c>
      <c r="E8">
        <v>5248839</v>
      </c>
      <c r="P8" s="4">
        <v>3</v>
      </c>
    </row>
    <row r="9" spans="1:16" hidden="1" x14ac:dyDescent="0.3">
      <c r="A9" t="s">
        <v>32</v>
      </c>
      <c r="B9" t="s">
        <v>104</v>
      </c>
      <c r="C9" t="s">
        <v>193</v>
      </c>
      <c r="E9">
        <v>5257366</v>
      </c>
      <c r="P9" s="4">
        <v>8</v>
      </c>
    </row>
    <row r="10" spans="1:16" hidden="1" x14ac:dyDescent="0.3">
      <c r="A10" t="s">
        <v>32</v>
      </c>
      <c r="B10" t="s">
        <v>104</v>
      </c>
      <c r="C10" t="s">
        <v>193</v>
      </c>
      <c r="E10">
        <v>5257366</v>
      </c>
      <c r="O10" s="4">
        <v>7</v>
      </c>
    </row>
    <row r="11" spans="1:16" hidden="1" x14ac:dyDescent="0.3">
      <c r="A11" t="s">
        <v>32</v>
      </c>
      <c r="B11" t="s">
        <v>100</v>
      </c>
      <c r="C11" t="s">
        <v>172</v>
      </c>
      <c r="E11">
        <v>5246410</v>
      </c>
      <c r="M11" s="4">
        <v>2</v>
      </c>
    </row>
    <row r="12" spans="1:16" hidden="1" x14ac:dyDescent="0.3">
      <c r="A12" t="s">
        <v>32</v>
      </c>
      <c r="B12" t="s">
        <v>100</v>
      </c>
      <c r="C12" t="s">
        <v>172</v>
      </c>
      <c r="E12">
        <v>5246410</v>
      </c>
      <c r="K12" s="4">
        <v>2</v>
      </c>
    </row>
    <row r="13" spans="1:16" hidden="1" x14ac:dyDescent="0.3">
      <c r="A13" t="s">
        <v>32</v>
      </c>
      <c r="B13" t="s">
        <v>100</v>
      </c>
      <c r="C13" t="s">
        <v>188</v>
      </c>
      <c r="E13">
        <v>5246134</v>
      </c>
      <c r="L13" s="4">
        <v>2</v>
      </c>
    </row>
    <row r="14" spans="1:16" hidden="1" x14ac:dyDescent="0.3">
      <c r="A14" t="s">
        <v>62</v>
      </c>
      <c r="B14" t="s">
        <v>65</v>
      </c>
      <c r="C14" t="s">
        <v>166</v>
      </c>
      <c r="E14">
        <v>5246686</v>
      </c>
      <c r="G14" s="4">
        <v>4</v>
      </c>
    </row>
    <row r="15" spans="1:16" hidden="1" x14ac:dyDescent="0.3">
      <c r="A15" t="s">
        <v>62</v>
      </c>
      <c r="B15" t="s">
        <v>73</v>
      </c>
      <c r="C15" t="s">
        <v>170</v>
      </c>
      <c r="E15">
        <v>5250657</v>
      </c>
      <c r="F15" s="4">
        <v>6</v>
      </c>
    </row>
    <row r="16" spans="1:16" hidden="1" x14ac:dyDescent="0.3">
      <c r="A16" t="s">
        <v>62</v>
      </c>
      <c r="B16" t="s">
        <v>73</v>
      </c>
      <c r="C16" t="s">
        <v>184</v>
      </c>
      <c r="E16">
        <v>5249725</v>
      </c>
      <c r="K16" s="4">
        <v>1</v>
      </c>
    </row>
    <row r="17" spans="1:16" hidden="1" x14ac:dyDescent="0.3">
      <c r="A17" t="s">
        <v>62</v>
      </c>
      <c r="B17" t="s">
        <v>73</v>
      </c>
      <c r="C17" t="s">
        <v>195</v>
      </c>
      <c r="E17">
        <v>5257918</v>
      </c>
      <c r="N17" s="4">
        <v>7</v>
      </c>
    </row>
    <row r="18" spans="1:16" hidden="1" x14ac:dyDescent="0.3">
      <c r="A18" t="s">
        <v>62</v>
      </c>
      <c r="B18" t="s">
        <v>73</v>
      </c>
      <c r="C18" t="s">
        <v>188</v>
      </c>
      <c r="E18">
        <v>5246134</v>
      </c>
      <c r="L18" s="4">
        <v>9</v>
      </c>
    </row>
    <row r="19" spans="1:16" hidden="1" x14ac:dyDescent="0.3">
      <c r="A19" t="s">
        <v>30</v>
      </c>
      <c r="B19" t="s">
        <v>42</v>
      </c>
      <c r="C19" t="s">
        <v>183</v>
      </c>
      <c r="E19">
        <v>5254073</v>
      </c>
      <c r="J19" s="4">
        <v>6</v>
      </c>
    </row>
    <row r="20" spans="1:16" hidden="1" x14ac:dyDescent="0.3">
      <c r="A20" t="s">
        <v>30</v>
      </c>
      <c r="B20" t="s">
        <v>42</v>
      </c>
      <c r="C20" t="s">
        <v>193</v>
      </c>
      <c r="E20">
        <v>5257366</v>
      </c>
      <c r="P20" s="4">
        <v>8</v>
      </c>
    </row>
    <row r="21" spans="1:16" hidden="1" x14ac:dyDescent="0.3">
      <c r="A21" t="s">
        <v>30</v>
      </c>
      <c r="B21" t="s">
        <v>42</v>
      </c>
      <c r="C21" t="s">
        <v>193</v>
      </c>
      <c r="E21">
        <v>5257366</v>
      </c>
      <c r="O21" s="4">
        <v>4</v>
      </c>
    </row>
    <row r="22" spans="1:16" hidden="1" x14ac:dyDescent="0.3">
      <c r="A22" t="s">
        <v>30</v>
      </c>
      <c r="B22" t="s">
        <v>42</v>
      </c>
      <c r="C22" t="s">
        <v>192</v>
      </c>
      <c r="E22">
        <v>5257354</v>
      </c>
      <c r="M22" s="4">
        <v>4</v>
      </c>
    </row>
    <row r="23" spans="1:16" hidden="1" x14ac:dyDescent="0.3">
      <c r="A23" t="s">
        <v>30</v>
      </c>
      <c r="B23" t="s">
        <v>42</v>
      </c>
      <c r="C23" t="s">
        <v>181</v>
      </c>
      <c r="E23">
        <v>5253954</v>
      </c>
      <c r="J23" s="4">
        <v>3</v>
      </c>
    </row>
    <row r="24" spans="1:16" hidden="1" x14ac:dyDescent="0.3">
      <c r="A24" t="s">
        <v>30</v>
      </c>
      <c r="B24" t="s">
        <v>42</v>
      </c>
      <c r="C24" t="s">
        <v>172</v>
      </c>
      <c r="E24">
        <v>5246410</v>
      </c>
      <c r="M24" s="4">
        <v>2</v>
      </c>
    </row>
    <row r="25" spans="1:16" hidden="1" x14ac:dyDescent="0.3">
      <c r="A25" t="s">
        <v>30</v>
      </c>
      <c r="B25" t="s">
        <v>42</v>
      </c>
      <c r="C25" t="s">
        <v>172</v>
      </c>
      <c r="E25">
        <v>5246410</v>
      </c>
      <c r="K25" s="4">
        <v>2</v>
      </c>
    </row>
    <row r="26" spans="1:16" hidden="1" x14ac:dyDescent="0.3">
      <c r="A26" t="s">
        <v>30</v>
      </c>
      <c r="B26" t="s">
        <v>42</v>
      </c>
      <c r="C26" t="s">
        <v>172</v>
      </c>
      <c r="E26">
        <v>5246410</v>
      </c>
      <c r="K26" s="4">
        <v>4</v>
      </c>
    </row>
    <row r="27" spans="1:16" hidden="1" x14ac:dyDescent="0.3">
      <c r="A27" t="s">
        <v>30</v>
      </c>
      <c r="B27" t="s">
        <v>42</v>
      </c>
      <c r="C27" t="s">
        <v>172</v>
      </c>
      <c r="E27">
        <v>5246410</v>
      </c>
      <c r="I27" s="4">
        <v>3</v>
      </c>
    </row>
    <row r="28" spans="1:16" hidden="1" x14ac:dyDescent="0.3">
      <c r="A28" t="s">
        <v>30</v>
      </c>
      <c r="B28" t="s">
        <v>42</v>
      </c>
      <c r="C28" t="s">
        <v>172</v>
      </c>
      <c r="E28">
        <v>5246410</v>
      </c>
      <c r="I28" s="4">
        <v>2</v>
      </c>
    </row>
    <row r="29" spans="1:16" hidden="1" x14ac:dyDescent="0.3">
      <c r="A29" t="s">
        <v>30</v>
      </c>
      <c r="B29" t="s">
        <v>42</v>
      </c>
      <c r="C29" t="s">
        <v>172</v>
      </c>
      <c r="E29">
        <v>5246410</v>
      </c>
      <c r="H29" s="4">
        <v>8</v>
      </c>
    </row>
    <row r="30" spans="1:16" hidden="1" x14ac:dyDescent="0.3">
      <c r="A30" t="s">
        <v>30</v>
      </c>
      <c r="B30" t="s">
        <v>42</v>
      </c>
      <c r="C30" t="s">
        <v>188</v>
      </c>
      <c r="E30">
        <v>5246134</v>
      </c>
      <c r="L30" s="4">
        <v>3</v>
      </c>
    </row>
    <row r="31" spans="1:16" hidden="1" x14ac:dyDescent="0.3">
      <c r="A31" t="s">
        <v>32</v>
      </c>
      <c r="B31" t="s">
        <v>106</v>
      </c>
      <c r="C31" t="s">
        <v>172</v>
      </c>
      <c r="E31">
        <v>5246410</v>
      </c>
      <c r="K31" s="4">
        <v>7</v>
      </c>
    </row>
    <row r="32" spans="1:16" hidden="1" x14ac:dyDescent="0.3">
      <c r="A32" t="s">
        <v>30</v>
      </c>
      <c r="B32" t="s">
        <v>42</v>
      </c>
      <c r="C32" t="s">
        <v>190</v>
      </c>
      <c r="E32">
        <v>5086336</v>
      </c>
      <c r="L32" s="4">
        <v>3</v>
      </c>
    </row>
    <row r="33" spans="1:16" hidden="1" x14ac:dyDescent="0.3">
      <c r="A33" t="s">
        <v>32</v>
      </c>
      <c r="B33" t="s">
        <v>106</v>
      </c>
      <c r="C33" t="s">
        <v>193</v>
      </c>
      <c r="E33">
        <v>5257366</v>
      </c>
      <c r="M33" s="4">
        <v>7</v>
      </c>
    </row>
    <row r="34" spans="1:16" hidden="1" x14ac:dyDescent="0.3">
      <c r="A34" t="s">
        <v>32</v>
      </c>
      <c r="B34" t="s">
        <v>106</v>
      </c>
      <c r="C34" t="s">
        <v>193</v>
      </c>
      <c r="E34">
        <v>5257366</v>
      </c>
      <c r="O34" s="4">
        <v>8</v>
      </c>
    </row>
    <row r="35" spans="1:16" hidden="1" x14ac:dyDescent="0.3">
      <c r="A35" t="s">
        <v>28</v>
      </c>
      <c r="B35" t="s">
        <v>43</v>
      </c>
      <c r="C35" t="s">
        <v>162</v>
      </c>
      <c r="E35">
        <v>5253778</v>
      </c>
      <c r="P35" s="4">
        <v>9</v>
      </c>
    </row>
    <row r="36" spans="1:16" hidden="1" x14ac:dyDescent="0.3">
      <c r="A36" t="s">
        <v>28</v>
      </c>
      <c r="B36" t="s">
        <v>43</v>
      </c>
      <c r="C36" t="s">
        <v>162</v>
      </c>
      <c r="E36">
        <v>5253778</v>
      </c>
      <c r="O36" s="4">
        <v>10</v>
      </c>
    </row>
    <row r="37" spans="1:16" hidden="1" x14ac:dyDescent="0.3">
      <c r="A37" t="s">
        <v>28</v>
      </c>
      <c r="B37" t="s">
        <v>43</v>
      </c>
      <c r="C37" t="s">
        <v>162</v>
      </c>
      <c r="E37">
        <v>5253778</v>
      </c>
      <c r="N37" s="4">
        <v>9</v>
      </c>
    </row>
    <row r="38" spans="1:16" hidden="1" x14ac:dyDescent="0.3">
      <c r="A38" t="s">
        <v>28</v>
      </c>
      <c r="B38" t="s">
        <v>43</v>
      </c>
      <c r="C38" t="s">
        <v>162</v>
      </c>
      <c r="E38">
        <v>5253778</v>
      </c>
      <c r="M38" s="4">
        <v>9</v>
      </c>
    </row>
    <row r="39" spans="1:16" hidden="1" x14ac:dyDescent="0.3">
      <c r="A39" t="s">
        <v>28</v>
      </c>
      <c r="B39" t="s">
        <v>43</v>
      </c>
      <c r="C39" t="s">
        <v>162</v>
      </c>
      <c r="E39">
        <v>5253778</v>
      </c>
      <c r="L39" s="4">
        <v>9</v>
      </c>
    </row>
    <row r="40" spans="1:16" hidden="1" x14ac:dyDescent="0.3">
      <c r="A40" t="s">
        <v>28</v>
      </c>
      <c r="B40" t="s">
        <v>43</v>
      </c>
      <c r="C40" t="s">
        <v>162</v>
      </c>
      <c r="E40">
        <v>5253778</v>
      </c>
      <c r="K40" s="4">
        <v>8</v>
      </c>
    </row>
    <row r="41" spans="1:16" hidden="1" x14ac:dyDescent="0.3">
      <c r="A41" t="s">
        <v>28</v>
      </c>
      <c r="B41" t="s">
        <v>43</v>
      </c>
      <c r="C41" t="s">
        <v>162</v>
      </c>
      <c r="E41">
        <v>5253778</v>
      </c>
      <c r="J41" s="4">
        <v>9</v>
      </c>
    </row>
    <row r="42" spans="1:16" hidden="1" x14ac:dyDescent="0.3">
      <c r="A42" t="s">
        <v>28</v>
      </c>
      <c r="B42" t="s">
        <v>43</v>
      </c>
      <c r="C42" t="s">
        <v>162</v>
      </c>
      <c r="E42">
        <v>5253778</v>
      </c>
      <c r="I42" s="4">
        <v>9</v>
      </c>
    </row>
    <row r="43" spans="1:16" hidden="1" x14ac:dyDescent="0.3">
      <c r="A43" t="s">
        <v>28</v>
      </c>
      <c r="B43" t="s">
        <v>43</v>
      </c>
      <c r="C43" t="s">
        <v>162</v>
      </c>
      <c r="E43">
        <v>5253778</v>
      </c>
      <c r="H43" s="4">
        <v>9</v>
      </c>
    </row>
    <row r="44" spans="1:16" hidden="1" x14ac:dyDescent="0.3">
      <c r="A44" t="s">
        <v>28</v>
      </c>
      <c r="B44" t="s">
        <v>43</v>
      </c>
      <c r="C44" t="s">
        <v>162</v>
      </c>
      <c r="E44">
        <v>5253778</v>
      </c>
      <c r="G44" s="4">
        <v>6</v>
      </c>
    </row>
    <row r="45" spans="1:16" hidden="1" x14ac:dyDescent="0.3">
      <c r="A45" t="s">
        <v>28</v>
      </c>
      <c r="B45" t="s">
        <v>43</v>
      </c>
      <c r="C45" t="s">
        <v>162</v>
      </c>
      <c r="E45">
        <v>5253778</v>
      </c>
      <c r="F45" s="4">
        <v>9</v>
      </c>
    </row>
    <row r="46" spans="1:16" hidden="1" x14ac:dyDescent="0.3">
      <c r="A46" t="s">
        <v>32</v>
      </c>
      <c r="B46" t="s">
        <v>110</v>
      </c>
      <c r="C46" t="s">
        <v>193</v>
      </c>
      <c r="E46">
        <v>5257366</v>
      </c>
      <c r="O46" s="4">
        <v>8</v>
      </c>
    </row>
    <row r="47" spans="1:16" hidden="1" x14ac:dyDescent="0.3">
      <c r="A47" t="s">
        <v>32</v>
      </c>
      <c r="B47" t="s">
        <v>110</v>
      </c>
      <c r="C47" t="s">
        <v>193</v>
      </c>
      <c r="E47">
        <v>5257366</v>
      </c>
      <c r="N47" s="4">
        <v>6</v>
      </c>
    </row>
    <row r="48" spans="1:16" hidden="1" x14ac:dyDescent="0.3">
      <c r="A48" t="s">
        <v>32</v>
      </c>
      <c r="B48" t="s">
        <v>110</v>
      </c>
      <c r="C48" t="s">
        <v>193</v>
      </c>
      <c r="E48">
        <v>5257366</v>
      </c>
      <c r="M48" s="4">
        <v>7</v>
      </c>
    </row>
    <row r="49" spans="1:16" hidden="1" x14ac:dyDescent="0.3">
      <c r="A49" t="s">
        <v>32</v>
      </c>
      <c r="B49" t="s">
        <v>110</v>
      </c>
      <c r="C49" t="s">
        <v>181</v>
      </c>
      <c r="E49">
        <v>5253954</v>
      </c>
      <c r="J49" s="4">
        <v>3</v>
      </c>
    </row>
    <row r="50" spans="1:16" hidden="1" x14ac:dyDescent="0.3">
      <c r="A50" t="s">
        <v>32</v>
      </c>
      <c r="B50" t="s">
        <v>110</v>
      </c>
      <c r="C50" t="s">
        <v>172</v>
      </c>
      <c r="E50">
        <v>5246410</v>
      </c>
      <c r="M50" s="4">
        <v>2</v>
      </c>
    </row>
    <row r="51" spans="1:16" hidden="1" x14ac:dyDescent="0.3">
      <c r="A51" t="s">
        <v>32</v>
      </c>
      <c r="B51" t="s">
        <v>110</v>
      </c>
      <c r="C51" t="s">
        <v>172</v>
      </c>
      <c r="E51">
        <v>5246410</v>
      </c>
      <c r="K51" s="4">
        <v>2</v>
      </c>
    </row>
    <row r="52" spans="1:16" hidden="1" x14ac:dyDescent="0.3">
      <c r="A52" t="s">
        <v>32</v>
      </c>
      <c r="B52" t="s">
        <v>110</v>
      </c>
      <c r="C52" t="s">
        <v>172</v>
      </c>
      <c r="E52">
        <v>5246410</v>
      </c>
      <c r="H52" s="4">
        <v>2</v>
      </c>
    </row>
    <row r="53" spans="1:16" hidden="1" x14ac:dyDescent="0.3">
      <c r="A53" t="s">
        <v>32</v>
      </c>
      <c r="B53" t="s">
        <v>110</v>
      </c>
      <c r="C53" t="s">
        <v>172</v>
      </c>
      <c r="E53">
        <v>5246410</v>
      </c>
      <c r="H53" s="4">
        <v>4</v>
      </c>
    </row>
    <row r="54" spans="1:16" hidden="1" x14ac:dyDescent="0.3">
      <c r="A54" t="s">
        <v>32</v>
      </c>
      <c r="B54" t="s">
        <v>110</v>
      </c>
      <c r="C54" t="s">
        <v>172</v>
      </c>
      <c r="E54">
        <v>5246410</v>
      </c>
      <c r="G54" s="4">
        <v>4</v>
      </c>
    </row>
    <row r="55" spans="1:16" hidden="1" x14ac:dyDescent="0.3">
      <c r="A55" t="s">
        <v>32</v>
      </c>
      <c r="B55" t="s">
        <v>110</v>
      </c>
      <c r="C55" t="s">
        <v>178</v>
      </c>
      <c r="E55">
        <v>5240419</v>
      </c>
      <c r="I55" s="4">
        <v>6</v>
      </c>
    </row>
    <row r="56" spans="1:16" hidden="1" x14ac:dyDescent="0.3">
      <c r="A56" t="s">
        <v>32</v>
      </c>
      <c r="B56" t="s">
        <v>110</v>
      </c>
      <c r="C56" t="s">
        <v>168</v>
      </c>
      <c r="E56">
        <v>5249877</v>
      </c>
      <c r="F56" s="4">
        <v>5</v>
      </c>
    </row>
    <row r="57" spans="1:16" hidden="1" x14ac:dyDescent="0.3">
      <c r="A57" t="s">
        <v>32</v>
      </c>
      <c r="B57" t="s">
        <v>110</v>
      </c>
      <c r="C57" t="s">
        <v>190</v>
      </c>
      <c r="E57">
        <v>5086336</v>
      </c>
      <c r="L57" s="4">
        <v>1</v>
      </c>
    </row>
    <row r="58" spans="1:16" hidden="1" x14ac:dyDescent="0.3">
      <c r="A58" t="s">
        <v>32</v>
      </c>
      <c r="B58" t="s">
        <v>110</v>
      </c>
      <c r="C58" t="s">
        <v>164</v>
      </c>
      <c r="E58">
        <v>5250776</v>
      </c>
      <c r="F58" s="4">
        <v>2</v>
      </c>
    </row>
    <row r="59" spans="1:16" hidden="1" x14ac:dyDescent="0.3">
      <c r="A59" t="s">
        <v>32</v>
      </c>
      <c r="B59" t="s">
        <v>110</v>
      </c>
      <c r="C59" t="s">
        <v>231</v>
      </c>
      <c r="E59">
        <v>5248839</v>
      </c>
      <c r="P59" s="4">
        <v>3</v>
      </c>
    </row>
    <row r="60" spans="1:16" hidden="1" x14ac:dyDescent="0.3">
      <c r="A60" t="s">
        <v>32</v>
      </c>
      <c r="B60" t="s">
        <v>77</v>
      </c>
      <c r="C60" t="s">
        <v>164</v>
      </c>
      <c r="E60">
        <v>5250776</v>
      </c>
      <c r="F60" s="4">
        <v>2</v>
      </c>
    </row>
    <row r="61" spans="1:16" hidden="1" x14ac:dyDescent="0.3">
      <c r="A61" t="s">
        <v>32</v>
      </c>
      <c r="B61" t="s">
        <v>106</v>
      </c>
      <c r="C61" t="s">
        <v>193</v>
      </c>
      <c r="E61">
        <v>5257366</v>
      </c>
      <c r="P61" s="4">
        <v>7</v>
      </c>
    </row>
    <row r="62" spans="1:16" hidden="1" x14ac:dyDescent="0.3">
      <c r="A62" t="s">
        <v>32</v>
      </c>
      <c r="B62" t="s">
        <v>106</v>
      </c>
      <c r="C62" t="s">
        <v>193</v>
      </c>
      <c r="E62">
        <v>5257366</v>
      </c>
      <c r="N62" s="4">
        <v>6</v>
      </c>
    </row>
    <row r="63" spans="1:16" hidden="1" x14ac:dyDescent="0.3">
      <c r="A63" t="s">
        <v>30</v>
      </c>
      <c r="B63" t="s">
        <v>42</v>
      </c>
      <c r="C63" t="s">
        <v>164</v>
      </c>
      <c r="E63">
        <v>5250776</v>
      </c>
      <c r="F63" s="4">
        <v>2</v>
      </c>
    </row>
    <row r="64" spans="1:16" hidden="1" x14ac:dyDescent="0.3">
      <c r="A64" t="s">
        <v>28</v>
      </c>
      <c r="B64" t="s">
        <v>37</v>
      </c>
      <c r="C64" t="s">
        <v>229</v>
      </c>
      <c r="E64">
        <v>5252184</v>
      </c>
      <c r="O64" s="4">
        <v>4</v>
      </c>
    </row>
    <row r="65" spans="1:16" hidden="1" x14ac:dyDescent="0.3">
      <c r="A65" t="s">
        <v>33</v>
      </c>
      <c r="B65" t="s">
        <v>157</v>
      </c>
      <c r="C65" t="s">
        <v>176</v>
      </c>
      <c r="E65">
        <v>5252655</v>
      </c>
      <c r="I65" s="4">
        <v>2</v>
      </c>
    </row>
    <row r="66" spans="1:16" hidden="1" x14ac:dyDescent="0.3">
      <c r="A66" t="s">
        <v>29</v>
      </c>
      <c r="B66" t="s">
        <v>39</v>
      </c>
      <c r="C66" t="s">
        <v>193</v>
      </c>
      <c r="E66">
        <v>5257366</v>
      </c>
      <c r="M66" s="4">
        <v>9</v>
      </c>
    </row>
    <row r="67" spans="1:16" hidden="1" x14ac:dyDescent="0.3">
      <c r="A67" t="s">
        <v>33</v>
      </c>
      <c r="B67" t="s">
        <v>157</v>
      </c>
      <c r="C67" t="s">
        <v>188</v>
      </c>
      <c r="E67">
        <v>5246134</v>
      </c>
      <c r="L67" s="4">
        <v>7</v>
      </c>
    </row>
    <row r="68" spans="1:16" hidden="1" x14ac:dyDescent="0.3">
      <c r="A68" t="s">
        <v>29</v>
      </c>
      <c r="B68" t="s">
        <v>39</v>
      </c>
      <c r="C68" t="s">
        <v>193</v>
      </c>
      <c r="E68">
        <v>5257366</v>
      </c>
      <c r="N68" s="4">
        <v>4</v>
      </c>
    </row>
    <row r="69" spans="1:16" hidden="1" x14ac:dyDescent="0.3">
      <c r="A69" t="s">
        <v>29</v>
      </c>
      <c r="B69" t="s">
        <v>39</v>
      </c>
      <c r="C69" t="s">
        <v>193</v>
      </c>
      <c r="E69">
        <v>5257366</v>
      </c>
      <c r="O69" s="4">
        <v>9</v>
      </c>
    </row>
    <row r="70" spans="1:16" hidden="1" x14ac:dyDescent="0.3">
      <c r="A70" t="s">
        <v>29</v>
      </c>
      <c r="B70" t="s">
        <v>39</v>
      </c>
      <c r="C70" t="s">
        <v>193</v>
      </c>
      <c r="E70">
        <v>5257366</v>
      </c>
      <c r="P70" s="4">
        <v>8</v>
      </c>
    </row>
    <row r="71" spans="1:16" hidden="1" x14ac:dyDescent="0.3">
      <c r="A71" t="s">
        <v>30</v>
      </c>
      <c r="B71" t="s">
        <v>113</v>
      </c>
      <c r="C71" t="s">
        <v>231</v>
      </c>
      <c r="E71">
        <v>5248839</v>
      </c>
      <c r="O71" s="4">
        <v>2</v>
      </c>
    </row>
    <row r="72" spans="1:16" hidden="1" x14ac:dyDescent="0.3">
      <c r="A72" t="s">
        <v>30</v>
      </c>
      <c r="B72" t="s">
        <v>113</v>
      </c>
      <c r="C72" t="s">
        <v>231</v>
      </c>
      <c r="E72">
        <v>5248839</v>
      </c>
      <c r="P72" s="4">
        <v>3</v>
      </c>
    </row>
    <row r="73" spans="1:16" hidden="1" x14ac:dyDescent="0.3">
      <c r="A73" t="s">
        <v>30</v>
      </c>
      <c r="B73" t="s">
        <v>115</v>
      </c>
      <c r="C73" t="s">
        <v>166</v>
      </c>
      <c r="E73">
        <v>5246686</v>
      </c>
      <c r="F73" s="4">
        <v>4</v>
      </c>
    </row>
    <row r="74" spans="1:16" hidden="1" x14ac:dyDescent="0.3">
      <c r="A74" t="s">
        <v>75</v>
      </c>
      <c r="B74" t="s">
        <v>76</v>
      </c>
      <c r="C74" t="s">
        <v>193</v>
      </c>
      <c r="E74">
        <v>5257366</v>
      </c>
      <c r="N74" s="4">
        <v>2</v>
      </c>
    </row>
    <row r="75" spans="1:16" hidden="1" x14ac:dyDescent="0.3">
      <c r="A75" t="s">
        <v>75</v>
      </c>
      <c r="B75" t="s">
        <v>76</v>
      </c>
      <c r="C75" t="s">
        <v>193</v>
      </c>
      <c r="E75">
        <v>5257366</v>
      </c>
      <c r="M75" s="4">
        <v>7</v>
      </c>
    </row>
    <row r="76" spans="1:16" hidden="1" x14ac:dyDescent="0.3">
      <c r="A76" t="s">
        <v>75</v>
      </c>
      <c r="B76" t="s">
        <v>76</v>
      </c>
      <c r="C76" t="s">
        <v>170</v>
      </c>
      <c r="E76">
        <v>5250657</v>
      </c>
      <c r="F76" s="4">
        <v>4</v>
      </c>
    </row>
    <row r="77" spans="1:16" hidden="1" x14ac:dyDescent="0.3">
      <c r="A77" t="s">
        <v>75</v>
      </c>
      <c r="B77" t="s">
        <v>76</v>
      </c>
      <c r="C77" t="s">
        <v>172</v>
      </c>
      <c r="E77">
        <v>5246410</v>
      </c>
      <c r="K77" s="4">
        <v>8</v>
      </c>
    </row>
    <row r="78" spans="1:16" hidden="1" x14ac:dyDescent="0.3">
      <c r="A78" t="s">
        <v>30</v>
      </c>
      <c r="B78" t="s">
        <v>113</v>
      </c>
      <c r="C78" t="s">
        <v>175</v>
      </c>
      <c r="E78">
        <v>5252466</v>
      </c>
      <c r="H78" s="4">
        <v>6</v>
      </c>
    </row>
    <row r="79" spans="1:16" hidden="1" x14ac:dyDescent="0.3">
      <c r="A79" t="s">
        <v>75</v>
      </c>
      <c r="B79" t="s">
        <v>76</v>
      </c>
      <c r="C79" t="s">
        <v>172</v>
      </c>
      <c r="E79">
        <v>5246410</v>
      </c>
      <c r="G79" s="4">
        <v>3</v>
      </c>
    </row>
    <row r="80" spans="1:16" hidden="1" x14ac:dyDescent="0.3">
      <c r="A80" t="s">
        <v>75</v>
      </c>
      <c r="B80" t="s">
        <v>76</v>
      </c>
      <c r="C80" t="s">
        <v>168</v>
      </c>
      <c r="E80">
        <v>5249877</v>
      </c>
      <c r="F80" s="4">
        <v>8</v>
      </c>
    </row>
    <row r="81" spans="1:16" hidden="1" x14ac:dyDescent="0.3">
      <c r="A81" t="s">
        <v>75</v>
      </c>
      <c r="B81" t="s">
        <v>76</v>
      </c>
      <c r="C81" t="s">
        <v>172</v>
      </c>
      <c r="E81">
        <v>5246410</v>
      </c>
      <c r="J81" s="4">
        <v>1</v>
      </c>
    </row>
    <row r="82" spans="1:16" hidden="1" x14ac:dyDescent="0.3">
      <c r="A82" t="s">
        <v>33</v>
      </c>
      <c r="B82" t="s">
        <v>45</v>
      </c>
      <c r="C82" t="s">
        <v>184</v>
      </c>
      <c r="E82">
        <v>5249725</v>
      </c>
      <c r="L82" s="4">
        <v>8</v>
      </c>
    </row>
    <row r="83" spans="1:16" hidden="1" x14ac:dyDescent="0.3">
      <c r="A83" t="s">
        <v>33</v>
      </c>
      <c r="B83" t="s">
        <v>86</v>
      </c>
      <c r="C83" t="s">
        <v>195</v>
      </c>
      <c r="E83">
        <v>5257918</v>
      </c>
      <c r="N83" s="4">
        <v>5</v>
      </c>
    </row>
    <row r="84" spans="1:16" hidden="1" x14ac:dyDescent="0.3">
      <c r="A84" t="s">
        <v>33</v>
      </c>
      <c r="B84" t="s">
        <v>45</v>
      </c>
      <c r="C84" t="s">
        <v>184</v>
      </c>
      <c r="E84">
        <v>5249725</v>
      </c>
      <c r="N84" s="4">
        <v>4</v>
      </c>
    </row>
    <row r="85" spans="1:16" hidden="1" x14ac:dyDescent="0.3">
      <c r="A85" t="s">
        <v>33</v>
      </c>
      <c r="B85" t="s">
        <v>45</v>
      </c>
      <c r="C85" t="s">
        <v>184</v>
      </c>
      <c r="E85">
        <v>5249725</v>
      </c>
      <c r="K85" s="4">
        <v>8</v>
      </c>
    </row>
    <row r="86" spans="1:16" hidden="1" x14ac:dyDescent="0.3">
      <c r="A86" t="s">
        <v>58</v>
      </c>
      <c r="B86" t="s">
        <v>59</v>
      </c>
      <c r="C86" t="s">
        <v>193</v>
      </c>
      <c r="E86">
        <v>5257366</v>
      </c>
      <c r="M86" s="4">
        <v>2</v>
      </c>
    </row>
    <row r="87" spans="1:16" x14ac:dyDescent="0.3">
      <c r="A87" t="s">
        <v>28</v>
      </c>
      <c r="B87" t="s">
        <v>34</v>
      </c>
      <c r="C87" t="s">
        <v>57</v>
      </c>
      <c r="D87" t="s">
        <v>153</v>
      </c>
      <c r="E87">
        <v>5246135</v>
      </c>
      <c r="L87" s="4">
        <v>8</v>
      </c>
    </row>
    <row r="88" spans="1:16" x14ac:dyDescent="0.3">
      <c r="A88" t="s">
        <v>28</v>
      </c>
      <c r="B88" t="s">
        <v>34</v>
      </c>
      <c r="C88" t="s">
        <v>57</v>
      </c>
      <c r="D88" t="s">
        <v>153</v>
      </c>
      <c r="E88">
        <v>5246135</v>
      </c>
      <c r="M88" s="4">
        <v>8</v>
      </c>
    </row>
    <row r="89" spans="1:16" x14ac:dyDescent="0.3">
      <c r="A89" t="s">
        <v>28</v>
      </c>
      <c r="B89" t="s">
        <v>34</v>
      </c>
      <c r="C89" t="s">
        <v>57</v>
      </c>
      <c r="D89" t="s">
        <v>153</v>
      </c>
      <c r="E89">
        <v>5252183</v>
      </c>
      <c r="O89" s="4">
        <v>8</v>
      </c>
    </row>
    <row r="90" spans="1:16" x14ac:dyDescent="0.3">
      <c r="A90" t="s">
        <v>28</v>
      </c>
      <c r="B90" t="s">
        <v>34</v>
      </c>
      <c r="C90" t="s">
        <v>57</v>
      </c>
      <c r="D90" t="s">
        <v>153</v>
      </c>
      <c r="E90">
        <v>5246135</v>
      </c>
      <c r="K90" s="4">
        <v>8</v>
      </c>
    </row>
    <row r="91" spans="1:16" x14ac:dyDescent="0.3">
      <c r="A91" t="s">
        <v>28</v>
      </c>
      <c r="B91" t="s">
        <v>34</v>
      </c>
      <c r="C91" t="s">
        <v>57</v>
      </c>
      <c r="D91" t="s">
        <v>153</v>
      </c>
      <c r="E91">
        <v>5252183</v>
      </c>
      <c r="P91" s="4">
        <v>8</v>
      </c>
    </row>
    <row r="92" spans="1:16" x14ac:dyDescent="0.3">
      <c r="A92" t="s">
        <v>28</v>
      </c>
      <c r="B92" t="s">
        <v>35</v>
      </c>
      <c r="C92" t="s">
        <v>57</v>
      </c>
      <c r="D92" t="s">
        <v>153</v>
      </c>
      <c r="E92">
        <v>5239743</v>
      </c>
      <c r="F92" s="4">
        <v>8</v>
      </c>
    </row>
    <row r="93" spans="1:16" x14ac:dyDescent="0.3">
      <c r="A93" t="s">
        <v>28</v>
      </c>
      <c r="B93" t="s">
        <v>35</v>
      </c>
      <c r="C93" t="s">
        <v>57</v>
      </c>
      <c r="D93" t="s">
        <v>153</v>
      </c>
      <c r="E93">
        <v>5239743</v>
      </c>
      <c r="G93" s="4">
        <v>5</v>
      </c>
    </row>
    <row r="94" spans="1:16" x14ac:dyDescent="0.3">
      <c r="A94" t="s">
        <v>28</v>
      </c>
      <c r="B94" t="s">
        <v>35</v>
      </c>
      <c r="C94" t="s">
        <v>57</v>
      </c>
      <c r="D94" t="s">
        <v>153</v>
      </c>
      <c r="E94">
        <v>5246135</v>
      </c>
      <c r="H94" s="4">
        <v>8</v>
      </c>
    </row>
    <row r="95" spans="1:16" x14ac:dyDescent="0.3">
      <c r="A95" t="s">
        <v>28</v>
      </c>
      <c r="B95" t="s">
        <v>34</v>
      </c>
      <c r="C95" t="s">
        <v>57</v>
      </c>
      <c r="D95" t="s">
        <v>153</v>
      </c>
      <c r="E95">
        <v>5246135</v>
      </c>
      <c r="N95" s="4">
        <v>5</v>
      </c>
    </row>
    <row r="96" spans="1:16" x14ac:dyDescent="0.3">
      <c r="A96" t="s">
        <v>28</v>
      </c>
      <c r="B96" t="s">
        <v>34</v>
      </c>
      <c r="C96" t="s">
        <v>57</v>
      </c>
      <c r="D96" t="s">
        <v>153</v>
      </c>
      <c r="E96">
        <v>5246135</v>
      </c>
      <c r="J96" s="4">
        <v>8</v>
      </c>
    </row>
    <row r="97" spans="1:16" x14ac:dyDescent="0.3">
      <c r="A97" t="s">
        <v>28</v>
      </c>
      <c r="B97" t="s">
        <v>34</v>
      </c>
      <c r="C97" t="s">
        <v>57</v>
      </c>
      <c r="D97" t="s">
        <v>153</v>
      </c>
      <c r="E97">
        <v>5239743</v>
      </c>
      <c r="G97" s="4">
        <v>5</v>
      </c>
    </row>
    <row r="98" spans="1:16" x14ac:dyDescent="0.3">
      <c r="A98" t="s">
        <v>28</v>
      </c>
      <c r="B98" t="s">
        <v>34</v>
      </c>
      <c r="C98" t="s">
        <v>57</v>
      </c>
      <c r="D98" t="s">
        <v>153</v>
      </c>
      <c r="E98">
        <v>5246135</v>
      </c>
      <c r="H98" s="4">
        <v>8</v>
      </c>
    </row>
    <row r="99" spans="1:16" x14ac:dyDescent="0.3">
      <c r="A99" t="s">
        <v>28</v>
      </c>
      <c r="B99" t="s">
        <v>34</v>
      </c>
      <c r="C99" t="s">
        <v>57</v>
      </c>
      <c r="D99" t="s">
        <v>153</v>
      </c>
      <c r="E99">
        <v>5239743</v>
      </c>
      <c r="F99" s="4">
        <v>8</v>
      </c>
    </row>
    <row r="100" spans="1:16" x14ac:dyDescent="0.3">
      <c r="A100" t="s">
        <v>31</v>
      </c>
      <c r="B100" t="s">
        <v>41</v>
      </c>
      <c r="C100" t="s">
        <v>159</v>
      </c>
      <c r="D100" t="s">
        <v>153</v>
      </c>
      <c r="E100">
        <v>5092509</v>
      </c>
      <c r="P100" s="4">
        <v>8</v>
      </c>
    </row>
    <row r="101" spans="1:16" x14ac:dyDescent="0.3">
      <c r="A101" t="s">
        <v>31</v>
      </c>
      <c r="B101" t="s">
        <v>41</v>
      </c>
      <c r="C101" t="s">
        <v>159</v>
      </c>
      <c r="D101" t="s">
        <v>153</v>
      </c>
      <c r="E101">
        <v>5092509</v>
      </c>
      <c r="O101" s="4">
        <v>1</v>
      </c>
    </row>
    <row r="102" spans="1:16" x14ac:dyDescent="0.3">
      <c r="A102" t="s">
        <v>28</v>
      </c>
      <c r="B102" t="s">
        <v>35</v>
      </c>
      <c r="C102" t="s">
        <v>57</v>
      </c>
      <c r="D102" t="s">
        <v>153</v>
      </c>
      <c r="E102">
        <v>5246135</v>
      </c>
      <c r="I102" s="4">
        <v>8</v>
      </c>
    </row>
    <row r="103" spans="1:16" x14ac:dyDescent="0.3">
      <c r="A103" t="s">
        <v>31</v>
      </c>
      <c r="B103" t="s">
        <v>41</v>
      </c>
      <c r="C103" t="s">
        <v>159</v>
      </c>
      <c r="D103" t="s">
        <v>153</v>
      </c>
      <c r="E103">
        <v>5092509</v>
      </c>
      <c r="O103" s="4">
        <v>6</v>
      </c>
    </row>
    <row r="104" spans="1:16" x14ac:dyDescent="0.3">
      <c r="A104" t="s">
        <v>31</v>
      </c>
      <c r="B104" t="s">
        <v>70</v>
      </c>
      <c r="C104" t="s">
        <v>159</v>
      </c>
      <c r="D104" t="s">
        <v>153</v>
      </c>
      <c r="E104">
        <v>5092509</v>
      </c>
      <c r="J104" s="4">
        <v>8</v>
      </c>
    </row>
    <row r="105" spans="1:16" x14ac:dyDescent="0.3">
      <c r="A105" t="s">
        <v>31</v>
      </c>
      <c r="B105" t="s">
        <v>70</v>
      </c>
      <c r="C105" t="s">
        <v>159</v>
      </c>
      <c r="D105" t="s">
        <v>153</v>
      </c>
      <c r="E105">
        <v>5092509</v>
      </c>
      <c r="K105" s="4">
        <v>8</v>
      </c>
    </row>
    <row r="106" spans="1:16" x14ac:dyDescent="0.3">
      <c r="A106" t="s">
        <v>31</v>
      </c>
      <c r="B106" t="s">
        <v>41</v>
      </c>
      <c r="C106" t="s">
        <v>159</v>
      </c>
      <c r="D106" t="s">
        <v>153</v>
      </c>
      <c r="E106">
        <v>5092509</v>
      </c>
      <c r="L106" s="4">
        <v>8</v>
      </c>
    </row>
    <row r="107" spans="1:16" x14ac:dyDescent="0.3">
      <c r="A107" t="s">
        <v>31</v>
      </c>
      <c r="B107" t="s">
        <v>41</v>
      </c>
      <c r="C107" t="s">
        <v>159</v>
      </c>
      <c r="D107" t="s">
        <v>153</v>
      </c>
      <c r="E107">
        <v>5092509</v>
      </c>
      <c r="M107" s="4">
        <v>8</v>
      </c>
    </row>
    <row r="108" spans="1:16" x14ac:dyDescent="0.3">
      <c r="A108" t="s">
        <v>31</v>
      </c>
      <c r="B108" t="s">
        <v>41</v>
      </c>
      <c r="C108" t="s">
        <v>159</v>
      </c>
      <c r="D108" t="s">
        <v>153</v>
      </c>
      <c r="E108">
        <v>5092509</v>
      </c>
      <c r="N108" s="4">
        <v>5</v>
      </c>
    </row>
    <row r="109" spans="1:16" x14ac:dyDescent="0.3">
      <c r="A109" t="s">
        <v>28</v>
      </c>
      <c r="B109" t="s">
        <v>34</v>
      </c>
      <c r="C109" t="s">
        <v>57</v>
      </c>
      <c r="D109" t="s">
        <v>153</v>
      </c>
      <c r="E109">
        <v>5246135</v>
      </c>
      <c r="I109" s="4">
        <v>8</v>
      </c>
    </row>
    <row r="110" spans="1:16" x14ac:dyDescent="0.3">
      <c r="A110" t="s">
        <v>28</v>
      </c>
      <c r="B110" t="s">
        <v>35</v>
      </c>
      <c r="C110" t="s">
        <v>57</v>
      </c>
      <c r="D110" t="s">
        <v>153</v>
      </c>
      <c r="E110">
        <v>5246135</v>
      </c>
      <c r="J110" s="4">
        <v>8</v>
      </c>
    </row>
    <row r="111" spans="1:16" x14ac:dyDescent="0.3">
      <c r="A111" t="s">
        <v>28</v>
      </c>
      <c r="B111" t="s">
        <v>36</v>
      </c>
      <c r="C111" t="s">
        <v>57</v>
      </c>
      <c r="D111" t="s">
        <v>153</v>
      </c>
      <c r="E111">
        <v>5239743</v>
      </c>
      <c r="F111" s="4">
        <v>8</v>
      </c>
    </row>
    <row r="112" spans="1:16" x14ac:dyDescent="0.3">
      <c r="A112" t="s">
        <v>28</v>
      </c>
      <c r="B112" t="s">
        <v>35</v>
      </c>
      <c r="C112" t="s">
        <v>57</v>
      </c>
      <c r="D112" t="s">
        <v>153</v>
      </c>
      <c r="E112">
        <v>5246135</v>
      </c>
      <c r="L112" s="4">
        <v>8</v>
      </c>
    </row>
    <row r="113" spans="1:16" x14ac:dyDescent="0.3">
      <c r="A113" t="s">
        <v>28</v>
      </c>
      <c r="B113" t="s">
        <v>37</v>
      </c>
      <c r="C113" t="s">
        <v>57</v>
      </c>
      <c r="D113" t="s">
        <v>153</v>
      </c>
      <c r="E113">
        <v>5246135</v>
      </c>
      <c r="N113" s="4">
        <v>5</v>
      </c>
    </row>
    <row r="114" spans="1:16" x14ac:dyDescent="0.3">
      <c r="A114" t="s">
        <v>28</v>
      </c>
      <c r="B114" t="s">
        <v>37</v>
      </c>
      <c r="C114" t="s">
        <v>57</v>
      </c>
      <c r="D114" t="s">
        <v>153</v>
      </c>
      <c r="E114">
        <v>5246135</v>
      </c>
      <c r="M114" s="4">
        <v>8</v>
      </c>
    </row>
    <row r="115" spans="1:16" x14ac:dyDescent="0.3">
      <c r="A115" t="s">
        <v>28</v>
      </c>
      <c r="B115" t="s">
        <v>37</v>
      </c>
      <c r="C115" t="s">
        <v>57</v>
      </c>
      <c r="D115" t="s">
        <v>153</v>
      </c>
      <c r="E115">
        <v>5246135</v>
      </c>
      <c r="L115" s="4">
        <v>8</v>
      </c>
    </row>
    <row r="116" spans="1:16" x14ac:dyDescent="0.3">
      <c r="A116" t="s">
        <v>28</v>
      </c>
      <c r="B116" t="s">
        <v>37</v>
      </c>
      <c r="C116" t="s">
        <v>57</v>
      </c>
      <c r="D116" t="s">
        <v>153</v>
      </c>
      <c r="E116">
        <v>5246135</v>
      </c>
      <c r="K116" s="4">
        <v>8</v>
      </c>
    </row>
    <row r="117" spans="1:16" x14ac:dyDescent="0.3">
      <c r="A117" t="s">
        <v>28</v>
      </c>
      <c r="B117" t="s">
        <v>37</v>
      </c>
      <c r="C117" t="s">
        <v>57</v>
      </c>
      <c r="D117" t="s">
        <v>153</v>
      </c>
      <c r="E117">
        <v>5246135</v>
      </c>
      <c r="J117" s="4">
        <v>8</v>
      </c>
    </row>
    <row r="118" spans="1:16" x14ac:dyDescent="0.3">
      <c r="A118" t="s">
        <v>28</v>
      </c>
      <c r="B118" t="s">
        <v>37</v>
      </c>
      <c r="C118" t="s">
        <v>57</v>
      </c>
      <c r="D118" t="s">
        <v>153</v>
      </c>
      <c r="E118">
        <v>5246135</v>
      </c>
      <c r="I118" s="4">
        <v>8</v>
      </c>
    </row>
    <row r="119" spans="1:16" x14ac:dyDescent="0.3">
      <c r="A119" t="s">
        <v>28</v>
      </c>
      <c r="B119" t="s">
        <v>37</v>
      </c>
      <c r="C119" t="s">
        <v>57</v>
      </c>
      <c r="D119" t="s">
        <v>153</v>
      </c>
      <c r="E119">
        <v>5246135</v>
      </c>
      <c r="H119" s="4">
        <v>8</v>
      </c>
    </row>
    <row r="120" spans="1:16" x14ac:dyDescent="0.3">
      <c r="A120" t="s">
        <v>28</v>
      </c>
      <c r="B120" t="s">
        <v>37</v>
      </c>
      <c r="C120" t="s">
        <v>57</v>
      </c>
      <c r="D120" t="s">
        <v>153</v>
      </c>
      <c r="E120">
        <v>5239743</v>
      </c>
      <c r="G120" s="4">
        <v>5</v>
      </c>
    </row>
    <row r="121" spans="1:16" x14ac:dyDescent="0.3">
      <c r="A121" t="s">
        <v>28</v>
      </c>
      <c r="B121" t="s">
        <v>37</v>
      </c>
      <c r="C121" t="s">
        <v>57</v>
      </c>
      <c r="D121" t="s">
        <v>153</v>
      </c>
      <c r="E121">
        <v>5239743</v>
      </c>
      <c r="F121" s="4">
        <v>8</v>
      </c>
    </row>
    <row r="122" spans="1:16" x14ac:dyDescent="0.3">
      <c r="A122" t="s">
        <v>31</v>
      </c>
      <c r="B122" t="s">
        <v>70</v>
      </c>
      <c r="C122" t="s">
        <v>159</v>
      </c>
      <c r="D122" t="s">
        <v>153</v>
      </c>
      <c r="E122">
        <v>5092509</v>
      </c>
      <c r="F122" s="4">
        <v>8</v>
      </c>
    </row>
    <row r="123" spans="1:16" x14ac:dyDescent="0.3">
      <c r="A123" t="s">
        <v>31</v>
      </c>
      <c r="B123" t="s">
        <v>70</v>
      </c>
      <c r="C123" t="s">
        <v>159</v>
      </c>
      <c r="D123" t="s">
        <v>153</v>
      </c>
      <c r="E123">
        <v>5092509</v>
      </c>
      <c r="G123" s="4">
        <v>4</v>
      </c>
    </row>
    <row r="124" spans="1:16" x14ac:dyDescent="0.3">
      <c r="A124" t="s">
        <v>31</v>
      </c>
      <c r="B124" t="s">
        <v>70</v>
      </c>
      <c r="C124" t="s">
        <v>159</v>
      </c>
      <c r="D124" t="s">
        <v>153</v>
      </c>
      <c r="E124">
        <v>5092509</v>
      </c>
      <c r="H124" s="4">
        <v>8</v>
      </c>
    </row>
    <row r="125" spans="1:16" x14ac:dyDescent="0.3">
      <c r="A125" t="s">
        <v>31</v>
      </c>
      <c r="B125" t="s">
        <v>70</v>
      </c>
      <c r="C125" t="s">
        <v>159</v>
      </c>
      <c r="D125" t="s">
        <v>153</v>
      </c>
      <c r="E125">
        <v>5092509</v>
      </c>
      <c r="I125" s="4">
        <v>6</v>
      </c>
    </row>
    <row r="126" spans="1:16" x14ac:dyDescent="0.3">
      <c r="A126" t="s">
        <v>28</v>
      </c>
      <c r="B126" t="s">
        <v>36</v>
      </c>
      <c r="C126" t="s">
        <v>57</v>
      </c>
      <c r="D126" t="s">
        <v>153</v>
      </c>
      <c r="E126">
        <v>5252183</v>
      </c>
      <c r="P126" s="4">
        <v>8</v>
      </c>
    </row>
    <row r="127" spans="1:16" x14ac:dyDescent="0.3">
      <c r="A127" t="s">
        <v>28</v>
      </c>
      <c r="B127" t="s">
        <v>36</v>
      </c>
      <c r="C127" t="s">
        <v>57</v>
      </c>
      <c r="D127" t="s">
        <v>153</v>
      </c>
      <c r="E127">
        <v>5252183</v>
      </c>
      <c r="O127" s="4">
        <v>8</v>
      </c>
    </row>
    <row r="128" spans="1:16" x14ac:dyDescent="0.3">
      <c r="A128" t="s">
        <v>28</v>
      </c>
      <c r="B128" t="s">
        <v>36</v>
      </c>
      <c r="C128" t="s">
        <v>57</v>
      </c>
      <c r="D128" t="s">
        <v>153</v>
      </c>
      <c r="E128">
        <v>5246135</v>
      </c>
      <c r="N128" s="4">
        <v>5</v>
      </c>
    </row>
    <row r="129" spans="1:16" x14ac:dyDescent="0.3">
      <c r="A129" t="s">
        <v>28</v>
      </c>
      <c r="B129" t="s">
        <v>36</v>
      </c>
      <c r="C129" t="s">
        <v>57</v>
      </c>
      <c r="D129" t="s">
        <v>153</v>
      </c>
      <c r="E129">
        <v>5246135</v>
      </c>
      <c r="M129" s="4">
        <v>8</v>
      </c>
    </row>
    <row r="130" spans="1:16" x14ac:dyDescent="0.3">
      <c r="A130" t="s">
        <v>28</v>
      </c>
      <c r="B130" t="s">
        <v>36</v>
      </c>
      <c r="C130" t="s">
        <v>57</v>
      </c>
      <c r="D130" t="s">
        <v>153</v>
      </c>
      <c r="E130">
        <v>5246135</v>
      </c>
      <c r="L130" s="4">
        <v>8</v>
      </c>
    </row>
    <row r="131" spans="1:16" x14ac:dyDescent="0.3">
      <c r="A131" t="s">
        <v>28</v>
      </c>
      <c r="B131" t="s">
        <v>36</v>
      </c>
      <c r="C131" t="s">
        <v>57</v>
      </c>
      <c r="D131" t="s">
        <v>153</v>
      </c>
      <c r="E131">
        <v>5246135</v>
      </c>
      <c r="K131" s="4">
        <v>8</v>
      </c>
    </row>
    <row r="132" spans="1:16" x14ac:dyDescent="0.3">
      <c r="A132" t="s">
        <v>28</v>
      </c>
      <c r="B132" t="s">
        <v>36</v>
      </c>
      <c r="C132" t="s">
        <v>57</v>
      </c>
      <c r="D132" t="s">
        <v>153</v>
      </c>
      <c r="E132">
        <v>5246135</v>
      </c>
      <c r="J132" s="4">
        <v>8</v>
      </c>
    </row>
    <row r="133" spans="1:16" x14ac:dyDescent="0.3">
      <c r="A133" t="s">
        <v>28</v>
      </c>
      <c r="B133" t="s">
        <v>36</v>
      </c>
      <c r="C133" t="s">
        <v>57</v>
      </c>
      <c r="D133" t="s">
        <v>153</v>
      </c>
      <c r="E133">
        <v>5246135</v>
      </c>
      <c r="I133" s="4">
        <v>8</v>
      </c>
    </row>
    <row r="134" spans="1:16" x14ac:dyDescent="0.3">
      <c r="A134" t="s">
        <v>28</v>
      </c>
      <c r="B134" t="s">
        <v>36</v>
      </c>
      <c r="C134" t="s">
        <v>57</v>
      </c>
      <c r="D134" t="s">
        <v>153</v>
      </c>
      <c r="E134">
        <v>5246135</v>
      </c>
      <c r="H134" s="4">
        <v>8</v>
      </c>
    </row>
    <row r="135" spans="1:16" x14ac:dyDescent="0.3">
      <c r="A135" t="s">
        <v>28</v>
      </c>
      <c r="B135" t="s">
        <v>36</v>
      </c>
      <c r="C135" t="s">
        <v>57</v>
      </c>
      <c r="D135" t="s">
        <v>153</v>
      </c>
      <c r="E135">
        <v>5239743</v>
      </c>
      <c r="G135" s="4">
        <v>5</v>
      </c>
    </row>
    <row r="136" spans="1:16" x14ac:dyDescent="0.3">
      <c r="A136" t="s">
        <v>28</v>
      </c>
      <c r="B136" t="s">
        <v>35</v>
      </c>
      <c r="C136" t="s">
        <v>57</v>
      </c>
      <c r="D136" t="s">
        <v>153</v>
      </c>
      <c r="E136">
        <v>5252183</v>
      </c>
      <c r="P136" s="4">
        <v>8</v>
      </c>
    </row>
    <row r="137" spans="1:16" x14ac:dyDescent="0.3">
      <c r="A137" t="s">
        <v>28</v>
      </c>
      <c r="B137" t="s">
        <v>35</v>
      </c>
      <c r="C137" t="s">
        <v>57</v>
      </c>
      <c r="D137" t="s">
        <v>153</v>
      </c>
      <c r="E137">
        <v>5252183</v>
      </c>
      <c r="O137" s="4">
        <v>8</v>
      </c>
    </row>
    <row r="138" spans="1:16" x14ac:dyDescent="0.3">
      <c r="A138" t="s">
        <v>28</v>
      </c>
      <c r="B138" t="s">
        <v>35</v>
      </c>
      <c r="C138" t="s">
        <v>57</v>
      </c>
      <c r="D138" t="s">
        <v>153</v>
      </c>
      <c r="E138">
        <v>5246135</v>
      </c>
      <c r="N138" s="4">
        <v>5</v>
      </c>
    </row>
    <row r="139" spans="1:16" x14ac:dyDescent="0.3">
      <c r="A139" t="s">
        <v>28</v>
      </c>
      <c r="B139" t="s">
        <v>35</v>
      </c>
      <c r="C139" t="s">
        <v>57</v>
      </c>
      <c r="D139" t="s">
        <v>153</v>
      </c>
      <c r="E139">
        <v>5246135</v>
      </c>
      <c r="M139" s="4">
        <v>8</v>
      </c>
    </row>
    <row r="140" spans="1:16" x14ac:dyDescent="0.3">
      <c r="A140" t="s">
        <v>28</v>
      </c>
      <c r="B140" t="s">
        <v>35</v>
      </c>
      <c r="C140" t="s">
        <v>57</v>
      </c>
      <c r="D140" t="s">
        <v>153</v>
      </c>
      <c r="E140">
        <v>5246135</v>
      </c>
      <c r="K140" s="4">
        <v>8</v>
      </c>
    </row>
    <row r="141" spans="1:16" x14ac:dyDescent="0.3">
      <c r="A141" t="s">
        <v>29</v>
      </c>
      <c r="B141" t="s">
        <v>63</v>
      </c>
      <c r="C141" t="s">
        <v>57</v>
      </c>
      <c r="D141" t="s">
        <v>153</v>
      </c>
      <c r="E141">
        <v>5239743</v>
      </c>
      <c r="F141" s="4">
        <v>8</v>
      </c>
    </row>
    <row r="142" spans="1:16" x14ac:dyDescent="0.3">
      <c r="A142" t="s">
        <v>62</v>
      </c>
      <c r="B142" t="s">
        <v>73</v>
      </c>
      <c r="C142" t="s">
        <v>159</v>
      </c>
      <c r="D142" t="s">
        <v>153</v>
      </c>
      <c r="E142">
        <v>5092509</v>
      </c>
      <c r="O142" s="4">
        <v>4</v>
      </c>
    </row>
    <row r="143" spans="1:16" x14ac:dyDescent="0.3">
      <c r="A143" t="s">
        <v>29</v>
      </c>
      <c r="B143" t="s">
        <v>63</v>
      </c>
      <c r="C143" t="s">
        <v>57</v>
      </c>
      <c r="D143" t="s">
        <v>153</v>
      </c>
      <c r="E143">
        <v>5239743</v>
      </c>
      <c r="G143" s="4">
        <v>5</v>
      </c>
    </row>
    <row r="144" spans="1:16" x14ac:dyDescent="0.3">
      <c r="A144" t="s">
        <v>30</v>
      </c>
      <c r="B144" t="s">
        <v>40</v>
      </c>
      <c r="C144" t="s">
        <v>57</v>
      </c>
      <c r="D144" t="s">
        <v>153</v>
      </c>
      <c r="E144">
        <v>5239743</v>
      </c>
      <c r="F144" s="4">
        <v>8</v>
      </c>
    </row>
    <row r="145" spans="1:16" x14ac:dyDescent="0.3">
      <c r="A145" t="s">
        <v>30</v>
      </c>
      <c r="B145" t="s">
        <v>40</v>
      </c>
      <c r="C145" t="s">
        <v>57</v>
      </c>
      <c r="D145" t="s">
        <v>153</v>
      </c>
      <c r="E145">
        <v>5239743</v>
      </c>
      <c r="G145" s="4">
        <v>5</v>
      </c>
    </row>
    <row r="146" spans="1:16" x14ac:dyDescent="0.3">
      <c r="A146" t="s">
        <v>30</v>
      </c>
      <c r="B146" t="s">
        <v>40</v>
      </c>
      <c r="C146" t="s">
        <v>57</v>
      </c>
      <c r="D146" t="s">
        <v>153</v>
      </c>
      <c r="E146">
        <v>5246135</v>
      </c>
      <c r="H146" s="4">
        <v>10</v>
      </c>
    </row>
    <row r="147" spans="1:16" x14ac:dyDescent="0.3">
      <c r="A147" t="s">
        <v>30</v>
      </c>
      <c r="B147" t="s">
        <v>40</v>
      </c>
      <c r="C147" t="s">
        <v>57</v>
      </c>
      <c r="D147" t="s">
        <v>153</v>
      </c>
      <c r="E147">
        <v>5246135</v>
      </c>
      <c r="I147" s="4">
        <v>8</v>
      </c>
    </row>
    <row r="148" spans="1:16" x14ac:dyDescent="0.3">
      <c r="A148" t="s">
        <v>30</v>
      </c>
      <c r="B148" t="s">
        <v>40</v>
      </c>
      <c r="C148" t="s">
        <v>57</v>
      </c>
      <c r="D148" t="s">
        <v>153</v>
      </c>
      <c r="E148">
        <v>5246135</v>
      </c>
      <c r="J148" s="4">
        <v>8</v>
      </c>
    </row>
    <row r="149" spans="1:16" x14ac:dyDescent="0.3">
      <c r="A149" t="s">
        <v>30</v>
      </c>
      <c r="B149" t="s">
        <v>40</v>
      </c>
      <c r="C149" t="s">
        <v>57</v>
      </c>
      <c r="D149" t="s">
        <v>153</v>
      </c>
      <c r="E149">
        <v>5246135</v>
      </c>
      <c r="K149" s="4">
        <v>5</v>
      </c>
    </row>
    <row r="150" spans="1:16" x14ac:dyDescent="0.3">
      <c r="A150" t="s">
        <v>30</v>
      </c>
      <c r="B150" t="s">
        <v>40</v>
      </c>
      <c r="C150" t="s">
        <v>57</v>
      </c>
      <c r="D150" t="s">
        <v>153</v>
      </c>
      <c r="E150">
        <v>5246135</v>
      </c>
      <c r="L150" s="4">
        <v>8</v>
      </c>
    </row>
    <row r="151" spans="1:16" x14ac:dyDescent="0.3">
      <c r="A151" t="s">
        <v>30</v>
      </c>
      <c r="B151" t="s">
        <v>40</v>
      </c>
      <c r="C151" t="s">
        <v>57</v>
      </c>
      <c r="D151" t="s">
        <v>153</v>
      </c>
      <c r="E151">
        <v>5246135</v>
      </c>
      <c r="M151" s="4">
        <v>8</v>
      </c>
    </row>
    <row r="152" spans="1:16" x14ac:dyDescent="0.3">
      <c r="A152" t="s">
        <v>30</v>
      </c>
      <c r="B152" t="s">
        <v>40</v>
      </c>
      <c r="C152" t="s">
        <v>57</v>
      </c>
      <c r="D152" t="s">
        <v>153</v>
      </c>
      <c r="E152">
        <v>5246135</v>
      </c>
      <c r="N152" s="4">
        <v>5</v>
      </c>
    </row>
    <row r="153" spans="1:16" x14ac:dyDescent="0.3">
      <c r="A153" t="s">
        <v>30</v>
      </c>
      <c r="B153" t="s">
        <v>40</v>
      </c>
      <c r="C153" t="s">
        <v>57</v>
      </c>
      <c r="D153" t="s">
        <v>153</v>
      </c>
      <c r="E153">
        <v>5252183</v>
      </c>
      <c r="P153" s="4">
        <v>8</v>
      </c>
    </row>
    <row r="154" spans="1:16" x14ac:dyDescent="0.3">
      <c r="A154" t="s">
        <v>28</v>
      </c>
      <c r="B154" t="s">
        <v>37</v>
      </c>
      <c r="C154" t="s">
        <v>57</v>
      </c>
      <c r="D154" t="s">
        <v>153</v>
      </c>
      <c r="E154">
        <v>5252183</v>
      </c>
      <c r="O154" s="4">
        <v>2</v>
      </c>
    </row>
    <row r="155" spans="1:16" x14ac:dyDescent="0.3">
      <c r="A155" t="s">
        <v>29</v>
      </c>
      <c r="B155" t="s">
        <v>39</v>
      </c>
      <c r="C155" t="s">
        <v>57</v>
      </c>
      <c r="D155" t="s">
        <v>153</v>
      </c>
      <c r="E155">
        <v>5246135</v>
      </c>
      <c r="M155" s="4">
        <v>3</v>
      </c>
    </row>
    <row r="156" spans="1:16" x14ac:dyDescent="0.3">
      <c r="A156" t="s">
        <v>29</v>
      </c>
      <c r="B156" t="s">
        <v>39</v>
      </c>
      <c r="C156" t="s">
        <v>57</v>
      </c>
      <c r="D156" t="s">
        <v>153</v>
      </c>
      <c r="E156">
        <v>5246135</v>
      </c>
      <c r="L156" s="4">
        <v>8</v>
      </c>
    </row>
    <row r="157" spans="1:16" x14ac:dyDescent="0.3">
      <c r="A157" t="s">
        <v>29</v>
      </c>
      <c r="B157" t="s">
        <v>39</v>
      </c>
      <c r="C157" t="s">
        <v>57</v>
      </c>
      <c r="D157" t="s">
        <v>153</v>
      </c>
      <c r="E157">
        <v>5246135</v>
      </c>
      <c r="K157" s="4">
        <v>8</v>
      </c>
    </row>
    <row r="158" spans="1:16" x14ac:dyDescent="0.3">
      <c r="A158" t="s">
        <v>29</v>
      </c>
      <c r="B158" t="s">
        <v>39</v>
      </c>
      <c r="C158" t="s">
        <v>57</v>
      </c>
      <c r="D158" t="s">
        <v>153</v>
      </c>
      <c r="E158">
        <v>5246135</v>
      </c>
      <c r="J158" s="4">
        <v>8</v>
      </c>
    </row>
    <row r="159" spans="1:16" x14ac:dyDescent="0.3">
      <c r="A159" t="s">
        <v>30</v>
      </c>
      <c r="B159" t="s">
        <v>40</v>
      </c>
      <c r="C159" t="s">
        <v>57</v>
      </c>
      <c r="D159" t="s">
        <v>153</v>
      </c>
      <c r="E159">
        <v>5252183</v>
      </c>
      <c r="O159" s="4">
        <v>8</v>
      </c>
    </row>
    <row r="160" spans="1:16" x14ac:dyDescent="0.3">
      <c r="A160" t="s">
        <v>29</v>
      </c>
      <c r="B160" t="s">
        <v>63</v>
      </c>
      <c r="C160" t="s">
        <v>57</v>
      </c>
      <c r="D160" t="s">
        <v>153</v>
      </c>
      <c r="E160">
        <v>5246135</v>
      </c>
      <c r="I160" s="4">
        <v>8</v>
      </c>
    </row>
    <row r="161" spans="1:16" x14ac:dyDescent="0.3">
      <c r="A161" t="s">
        <v>29</v>
      </c>
      <c r="B161" t="s">
        <v>63</v>
      </c>
      <c r="C161" t="s">
        <v>57</v>
      </c>
      <c r="D161" t="s">
        <v>153</v>
      </c>
      <c r="E161">
        <v>5246135</v>
      </c>
      <c r="H161" s="4">
        <v>8</v>
      </c>
    </row>
    <row r="162" spans="1:16" x14ac:dyDescent="0.3">
      <c r="A162" t="s">
        <v>29</v>
      </c>
      <c r="B162" t="s">
        <v>63</v>
      </c>
      <c r="C162" t="s">
        <v>57</v>
      </c>
      <c r="D162" t="s">
        <v>153</v>
      </c>
      <c r="E162">
        <v>5246135</v>
      </c>
      <c r="J162" s="4">
        <v>8</v>
      </c>
    </row>
    <row r="163" spans="1:16" x14ac:dyDescent="0.3">
      <c r="A163" t="s">
        <v>29</v>
      </c>
      <c r="B163" t="s">
        <v>63</v>
      </c>
      <c r="C163" t="s">
        <v>57</v>
      </c>
      <c r="D163" t="s">
        <v>153</v>
      </c>
      <c r="E163">
        <v>5246135</v>
      </c>
      <c r="K163" s="4">
        <v>8</v>
      </c>
    </row>
    <row r="164" spans="1:16" x14ac:dyDescent="0.3">
      <c r="A164" t="s">
        <v>29</v>
      </c>
      <c r="B164" t="s">
        <v>63</v>
      </c>
      <c r="C164" t="s">
        <v>57</v>
      </c>
      <c r="D164" t="s">
        <v>153</v>
      </c>
      <c r="E164">
        <v>5246135</v>
      </c>
      <c r="L164" s="4">
        <v>8</v>
      </c>
    </row>
    <row r="165" spans="1:16" x14ac:dyDescent="0.3">
      <c r="A165" t="s">
        <v>29</v>
      </c>
      <c r="B165" t="s">
        <v>63</v>
      </c>
      <c r="C165" t="s">
        <v>57</v>
      </c>
      <c r="D165" t="s">
        <v>153</v>
      </c>
      <c r="E165">
        <v>5246135</v>
      </c>
      <c r="M165" s="4">
        <v>8</v>
      </c>
    </row>
    <row r="166" spans="1:16" x14ac:dyDescent="0.3">
      <c r="A166" t="s">
        <v>29</v>
      </c>
      <c r="B166" t="s">
        <v>63</v>
      </c>
      <c r="C166" t="s">
        <v>57</v>
      </c>
      <c r="D166" t="s">
        <v>153</v>
      </c>
      <c r="E166">
        <v>5246135</v>
      </c>
      <c r="N166" s="4">
        <v>5</v>
      </c>
    </row>
    <row r="167" spans="1:16" x14ac:dyDescent="0.3">
      <c r="A167" t="s">
        <v>29</v>
      </c>
      <c r="B167" t="s">
        <v>63</v>
      </c>
      <c r="C167" t="s">
        <v>57</v>
      </c>
      <c r="D167" t="s">
        <v>153</v>
      </c>
      <c r="E167">
        <v>5252183</v>
      </c>
      <c r="O167" s="4">
        <v>8</v>
      </c>
    </row>
    <row r="168" spans="1:16" x14ac:dyDescent="0.3">
      <c r="A168" t="s">
        <v>29</v>
      </c>
      <c r="B168" t="s">
        <v>63</v>
      </c>
      <c r="C168" t="s">
        <v>57</v>
      </c>
      <c r="D168" t="s">
        <v>153</v>
      </c>
      <c r="E168">
        <v>5252183</v>
      </c>
      <c r="P168" s="4">
        <v>8</v>
      </c>
    </row>
    <row r="169" spans="1:16" x14ac:dyDescent="0.3">
      <c r="A169" t="s">
        <v>29</v>
      </c>
      <c r="B169" t="s">
        <v>39</v>
      </c>
      <c r="C169" t="s">
        <v>57</v>
      </c>
      <c r="D169" t="s">
        <v>153</v>
      </c>
      <c r="E169">
        <v>5239743</v>
      </c>
      <c r="G169" s="4">
        <v>5</v>
      </c>
    </row>
    <row r="170" spans="1:16" x14ac:dyDescent="0.3">
      <c r="A170" t="s">
        <v>29</v>
      </c>
      <c r="B170" t="s">
        <v>39</v>
      </c>
      <c r="C170" t="s">
        <v>57</v>
      </c>
      <c r="D170" t="s">
        <v>153</v>
      </c>
      <c r="E170">
        <v>5246135</v>
      </c>
      <c r="H170" s="4">
        <v>8</v>
      </c>
    </row>
    <row r="171" spans="1:16" x14ac:dyDescent="0.3">
      <c r="A171" t="s">
        <v>29</v>
      </c>
      <c r="B171" t="s">
        <v>39</v>
      </c>
      <c r="C171" t="s">
        <v>57</v>
      </c>
      <c r="D171" t="s">
        <v>153</v>
      </c>
      <c r="E171">
        <v>5239743</v>
      </c>
      <c r="F171" s="4">
        <v>8</v>
      </c>
    </row>
    <row r="172" spans="1:16" x14ac:dyDescent="0.3">
      <c r="A172" t="s">
        <v>29</v>
      </c>
      <c r="B172" t="s">
        <v>39</v>
      </c>
      <c r="C172" t="s">
        <v>57</v>
      </c>
      <c r="D172" t="s">
        <v>153</v>
      </c>
      <c r="E172">
        <v>5246135</v>
      </c>
      <c r="I172" s="4">
        <v>8</v>
      </c>
    </row>
    <row r="173" spans="1:16" hidden="1" x14ac:dyDescent="0.3">
      <c r="A173" t="s">
        <v>30</v>
      </c>
      <c r="B173" t="s">
        <v>46</v>
      </c>
      <c r="C173" t="s">
        <v>160</v>
      </c>
      <c r="D173" t="s">
        <v>234</v>
      </c>
      <c r="E173">
        <v>5198487</v>
      </c>
      <c r="N173" s="4">
        <v>10</v>
      </c>
    </row>
    <row r="174" spans="1:16" hidden="1" x14ac:dyDescent="0.3">
      <c r="A174" t="s">
        <v>30</v>
      </c>
      <c r="B174" t="s">
        <v>46</v>
      </c>
      <c r="C174" t="s">
        <v>160</v>
      </c>
      <c r="D174" t="s">
        <v>234</v>
      </c>
      <c r="E174">
        <v>5198487</v>
      </c>
      <c r="I174" s="4">
        <v>11</v>
      </c>
    </row>
    <row r="175" spans="1:16" hidden="1" x14ac:dyDescent="0.3">
      <c r="A175" t="s">
        <v>30</v>
      </c>
      <c r="B175" t="s">
        <v>46</v>
      </c>
      <c r="C175" t="s">
        <v>160</v>
      </c>
      <c r="D175" t="s">
        <v>234</v>
      </c>
      <c r="E175">
        <v>5198487</v>
      </c>
      <c r="O175" s="4">
        <v>11</v>
      </c>
    </row>
    <row r="176" spans="1:16" hidden="1" x14ac:dyDescent="0.3">
      <c r="A176" t="s">
        <v>30</v>
      </c>
      <c r="B176" t="s">
        <v>46</v>
      </c>
      <c r="C176" t="s">
        <v>160</v>
      </c>
      <c r="D176" t="s">
        <v>234</v>
      </c>
      <c r="E176">
        <v>5198487</v>
      </c>
      <c r="N176" s="4">
        <v>11</v>
      </c>
    </row>
    <row r="177" spans="1:16" hidden="1" x14ac:dyDescent="0.3">
      <c r="A177" t="s">
        <v>30</v>
      </c>
      <c r="B177" t="s">
        <v>46</v>
      </c>
      <c r="C177" t="s">
        <v>160</v>
      </c>
      <c r="D177" t="s">
        <v>234</v>
      </c>
      <c r="E177">
        <v>5198487</v>
      </c>
      <c r="M177" s="4">
        <v>10</v>
      </c>
    </row>
    <row r="178" spans="1:16" hidden="1" x14ac:dyDescent="0.3">
      <c r="A178" t="s">
        <v>30</v>
      </c>
      <c r="B178" t="s">
        <v>46</v>
      </c>
      <c r="C178" t="s">
        <v>160</v>
      </c>
      <c r="D178" t="s">
        <v>234</v>
      </c>
      <c r="E178">
        <v>5198487</v>
      </c>
      <c r="M178" s="4">
        <v>11</v>
      </c>
    </row>
    <row r="179" spans="1:16" hidden="1" x14ac:dyDescent="0.3">
      <c r="A179" t="s">
        <v>30</v>
      </c>
      <c r="B179" t="s">
        <v>46</v>
      </c>
      <c r="C179" t="s">
        <v>160</v>
      </c>
      <c r="D179" t="s">
        <v>234</v>
      </c>
      <c r="E179">
        <v>5198487</v>
      </c>
      <c r="L179" s="4">
        <v>10</v>
      </c>
    </row>
    <row r="180" spans="1:16" hidden="1" x14ac:dyDescent="0.3">
      <c r="A180" t="s">
        <v>30</v>
      </c>
      <c r="B180" t="s">
        <v>46</v>
      </c>
      <c r="C180" t="s">
        <v>160</v>
      </c>
      <c r="D180" t="s">
        <v>234</v>
      </c>
      <c r="E180">
        <v>5198487</v>
      </c>
      <c r="L180" s="4">
        <v>11</v>
      </c>
    </row>
    <row r="181" spans="1:16" hidden="1" x14ac:dyDescent="0.3">
      <c r="A181" t="s">
        <v>30</v>
      </c>
      <c r="B181" t="s">
        <v>46</v>
      </c>
      <c r="C181" t="s">
        <v>160</v>
      </c>
      <c r="D181" t="s">
        <v>234</v>
      </c>
      <c r="E181">
        <v>5198487</v>
      </c>
      <c r="K181" s="4">
        <v>10</v>
      </c>
    </row>
    <row r="182" spans="1:16" hidden="1" x14ac:dyDescent="0.3">
      <c r="A182" t="s">
        <v>30</v>
      </c>
      <c r="B182" t="s">
        <v>46</v>
      </c>
      <c r="C182" t="s">
        <v>160</v>
      </c>
      <c r="D182" t="s">
        <v>234</v>
      </c>
      <c r="E182">
        <v>5198487</v>
      </c>
      <c r="K182" s="4">
        <v>11</v>
      </c>
    </row>
    <row r="183" spans="1:16" hidden="1" x14ac:dyDescent="0.3">
      <c r="A183" t="s">
        <v>30</v>
      </c>
      <c r="B183" t="s">
        <v>46</v>
      </c>
      <c r="C183" t="s">
        <v>160</v>
      </c>
      <c r="D183" t="s">
        <v>234</v>
      </c>
      <c r="E183">
        <v>5198487</v>
      </c>
      <c r="O183" s="4">
        <v>10</v>
      </c>
    </row>
    <row r="184" spans="1:16" hidden="1" x14ac:dyDescent="0.3">
      <c r="A184" t="s">
        <v>30</v>
      </c>
      <c r="B184" t="s">
        <v>46</v>
      </c>
      <c r="C184" t="s">
        <v>160</v>
      </c>
      <c r="D184" t="s">
        <v>234</v>
      </c>
      <c r="E184">
        <v>5198487</v>
      </c>
      <c r="J184" s="4">
        <v>10</v>
      </c>
    </row>
    <row r="185" spans="1:16" hidden="1" x14ac:dyDescent="0.3">
      <c r="A185" t="s">
        <v>30</v>
      </c>
      <c r="B185" t="s">
        <v>46</v>
      </c>
      <c r="C185" t="s">
        <v>160</v>
      </c>
      <c r="D185" t="s">
        <v>234</v>
      </c>
      <c r="E185">
        <v>5198487</v>
      </c>
      <c r="P185" s="4">
        <v>11</v>
      </c>
    </row>
    <row r="186" spans="1:16" hidden="1" x14ac:dyDescent="0.3">
      <c r="A186" t="s">
        <v>30</v>
      </c>
      <c r="B186" t="s">
        <v>46</v>
      </c>
      <c r="C186" t="s">
        <v>160</v>
      </c>
      <c r="D186" t="s">
        <v>234</v>
      </c>
      <c r="E186">
        <v>5198487</v>
      </c>
      <c r="P186" s="4">
        <v>10</v>
      </c>
    </row>
    <row r="187" spans="1:16" hidden="1" x14ac:dyDescent="0.3">
      <c r="A187" t="s">
        <v>30</v>
      </c>
      <c r="B187" t="s">
        <v>46</v>
      </c>
      <c r="C187" t="s">
        <v>160</v>
      </c>
      <c r="D187" t="s">
        <v>234</v>
      </c>
      <c r="E187">
        <v>5198487</v>
      </c>
      <c r="H187" s="4">
        <v>10</v>
      </c>
    </row>
    <row r="188" spans="1:16" hidden="1" x14ac:dyDescent="0.3">
      <c r="A188" t="s">
        <v>32</v>
      </c>
      <c r="B188" t="s">
        <v>96</v>
      </c>
      <c r="C188" t="s">
        <v>160</v>
      </c>
      <c r="D188" t="s">
        <v>234</v>
      </c>
      <c r="E188">
        <v>5198487</v>
      </c>
      <c r="M188" s="4">
        <v>11</v>
      </c>
    </row>
    <row r="189" spans="1:16" hidden="1" x14ac:dyDescent="0.3">
      <c r="A189" t="s">
        <v>30</v>
      </c>
      <c r="B189" t="s">
        <v>46</v>
      </c>
      <c r="C189" t="s">
        <v>160</v>
      </c>
      <c r="D189" t="s">
        <v>234</v>
      </c>
      <c r="E189">
        <v>5198487</v>
      </c>
      <c r="G189" s="4">
        <v>10</v>
      </c>
    </row>
    <row r="190" spans="1:16" hidden="1" x14ac:dyDescent="0.3">
      <c r="A190" t="s">
        <v>32</v>
      </c>
      <c r="B190" t="s">
        <v>96</v>
      </c>
      <c r="C190" t="s">
        <v>160</v>
      </c>
      <c r="D190" t="s">
        <v>234</v>
      </c>
      <c r="E190">
        <v>5198487</v>
      </c>
      <c r="L190" s="4">
        <v>11</v>
      </c>
    </row>
    <row r="191" spans="1:16" hidden="1" x14ac:dyDescent="0.3">
      <c r="A191" t="s">
        <v>32</v>
      </c>
      <c r="B191" t="s">
        <v>96</v>
      </c>
      <c r="C191" t="s">
        <v>160</v>
      </c>
      <c r="D191" t="s">
        <v>234</v>
      </c>
      <c r="E191">
        <v>5198487</v>
      </c>
      <c r="K191" s="4">
        <v>11</v>
      </c>
    </row>
    <row r="192" spans="1:16" hidden="1" x14ac:dyDescent="0.3">
      <c r="A192" t="s">
        <v>32</v>
      </c>
      <c r="B192" t="s">
        <v>96</v>
      </c>
      <c r="C192" t="s">
        <v>160</v>
      </c>
      <c r="D192" t="s">
        <v>234</v>
      </c>
      <c r="E192">
        <v>5198487</v>
      </c>
      <c r="J192" s="4">
        <v>11</v>
      </c>
    </row>
    <row r="193" spans="1:16" hidden="1" x14ac:dyDescent="0.3">
      <c r="A193" t="s">
        <v>32</v>
      </c>
      <c r="B193" t="s">
        <v>96</v>
      </c>
      <c r="C193" t="s">
        <v>160</v>
      </c>
      <c r="D193" t="s">
        <v>234</v>
      </c>
      <c r="E193">
        <v>5198487</v>
      </c>
      <c r="I193" s="4">
        <v>11</v>
      </c>
    </row>
    <row r="194" spans="1:16" hidden="1" x14ac:dyDescent="0.3">
      <c r="A194" t="s">
        <v>32</v>
      </c>
      <c r="B194" t="s">
        <v>96</v>
      </c>
      <c r="C194" t="s">
        <v>160</v>
      </c>
      <c r="D194" t="s">
        <v>234</v>
      </c>
      <c r="E194">
        <v>5198487</v>
      </c>
      <c r="H194" s="4">
        <v>11</v>
      </c>
    </row>
    <row r="195" spans="1:16" hidden="1" x14ac:dyDescent="0.3">
      <c r="A195" t="s">
        <v>32</v>
      </c>
      <c r="B195" t="s">
        <v>96</v>
      </c>
      <c r="C195" t="s">
        <v>160</v>
      </c>
      <c r="D195" t="s">
        <v>234</v>
      </c>
      <c r="E195">
        <v>5198487</v>
      </c>
      <c r="G195" s="4">
        <v>11</v>
      </c>
    </row>
    <row r="196" spans="1:16" hidden="1" x14ac:dyDescent="0.3">
      <c r="A196" t="s">
        <v>30</v>
      </c>
      <c r="B196" t="s">
        <v>46</v>
      </c>
      <c r="C196" t="s">
        <v>160</v>
      </c>
      <c r="D196" t="s">
        <v>234</v>
      </c>
      <c r="E196">
        <v>5198487</v>
      </c>
      <c r="H196" s="4">
        <v>11</v>
      </c>
    </row>
    <row r="197" spans="1:16" hidden="1" x14ac:dyDescent="0.3">
      <c r="A197" t="s">
        <v>32</v>
      </c>
      <c r="B197" t="s">
        <v>96</v>
      </c>
      <c r="C197" t="s">
        <v>160</v>
      </c>
      <c r="D197" t="s">
        <v>234</v>
      </c>
      <c r="E197">
        <v>5198487</v>
      </c>
      <c r="F197" s="4">
        <v>11</v>
      </c>
    </row>
    <row r="198" spans="1:16" hidden="1" x14ac:dyDescent="0.3">
      <c r="A198" t="s">
        <v>32</v>
      </c>
      <c r="B198" t="s">
        <v>96</v>
      </c>
      <c r="C198" t="s">
        <v>160</v>
      </c>
      <c r="D198" t="s">
        <v>234</v>
      </c>
      <c r="E198">
        <v>5198487</v>
      </c>
      <c r="P198" s="4">
        <v>11</v>
      </c>
    </row>
    <row r="199" spans="1:16" hidden="1" x14ac:dyDescent="0.3">
      <c r="A199" t="s">
        <v>30</v>
      </c>
      <c r="B199" t="s">
        <v>46</v>
      </c>
      <c r="C199" t="s">
        <v>160</v>
      </c>
      <c r="D199" t="s">
        <v>234</v>
      </c>
      <c r="E199">
        <v>5198487</v>
      </c>
      <c r="I199" s="4">
        <v>10</v>
      </c>
    </row>
    <row r="200" spans="1:16" hidden="1" x14ac:dyDescent="0.3">
      <c r="A200" t="s">
        <v>32</v>
      </c>
      <c r="B200" t="s">
        <v>96</v>
      </c>
      <c r="C200" t="s">
        <v>160</v>
      </c>
      <c r="D200" t="s">
        <v>234</v>
      </c>
      <c r="E200">
        <v>5198487</v>
      </c>
      <c r="N200" s="4">
        <v>11</v>
      </c>
    </row>
    <row r="201" spans="1:16" hidden="1" x14ac:dyDescent="0.3">
      <c r="A201" t="s">
        <v>30</v>
      </c>
      <c r="B201" t="s">
        <v>46</v>
      </c>
      <c r="C201" t="s">
        <v>160</v>
      </c>
      <c r="D201" t="s">
        <v>234</v>
      </c>
      <c r="E201">
        <v>5198487</v>
      </c>
      <c r="F201" s="4">
        <v>11</v>
      </c>
    </row>
    <row r="202" spans="1:16" hidden="1" x14ac:dyDescent="0.3">
      <c r="A202" t="s">
        <v>30</v>
      </c>
      <c r="B202" t="s">
        <v>46</v>
      </c>
      <c r="C202" t="s">
        <v>160</v>
      </c>
      <c r="D202" t="s">
        <v>234</v>
      </c>
      <c r="E202">
        <v>5198487</v>
      </c>
      <c r="F202" s="4">
        <v>10</v>
      </c>
    </row>
    <row r="203" spans="1:16" hidden="1" x14ac:dyDescent="0.3">
      <c r="A203" t="s">
        <v>30</v>
      </c>
      <c r="B203" t="s">
        <v>46</v>
      </c>
      <c r="C203" t="s">
        <v>160</v>
      </c>
      <c r="D203" t="s">
        <v>234</v>
      </c>
      <c r="E203">
        <v>5198487</v>
      </c>
      <c r="G203" s="4">
        <v>11</v>
      </c>
    </row>
    <row r="204" spans="1:16" hidden="1" x14ac:dyDescent="0.3">
      <c r="A204" t="s">
        <v>32</v>
      </c>
      <c r="B204" t="s">
        <v>96</v>
      </c>
      <c r="C204" t="s">
        <v>160</v>
      </c>
      <c r="D204" t="s">
        <v>234</v>
      </c>
      <c r="E204">
        <v>5198487</v>
      </c>
      <c r="O204" s="4">
        <v>11</v>
      </c>
    </row>
    <row r="205" spans="1:16" hidden="1" x14ac:dyDescent="0.3">
      <c r="A205" t="s">
        <v>30</v>
      </c>
      <c r="B205" t="s">
        <v>46</v>
      </c>
      <c r="C205" t="s">
        <v>160</v>
      </c>
      <c r="D205" t="s">
        <v>234</v>
      </c>
      <c r="E205">
        <v>5198487</v>
      </c>
      <c r="J205" s="4">
        <v>11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C82E4-E949-4620-88EE-34E6EEE9FD4F}">
  <dimension ref="A1:P28"/>
  <sheetViews>
    <sheetView showGridLines="0" tabSelected="1" workbookViewId="0">
      <selection activeCell="C13" sqref="C13"/>
    </sheetView>
  </sheetViews>
  <sheetFormatPr baseColWidth="10" defaultRowHeight="14.4" x14ac:dyDescent="0.3"/>
  <cols>
    <col min="1" max="1" width="26.6640625" bestFit="1" customWidth="1"/>
    <col min="2" max="2" width="17" bestFit="1" customWidth="1"/>
    <col min="3" max="3" width="62.44140625" bestFit="1" customWidth="1"/>
    <col min="4" max="4" width="9.21875" bestFit="1" customWidth="1"/>
    <col min="5" max="15" width="10.77734375" bestFit="1" customWidth="1"/>
    <col min="16" max="16" width="11.88671875" bestFit="1" customWidth="1"/>
  </cols>
  <sheetData>
    <row r="1" spans="1:16" x14ac:dyDescent="0.3">
      <c r="A1" s="93" t="s">
        <v>232</v>
      </c>
      <c r="B1" t="s">
        <v>153</v>
      </c>
    </row>
    <row r="3" spans="1:16" x14ac:dyDescent="0.3">
      <c r="A3" s="93" t="s">
        <v>249</v>
      </c>
      <c r="E3" s="93" t="s">
        <v>4</v>
      </c>
    </row>
    <row r="4" spans="1:16" x14ac:dyDescent="0.3">
      <c r="A4" s="93" t="s">
        <v>9</v>
      </c>
      <c r="B4" s="93" t="s">
        <v>142</v>
      </c>
      <c r="C4" s="93" t="s">
        <v>6</v>
      </c>
      <c r="D4" s="93" t="s">
        <v>145</v>
      </c>
      <c r="E4" s="94">
        <v>45519</v>
      </c>
      <c r="F4" s="94">
        <v>45520</v>
      </c>
      <c r="G4" s="94">
        <v>45521</v>
      </c>
      <c r="H4" s="94">
        <v>45522</v>
      </c>
      <c r="I4" s="94">
        <v>45523</v>
      </c>
      <c r="J4" s="94">
        <v>45524</v>
      </c>
      <c r="K4" s="94">
        <v>45525</v>
      </c>
      <c r="L4" s="94">
        <v>45526</v>
      </c>
      <c r="M4" s="94">
        <v>45527</v>
      </c>
      <c r="N4" s="94">
        <v>45528</v>
      </c>
      <c r="O4" s="94">
        <v>45529</v>
      </c>
      <c r="P4" t="s">
        <v>246</v>
      </c>
    </row>
    <row r="5" spans="1:16" x14ac:dyDescent="0.3">
      <c r="A5" t="s">
        <v>63</v>
      </c>
      <c r="B5" t="s">
        <v>29</v>
      </c>
      <c r="C5" t="s">
        <v>57</v>
      </c>
      <c r="D5">
        <v>5239743</v>
      </c>
      <c r="E5" s="95">
        <v>8</v>
      </c>
      <c r="F5" s="95">
        <v>5</v>
      </c>
      <c r="G5" s="95"/>
      <c r="H5" s="95"/>
      <c r="I5" s="95"/>
      <c r="J5" s="95"/>
      <c r="K5" s="95"/>
      <c r="L5" s="95"/>
      <c r="M5" s="95"/>
      <c r="N5" s="95"/>
      <c r="O5" s="95"/>
      <c r="P5" s="95">
        <v>13</v>
      </c>
    </row>
    <row r="6" spans="1:16" x14ac:dyDescent="0.3">
      <c r="D6">
        <v>5246135</v>
      </c>
      <c r="E6" s="95"/>
      <c r="F6" s="95"/>
      <c r="G6" s="95">
        <v>8</v>
      </c>
      <c r="H6" s="95">
        <v>8</v>
      </c>
      <c r="I6" s="95">
        <v>8</v>
      </c>
      <c r="J6" s="95">
        <v>8</v>
      </c>
      <c r="K6" s="95">
        <v>8</v>
      </c>
      <c r="L6" s="95">
        <v>8</v>
      </c>
      <c r="M6" s="95">
        <v>5</v>
      </c>
      <c r="N6" s="95"/>
      <c r="O6" s="95"/>
      <c r="P6" s="95">
        <v>53</v>
      </c>
    </row>
    <row r="7" spans="1:16" x14ac:dyDescent="0.3">
      <c r="D7">
        <v>5252183</v>
      </c>
      <c r="E7" s="95"/>
      <c r="F7" s="95"/>
      <c r="G7" s="95"/>
      <c r="H7" s="95"/>
      <c r="I7" s="95"/>
      <c r="J7" s="95"/>
      <c r="K7" s="95"/>
      <c r="L7" s="95"/>
      <c r="M7" s="95"/>
      <c r="N7" s="95">
        <v>8</v>
      </c>
      <c r="O7" s="95">
        <v>8</v>
      </c>
      <c r="P7" s="95">
        <v>16</v>
      </c>
    </row>
    <row r="8" spans="1:16" x14ac:dyDescent="0.3">
      <c r="A8" t="s">
        <v>39</v>
      </c>
      <c r="B8" t="s">
        <v>29</v>
      </c>
      <c r="C8" t="s">
        <v>57</v>
      </c>
      <c r="D8">
        <v>5239743</v>
      </c>
      <c r="E8" s="95">
        <v>8</v>
      </c>
      <c r="F8" s="95">
        <v>5</v>
      </c>
      <c r="G8" s="95"/>
      <c r="H8" s="95"/>
      <c r="I8" s="95"/>
      <c r="J8" s="95"/>
      <c r="K8" s="95"/>
      <c r="L8" s="95"/>
      <c r="M8" s="95"/>
      <c r="N8" s="95"/>
      <c r="O8" s="95"/>
      <c r="P8" s="95">
        <v>13</v>
      </c>
    </row>
    <row r="9" spans="1:16" x14ac:dyDescent="0.3">
      <c r="D9">
        <v>5246135</v>
      </c>
      <c r="E9" s="95"/>
      <c r="F9" s="95"/>
      <c r="G9" s="95">
        <v>8</v>
      </c>
      <c r="H9" s="95">
        <v>8</v>
      </c>
      <c r="I9" s="95">
        <v>8</v>
      </c>
      <c r="J9" s="95">
        <v>8</v>
      </c>
      <c r="K9" s="95">
        <v>8</v>
      </c>
      <c r="L9" s="95">
        <v>3</v>
      </c>
      <c r="M9" s="95"/>
      <c r="N9" s="95"/>
      <c r="O9" s="95"/>
      <c r="P9" s="95">
        <v>43</v>
      </c>
    </row>
    <row r="10" spans="1:16" x14ac:dyDescent="0.3">
      <c r="A10" t="s">
        <v>40</v>
      </c>
      <c r="B10" t="s">
        <v>30</v>
      </c>
      <c r="C10" t="s">
        <v>57</v>
      </c>
      <c r="D10">
        <v>5239743</v>
      </c>
      <c r="E10" s="95">
        <v>8</v>
      </c>
      <c r="F10" s="95">
        <v>5</v>
      </c>
      <c r="G10" s="95"/>
      <c r="H10" s="95"/>
      <c r="I10" s="95"/>
      <c r="J10" s="95"/>
      <c r="K10" s="95"/>
      <c r="L10" s="95"/>
      <c r="M10" s="95"/>
      <c r="N10" s="95"/>
      <c r="O10" s="95"/>
      <c r="P10" s="95">
        <v>13</v>
      </c>
    </row>
    <row r="11" spans="1:16" x14ac:dyDescent="0.3">
      <c r="D11">
        <v>5246135</v>
      </c>
      <c r="E11" s="95"/>
      <c r="F11" s="95"/>
      <c r="G11" s="95">
        <v>10</v>
      </c>
      <c r="H11" s="95">
        <v>8</v>
      </c>
      <c r="I11" s="95">
        <v>8</v>
      </c>
      <c r="J11" s="95">
        <v>5</v>
      </c>
      <c r="K11" s="95">
        <v>8</v>
      </c>
      <c r="L11" s="95">
        <v>8</v>
      </c>
      <c r="M11" s="95">
        <v>5</v>
      </c>
      <c r="N11" s="95"/>
      <c r="O11" s="95"/>
      <c r="P11" s="95">
        <v>52</v>
      </c>
    </row>
    <row r="12" spans="1:16" x14ac:dyDescent="0.3">
      <c r="D12">
        <v>5252183</v>
      </c>
      <c r="E12" s="95"/>
      <c r="F12" s="95"/>
      <c r="G12" s="95"/>
      <c r="H12" s="95"/>
      <c r="I12" s="95"/>
      <c r="J12" s="95"/>
      <c r="K12" s="95"/>
      <c r="L12" s="95"/>
      <c r="M12" s="95"/>
      <c r="N12" s="95">
        <v>8</v>
      </c>
      <c r="O12" s="95">
        <v>8</v>
      </c>
      <c r="P12" s="95">
        <v>16</v>
      </c>
    </row>
    <row r="13" spans="1:16" x14ac:dyDescent="0.3">
      <c r="A13" t="s">
        <v>70</v>
      </c>
      <c r="B13" t="s">
        <v>31</v>
      </c>
      <c r="C13" t="s">
        <v>159</v>
      </c>
      <c r="D13">
        <v>5092509</v>
      </c>
      <c r="E13" s="95">
        <v>8</v>
      </c>
      <c r="F13" s="95">
        <v>4</v>
      </c>
      <c r="G13" s="95">
        <v>8</v>
      </c>
      <c r="H13" s="95">
        <v>6</v>
      </c>
      <c r="I13" s="95">
        <v>8</v>
      </c>
      <c r="J13" s="95">
        <v>8</v>
      </c>
      <c r="K13" s="95"/>
      <c r="L13" s="95"/>
      <c r="M13" s="95"/>
      <c r="N13" s="95"/>
      <c r="O13" s="95"/>
      <c r="P13" s="95">
        <v>42</v>
      </c>
    </row>
    <row r="14" spans="1:16" x14ac:dyDescent="0.3">
      <c r="A14" t="s">
        <v>41</v>
      </c>
      <c r="B14" t="s">
        <v>31</v>
      </c>
      <c r="C14" t="s">
        <v>159</v>
      </c>
      <c r="D14">
        <v>5092509</v>
      </c>
      <c r="E14" s="95"/>
      <c r="F14" s="95"/>
      <c r="G14" s="95"/>
      <c r="H14" s="95"/>
      <c r="I14" s="95"/>
      <c r="J14" s="95"/>
      <c r="K14" s="95">
        <v>8</v>
      </c>
      <c r="L14" s="95">
        <v>8</v>
      </c>
      <c r="M14" s="95">
        <v>5</v>
      </c>
      <c r="N14" s="95">
        <v>7</v>
      </c>
      <c r="O14" s="95">
        <v>8</v>
      </c>
      <c r="P14" s="95">
        <v>36</v>
      </c>
    </row>
    <row r="15" spans="1:16" x14ac:dyDescent="0.3">
      <c r="A15" t="s">
        <v>73</v>
      </c>
      <c r="B15" t="s">
        <v>62</v>
      </c>
      <c r="C15" t="s">
        <v>159</v>
      </c>
      <c r="D15">
        <v>5092509</v>
      </c>
      <c r="E15" s="95"/>
      <c r="F15" s="95"/>
      <c r="G15" s="95"/>
      <c r="H15" s="95"/>
      <c r="I15" s="95"/>
      <c r="J15" s="95"/>
      <c r="K15" s="95"/>
      <c r="L15" s="95"/>
      <c r="M15" s="95"/>
      <c r="N15" s="95">
        <v>4</v>
      </c>
      <c r="O15" s="95"/>
      <c r="P15" s="95">
        <v>4</v>
      </c>
    </row>
    <row r="16" spans="1:16" x14ac:dyDescent="0.3">
      <c r="A16" t="s">
        <v>34</v>
      </c>
      <c r="B16" t="s">
        <v>28</v>
      </c>
      <c r="C16" t="s">
        <v>57</v>
      </c>
      <c r="D16">
        <v>5239743</v>
      </c>
      <c r="E16" s="95">
        <v>8</v>
      </c>
      <c r="F16" s="95">
        <v>5</v>
      </c>
      <c r="G16" s="95"/>
      <c r="H16" s="95"/>
      <c r="I16" s="95"/>
      <c r="J16" s="95"/>
      <c r="K16" s="95"/>
      <c r="L16" s="95"/>
      <c r="M16" s="95"/>
      <c r="N16" s="95"/>
      <c r="O16" s="95"/>
      <c r="P16" s="95">
        <v>13</v>
      </c>
    </row>
    <row r="17" spans="1:16" x14ac:dyDescent="0.3">
      <c r="D17">
        <v>5246135</v>
      </c>
      <c r="E17" s="95"/>
      <c r="F17" s="95"/>
      <c r="G17" s="95">
        <v>8</v>
      </c>
      <c r="H17" s="95">
        <v>8</v>
      </c>
      <c r="I17" s="95">
        <v>8</v>
      </c>
      <c r="J17" s="95">
        <v>8</v>
      </c>
      <c r="K17" s="95">
        <v>8</v>
      </c>
      <c r="L17" s="95">
        <v>8</v>
      </c>
      <c r="M17" s="95">
        <v>5</v>
      </c>
      <c r="N17" s="95"/>
      <c r="O17" s="95"/>
      <c r="P17" s="95">
        <v>53</v>
      </c>
    </row>
    <row r="18" spans="1:16" x14ac:dyDescent="0.3">
      <c r="D18">
        <v>5252183</v>
      </c>
      <c r="E18" s="95"/>
      <c r="F18" s="95"/>
      <c r="G18" s="95"/>
      <c r="H18" s="95"/>
      <c r="I18" s="95"/>
      <c r="J18" s="95"/>
      <c r="K18" s="95"/>
      <c r="L18" s="95"/>
      <c r="M18" s="95"/>
      <c r="N18" s="95">
        <v>8</v>
      </c>
      <c r="O18" s="95">
        <v>8</v>
      </c>
      <c r="P18" s="95">
        <v>16</v>
      </c>
    </row>
    <row r="19" spans="1:16" x14ac:dyDescent="0.3">
      <c r="A19" t="s">
        <v>35</v>
      </c>
      <c r="B19" t="s">
        <v>28</v>
      </c>
      <c r="C19" t="s">
        <v>57</v>
      </c>
      <c r="D19">
        <v>5239743</v>
      </c>
      <c r="E19" s="95">
        <v>8</v>
      </c>
      <c r="F19" s="95">
        <v>5</v>
      </c>
      <c r="G19" s="95"/>
      <c r="H19" s="95"/>
      <c r="I19" s="95"/>
      <c r="J19" s="95"/>
      <c r="K19" s="95"/>
      <c r="L19" s="95"/>
      <c r="M19" s="95"/>
      <c r="N19" s="95"/>
      <c r="O19" s="95"/>
      <c r="P19" s="95">
        <v>13</v>
      </c>
    </row>
    <row r="20" spans="1:16" x14ac:dyDescent="0.3">
      <c r="D20">
        <v>5246135</v>
      </c>
      <c r="E20" s="95"/>
      <c r="F20" s="95"/>
      <c r="G20" s="95">
        <v>8</v>
      </c>
      <c r="H20" s="95">
        <v>8</v>
      </c>
      <c r="I20" s="95">
        <v>8</v>
      </c>
      <c r="J20" s="95">
        <v>8</v>
      </c>
      <c r="K20" s="95">
        <v>8</v>
      </c>
      <c r="L20" s="95">
        <v>8</v>
      </c>
      <c r="M20" s="95">
        <v>5</v>
      </c>
      <c r="N20" s="95"/>
      <c r="O20" s="95"/>
      <c r="P20" s="95">
        <v>53</v>
      </c>
    </row>
    <row r="21" spans="1:16" x14ac:dyDescent="0.3">
      <c r="D21">
        <v>5252183</v>
      </c>
      <c r="E21" s="95"/>
      <c r="F21" s="95"/>
      <c r="G21" s="95"/>
      <c r="H21" s="95"/>
      <c r="I21" s="95"/>
      <c r="J21" s="95"/>
      <c r="K21" s="95"/>
      <c r="L21" s="95"/>
      <c r="M21" s="95"/>
      <c r="N21" s="95">
        <v>8</v>
      </c>
      <c r="O21" s="95">
        <v>8</v>
      </c>
      <c r="P21" s="95">
        <v>16</v>
      </c>
    </row>
    <row r="22" spans="1:16" x14ac:dyDescent="0.3">
      <c r="A22" t="s">
        <v>36</v>
      </c>
      <c r="B22" t="s">
        <v>28</v>
      </c>
      <c r="C22" t="s">
        <v>57</v>
      </c>
      <c r="D22">
        <v>5239743</v>
      </c>
      <c r="E22" s="95">
        <v>8</v>
      </c>
      <c r="F22" s="95">
        <v>5</v>
      </c>
      <c r="G22" s="95"/>
      <c r="H22" s="95"/>
      <c r="I22" s="95"/>
      <c r="J22" s="95"/>
      <c r="K22" s="95"/>
      <c r="L22" s="95"/>
      <c r="M22" s="95"/>
      <c r="N22" s="95"/>
      <c r="O22" s="95"/>
      <c r="P22" s="95">
        <v>13</v>
      </c>
    </row>
    <row r="23" spans="1:16" x14ac:dyDescent="0.3">
      <c r="D23">
        <v>5246135</v>
      </c>
      <c r="E23" s="95"/>
      <c r="F23" s="95"/>
      <c r="G23" s="95">
        <v>8</v>
      </c>
      <c r="H23" s="95">
        <v>8</v>
      </c>
      <c r="I23" s="95">
        <v>8</v>
      </c>
      <c r="J23" s="95">
        <v>8</v>
      </c>
      <c r="K23" s="95">
        <v>8</v>
      </c>
      <c r="L23" s="95">
        <v>8</v>
      </c>
      <c r="M23" s="95">
        <v>5</v>
      </c>
      <c r="N23" s="95"/>
      <c r="O23" s="95"/>
      <c r="P23" s="95">
        <v>53</v>
      </c>
    </row>
    <row r="24" spans="1:16" x14ac:dyDescent="0.3">
      <c r="D24">
        <v>5252183</v>
      </c>
      <c r="E24" s="95"/>
      <c r="F24" s="95"/>
      <c r="G24" s="95"/>
      <c r="H24" s="95"/>
      <c r="I24" s="95"/>
      <c r="J24" s="95"/>
      <c r="K24" s="95"/>
      <c r="L24" s="95"/>
      <c r="M24" s="95"/>
      <c r="N24" s="95">
        <v>8</v>
      </c>
      <c r="O24" s="95">
        <v>8</v>
      </c>
      <c r="P24" s="95">
        <v>16</v>
      </c>
    </row>
    <row r="25" spans="1:16" x14ac:dyDescent="0.3">
      <c r="A25" t="s">
        <v>37</v>
      </c>
      <c r="B25" t="s">
        <v>28</v>
      </c>
      <c r="C25" t="s">
        <v>57</v>
      </c>
      <c r="D25">
        <v>5239743</v>
      </c>
      <c r="E25" s="95">
        <v>8</v>
      </c>
      <c r="F25" s="95">
        <v>5</v>
      </c>
      <c r="G25" s="95"/>
      <c r="H25" s="95"/>
      <c r="I25" s="95"/>
      <c r="J25" s="95"/>
      <c r="K25" s="95"/>
      <c r="L25" s="95"/>
      <c r="M25" s="95"/>
      <c r="N25" s="95"/>
      <c r="O25" s="95"/>
      <c r="P25" s="95">
        <v>13</v>
      </c>
    </row>
    <row r="26" spans="1:16" x14ac:dyDescent="0.3">
      <c r="D26">
        <v>5246135</v>
      </c>
      <c r="E26" s="95"/>
      <c r="F26" s="95"/>
      <c r="G26" s="95">
        <v>8</v>
      </c>
      <c r="H26" s="95">
        <v>8</v>
      </c>
      <c r="I26" s="95">
        <v>8</v>
      </c>
      <c r="J26" s="95">
        <v>8</v>
      </c>
      <c r="K26" s="95">
        <v>8</v>
      </c>
      <c r="L26" s="95">
        <v>8</v>
      </c>
      <c r="M26" s="95">
        <v>5</v>
      </c>
      <c r="N26" s="95"/>
      <c r="O26" s="95"/>
      <c r="P26" s="95">
        <v>53</v>
      </c>
    </row>
    <row r="27" spans="1:16" x14ac:dyDescent="0.3">
      <c r="D27">
        <v>5252183</v>
      </c>
      <c r="E27" s="95"/>
      <c r="F27" s="95"/>
      <c r="G27" s="95"/>
      <c r="H27" s="95"/>
      <c r="I27" s="95"/>
      <c r="J27" s="95"/>
      <c r="K27" s="95"/>
      <c r="L27" s="95"/>
      <c r="M27" s="95"/>
      <c r="N27" s="95">
        <v>2</v>
      </c>
      <c r="O27" s="95"/>
      <c r="P27" s="95">
        <v>2</v>
      </c>
    </row>
    <row r="28" spans="1:16" x14ac:dyDescent="0.3">
      <c r="A28" t="s">
        <v>246</v>
      </c>
      <c r="E28" s="95">
        <v>64</v>
      </c>
      <c r="F28" s="95">
        <v>39</v>
      </c>
      <c r="G28" s="95">
        <v>66</v>
      </c>
      <c r="H28" s="95">
        <v>62</v>
      </c>
      <c r="I28" s="95">
        <v>64</v>
      </c>
      <c r="J28" s="95">
        <v>61</v>
      </c>
      <c r="K28" s="95">
        <v>64</v>
      </c>
      <c r="L28" s="95">
        <v>59</v>
      </c>
      <c r="M28" s="95">
        <v>35</v>
      </c>
      <c r="N28" s="95">
        <v>53</v>
      </c>
      <c r="O28" s="95">
        <v>48</v>
      </c>
      <c r="P28" s="95">
        <v>615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073AE-4C7F-441B-883E-AF5659FB9D2F}">
  <dimension ref="A1:P7"/>
  <sheetViews>
    <sheetView showGridLines="0" topLeftCell="D1" workbookViewId="0">
      <selection activeCell="C13" sqref="C13"/>
    </sheetView>
  </sheetViews>
  <sheetFormatPr baseColWidth="10" defaultRowHeight="14.4" x14ac:dyDescent="0.3"/>
  <cols>
    <col min="1" max="1" width="26.6640625" bestFit="1" customWidth="1"/>
    <col min="2" max="2" width="17" bestFit="1" customWidth="1"/>
    <col min="3" max="3" width="62.44140625" bestFit="1" customWidth="1"/>
    <col min="4" max="4" width="9.21875" bestFit="1" customWidth="1"/>
    <col min="5" max="15" width="10.5546875" bestFit="1" customWidth="1"/>
    <col min="16" max="16" width="11.6640625" bestFit="1" customWidth="1"/>
  </cols>
  <sheetData>
    <row r="1" spans="1:16" x14ac:dyDescent="0.3">
      <c r="A1" s="93" t="s">
        <v>232</v>
      </c>
      <c r="B1" t="s">
        <v>234</v>
      </c>
    </row>
    <row r="3" spans="1:16" x14ac:dyDescent="0.3">
      <c r="A3" s="93" t="s">
        <v>249</v>
      </c>
      <c r="E3" s="93" t="s">
        <v>4</v>
      </c>
    </row>
    <row r="4" spans="1:16" x14ac:dyDescent="0.3">
      <c r="A4" s="93" t="s">
        <v>9</v>
      </c>
      <c r="B4" s="93" t="s">
        <v>142</v>
      </c>
      <c r="C4" s="93" t="s">
        <v>6</v>
      </c>
      <c r="D4" s="93" t="s">
        <v>145</v>
      </c>
      <c r="E4" s="94">
        <v>45519</v>
      </c>
      <c r="F4" s="94">
        <v>45520</v>
      </c>
      <c r="G4" s="94">
        <v>45521</v>
      </c>
      <c r="H4" s="94">
        <v>45522</v>
      </c>
      <c r="I4" s="94">
        <v>45523</v>
      </c>
      <c r="J4" s="94">
        <v>45524</v>
      </c>
      <c r="K4" s="94">
        <v>45525</v>
      </c>
      <c r="L4" s="94">
        <v>45526</v>
      </c>
      <c r="M4" s="94">
        <v>45527</v>
      </c>
      <c r="N4" s="94">
        <v>45528</v>
      </c>
      <c r="O4" s="94">
        <v>45529</v>
      </c>
      <c r="P4" t="s">
        <v>246</v>
      </c>
    </row>
    <row r="5" spans="1:16" x14ac:dyDescent="0.3">
      <c r="A5" t="s">
        <v>46</v>
      </c>
      <c r="B5" t="s">
        <v>30</v>
      </c>
      <c r="C5" t="s">
        <v>160</v>
      </c>
      <c r="D5">
        <v>5198487</v>
      </c>
      <c r="E5" s="95">
        <v>21</v>
      </c>
      <c r="F5" s="95">
        <v>21</v>
      </c>
      <c r="G5" s="95">
        <v>21</v>
      </c>
      <c r="H5" s="95">
        <v>21</v>
      </c>
      <c r="I5" s="95">
        <v>21</v>
      </c>
      <c r="J5" s="95">
        <v>21</v>
      </c>
      <c r="K5" s="95">
        <v>21</v>
      </c>
      <c r="L5" s="95">
        <v>21</v>
      </c>
      <c r="M5" s="95">
        <v>21</v>
      </c>
      <c r="N5" s="95">
        <v>21</v>
      </c>
      <c r="O5" s="95">
        <v>21</v>
      </c>
      <c r="P5" s="95">
        <v>231</v>
      </c>
    </row>
    <row r="6" spans="1:16" x14ac:dyDescent="0.3">
      <c r="A6" t="s">
        <v>96</v>
      </c>
      <c r="B6" t="s">
        <v>32</v>
      </c>
      <c r="C6" t="s">
        <v>160</v>
      </c>
      <c r="D6">
        <v>5198487</v>
      </c>
      <c r="E6" s="95">
        <v>11</v>
      </c>
      <c r="F6" s="95">
        <v>11</v>
      </c>
      <c r="G6" s="95">
        <v>11</v>
      </c>
      <c r="H6" s="95">
        <v>11</v>
      </c>
      <c r="I6" s="95">
        <v>11</v>
      </c>
      <c r="J6" s="95">
        <v>11</v>
      </c>
      <c r="K6" s="95">
        <v>11</v>
      </c>
      <c r="L6" s="95">
        <v>11</v>
      </c>
      <c r="M6" s="95">
        <v>11</v>
      </c>
      <c r="N6" s="95">
        <v>11</v>
      </c>
      <c r="O6" s="95">
        <v>11</v>
      </c>
      <c r="P6" s="95">
        <v>121</v>
      </c>
    </row>
    <row r="7" spans="1:16" x14ac:dyDescent="0.3">
      <c r="A7" t="s">
        <v>246</v>
      </c>
      <c r="E7" s="95">
        <v>32</v>
      </c>
      <c r="F7" s="95">
        <v>32</v>
      </c>
      <c r="G7" s="95">
        <v>32</v>
      </c>
      <c r="H7" s="95">
        <v>32</v>
      </c>
      <c r="I7" s="95">
        <v>32</v>
      </c>
      <c r="J7" s="95">
        <v>32</v>
      </c>
      <c r="K7" s="95">
        <v>32</v>
      </c>
      <c r="L7" s="95">
        <v>32</v>
      </c>
      <c r="M7" s="95">
        <v>32</v>
      </c>
      <c r="N7" s="95">
        <v>32</v>
      </c>
      <c r="O7" s="95">
        <v>32</v>
      </c>
      <c r="P7" s="95">
        <v>352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E5D40-C938-41AF-9E6A-A3054AD1E002}">
  <dimension ref="A1:Q54"/>
  <sheetViews>
    <sheetView showGridLines="0" workbookViewId="0">
      <selection activeCell="C13" sqref="C13"/>
    </sheetView>
  </sheetViews>
  <sheetFormatPr baseColWidth="10" defaultRowHeight="14.4" x14ac:dyDescent="0.3"/>
  <cols>
    <col min="1" max="1" width="26.6640625" bestFit="1" customWidth="1"/>
    <col min="2" max="2" width="17" bestFit="1" customWidth="1"/>
    <col min="3" max="3" width="62.44140625" bestFit="1" customWidth="1"/>
    <col min="4" max="4" width="9.21875" bestFit="1" customWidth="1"/>
    <col min="5" max="16" width="10.5546875" bestFit="1" customWidth="1"/>
    <col min="17" max="17" width="11.6640625" bestFit="1" customWidth="1"/>
  </cols>
  <sheetData>
    <row r="1" spans="1:17" x14ac:dyDescent="0.3">
      <c r="A1" s="93" t="s">
        <v>232</v>
      </c>
      <c r="B1" t="s">
        <v>248</v>
      </c>
    </row>
    <row r="3" spans="1:17" x14ac:dyDescent="0.3">
      <c r="A3" s="93" t="s">
        <v>249</v>
      </c>
      <c r="E3" s="93" t="s">
        <v>4</v>
      </c>
    </row>
    <row r="4" spans="1:17" x14ac:dyDescent="0.3">
      <c r="A4" s="93" t="s">
        <v>9</v>
      </c>
      <c r="B4" s="93" t="s">
        <v>142</v>
      </c>
      <c r="C4" s="93" t="s">
        <v>6</v>
      </c>
      <c r="D4" s="93" t="s">
        <v>145</v>
      </c>
      <c r="E4" s="94">
        <v>45519</v>
      </c>
      <c r="F4" s="94">
        <v>45520</v>
      </c>
      <c r="G4" s="94">
        <v>45521</v>
      </c>
      <c r="H4" s="94">
        <v>45522</v>
      </c>
      <c r="I4" s="94">
        <v>45523</v>
      </c>
      <c r="J4" s="94">
        <v>45524</v>
      </c>
      <c r="K4" s="94">
        <v>45525</v>
      </c>
      <c r="L4" s="94">
        <v>45526</v>
      </c>
      <c r="M4" s="94">
        <v>45527</v>
      </c>
      <c r="N4" s="94">
        <v>45528</v>
      </c>
      <c r="O4" s="94">
        <v>45529</v>
      </c>
      <c r="P4" t="s">
        <v>248</v>
      </c>
      <c r="Q4" t="s">
        <v>246</v>
      </c>
    </row>
    <row r="5" spans="1:17" x14ac:dyDescent="0.3">
      <c r="A5" t="s">
        <v>247</v>
      </c>
      <c r="B5" t="s">
        <v>247</v>
      </c>
      <c r="C5" t="s">
        <v>248</v>
      </c>
      <c r="D5" t="s">
        <v>248</v>
      </c>
      <c r="E5" s="95"/>
      <c r="F5" s="95"/>
      <c r="G5" s="95"/>
      <c r="H5" s="95"/>
      <c r="I5" s="95"/>
      <c r="J5" s="95"/>
      <c r="K5" s="95"/>
      <c r="L5" s="95"/>
      <c r="M5" s="95"/>
      <c r="N5" s="95"/>
      <c r="O5" s="95"/>
      <c r="P5" s="95">
        <v>0</v>
      </c>
      <c r="Q5" s="95">
        <v>0</v>
      </c>
    </row>
    <row r="6" spans="1:17" x14ac:dyDescent="0.3">
      <c r="A6" t="s">
        <v>59</v>
      </c>
      <c r="B6" t="s">
        <v>58</v>
      </c>
      <c r="C6" t="s">
        <v>193</v>
      </c>
      <c r="D6">
        <v>5257366</v>
      </c>
      <c r="E6" s="95"/>
      <c r="F6" s="95"/>
      <c r="G6" s="95"/>
      <c r="H6" s="95"/>
      <c r="I6" s="95"/>
      <c r="J6" s="95"/>
      <c r="K6" s="95"/>
      <c r="L6" s="95">
        <v>2</v>
      </c>
      <c r="M6" s="95"/>
      <c r="N6" s="95"/>
      <c r="O6" s="95"/>
      <c r="P6" s="95"/>
      <c r="Q6" s="95">
        <v>2</v>
      </c>
    </row>
    <row r="7" spans="1:17" x14ac:dyDescent="0.3">
      <c r="A7" t="s">
        <v>39</v>
      </c>
      <c r="B7" t="s">
        <v>29</v>
      </c>
      <c r="C7" t="s">
        <v>193</v>
      </c>
      <c r="D7">
        <v>5257366</v>
      </c>
      <c r="E7" s="95"/>
      <c r="F7" s="95"/>
      <c r="G7" s="95"/>
      <c r="H7" s="95"/>
      <c r="I7" s="95"/>
      <c r="J7" s="95"/>
      <c r="K7" s="95"/>
      <c r="L7" s="95">
        <v>9</v>
      </c>
      <c r="M7" s="95">
        <v>4</v>
      </c>
      <c r="N7" s="95">
        <v>9</v>
      </c>
      <c r="O7" s="95">
        <v>8</v>
      </c>
      <c r="P7" s="95"/>
      <c r="Q7" s="95">
        <v>30</v>
      </c>
    </row>
    <row r="8" spans="1:17" x14ac:dyDescent="0.3">
      <c r="A8" t="s">
        <v>157</v>
      </c>
      <c r="B8" t="s">
        <v>33</v>
      </c>
      <c r="C8" t="s">
        <v>176</v>
      </c>
      <c r="D8">
        <v>5252655</v>
      </c>
      <c r="E8" s="95"/>
      <c r="F8" s="95"/>
      <c r="G8" s="95"/>
      <c r="H8" s="95">
        <v>2</v>
      </c>
      <c r="I8" s="95"/>
      <c r="J8" s="95"/>
      <c r="K8" s="95"/>
      <c r="L8" s="95"/>
      <c r="M8" s="95"/>
      <c r="N8" s="95"/>
      <c r="O8" s="95"/>
      <c r="P8" s="95"/>
      <c r="Q8" s="95">
        <v>2</v>
      </c>
    </row>
    <row r="9" spans="1:17" x14ac:dyDescent="0.3">
      <c r="C9" t="s">
        <v>188</v>
      </c>
      <c r="D9">
        <v>5246134</v>
      </c>
      <c r="E9" s="95"/>
      <c r="F9" s="95"/>
      <c r="G9" s="95"/>
      <c r="H9" s="95"/>
      <c r="I9" s="95"/>
      <c r="J9" s="95"/>
      <c r="K9" s="95">
        <v>7</v>
      </c>
      <c r="L9" s="95"/>
      <c r="M9" s="95"/>
      <c r="N9" s="95"/>
      <c r="O9" s="95"/>
      <c r="P9" s="95"/>
      <c r="Q9" s="95">
        <v>7</v>
      </c>
    </row>
    <row r="10" spans="1:17" x14ac:dyDescent="0.3">
      <c r="A10" t="s">
        <v>86</v>
      </c>
      <c r="B10" t="s">
        <v>33</v>
      </c>
      <c r="C10" t="s">
        <v>195</v>
      </c>
      <c r="D10">
        <v>5257918</v>
      </c>
      <c r="E10" s="95"/>
      <c r="F10" s="95"/>
      <c r="G10" s="95"/>
      <c r="H10" s="95"/>
      <c r="I10" s="95"/>
      <c r="J10" s="95"/>
      <c r="K10" s="95"/>
      <c r="L10" s="95"/>
      <c r="M10" s="95">
        <v>5</v>
      </c>
      <c r="N10" s="95"/>
      <c r="O10" s="95"/>
      <c r="P10" s="95"/>
      <c r="Q10" s="95">
        <v>5</v>
      </c>
    </row>
    <row r="11" spans="1:17" x14ac:dyDescent="0.3">
      <c r="C11" t="s">
        <v>248</v>
      </c>
      <c r="D11" t="s">
        <v>248</v>
      </c>
      <c r="E11" s="95"/>
      <c r="F11" s="95">
        <v>3</v>
      </c>
      <c r="G11" s="95"/>
      <c r="H11" s="95"/>
      <c r="I11" s="95"/>
      <c r="J11" s="95"/>
      <c r="K11" s="95"/>
      <c r="L11" s="95"/>
      <c r="M11" s="95"/>
      <c r="N11" s="95"/>
      <c r="O11" s="95"/>
      <c r="P11" s="95"/>
      <c r="Q11" s="95">
        <v>3</v>
      </c>
    </row>
    <row r="12" spans="1:17" x14ac:dyDescent="0.3">
      <c r="A12" t="s">
        <v>45</v>
      </c>
      <c r="B12" t="s">
        <v>33</v>
      </c>
      <c r="C12" t="s">
        <v>184</v>
      </c>
      <c r="D12">
        <v>5249725</v>
      </c>
      <c r="E12" s="95"/>
      <c r="F12" s="95"/>
      <c r="G12" s="95"/>
      <c r="H12" s="95"/>
      <c r="I12" s="95"/>
      <c r="J12" s="95">
        <v>8</v>
      </c>
      <c r="K12" s="95">
        <v>8</v>
      </c>
      <c r="L12" s="95"/>
      <c r="M12" s="95">
        <v>4</v>
      </c>
      <c r="N12" s="95"/>
      <c r="O12" s="95"/>
      <c r="P12" s="95"/>
      <c r="Q12" s="95">
        <v>20</v>
      </c>
    </row>
    <row r="13" spans="1:17" x14ac:dyDescent="0.3">
      <c r="A13" t="s">
        <v>76</v>
      </c>
      <c r="B13" t="s">
        <v>75</v>
      </c>
      <c r="C13" t="s">
        <v>176</v>
      </c>
      <c r="D13">
        <v>5252655</v>
      </c>
      <c r="E13" s="95"/>
      <c r="F13" s="95"/>
      <c r="G13" s="95">
        <v>8</v>
      </c>
      <c r="H13" s="95"/>
      <c r="I13" s="95"/>
      <c r="J13" s="95"/>
      <c r="K13" s="95"/>
      <c r="L13" s="95"/>
      <c r="M13" s="95"/>
      <c r="N13" s="95"/>
      <c r="O13" s="95"/>
      <c r="P13" s="95"/>
      <c r="Q13" s="95">
        <v>8</v>
      </c>
    </row>
    <row r="14" spans="1:17" x14ac:dyDescent="0.3">
      <c r="C14" t="s">
        <v>168</v>
      </c>
      <c r="D14">
        <v>5249877</v>
      </c>
      <c r="E14" s="95">
        <v>8</v>
      </c>
      <c r="F14" s="95"/>
      <c r="G14" s="95"/>
      <c r="H14" s="95"/>
      <c r="I14" s="95"/>
      <c r="J14" s="95"/>
      <c r="K14" s="95"/>
      <c r="L14" s="95"/>
      <c r="M14" s="95"/>
      <c r="N14" s="95"/>
      <c r="O14" s="95"/>
      <c r="P14" s="95"/>
      <c r="Q14" s="95">
        <v>8</v>
      </c>
    </row>
    <row r="15" spans="1:17" x14ac:dyDescent="0.3">
      <c r="C15" t="s">
        <v>172</v>
      </c>
      <c r="D15">
        <v>5246410</v>
      </c>
      <c r="E15" s="95"/>
      <c r="F15" s="95">
        <v>3</v>
      </c>
      <c r="G15" s="95"/>
      <c r="H15" s="95"/>
      <c r="I15" s="95">
        <v>1</v>
      </c>
      <c r="J15" s="95">
        <v>8</v>
      </c>
      <c r="K15" s="95"/>
      <c r="L15" s="95"/>
      <c r="M15" s="95"/>
      <c r="N15" s="95"/>
      <c r="O15" s="95"/>
      <c r="P15" s="95"/>
      <c r="Q15" s="95">
        <v>12</v>
      </c>
    </row>
    <row r="16" spans="1:17" x14ac:dyDescent="0.3">
      <c r="C16" t="s">
        <v>170</v>
      </c>
      <c r="D16">
        <v>5250657</v>
      </c>
      <c r="E16" s="95">
        <v>4</v>
      </c>
      <c r="F16" s="95"/>
      <c r="G16" s="95"/>
      <c r="H16" s="95"/>
      <c r="I16" s="95"/>
      <c r="J16" s="95"/>
      <c r="K16" s="95"/>
      <c r="L16" s="95"/>
      <c r="M16" s="95"/>
      <c r="N16" s="95"/>
      <c r="O16" s="95"/>
      <c r="P16" s="95"/>
      <c r="Q16" s="95">
        <v>4</v>
      </c>
    </row>
    <row r="17" spans="1:17" x14ac:dyDescent="0.3">
      <c r="C17" t="s">
        <v>193</v>
      </c>
      <c r="D17">
        <v>5257366</v>
      </c>
      <c r="E17" s="95"/>
      <c r="F17" s="95"/>
      <c r="G17" s="95"/>
      <c r="H17" s="95"/>
      <c r="I17" s="95"/>
      <c r="J17" s="95"/>
      <c r="K17" s="95"/>
      <c r="L17" s="95">
        <v>7</v>
      </c>
      <c r="M17" s="95">
        <v>2</v>
      </c>
      <c r="N17" s="95"/>
      <c r="O17" s="95"/>
      <c r="P17" s="95"/>
      <c r="Q17" s="95">
        <v>9</v>
      </c>
    </row>
    <row r="18" spans="1:17" x14ac:dyDescent="0.3">
      <c r="A18" t="s">
        <v>42</v>
      </c>
      <c r="B18" t="s">
        <v>30</v>
      </c>
      <c r="C18" t="s">
        <v>164</v>
      </c>
      <c r="D18">
        <v>5250776</v>
      </c>
      <c r="E18" s="95">
        <v>2</v>
      </c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>
        <v>2</v>
      </c>
    </row>
    <row r="19" spans="1:17" x14ac:dyDescent="0.3">
      <c r="C19" t="s">
        <v>190</v>
      </c>
      <c r="D19">
        <v>5086336</v>
      </c>
      <c r="E19" s="95"/>
      <c r="F19" s="95"/>
      <c r="G19" s="95"/>
      <c r="H19" s="95"/>
      <c r="I19" s="95"/>
      <c r="J19" s="95"/>
      <c r="K19" s="95">
        <v>3</v>
      </c>
      <c r="L19" s="95"/>
      <c r="M19" s="95"/>
      <c r="N19" s="95"/>
      <c r="O19" s="95"/>
      <c r="P19" s="95"/>
      <c r="Q19" s="95">
        <v>3</v>
      </c>
    </row>
    <row r="20" spans="1:17" x14ac:dyDescent="0.3">
      <c r="C20" t="s">
        <v>188</v>
      </c>
      <c r="D20">
        <v>5246134</v>
      </c>
      <c r="E20" s="95"/>
      <c r="F20" s="95"/>
      <c r="G20" s="95"/>
      <c r="H20" s="95"/>
      <c r="I20" s="95"/>
      <c r="J20" s="95"/>
      <c r="K20" s="95">
        <v>3</v>
      </c>
      <c r="L20" s="95"/>
      <c r="M20" s="95"/>
      <c r="N20" s="95"/>
      <c r="O20" s="95"/>
      <c r="P20" s="95"/>
      <c r="Q20" s="95">
        <v>3</v>
      </c>
    </row>
    <row r="21" spans="1:17" x14ac:dyDescent="0.3">
      <c r="C21" t="s">
        <v>172</v>
      </c>
      <c r="D21">
        <v>5246410</v>
      </c>
      <c r="E21" s="95"/>
      <c r="F21" s="95"/>
      <c r="G21" s="95">
        <v>8</v>
      </c>
      <c r="H21" s="95">
        <v>5</v>
      </c>
      <c r="I21" s="95"/>
      <c r="J21" s="95">
        <v>6</v>
      </c>
      <c r="K21" s="95"/>
      <c r="L21" s="95">
        <v>2</v>
      </c>
      <c r="M21" s="95"/>
      <c r="N21" s="95"/>
      <c r="O21" s="95"/>
      <c r="P21" s="95"/>
      <c r="Q21" s="95">
        <v>21</v>
      </c>
    </row>
    <row r="22" spans="1:17" x14ac:dyDescent="0.3">
      <c r="C22" t="s">
        <v>181</v>
      </c>
      <c r="D22">
        <v>5253954</v>
      </c>
      <c r="E22" s="95"/>
      <c r="F22" s="95"/>
      <c r="G22" s="95"/>
      <c r="H22" s="95"/>
      <c r="I22" s="95">
        <v>3</v>
      </c>
      <c r="J22" s="95"/>
      <c r="K22" s="95"/>
      <c r="L22" s="95"/>
      <c r="M22" s="95"/>
      <c r="N22" s="95"/>
      <c r="O22" s="95"/>
      <c r="P22" s="95"/>
      <c r="Q22" s="95">
        <v>3</v>
      </c>
    </row>
    <row r="23" spans="1:17" x14ac:dyDescent="0.3">
      <c r="C23" t="s">
        <v>192</v>
      </c>
      <c r="D23">
        <v>5257354</v>
      </c>
      <c r="E23" s="95"/>
      <c r="F23" s="95"/>
      <c r="G23" s="95"/>
      <c r="H23" s="95"/>
      <c r="I23" s="95"/>
      <c r="J23" s="95"/>
      <c r="K23" s="95"/>
      <c r="L23" s="95">
        <v>4</v>
      </c>
      <c r="M23" s="95"/>
      <c r="N23" s="95"/>
      <c r="O23" s="95"/>
      <c r="P23" s="95"/>
      <c r="Q23" s="95">
        <v>4</v>
      </c>
    </row>
    <row r="24" spans="1:17" x14ac:dyDescent="0.3">
      <c r="C24" t="s">
        <v>193</v>
      </c>
      <c r="D24">
        <v>5257366</v>
      </c>
      <c r="E24" s="95"/>
      <c r="F24" s="95"/>
      <c r="G24" s="95"/>
      <c r="H24" s="95"/>
      <c r="I24" s="95"/>
      <c r="J24" s="95"/>
      <c r="K24" s="95"/>
      <c r="L24" s="95"/>
      <c r="M24" s="95"/>
      <c r="N24" s="95">
        <v>4</v>
      </c>
      <c r="O24" s="95">
        <v>8</v>
      </c>
      <c r="P24" s="95"/>
      <c r="Q24" s="95">
        <v>12</v>
      </c>
    </row>
    <row r="25" spans="1:17" x14ac:dyDescent="0.3">
      <c r="C25" t="s">
        <v>183</v>
      </c>
      <c r="D25">
        <v>5254073</v>
      </c>
      <c r="E25" s="95"/>
      <c r="F25" s="95"/>
      <c r="G25" s="95"/>
      <c r="H25" s="95"/>
      <c r="I25" s="95">
        <v>6</v>
      </c>
      <c r="J25" s="95"/>
      <c r="K25" s="95"/>
      <c r="L25" s="95"/>
      <c r="M25" s="95"/>
      <c r="N25" s="95"/>
      <c r="O25" s="95"/>
      <c r="P25" s="95"/>
      <c r="Q25" s="95">
        <v>6</v>
      </c>
    </row>
    <row r="26" spans="1:17" x14ac:dyDescent="0.3">
      <c r="A26" t="s">
        <v>113</v>
      </c>
      <c r="B26" t="s">
        <v>30</v>
      </c>
      <c r="C26" t="s">
        <v>231</v>
      </c>
      <c r="D26">
        <v>5248839</v>
      </c>
      <c r="E26" s="95"/>
      <c r="F26" s="95"/>
      <c r="G26" s="95"/>
      <c r="H26" s="95"/>
      <c r="I26" s="95"/>
      <c r="J26" s="95"/>
      <c r="K26" s="95"/>
      <c r="L26" s="95"/>
      <c r="M26" s="95"/>
      <c r="N26" s="95">
        <v>2</v>
      </c>
      <c r="O26" s="95">
        <v>3</v>
      </c>
      <c r="P26" s="95"/>
      <c r="Q26" s="95">
        <v>5</v>
      </c>
    </row>
    <row r="27" spans="1:17" x14ac:dyDescent="0.3">
      <c r="C27" t="s">
        <v>175</v>
      </c>
      <c r="D27">
        <v>5252466</v>
      </c>
      <c r="E27" s="95"/>
      <c r="F27" s="95"/>
      <c r="G27" s="95">
        <v>6</v>
      </c>
      <c r="H27" s="95"/>
      <c r="I27" s="95"/>
      <c r="J27" s="95"/>
      <c r="K27" s="95"/>
      <c r="L27" s="95"/>
      <c r="M27" s="95"/>
      <c r="N27" s="95"/>
      <c r="O27" s="95"/>
      <c r="P27" s="95"/>
      <c r="Q27" s="95">
        <v>6</v>
      </c>
    </row>
    <row r="28" spans="1:17" x14ac:dyDescent="0.3">
      <c r="A28" t="s">
        <v>115</v>
      </c>
      <c r="B28" t="s">
        <v>30</v>
      </c>
      <c r="C28" t="s">
        <v>166</v>
      </c>
      <c r="D28">
        <v>5246686</v>
      </c>
      <c r="E28" s="95">
        <v>4</v>
      </c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5">
        <v>4</v>
      </c>
    </row>
    <row r="29" spans="1:17" x14ac:dyDescent="0.3">
      <c r="A29" t="s">
        <v>73</v>
      </c>
      <c r="B29" t="s">
        <v>62</v>
      </c>
      <c r="C29" t="s">
        <v>188</v>
      </c>
      <c r="D29">
        <v>5246134</v>
      </c>
      <c r="E29" s="95"/>
      <c r="F29" s="95"/>
      <c r="G29" s="95"/>
      <c r="H29" s="95"/>
      <c r="I29" s="95"/>
      <c r="J29" s="95"/>
      <c r="K29" s="95">
        <v>9</v>
      </c>
      <c r="L29" s="95"/>
      <c r="M29" s="95"/>
      <c r="N29" s="95"/>
      <c r="O29" s="95"/>
      <c r="P29" s="95"/>
      <c r="Q29" s="95">
        <v>9</v>
      </c>
    </row>
    <row r="30" spans="1:17" x14ac:dyDescent="0.3">
      <c r="C30" t="s">
        <v>195</v>
      </c>
      <c r="D30">
        <v>5257918</v>
      </c>
      <c r="E30" s="95"/>
      <c r="F30" s="95"/>
      <c r="G30" s="95"/>
      <c r="H30" s="95"/>
      <c r="I30" s="95"/>
      <c r="J30" s="95"/>
      <c r="K30" s="95"/>
      <c r="L30" s="95"/>
      <c r="M30" s="95">
        <v>7</v>
      </c>
      <c r="N30" s="95"/>
      <c r="O30" s="95"/>
      <c r="P30" s="95"/>
      <c r="Q30" s="95">
        <v>7</v>
      </c>
    </row>
    <row r="31" spans="1:17" x14ac:dyDescent="0.3">
      <c r="C31" t="s">
        <v>184</v>
      </c>
      <c r="D31">
        <v>5249725</v>
      </c>
      <c r="E31" s="95"/>
      <c r="F31" s="95"/>
      <c r="G31" s="95"/>
      <c r="H31" s="95"/>
      <c r="I31" s="95"/>
      <c r="J31" s="95">
        <v>1</v>
      </c>
      <c r="K31" s="95"/>
      <c r="L31" s="95"/>
      <c r="M31" s="95"/>
      <c r="N31" s="95"/>
      <c r="O31" s="95"/>
      <c r="P31" s="95"/>
      <c r="Q31" s="95">
        <v>1</v>
      </c>
    </row>
    <row r="32" spans="1:17" x14ac:dyDescent="0.3">
      <c r="C32" t="s">
        <v>170</v>
      </c>
      <c r="D32">
        <v>5250657</v>
      </c>
      <c r="E32" s="95">
        <v>6</v>
      </c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>
        <v>6</v>
      </c>
    </row>
    <row r="33" spans="1:17" x14ac:dyDescent="0.3">
      <c r="C33" t="s">
        <v>248</v>
      </c>
      <c r="D33" t="s">
        <v>248</v>
      </c>
      <c r="E33" s="95"/>
      <c r="F33" s="95">
        <v>7</v>
      </c>
      <c r="G33" s="95"/>
      <c r="H33" s="95"/>
      <c r="I33" s="95"/>
      <c r="J33" s="95"/>
      <c r="K33" s="95"/>
      <c r="L33" s="95"/>
      <c r="M33" s="95"/>
      <c r="N33" s="95"/>
      <c r="O33" s="95"/>
      <c r="P33" s="95"/>
      <c r="Q33" s="95">
        <v>7</v>
      </c>
    </row>
    <row r="34" spans="1:17" x14ac:dyDescent="0.3">
      <c r="A34" t="s">
        <v>65</v>
      </c>
      <c r="B34" t="s">
        <v>62</v>
      </c>
      <c r="C34" t="s">
        <v>166</v>
      </c>
      <c r="D34">
        <v>5246686</v>
      </c>
      <c r="E34" s="95"/>
      <c r="F34" s="95">
        <v>4</v>
      </c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>
        <v>4</v>
      </c>
    </row>
    <row r="35" spans="1:17" x14ac:dyDescent="0.3">
      <c r="A35" t="s">
        <v>100</v>
      </c>
      <c r="B35" t="s">
        <v>32</v>
      </c>
      <c r="C35" t="s">
        <v>188</v>
      </c>
      <c r="D35">
        <v>5246134</v>
      </c>
      <c r="E35" s="95"/>
      <c r="F35" s="95"/>
      <c r="G35" s="95"/>
      <c r="H35" s="95"/>
      <c r="I35" s="95"/>
      <c r="J35" s="95"/>
      <c r="K35" s="95">
        <v>2</v>
      </c>
      <c r="L35" s="95"/>
      <c r="M35" s="95"/>
      <c r="N35" s="95"/>
      <c r="O35" s="95"/>
      <c r="P35" s="95"/>
      <c r="Q35" s="95">
        <v>2</v>
      </c>
    </row>
    <row r="36" spans="1:17" x14ac:dyDescent="0.3">
      <c r="C36" t="s">
        <v>172</v>
      </c>
      <c r="D36">
        <v>5246410</v>
      </c>
      <c r="E36" s="95"/>
      <c r="F36" s="95"/>
      <c r="G36" s="95"/>
      <c r="H36" s="95"/>
      <c r="I36" s="95"/>
      <c r="J36" s="95">
        <v>2</v>
      </c>
      <c r="K36" s="95"/>
      <c r="L36" s="95">
        <v>2</v>
      </c>
      <c r="M36" s="95"/>
      <c r="N36" s="95"/>
      <c r="O36" s="95"/>
      <c r="P36" s="95"/>
      <c r="Q36" s="95">
        <v>4</v>
      </c>
    </row>
    <row r="37" spans="1:17" x14ac:dyDescent="0.3">
      <c r="A37" t="s">
        <v>104</v>
      </c>
      <c r="B37" t="s">
        <v>32</v>
      </c>
      <c r="C37" t="s">
        <v>193</v>
      </c>
      <c r="D37">
        <v>5257366</v>
      </c>
      <c r="E37" s="95"/>
      <c r="F37" s="95"/>
      <c r="G37" s="95"/>
      <c r="H37" s="95"/>
      <c r="I37" s="95"/>
      <c r="J37" s="95"/>
      <c r="K37" s="95"/>
      <c r="L37" s="95"/>
      <c r="M37" s="95"/>
      <c r="N37" s="95">
        <v>7</v>
      </c>
      <c r="O37" s="95">
        <v>8</v>
      </c>
      <c r="P37" s="95"/>
      <c r="Q37" s="95">
        <v>15</v>
      </c>
    </row>
    <row r="38" spans="1:17" x14ac:dyDescent="0.3">
      <c r="A38" t="s">
        <v>105</v>
      </c>
      <c r="B38" t="s">
        <v>32</v>
      </c>
      <c r="C38" t="s">
        <v>231</v>
      </c>
      <c r="D38">
        <v>5248839</v>
      </c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>
        <v>3</v>
      </c>
      <c r="P38" s="95"/>
      <c r="Q38" s="95">
        <v>3</v>
      </c>
    </row>
    <row r="39" spans="1:17" x14ac:dyDescent="0.3">
      <c r="C39" t="s">
        <v>193</v>
      </c>
      <c r="D39">
        <v>5257366</v>
      </c>
      <c r="E39" s="95"/>
      <c r="F39" s="95"/>
      <c r="G39" s="95"/>
      <c r="H39" s="95"/>
      <c r="I39" s="95"/>
      <c r="J39" s="95"/>
      <c r="K39" s="95"/>
      <c r="L39" s="95">
        <v>7</v>
      </c>
      <c r="M39" s="95">
        <v>6</v>
      </c>
      <c r="N39" s="95">
        <v>7</v>
      </c>
      <c r="O39" s="95"/>
      <c r="P39" s="95"/>
      <c r="Q39" s="95">
        <v>20</v>
      </c>
    </row>
    <row r="40" spans="1:17" x14ac:dyDescent="0.3">
      <c r="A40" t="s">
        <v>106</v>
      </c>
      <c r="B40" t="s">
        <v>32</v>
      </c>
      <c r="C40" t="s">
        <v>164</v>
      </c>
      <c r="D40">
        <v>5250776</v>
      </c>
      <c r="E40" s="95">
        <v>2</v>
      </c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>
        <v>2</v>
      </c>
    </row>
    <row r="41" spans="1:17" x14ac:dyDescent="0.3">
      <c r="C41" t="s">
        <v>172</v>
      </c>
      <c r="D41">
        <v>5246410</v>
      </c>
      <c r="E41" s="95"/>
      <c r="F41" s="95"/>
      <c r="G41" s="95"/>
      <c r="H41" s="95"/>
      <c r="I41" s="95"/>
      <c r="J41" s="95">
        <v>7</v>
      </c>
      <c r="K41" s="95"/>
      <c r="L41" s="95"/>
      <c r="M41" s="95"/>
      <c r="N41" s="95"/>
      <c r="O41" s="95"/>
      <c r="P41" s="95"/>
      <c r="Q41" s="95">
        <v>7</v>
      </c>
    </row>
    <row r="42" spans="1:17" x14ac:dyDescent="0.3">
      <c r="C42" t="s">
        <v>193</v>
      </c>
      <c r="D42">
        <v>5257366</v>
      </c>
      <c r="E42" s="95"/>
      <c r="F42" s="95"/>
      <c r="G42" s="95"/>
      <c r="H42" s="95"/>
      <c r="I42" s="95"/>
      <c r="J42" s="95"/>
      <c r="K42" s="95"/>
      <c r="L42" s="95">
        <v>7</v>
      </c>
      <c r="M42" s="95">
        <v>6</v>
      </c>
      <c r="N42" s="95">
        <v>8</v>
      </c>
      <c r="O42" s="95">
        <v>7</v>
      </c>
      <c r="P42" s="95"/>
      <c r="Q42" s="95">
        <v>28</v>
      </c>
    </row>
    <row r="43" spans="1:17" x14ac:dyDescent="0.3">
      <c r="A43" t="s">
        <v>77</v>
      </c>
      <c r="B43" t="s">
        <v>32</v>
      </c>
      <c r="C43" t="s">
        <v>164</v>
      </c>
      <c r="D43">
        <v>5250776</v>
      </c>
      <c r="E43" s="95">
        <v>2</v>
      </c>
      <c r="F43" s="95"/>
      <c r="G43" s="95"/>
      <c r="H43" s="95"/>
      <c r="I43" s="95"/>
      <c r="J43" s="95"/>
      <c r="K43" s="95"/>
      <c r="L43" s="95"/>
      <c r="M43" s="95"/>
      <c r="N43" s="95"/>
      <c r="O43" s="95"/>
      <c r="P43" s="95"/>
      <c r="Q43" s="95">
        <v>2</v>
      </c>
    </row>
    <row r="44" spans="1:17" x14ac:dyDescent="0.3">
      <c r="A44" t="s">
        <v>110</v>
      </c>
      <c r="B44" t="s">
        <v>32</v>
      </c>
      <c r="C44" t="s">
        <v>231</v>
      </c>
      <c r="D44">
        <v>5248839</v>
      </c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>
        <v>3</v>
      </c>
      <c r="P44" s="95"/>
      <c r="Q44" s="95">
        <v>3</v>
      </c>
    </row>
    <row r="45" spans="1:17" x14ac:dyDescent="0.3">
      <c r="C45" t="s">
        <v>164</v>
      </c>
      <c r="D45">
        <v>5250776</v>
      </c>
      <c r="E45" s="95">
        <v>2</v>
      </c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5">
        <v>2</v>
      </c>
    </row>
    <row r="46" spans="1:17" x14ac:dyDescent="0.3">
      <c r="C46" t="s">
        <v>190</v>
      </c>
      <c r="D46">
        <v>5086336</v>
      </c>
      <c r="E46" s="95"/>
      <c r="F46" s="95"/>
      <c r="G46" s="95"/>
      <c r="H46" s="95"/>
      <c r="I46" s="95"/>
      <c r="J46" s="95"/>
      <c r="K46" s="95">
        <v>1</v>
      </c>
      <c r="L46" s="95"/>
      <c r="M46" s="95"/>
      <c r="N46" s="95"/>
      <c r="O46" s="95"/>
      <c r="P46" s="95"/>
      <c r="Q46" s="95">
        <v>1</v>
      </c>
    </row>
    <row r="47" spans="1:17" x14ac:dyDescent="0.3">
      <c r="C47" t="s">
        <v>168</v>
      </c>
      <c r="D47">
        <v>5249877</v>
      </c>
      <c r="E47" s="95">
        <v>5</v>
      </c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>
        <v>5</v>
      </c>
    </row>
    <row r="48" spans="1:17" x14ac:dyDescent="0.3">
      <c r="C48" t="s">
        <v>178</v>
      </c>
      <c r="D48">
        <v>5240419</v>
      </c>
      <c r="E48" s="95"/>
      <c r="F48" s="95"/>
      <c r="G48" s="95"/>
      <c r="H48" s="95">
        <v>6</v>
      </c>
      <c r="I48" s="95"/>
      <c r="J48" s="95"/>
      <c r="K48" s="95"/>
      <c r="L48" s="95"/>
      <c r="M48" s="95"/>
      <c r="N48" s="95"/>
      <c r="O48" s="95"/>
      <c r="P48" s="95"/>
      <c r="Q48" s="95">
        <v>6</v>
      </c>
    </row>
    <row r="49" spans="1:17" x14ac:dyDescent="0.3">
      <c r="C49" t="s">
        <v>172</v>
      </c>
      <c r="D49">
        <v>5246410</v>
      </c>
      <c r="E49" s="95"/>
      <c r="F49" s="95">
        <v>4</v>
      </c>
      <c r="G49" s="95">
        <v>6</v>
      </c>
      <c r="H49" s="95"/>
      <c r="I49" s="95"/>
      <c r="J49" s="95">
        <v>2</v>
      </c>
      <c r="K49" s="95"/>
      <c r="L49" s="95">
        <v>2</v>
      </c>
      <c r="M49" s="95"/>
      <c r="N49" s="95"/>
      <c r="O49" s="95"/>
      <c r="P49" s="95"/>
      <c r="Q49" s="95">
        <v>14</v>
      </c>
    </row>
    <row r="50" spans="1:17" x14ac:dyDescent="0.3">
      <c r="C50" t="s">
        <v>181</v>
      </c>
      <c r="D50">
        <v>5253954</v>
      </c>
      <c r="E50" s="95"/>
      <c r="F50" s="95"/>
      <c r="G50" s="95"/>
      <c r="H50" s="95"/>
      <c r="I50" s="95">
        <v>3</v>
      </c>
      <c r="J50" s="95"/>
      <c r="K50" s="95"/>
      <c r="L50" s="95"/>
      <c r="M50" s="95"/>
      <c r="N50" s="95"/>
      <c r="O50" s="95"/>
      <c r="P50" s="95"/>
      <c r="Q50" s="95">
        <v>3</v>
      </c>
    </row>
    <row r="51" spans="1:17" x14ac:dyDescent="0.3">
      <c r="C51" t="s">
        <v>193</v>
      </c>
      <c r="D51">
        <v>5257366</v>
      </c>
      <c r="E51" s="95"/>
      <c r="F51" s="95"/>
      <c r="G51" s="95"/>
      <c r="H51" s="95"/>
      <c r="I51" s="95"/>
      <c r="J51" s="95"/>
      <c r="K51" s="95"/>
      <c r="L51" s="95">
        <v>7</v>
      </c>
      <c r="M51" s="95">
        <v>6</v>
      </c>
      <c r="N51" s="95">
        <v>8</v>
      </c>
      <c r="O51" s="95"/>
      <c r="P51" s="95"/>
      <c r="Q51" s="95">
        <v>21</v>
      </c>
    </row>
    <row r="52" spans="1:17" x14ac:dyDescent="0.3">
      <c r="A52" t="s">
        <v>43</v>
      </c>
      <c r="B52" t="s">
        <v>28</v>
      </c>
      <c r="C52" t="s">
        <v>162</v>
      </c>
      <c r="D52">
        <v>5253778</v>
      </c>
      <c r="E52" s="95">
        <v>9</v>
      </c>
      <c r="F52" s="95">
        <v>6</v>
      </c>
      <c r="G52" s="95">
        <v>9</v>
      </c>
      <c r="H52" s="95">
        <v>9</v>
      </c>
      <c r="I52" s="95">
        <v>9</v>
      </c>
      <c r="J52" s="95">
        <v>8</v>
      </c>
      <c r="K52" s="95">
        <v>9</v>
      </c>
      <c r="L52" s="95">
        <v>9</v>
      </c>
      <c r="M52" s="95">
        <v>9</v>
      </c>
      <c r="N52" s="95">
        <v>10</v>
      </c>
      <c r="O52" s="95">
        <v>9</v>
      </c>
      <c r="P52" s="95"/>
      <c r="Q52" s="95">
        <v>96</v>
      </c>
    </row>
    <row r="53" spans="1:17" x14ac:dyDescent="0.3">
      <c r="A53" t="s">
        <v>37</v>
      </c>
      <c r="B53" t="s">
        <v>28</v>
      </c>
      <c r="C53" t="s">
        <v>229</v>
      </c>
      <c r="D53">
        <v>5252184</v>
      </c>
      <c r="E53" s="95"/>
      <c r="F53" s="95"/>
      <c r="G53" s="95"/>
      <c r="H53" s="95"/>
      <c r="I53" s="95"/>
      <c r="J53" s="95"/>
      <c r="K53" s="95"/>
      <c r="L53" s="95"/>
      <c r="M53" s="95"/>
      <c r="N53" s="95">
        <v>4</v>
      </c>
      <c r="O53" s="95"/>
      <c r="P53" s="95"/>
      <c r="Q53" s="95">
        <v>4</v>
      </c>
    </row>
    <row r="54" spans="1:17" x14ac:dyDescent="0.3">
      <c r="A54" t="s">
        <v>246</v>
      </c>
      <c r="E54" s="95">
        <v>44</v>
      </c>
      <c r="F54" s="95">
        <v>27</v>
      </c>
      <c r="G54" s="95">
        <v>37</v>
      </c>
      <c r="H54" s="95">
        <v>22</v>
      </c>
      <c r="I54" s="95">
        <v>22</v>
      </c>
      <c r="J54" s="95">
        <v>42</v>
      </c>
      <c r="K54" s="95">
        <v>42</v>
      </c>
      <c r="L54" s="95">
        <v>58</v>
      </c>
      <c r="M54" s="95">
        <v>49</v>
      </c>
      <c r="N54" s="95">
        <v>59</v>
      </c>
      <c r="O54" s="95">
        <v>49</v>
      </c>
      <c r="P54" s="95">
        <v>0</v>
      </c>
      <c r="Q54" s="95">
        <v>451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3BBA8-E86C-43C1-A113-C4694D17B463}">
  <sheetPr codeName="Feuil1"/>
  <dimension ref="A1:T363"/>
  <sheetViews>
    <sheetView showGridLines="0" zoomScale="60" zoomScaleNormal="60" workbookViewId="0">
      <selection activeCell="E109" sqref="E109"/>
    </sheetView>
  </sheetViews>
  <sheetFormatPr baseColWidth="10" defaultColWidth="11.44140625" defaultRowHeight="14.4" x14ac:dyDescent="0.3"/>
  <cols>
    <col min="1" max="1" width="1.77734375" style="8" customWidth="1"/>
    <col min="2" max="2" width="11.44140625" style="4" bestFit="1" customWidth="1"/>
    <col min="3" max="3" width="33.21875" style="4" bestFit="1" customWidth="1"/>
    <col min="4" max="4" width="14" style="4" bestFit="1" customWidth="1"/>
    <col min="5" max="5" width="28.109375" style="4" bestFit="1" customWidth="1"/>
    <col min="6" max="6" width="15.88671875" style="4" bestFit="1" customWidth="1"/>
    <col min="7" max="7" width="25.33203125" style="4" bestFit="1" customWidth="1"/>
    <col min="8" max="8" width="39.5546875" style="4" bestFit="1" customWidth="1"/>
    <col min="9" max="9" width="74.77734375" style="4" bestFit="1" customWidth="1"/>
    <col min="10" max="10" width="17.5546875" style="4" bestFit="1" customWidth="1"/>
    <col min="11" max="11" width="17" style="4" bestFit="1" customWidth="1"/>
    <col min="12" max="12" width="16.21875" style="4" bestFit="1" customWidth="1"/>
    <col min="13" max="13" width="17" style="4" bestFit="1" customWidth="1"/>
    <col min="14" max="14" width="16.44140625" style="5" bestFit="1" customWidth="1"/>
    <col min="15" max="15" width="18.44140625" style="5" bestFit="1" customWidth="1"/>
    <col min="16" max="16" width="11" style="5" bestFit="1" customWidth="1"/>
    <col min="17" max="17" width="21.44140625" style="5" bestFit="1" customWidth="1"/>
    <col min="18" max="18" width="18.109375" style="6" bestFit="1" customWidth="1"/>
    <col min="19" max="19" width="11.44140625" style="7"/>
    <col min="20" max="16384" width="11.44140625" style="8"/>
  </cols>
  <sheetData>
    <row r="1" spans="1:20" ht="15" thickBot="1" x14ac:dyDescent="0.35"/>
    <row r="2" spans="1:20" ht="14.55" customHeight="1" x14ac:dyDescent="0.3">
      <c r="B2" s="65" t="s">
        <v>150</v>
      </c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7"/>
    </row>
    <row r="3" spans="1:20" ht="14.55" customHeight="1" x14ac:dyDescent="0.3">
      <c r="B3" s="68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70"/>
    </row>
    <row r="4" spans="1:20" ht="15" customHeight="1" thickBot="1" x14ac:dyDescent="0.35">
      <c r="B4" s="71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3"/>
    </row>
    <row r="5" spans="1:20" ht="15.6" x14ac:dyDescent="0.3">
      <c r="N5" s="19" t="s">
        <v>154</v>
      </c>
      <c r="O5" s="20">
        <f>SUM(Tabel1[Total])</f>
        <v>1418</v>
      </c>
    </row>
    <row r="6" spans="1:20" ht="15.6" x14ac:dyDescent="0.3">
      <c r="N6" s="19" t="s">
        <v>155</v>
      </c>
      <c r="O6" s="20">
        <f>SUBTOTAL(9,Tabel1[Total])</f>
        <v>1418</v>
      </c>
    </row>
    <row r="7" spans="1:20" s="3" customFormat="1" x14ac:dyDescent="0.3">
      <c r="B7" s="22" t="s">
        <v>0</v>
      </c>
      <c r="C7" s="22" t="s">
        <v>10</v>
      </c>
      <c r="D7" s="22" t="s">
        <v>4</v>
      </c>
      <c r="E7" s="22" t="s">
        <v>142</v>
      </c>
      <c r="F7" s="1" t="s">
        <v>8</v>
      </c>
      <c r="G7" s="1" t="s">
        <v>9</v>
      </c>
      <c r="H7" s="1" t="s">
        <v>7</v>
      </c>
      <c r="I7" s="1" t="s">
        <v>6</v>
      </c>
      <c r="J7" s="1" t="s">
        <v>232</v>
      </c>
      <c r="K7" s="1" t="s">
        <v>145</v>
      </c>
      <c r="L7" s="2" t="s">
        <v>1</v>
      </c>
      <c r="M7" s="2" t="s">
        <v>5</v>
      </c>
      <c r="N7" s="2" t="s">
        <v>2</v>
      </c>
      <c r="O7" s="2" t="s">
        <v>3</v>
      </c>
      <c r="P7" s="2" t="s">
        <v>154</v>
      </c>
      <c r="Q7" s="17" t="s">
        <v>151</v>
      </c>
      <c r="R7" s="18" t="s">
        <v>152</v>
      </c>
    </row>
    <row r="8" spans="1:20" x14ac:dyDescent="0.3">
      <c r="A8" s="4"/>
      <c r="B8" s="4">
        <v>1</v>
      </c>
      <c r="C8" s="4" t="str">
        <f>IFERROR(VLOOKUP(Tabel1[[#This Row],[Model]],Tableau2[[Model]:[Parking Number]],2,FALSE)," ")</f>
        <v>WT1</v>
      </c>
      <c r="D8" s="23">
        <v>45519</v>
      </c>
      <c r="E8" s="4" t="str">
        <f>IF(Tabel1[[#This Row],[Model]]="", "",INDEX(Tableau2[Equipment Type],MATCH(Tabel1[[#This Row],[Model]],Tableau2[Model],0)))</f>
        <v>Water Truck</v>
      </c>
      <c r="F8" s="4" t="s">
        <v>47</v>
      </c>
      <c r="G8" s="4" t="str">
        <f>IF(Tabel1[[#This Row],[Model]]="", "",INDEX(Tableau2[Equipment],MATCH(Tabel1[[#This Row],[Model]],Tableau2[Model],0)))</f>
        <v>Water Truck 20T / 1924.1</v>
      </c>
      <c r="H8" s="4" t="s">
        <v>56</v>
      </c>
      <c r="I8" s="10" t="s">
        <v>57</v>
      </c>
      <c r="J8" s="35" t="s">
        <v>153</v>
      </c>
      <c r="K8" s="4">
        <v>5239743</v>
      </c>
      <c r="L8" s="9">
        <v>0.33333333333333331</v>
      </c>
      <c r="M8" s="9">
        <v>4.1666666666666664E-2</v>
      </c>
      <c r="N8" s="9">
        <v>0.70833333333333337</v>
      </c>
      <c r="O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" s="21">
        <f>HOUR(Tabel1[[#This Row],[Total Hours]])+MINUTE(Tabel1[[#This Row],[Total Hours]])/60+SECOND(Tabel1[[#This Row],[Total Hours]])/3600</f>
        <v>8</v>
      </c>
      <c r="Q8" s="6">
        <f>Tabel1[[#This Row],[End Time]]+(Tabel1[[#This Row],[End Time]]&lt;Tabel1[[#This Row],[Start time]])</f>
        <v>0.70833333333333337</v>
      </c>
      <c r="R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" s="8"/>
    </row>
    <row r="9" spans="1:20" x14ac:dyDescent="0.3">
      <c r="A9" s="4"/>
      <c r="B9" s="4">
        <f t="shared" ref="B9:B72" si="0">B8+1</f>
        <v>2</v>
      </c>
      <c r="C9" s="4" t="str">
        <f>IFERROR(VLOOKUP(Tabel1[[#This Row],[Model]],Tableau2[[Model]:[Parking Number]],2,FALSE)," ")</f>
        <v>WT2</v>
      </c>
      <c r="D9" s="23">
        <v>45519</v>
      </c>
      <c r="E9" s="4" t="str">
        <f>IF(Tabel1[[#This Row],[Model]]="", "",INDEX(Tableau2[Equipment Type],MATCH(Tabel1[[#This Row],[Model]],Tableau2[Model],0)))</f>
        <v>Water Truck</v>
      </c>
      <c r="F9" s="4" t="s">
        <v>48</v>
      </c>
      <c r="G9" s="4" t="str">
        <f>IF(Tabel1[[#This Row],[Model]]="", "",INDEX(Tableau2[Equipment],MATCH(Tabel1[[#This Row],[Model]],Tableau2[Model],0)))</f>
        <v>Water Truck 20T / 1924.2</v>
      </c>
      <c r="H9" s="4" t="s">
        <v>56</v>
      </c>
      <c r="I9" s="10" t="s">
        <v>57</v>
      </c>
      <c r="J9" s="35" t="s">
        <v>153</v>
      </c>
      <c r="K9" s="4">
        <v>5239743</v>
      </c>
      <c r="L9" s="9">
        <v>0.33333333333333331</v>
      </c>
      <c r="M9" s="9">
        <v>4.1666666666666664E-2</v>
      </c>
      <c r="N9" s="9">
        <v>0.70833333333333337</v>
      </c>
      <c r="O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" s="21">
        <f>HOUR(Tabel1[[#This Row],[Total Hours]])+MINUTE(Tabel1[[#This Row],[Total Hours]])/60+SECOND(Tabel1[[#This Row],[Total Hours]])/3600</f>
        <v>8</v>
      </c>
      <c r="Q9" s="6">
        <f>Tabel1[[#This Row],[End Time]]+(Tabel1[[#This Row],[End Time]]&lt;Tabel1[[#This Row],[Start time]])</f>
        <v>0.70833333333333337</v>
      </c>
      <c r="R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" s="8"/>
    </row>
    <row r="10" spans="1:20" x14ac:dyDescent="0.3">
      <c r="A10" s="4"/>
      <c r="B10" s="4">
        <f t="shared" si="0"/>
        <v>3</v>
      </c>
      <c r="C10" s="4" t="str">
        <f>IFERROR(VLOOKUP(Tabel1[[#This Row],[Model]],Tableau2[[Model]:[Parking Number]],2,FALSE)," ")</f>
        <v>WT3</v>
      </c>
      <c r="D10" s="23">
        <v>45519</v>
      </c>
      <c r="E10" s="4" t="str">
        <f>IF(Tabel1[[#This Row],[Model]]="", "",INDEX(Tableau2[Equipment Type],MATCH(Tabel1[[#This Row],[Model]],Tableau2[Model],0)))</f>
        <v>Water Truck</v>
      </c>
      <c r="F10" s="4" t="s">
        <v>49</v>
      </c>
      <c r="G10" s="4" t="str">
        <f>IF(Tabel1[[#This Row],[Model]]="", "",INDEX(Tableau2[Equipment],MATCH(Tabel1[[#This Row],[Model]],Tableau2[Model],0)))</f>
        <v>Water Truck 20T / 1924.3</v>
      </c>
      <c r="H10" s="4" t="s">
        <v>56</v>
      </c>
      <c r="I10" s="10" t="s">
        <v>57</v>
      </c>
      <c r="J10" s="35" t="s">
        <v>153</v>
      </c>
      <c r="K10" s="4">
        <v>5239743</v>
      </c>
      <c r="L10" s="9">
        <v>0.33333333333333331</v>
      </c>
      <c r="M10" s="9">
        <v>4.1666666666666664E-2</v>
      </c>
      <c r="N10" s="9">
        <v>0.70833333333333337</v>
      </c>
      <c r="O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" s="21">
        <f>HOUR(Tabel1[[#This Row],[Total Hours]])+MINUTE(Tabel1[[#This Row],[Total Hours]])/60+SECOND(Tabel1[[#This Row],[Total Hours]])/3600</f>
        <v>8</v>
      </c>
      <c r="Q10" s="6">
        <f>Tabel1[[#This Row],[End Time]]+(Tabel1[[#This Row],[End Time]]&lt;Tabel1[[#This Row],[Start time]])</f>
        <v>0.70833333333333337</v>
      </c>
      <c r="R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" s="6"/>
      <c r="T10" s="7"/>
    </row>
    <row r="11" spans="1:20" x14ac:dyDescent="0.3">
      <c r="A11" s="4"/>
      <c r="B11" s="4">
        <f t="shared" si="0"/>
        <v>4</v>
      </c>
      <c r="C11" s="4" t="str">
        <f>IFERROR(VLOOKUP(Tabel1[[#This Row],[Model]],Tableau2[[Model]:[Parking Number]],2,FALSE)," ")</f>
        <v>WT9</v>
      </c>
      <c r="D11" s="23">
        <v>45519</v>
      </c>
      <c r="E11" s="4" t="str">
        <f>IF(Tabel1[[#This Row],[Model]]="", "",INDEX(Tableau2[Equipment Type],MATCH(Tabel1[[#This Row],[Model]],Tableau2[Model],0)))</f>
        <v>Water Truck</v>
      </c>
      <c r="F11" s="4" t="s">
        <v>50</v>
      </c>
      <c r="G11" s="4" t="str">
        <f>IF(Tabel1[[#This Row],[Model]]="", "",INDEX(Tableau2[Equipment],MATCH(Tabel1[[#This Row],[Model]],Tableau2[Model],0)))</f>
        <v>Water Truck 20T / WT09</v>
      </c>
      <c r="H11" s="4" t="s">
        <v>56</v>
      </c>
      <c r="I11" s="10" t="s">
        <v>57</v>
      </c>
      <c r="J11" s="35" t="s">
        <v>153</v>
      </c>
      <c r="K11" s="4">
        <v>5239743</v>
      </c>
      <c r="L11" s="9">
        <v>0.33333333333333331</v>
      </c>
      <c r="M11" s="9">
        <v>4.1666666666666664E-2</v>
      </c>
      <c r="N11" s="9">
        <v>0.70833333333333337</v>
      </c>
      <c r="O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" s="21">
        <f>HOUR(Tabel1[[#This Row],[Total Hours]])+MINUTE(Tabel1[[#This Row],[Total Hours]])/60+SECOND(Tabel1[[#This Row],[Total Hours]])/3600</f>
        <v>8</v>
      </c>
      <c r="Q11" s="6">
        <f>Tabel1[[#This Row],[End Time]]+(Tabel1[[#This Row],[End Time]]&lt;Tabel1[[#This Row],[Start time]])</f>
        <v>0.70833333333333337</v>
      </c>
      <c r="R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" s="6"/>
      <c r="T11" s="7"/>
    </row>
    <row r="12" spans="1:20" x14ac:dyDescent="0.3">
      <c r="A12" s="4"/>
      <c r="B12" s="4">
        <f t="shared" si="0"/>
        <v>5</v>
      </c>
      <c r="C12" s="4" t="str">
        <f>IFERROR(VLOOKUP(Tabel1[[#This Row],[Model]],Tableau2[[Model]:[Parking Number]],2,FALSE)," ")</f>
        <v>GR1</v>
      </c>
      <c r="D12" s="23">
        <v>45519</v>
      </c>
      <c r="E12" s="4" t="str">
        <f>IF(Tabel1[[#This Row],[Model]]="", "",INDEX(Tableau2[Equipment Type],MATCH(Tabel1[[#This Row],[Model]],Tableau2[Model],0)))</f>
        <v>Grader</v>
      </c>
      <c r="F12" s="4" t="s">
        <v>63</v>
      </c>
      <c r="G12" s="4" t="str">
        <f>IF(Tabel1[[#This Row],[Model]]="", "",INDEX(Tableau2[Equipment],MATCH(Tabel1[[#This Row],[Model]],Tableau2[Model],0)))</f>
        <v>CAT12K.1</v>
      </c>
      <c r="H12" s="4" t="s">
        <v>56</v>
      </c>
      <c r="I12" s="10" t="s">
        <v>57</v>
      </c>
      <c r="J12" s="35" t="s">
        <v>153</v>
      </c>
      <c r="K12" s="4">
        <v>5239743</v>
      </c>
      <c r="L12" s="9">
        <v>0.33333333333333331</v>
      </c>
      <c r="M12" s="9">
        <v>4.1666666666666664E-2</v>
      </c>
      <c r="N12" s="9">
        <v>0.70833333333333337</v>
      </c>
      <c r="O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" s="21">
        <f>HOUR(Tabel1[[#This Row],[Total Hours]])+MINUTE(Tabel1[[#This Row],[Total Hours]])/60+SECOND(Tabel1[[#This Row],[Total Hours]])/3600</f>
        <v>8</v>
      </c>
      <c r="Q12" s="6">
        <f>Tabel1[[#This Row],[End Time]]+(Tabel1[[#This Row],[End Time]]&lt;Tabel1[[#This Row],[Start time]])</f>
        <v>0.70833333333333337</v>
      </c>
      <c r="R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" s="6"/>
      <c r="T12" s="7"/>
    </row>
    <row r="13" spans="1:20" x14ac:dyDescent="0.3">
      <c r="A13" s="4"/>
      <c r="B13" s="4">
        <f t="shared" si="0"/>
        <v>6</v>
      </c>
      <c r="C13" s="4" t="str">
        <f>IFERROR(VLOOKUP(Tabel1[[#This Row],[Model]],Tableau2[[Model]:[Parking Number]],2,FALSE)," ")</f>
        <v>GR2</v>
      </c>
      <c r="D13" s="23">
        <v>45519</v>
      </c>
      <c r="E13" s="4" t="str">
        <f>IF(Tabel1[[#This Row],[Model]]="", "",INDEX(Tableau2[Equipment Type],MATCH(Tabel1[[#This Row],[Model]],Tableau2[Model],0)))</f>
        <v>Grader</v>
      </c>
      <c r="F13" s="4" t="s">
        <v>39</v>
      </c>
      <c r="G13" s="4" t="str">
        <f>IF(Tabel1[[#This Row],[Model]]="", "",INDEX(Tableau2[Equipment],MATCH(Tabel1[[#This Row],[Model]],Tableau2[Model],0)))</f>
        <v>CAT12K.2</v>
      </c>
      <c r="H13" s="4" t="s">
        <v>56</v>
      </c>
      <c r="I13" s="10" t="s">
        <v>57</v>
      </c>
      <c r="J13" s="35" t="s">
        <v>153</v>
      </c>
      <c r="K13" s="4">
        <v>5239743</v>
      </c>
      <c r="L13" s="9">
        <v>0.33333333333333331</v>
      </c>
      <c r="M13" s="9">
        <v>4.1666666666666664E-2</v>
      </c>
      <c r="N13" s="9">
        <v>0.70833333333333337</v>
      </c>
      <c r="O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" s="21">
        <f>HOUR(Tabel1[[#This Row],[Total Hours]])+MINUTE(Tabel1[[#This Row],[Total Hours]])/60+SECOND(Tabel1[[#This Row],[Total Hours]])/3600</f>
        <v>8</v>
      </c>
      <c r="Q13" s="6">
        <f>Tabel1[[#This Row],[End Time]]+(Tabel1[[#This Row],[End Time]]&lt;Tabel1[[#This Row],[Start time]])</f>
        <v>0.70833333333333337</v>
      </c>
      <c r="R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" s="6"/>
      <c r="T13" s="7"/>
    </row>
    <row r="14" spans="1:20" x14ac:dyDescent="0.3">
      <c r="A14" s="4"/>
      <c r="B14" s="4">
        <f t="shared" si="0"/>
        <v>7</v>
      </c>
      <c r="C14" s="4" t="str">
        <f>IFERROR(VLOOKUP(Tabel1[[#This Row],[Model]],Tableau2[[Model]:[Parking Number]],2,FALSE)," ")</f>
        <v>FEL4</v>
      </c>
      <c r="D14" s="23">
        <v>45519</v>
      </c>
      <c r="E14" s="4" t="str">
        <f>IF(Tabel1[[#This Row],[Model]]="", "",INDEX(Tableau2[Equipment Type],MATCH(Tabel1[[#This Row],[Model]],Tableau2[Model],0)))</f>
        <v>Loader</v>
      </c>
      <c r="F14" s="4" t="s">
        <v>40</v>
      </c>
      <c r="G14" s="4" t="str">
        <f>IF(Tabel1[[#This Row],[Model]]="", "",INDEX(Tableau2[Equipment],MATCH(Tabel1[[#This Row],[Model]],Tableau2[Model],0)))</f>
        <v>Cat972G.2</v>
      </c>
      <c r="H14" s="4" t="s">
        <v>56</v>
      </c>
      <c r="I14" s="10" t="s">
        <v>57</v>
      </c>
      <c r="J14" s="35" t="s">
        <v>153</v>
      </c>
      <c r="K14" s="4">
        <v>5239743</v>
      </c>
      <c r="L14" s="9">
        <v>0.33333333333333331</v>
      </c>
      <c r="M14" s="9">
        <v>4.1666666666666664E-2</v>
      </c>
      <c r="N14" s="9">
        <v>0.70833333333333337</v>
      </c>
      <c r="O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4" s="21">
        <f>HOUR(Tabel1[[#This Row],[Total Hours]])+MINUTE(Tabel1[[#This Row],[Total Hours]])/60+SECOND(Tabel1[[#This Row],[Total Hours]])/3600</f>
        <v>8</v>
      </c>
      <c r="Q14" s="6">
        <f>Tabel1[[#This Row],[End Time]]+(Tabel1[[#This Row],[End Time]]&lt;Tabel1[[#This Row],[Start time]])</f>
        <v>0.70833333333333337</v>
      </c>
      <c r="R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" s="6"/>
      <c r="T14" s="7"/>
    </row>
    <row r="15" spans="1:20" x14ac:dyDescent="0.3">
      <c r="A15" s="4"/>
      <c r="B15" s="4">
        <f t="shared" si="0"/>
        <v>8</v>
      </c>
      <c r="C15" s="4" t="str">
        <f>IFERROR(VLOOKUP(Tabel1[[#This Row],[Model]],Tableau2[[Model]:[Parking Number]],2,FALSE)," ")</f>
        <v>TD1</v>
      </c>
      <c r="D15" s="23">
        <v>45519</v>
      </c>
      <c r="E15" s="4" t="str">
        <f>IF(Tabel1[[#This Row],[Model]]="", "",INDEX(Tableau2[Equipment Type],MATCH(Tabel1[[#This Row],[Model]],Tableau2[Model],0)))</f>
        <v>Bulldozer</v>
      </c>
      <c r="F15" s="4" t="s">
        <v>70</v>
      </c>
      <c r="G15" s="4" t="str">
        <f>IF(Tabel1[[#This Row],[Model]]="", "",INDEX(Tableau2[Equipment],MATCH(Tabel1[[#This Row],[Model]],Tableau2[Model],0)))</f>
        <v>CATD8R.1</v>
      </c>
      <c r="H15" s="4" t="s">
        <v>56</v>
      </c>
      <c r="I15" s="10" t="s">
        <v>159</v>
      </c>
      <c r="J15" s="35" t="s">
        <v>153</v>
      </c>
      <c r="K15" s="4">
        <v>5092509</v>
      </c>
      <c r="L15" s="9">
        <v>0.33333333333333331</v>
      </c>
      <c r="M15" s="9">
        <v>4.1666666666666664E-2</v>
      </c>
      <c r="N15" s="9">
        <v>0.70833333333333337</v>
      </c>
      <c r="O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5" s="21">
        <f>HOUR(Tabel1[[#This Row],[Total Hours]])+MINUTE(Tabel1[[#This Row],[Total Hours]])/60+SECOND(Tabel1[[#This Row],[Total Hours]])/3600</f>
        <v>8</v>
      </c>
      <c r="Q15" s="6">
        <f>Tabel1[[#This Row],[End Time]]+(Tabel1[[#This Row],[End Time]]&lt;Tabel1[[#This Row],[Start time]])</f>
        <v>0.70833333333333337</v>
      </c>
      <c r="R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" s="6"/>
      <c r="T15" s="7"/>
    </row>
    <row r="16" spans="1:20" x14ac:dyDescent="0.3">
      <c r="A16" s="4"/>
      <c r="B16" s="4">
        <f t="shared" si="0"/>
        <v>9</v>
      </c>
      <c r="C16" s="4" t="str">
        <f>IFERROR(VLOOKUP(Tabel1[[#This Row],[Model]],Tableau2[[Model]:[Parking Number]],2,FALSE)," ")</f>
        <v>FEL1</v>
      </c>
      <c r="D16" s="23">
        <v>45519</v>
      </c>
      <c r="E16" s="4" t="str">
        <f>IF(Tabel1[[#This Row],[Model]]="", "",INDEX(Tableau2[Equipment Type],MATCH(Tabel1[[#This Row],[Model]],Tableau2[Model],0)))</f>
        <v>Loader</v>
      </c>
      <c r="F16" s="4" t="s">
        <v>46</v>
      </c>
      <c r="G16" s="4" t="str">
        <f>IF(Tabel1[[#This Row],[Model]]="", "",INDEX(Tableau2[Equipment],MATCH(Tabel1[[#This Row],[Model]],Tableau2[Model],0)))</f>
        <v>Cat966H.1</v>
      </c>
      <c r="H16" s="4" t="s">
        <v>66</v>
      </c>
      <c r="I16" s="10" t="s">
        <v>160</v>
      </c>
      <c r="J16" s="35" t="s">
        <v>234</v>
      </c>
      <c r="K16" s="4">
        <v>5198487</v>
      </c>
      <c r="L16" s="9">
        <v>0.29166666666666669</v>
      </c>
      <c r="M16" s="9">
        <v>4.1666666666666664E-2</v>
      </c>
      <c r="N16" s="9">
        <v>0.79166666666666663</v>
      </c>
      <c r="O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6" s="21">
        <f>HOUR(Tabel1[[#This Row],[Total Hours]])+MINUTE(Tabel1[[#This Row],[Total Hours]])/60+SECOND(Tabel1[[#This Row],[Total Hours]])/3600</f>
        <v>11</v>
      </c>
      <c r="Q16" s="6">
        <f>Tabel1[[#This Row],[End Time]]+(Tabel1[[#This Row],[End Time]]&lt;Tabel1[[#This Row],[Start time]])</f>
        <v>0.79166666666666663</v>
      </c>
      <c r="R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" s="6"/>
      <c r="T16" s="7"/>
    </row>
    <row r="17" spans="1:20" x14ac:dyDescent="0.3">
      <c r="A17" s="4"/>
      <c r="B17" s="4">
        <f t="shared" si="0"/>
        <v>10</v>
      </c>
      <c r="C17" s="4" t="str">
        <f>IFERROR(VLOOKUP(Tabel1[[#This Row],[Model]],Tableau2[[Model]:[Parking Number]],2,FALSE)," ")</f>
        <v>FEL1</v>
      </c>
      <c r="D17" s="23">
        <v>45519</v>
      </c>
      <c r="E17" s="4" t="str">
        <f>IF(Tabel1[[#This Row],[Model]]="", "",INDEX(Tableau2[Equipment Type],MATCH(Tabel1[[#This Row],[Model]],Tableau2[Model],0)))</f>
        <v>Loader</v>
      </c>
      <c r="F17" s="4" t="s">
        <v>46</v>
      </c>
      <c r="G17" s="4" t="str">
        <f>IF(Tabel1[[#This Row],[Model]]="", "",INDEX(Tableau2[Equipment],MATCH(Tabel1[[#This Row],[Model]],Tableau2[Model],0)))</f>
        <v>Cat966H.1</v>
      </c>
      <c r="H17" s="4" t="s">
        <v>66</v>
      </c>
      <c r="I17" s="10" t="s">
        <v>160</v>
      </c>
      <c r="J17" s="35" t="s">
        <v>234</v>
      </c>
      <c r="K17" s="4">
        <v>5198487</v>
      </c>
      <c r="L17" s="9">
        <v>0.79166666666666663</v>
      </c>
      <c r="M17" s="9">
        <v>0</v>
      </c>
      <c r="N17" s="9">
        <v>0.20833333333333334</v>
      </c>
      <c r="O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7" s="21">
        <f>HOUR(Tabel1[[#This Row],[Total Hours]])+MINUTE(Tabel1[[#This Row],[Total Hours]])/60+SECOND(Tabel1[[#This Row],[Total Hours]])/3600</f>
        <v>10</v>
      </c>
      <c r="Q17" s="6">
        <f>Tabel1[[#This Row],[End Time]]+(Tabel1[[#This Row],[End Time]]&lt;Tabel1[[#This Row],[Start time]])</f>
        <v>1.2083333333333333</v>
      </c>
      <c r="R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" s="6"/>
      <c r="T17" s="7"/>
    </row>
    <row r="18" spans="1:20" x14ac:dyDescent="0.3">
      <c r="A18" s="4"/>
      <c r="B18" s="4">
        <f t="shared" si="0"/>
        <v>11</v>
      </c>
      <c r="C18" s="4" t="str">
        <f>IFERROR(VLOOKUP(Tabel1[[#This Row],[Model]],Tableau2[[Model]:[Parking Number]],2,FALSE)," ")</f>
        <v>TT17</v>
      </c>
      <c r="D18" s="23">
        <v>45519</v>
      </c>
      <c r="E18" s="4" t="str">
        <f>IF(Tabel1[[#This Row],[Model]]="", "",INDEX(Tableau2[Equipment Type],MATCH(Tabel1[[#This Row],[Model]],Tableau2[Model],0)))</f>
        <v>Tipper Truck</v>
      </c>
      <c r="F18" s="4" t="s">
        <v>51</v>
      </c>
      <c r="G18" s="4" t="str">
        <f>IF(Tabel1[[#This Row],[Model]]="", "",INDEX(Tableau2[Equipment],MATCH(Tabel1[[#This Row],[Model]],Tableau2[Model],0)))</f>
        <v>Tipper Truck 20m3 / F17</v>
      </c>
      <c r="H18" s="4" t="s">
        <v>66</v>
      </c>
      <c r="I18" s="10" t="s">
        <v>160</v>
      </c>
      <c r="J18" s="35" t="s">
        <v>234</v>
      </c>
      <c r="K18" s="4">
        <v>5198487</v>
      </c>
      <c r="L18" s="9">
        <v>0.29166666666666669</v>
      </c>
      <c r="M18" s="9">
        <v>4.1666666666666664E-2</v>
      </c>
      <c r="N18" s="9">
        <v>0.79166666666666663</v>
      </c>
      <c r="O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8" s="21">
        <f>HOUR(Tabel1[[#This Row],[Total Hours]])+MINUTE(Tabel1[[#This Row],[Total Hours]])/60+SECOND(Tabel1[[#This Row],[Total Hours]])/3600</f>
        <v>11</v>
      </c>
      <c r="Q18" s="6">
        <f>Tabel1[[#This Row],[End Time]]+(Tabel1[[#This Row],[End Time]]&lt;Tabel1[[#This Row],[Start time]])</f>
        <v>0.79166666666666663</v>
      </c>
      <c r="R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" s="6"/>
      <c r="T18" s="7"/>
    </row>
    <row r="19" spans="1:20" x14ac:dyDescent="0.3">
      <c r="A19" s="4"/>
      <c r="B19" s="4">
        <f t="shared" si="0"/>
        <v>12</v>
      </c>
      <c r="C19" s="4" t="str">
        <f>IFERROR(VLOOKUP(Tabel1[[#This Row],[Model]],Tableau2[[Model]:[Parking Number]],2,FALSE)," ")</f>
        <v>WT8</v>
      </c>
      <c r="D19" s="23">
        <v>45519</v>
      </c>
      <c r="E19" s="4" t="str">
        <f>IF(Tabel1[[#This Row],[Model]]="", "",INDEX(Tableau2[Equipment Type],MATCH(Tabel1[[#This Row],[Model]],Tableau2[Model],0)))</f>
        <v>Water Truck</v>
      </c>
      <c r="F19" s="4" t="s">
        <v>52</v>
      </c>
      <c r="G19" s="4" t="str">
        <f>IF(Tabel1[[#This Row],[Model]]="", "",INDEX(Tableau2[Equipment],MATCH(Tabel1[[#This Row],[Model]],Tableau2[Model],0)))</f>
        <v>Water Truck 20T / WT08</v>
      </c>
      <c r="H19" s="4" t="s">
        <v>161</v>
      </c>
      <c r="I19" s="10" t="s">
        <v>162</v>
      </c>
      <c r="J19" s="35"/>
      <c r="K19" s="4">
        <v>5253778</v>
      </c>
      <c r="L19" s="9">
        <v>0.29166666666666669</v>
      </c>
      <c r="M19" s="9">
        <v>4.1666666666666664E-2</v>
      </c>
      <c r="N19" s="9">
        <v>0.70833333333333337</v>
      </c>
      <c r="O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9" s="21">
        <f>HOUR(Tabel1[[#This Row],[Total Hours]])+MINUTE(Tabel1[[#This Row],[Total Hours]])/60+SECOND(Tabel1[[#This Row],[Total Hours]])/3600</f>
        <v>9</v>
      </c>
      <c r="Q19" s="6">
        <f>Tabel1[[#This Row],[End Time]]+(Tabel1[[#This Row],[End Time]]&lt;Tabel1[[#This Row],[Start time]])</f>
        <v>0.70833333333333337</v>
      </c>
      <c r="R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" s="6"/>
      <c r="T19" s="7"/>
    </row>
    <row r="20" spans="1:20" x14ac:dyDescent="0.3">
      <c r="A20" s="4"/>
      <c r="B20" s="4">
        <f t="shared" si="0"/>
        <v>13</v>
      </c>
      <c r="C20" s="4" t="str">
        <f>IFERROR(VLOOKUP(Tabel1[[#This Row],[Model]],Tableau2[[Model]:[Parking Number]],2,FALSE)," ")</f>
        <v>FEL2</v>
      </c>
      <c r="D20" s="23">
        <v>45519</v>
      </c>
      <c r="E20" s="4" t="str">
        <f>IF(Tabel1[[#This Row],[Model]]="", "",INDEX(Tableau2[Equipment Type],MATCH(Tabel1[[#This Row],[Model]],Tableau2[Model],0)))</f>
        <v>Loader</v>
      </c>
      <c r="F20" s="4" t="s">
        <v>42</v>
      </c>
      <c r="G20" s="4" t="str">
        <f>IF(Tabel1[[#This Row],[Model]]="", "",INDEX(Tableau2[Equipment],MATCH(Tabel1[[#This Row],[Model]],Tableau2[Model],0)))</f>
        <v>Cat966H.2</v>
      </c>
      <c r="H20" s="4" t="s">
        <v>163</v>
      </c>
      <c r="I20" s="10" t="s">
        <v>164</v>
      </c>
      <c r="J20" s="35"/>
      <c r="K20" s="4">
        <v>5250776</v>
      </c>
      <c r="L20" s="9">
        <v>0.625</v>
      </c>
      <c r="M20" s="9">
        <v>0</v>
      </c>
      <c r="N20" s="9">
        <v>0.70833333333333337</v>
      </c>
      <c r="O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0" s="21">
        <f>HOUR(Tabel1[[#This Row],[Total Hours]])+MINUTE(Tabel1[[#This Row],[Total Hours]])/60+SECOND(Tabel1[[#This Row],[Total Hours]])/3600</f>
        <v>2</v>
      </c>
      <c r="Q20" s="6">
        <f>Tabel1[[#This Row],[End Time]]+(Tabel1[[#This Row],[End Time]]&lt;Tabel1[[#This Row],[Start time]])</f>
        <v>0.70833333333333337</v>
      </c>
      <c r="R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" s="6"/>
      <c r="T20" s="7"/>
    </row>
    <row r="21" spans="1:20" x14ac:dyDescent="0.3">
      <c r="A21" s="4"/>
      <c r="B21" s="4">
        <f t="shared" si="0"/>
        <v>14</v>
      </c>
      <c r="C21" s="4" t="str">
        <f>IFERROR(VLOOKUP(Tabel1[[#This Row],[Model]],Tableau2[[Model]:[Parking Number]],2,FALSE)," ")</f>
        <v>TT32</v>
      </c>
      <c r="D21" s="23">
        <v>45519</v>
      </c>
      <c r="E21" s="4" t="str">
        <f>IF(Tabel1[[#This Row],[Model]]="", "",INDEX(Tableau2[Equipment Type],MATCH(Tabel1[[#This Row],[Model]],Tableau2[Model],0)))</f>
        <v>Tipper Truck</v>
      </c>
      <c r="F21" s="4" t="s">
        <v>53</v>
      </c>
      <c r="G21" s="4" t="str">
        <f>IF(Tabel1[[#This Row],[Model]]="", "",INDEX(Tableau2[Equipment],MATCH(Tabel1[[#This Row],[Model]],Tableau2[Model],0)))</f>
        <v>Tipper Truck 20m3 / F32</v>
      </c>
      <c r="H21" s="4" t="s">
        <v>163</v>
      </c>
      <c r="I21" s="10" t="s">
        <v>164</v>
      </c>
      <c r="J21" s="35"/>
      <c r="K21" s="4">
        <v>5250776</v>
      </c>
      <c r="L21" s="9">
        <v>0.625</v>
      </c>
      <c r="M21" s="9">
        <v>0</v>
      </c>
      <c r="N21" s="9">
        <v>0.70833333333333337</v>
      </c>
      <c r="O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1" s="21">
        <f>HOUR(Tabel1[[#This Row],[Total Hours]])+MINUTE(Tabel1[[#This Row],[Total Hours]])/60+SECOND(Tabel1[[#This Row],[Total Hours]])/3600</f>
        <v>2</v>
      </c>
      <c r="Q21" s="6">
        <f>Tabel1[[#This Row],[End Time]]+(Tabel1[[#This Row],[End Time]]&lt;Tabel1[[#This Row],[Start time]])</f>
        <v>0.70833333333333337</v>
      </c>
      <c r="R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" s="6"/>
      <c r="T21" s="7"/>
    </row>
    <row r="22" spans="1:20" x14ac:dyDescent="0.3">
      <c r="A22" s="4"/>
      <c r="B22" s="4">
        <f t="shared" si="0"/>
        <v>15</v>
      </c>
      <c r="C22" s="4" t="str">
        <f>IFERROR(VLOOKUP(Tabel1[[#This Row],[Model]],Tableau2[[Model]:[Parking Number]],2,FALSE)," ")</f>
        <v>TT87</v>
      </c>
      <c r="D22" s="23">
        <v>45519</v>
      </c>
      <c r="E22" s="4" t="str">
        <f>IF(Tabel1[[#This Row],[Model]]="", "",INDEX(Tableau2[Equipment Type],MATCH(Tabel1[[#This Row],[Model]],Tableau2[Model],0)))</f>
        <v>Tipper Truck</v>
      </c>
      <c r="F22" s="4" t="s">
        <v>79</v>
      </c>
      <c r="G22" s="4" t="str">
        <f>IF(Tabel1[[#This Row],[Model]]="", "",INDEX(Tableau2[Equipment],MATCH(Tabel1[[#This Row],[Model]],Tableau2[Model],0)))</f>
        <v>Tipper Truck 20m3 / F87</v>
      </c>
      <c r="H22" s="4" t="s">
        <v>163</v>
      </c>
      <c r="I22" s="10" t="s">
        <v>164</v>
      </c>
      <c r="J22" s="35"/>
      <c r="K22" s="4">
        <v>5250776</v>
      </c>
      <c r="L22" s="9">
        <v>0.625</v>
      </c>
      <c r="M22" s="9">
        <v>0</v>
      </c>
      <c r="N22" s="9">
        <v>0.70833333333333337</v>
      </c>
      <c r="O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2" s="21">
        <f>HOUR(Tabel1[[#This Row],[Total Hours]])+MINUTE(Tabel1[[#This Row],[Total Hours]])/60+SECOND(Tabel1[[#This Row],[Total Hours]])/3600</f>
        <v>2</v>
      </c>
      <c r="Q22" s="6">
        <f>Tabel1[[#This Row],[End Time]]+(Tabel1[[#This Row],[End Time]]&lt;Tabel1[[#This Row],[Start time]])</f>
        <v>0.70833333333333337</v>
      </c>
      <c r="R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2" s="6"/>
      <c r="T22" s="7"/>
    </row>
    <row r="23" spans="1:20" x14ac:dyDescent="0.3">
      <c r="A23" s="4"/>
      <c r="B23" s="4">
        <f t="shared" si="0"/>
        <v>16</v>
      </c>
      <c r="C23" s="4" t="str">
        <f>IFERROR(VLOOKUP(Tabel1[[#This Row],[Model]],Tableau2[[Model]:[Parking Number]],2,FALSE)," ")</f>
        <v>TT39</v>
      </c>
      <c r="D23" s="23">
        <v>45519</v>
      </c>
      <c r="E23" s="4" t="str">
        <f>IF(Tabel1[[#This Row],[Model]]="", "",INDEX(Tableau2[Equipment Type],MATCH(Tabel1[[#This Row],[Model]],Tableau2[Model],0)))</f>
        <v>Tipper Truck</v>
      </c>
      <c r="F23" s="4" t="s">
        <v>55</v>
      </c>
      <c r="G23" s="4" t="str">
        <f>IF(Tabel1[[#This Row],[Model]]="", "",INDEX(Tableau2[Equipment],MATCH(Tabel1[[#This Row],[Model]],Tableau2[Model],0)))</f>
        <v>Tipper Truck 20m3 / F39</v>
      </c>
      <c r="H23" s="4" t="s">
        <v>163</v>
      </c>
      <c r="I23" s="10" t="s">
        <v>164</v>
      </c>
      <c r="J23" s="35"/>
      <c r="K23" s="4">
        <v>5250776</v>
      </c>
      <c r="L23" s="9">
        <v>0.625</v>
      </c>
      <c r="M23" s="9">
        <v>0</v>
      </c>
      <c r="N23" s="9">
        <v>0.70833333333333337</v>
      </c>
      <c r="O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3" s="21">
        <f>HOUR(Tabel1[[#This Row],[Total Hours]])+MINUTE(Tabel1[[#This Row],[Total Hours]])/60+SECOND(Tabel1[[#This Row],[Total Hours]])/3600</f>
        <v>2</v>
      </c>
      <c r="Q23" s="6">
        <f>Tabel1[[#This Row],[End Time]]+(Tabel1[[#This Row],[End Time]]&lt;Tabel1[[#This Row],[Start time]])</f>
        <v>0.70833333333333337</v>
      </c>
      <c r="R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3" s="6"/>
      <c r="T23" s="7"/>
    </row>
    <row r="24" spans="1:20" ht="28.8" x14ac:dyDescent="0.3">
      <c r="A24" s="4"/>
      <c r="B24" s="4">
        <f t="shared" si="0"/>
        <v>17</v>
      </c>
      <c r="C24" s="4" t="str">
        <f>IFERROR(VLOOKUP(Tabel1[[#This Row],[Model]],Tableau2[[Model]:[Parking Number]],2,FALSE)," ")</f>
        <v>FEL6</v>
      </c>
      <c r="D24" s="23">
        <v>45519</v>
      </c>
      <c r="E24" s="4" t="str">
        <f>IF(Tabel1[[#This Row],[Model]]="", "",INDEX(Tableau2[Equipment Type],MATCH(Tabel1[[#This Row],[Model]],Tableau2[Model],0)))</f>
        <v>Loader</v>
      </c>
      <c r="F24" s="4" t="s">
        <v>115</v>
      </c>
      <c r="G24" s="4" t="str">
        <f>IF(Tabel1[[#This Row],[Model]]="", "",INDEX(Tableau2[Equipment],MATCH(Tabel1[[#This Row],[Model]],Tableau2[Model],0)))</f>
        <v>CAT988</v>
      </c>
      <c r="H24" s="4" t="s">
        <v>165</v>
      </c>
      <c r="I24" s="10" t="s">
        <v>166</v>
      </c>
      <c r="J24" s="35"/>
      <c r="K24" s="4">
        <v>5246686</v>
      </c>
      <c r="L24" s="9">
        <v>0.375</v>
      </c>
      <c r="M24" s="9">
        <v>0</v>
      </c>
      <c r="N24" s="9">
        <v>0.54166666666666663</v>
      </c>
      <c r="O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P24" s="21">
        <f>HOUR(Tabel1[[#This Row],[Total Hours]])+MINUTE(Tabel1[[#This Row],[Total Hours]])/60+SECOND(Tabel1[[#This Row],[Total Hours]])/3600</f>
        <v>4</v>
      </c>
      <c r="Q24" s="6">
        <f>Tabel1[[#This Row],[End Time]]+(Tabel1[[#This Row],[End Time]]&lt;Tabel1[[#This Row],[Start time]])</f>
        <v>0.54166666666666663</v>
      </c>
      <c r="R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4" s="6"/>
      <c r="T24" s="7"/>
    </row>
    <row r="25" spans="1:20" x14ac:dyDescent="0.3">
      <c r="A25" s="4"/>
      <c r="B25" s="4">
        <f t="shared" si="0"/>
        <v>18</v>
      </c>
      <c r="C25" s="4" t="str">
        <f>IFERROR(VLOOKUP(Tabel1[[#This Row],[Model]],Tableau2[[Model]:[Parking Number]],2,FALSE)," ")</f>
        <v>TT87</v>
      </c>
      <c r="D25" s="23">
        <v>45519</v>
      </c>
      <c r="E25" s="4" t="str">
        <f>IF(Tabel1[[#This Row],[Model]]="", "",INDEX(Tableau2[Equipment Type],MATCH(Tabel1[[#This Row],[Model]],Tableau2[Model],0)))</f>
        <v>Tipper Truck</v>
      </c>
      <c r="F25" s="4" t="s">
        <v>79</v>
      </c>
      <c r="G25" s="4" t="str">
        <f>IF(Tabel1[[#This Row],[Model]]="", "",INDEX(Tableau2[Equipment],MATCH(Tabel1[[#This Row],[Model]],Tableau2[Model],0)))</f>
        <v>Tipper Truck 20m3 / F87</v>
      </c>
      <c r="H25" s="4" t="s">
        <v>167</v>
      </c>
      <c r="I25" s="10" t="s">
        <v>168</v>
      </c>
      <c r="J25" s="35"/>
      <c r="K25" s="4">
        <v>5249877</v>
      </c>
      <c r="L25" s="9">
        <v>0.79166666666666663</v>
      </c>
      <c r="M25" s="9">
        <v>0</v>
      </c>
      <c r="N25" s="9">
        <v>1</v>
      </c>
      <c r="O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P25" s="21">
        <f>HOUR(Tabel1[[#This Row],[Total Hours]])+MINUTE(Tabel1[[#This Row],[Total Hours]])/60+SECOND(Tabel1[[#This Row],[Total Hours]])/3600</f>
        <v>5</v>
      </c>
      <c r="Q25" s="6">
        <f>Tabel1[[#This Row],[End Time]]+(Tabel1[[#This Row],[End Time]]&lt;Tabel1[[#This Row],[Start time]])</f>
        <v>1</v>
      </c>
      <c r="R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5" s="6"/>
      <c r="T25" s="7"/>
    </row>
    <row r="26" spans="1:20" x14ac:dyDescent="0.3">
      <c r="A26" s="4"/>
      <c r="B26" s="4">
        <f t="shared" si="0"/>
        <v>19</v>
      </c>
      <c r="C26" s="4" t="str">
        <f>IFERROR(VLOOKUP(Tabel1[[#This Row],[Model]],Tableau2[[Model]:[Parking Number]],2,FALSE)," ")</f>
        <v>BL1</v>
      </c>
      <c r="D26" s="23">
        <v>45519</v>
      </c>
      <c r="E26" s="4" t="str">
        <f>IF(Tabel1[[#This Row],[Model]]="", "",INDEX(Tableau2[Equipment Type],MATCH(Tabel1[[#This Row],[Model]],Tableau2[Model],0)))</f>
        <v>Backhoe Loader</v>
      </c>
      <c r="F26" s="4" t="s">
        <v>76</v>
      </c>
      <c r="G26" s="4" t="str">
        <f>IF(Tabel1[[#This Row],[Model]]="", "",INDEX(Tableau2[Equipment],MATCH(Tabel1[[#This Row],[Model]],Tableau2[Model],0)))</f>
        <v>CAT432D</v>
      </c>
      <c r="H26" s="4" t="s">
        <v>167</v>
      </c>
      <c r="I26" s="10" t="s">
        <v>168</v>
      </c>
      <c r="J26" s="35"/>
      <c r="K26" s="4">
        <v>5249877</v>
      </c>
      <c r="L26" s="9">
        <v>0.79166666666666663</v>
      </c>
      <c r="M26" s="9">
        <v>0</v>
      </c>
      <c r="N26" s="9">
        <v>0.125</v>
      </c>
      <c r="O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23.333333333333332</v>
      </c>
      <c r="P26" s="21">
        <f>HOUR(Tabel1[[#This Row],[Total Hours]])+MINUTE(Tabel1[[#This Row],[Total Hours]])/60+SECOND(Tabel1[[#This Row],[Total Hours]])/3600</f>
        <v>8</v>
      </c>
      <c r="Q26" s="6">
        <f>Tabel1[[#This Row],[End Time]]+(Tabel1[[#This Row],[End Time]]&lt;Tabel1[[#This Row],[Start time]])</f>
        <v>1.125</v>
      </c>
      <c r="R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6" s="6"/>
      <c r="T26" s="7"/>
    </row>
    <row r="27" spans="1:20" x14ac:dyDescent="0.3">
      <c r="A27" s="4"/>
      <c r="B27" s="4">
        <f t="shared" si="0"/>
        <v>20</v>
      </c>
      <c r="C27" s="4" t="str">
        <f>IFERROR(VLOOKUP(Tabel1[[#This Row],[Model]],Tableau2[[Model]:[Parking Number]],2,FALSE)," ")</f>
        <v>BL1</v>
      </c>
      <c r="D27" s="23">
        <v>45519</v>
      </c>
      <c r="E27" s="4" t="str">
        <f>IF(Tabel1[[#This Row],[Model]]="", "",INDEX(Tableau2[Equipment Type],MATCH(Tabel1[[#This Row],[Model]],Tableau2[Model],0)))</f>
        <v>Backhoe Loader</v>
      </c>
      <c r="F27" s="4" t="s">
        <v>76</v>
      </c>
      <c r="G27" s="4" t="str">
        <f>IF(Tabel1[[#This Row],[Model]]="", "",INDEX(Tableau2[Equipment],MATCH(Tabel1[[#This Row],[Model]],Tableau2[Model],0)))</f>
        <v>CAT432D</v>
      </c>
      <c r="H27" s="4" t="s">
        <v>169</v>
      </c>
      <c r="I27" s="10" t="s">
        <v>170</v>
      </c>
      <c r="J27" s="35"/>
      <c r="K27" s="4">
        <v>5250657</v>
      </c>
      <c r="L27" s="9">
        <v>0.41666666666666669</v>
      </c>
      <c r="M27" s="9">
        <v>4.1666666666666664E-2</v>
      </c>
      <c r="N27" s="9">
        <v>0.625</v>
      </c>
      <c r="O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P27" s="21">
        <f>HOUR(Tabel1[[#This Row],[Total Hours]])+MINUTE(Tabel1[[#This Row],[Total Hours]])/60+SECOND(Tabel1[[#This Row],[Total Hours]])/3600</f>
        <v>4</v>
      </c>
      <c r="Q27" s="6">
        <f>Tabel1[[#This Row],[End Time]]+(Tabel1[[#This Row],[End Time]]&lt;Tabel1[[#This Row],[Start time]])</f>
        <v>0.625</v>
      </c>
      <c r="R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7" s="6"/>
      <c r="T27" s="7"/>
    </row>
    <row r="28" spans="1:20" x14ac:dyDescent="0.3">
      <c r="A28" s="4"/>
      <c r="B28" s="4">
        <f t="shared" si="0"/>
        <v>21</v>
      </c>
      <c r="C28" s="4" t="str">
        <f>IFERROR(VLOOKUP(Tabel1[[#This Row],[Model]],Tableau2[[Model]:[Parking Number]],2,FALSE)," ")</f>
        <v>LB1</v>
      </c>
      <c r="D28" s="23">
        <v>45519</v>
      </c>
      <c r="E28" s="4" t="str">
        <f>IF(Tabel1[[#This Row],[Model]]="", "",INDEX(Tableau2[Equipment Type],MATCH(Tabel1[[#This Row],[Model]],Tableau2[Model],0)))</f>
        <v>Lowbed</v>
      </c>
      <c r="F28" s="4" t="s">
        <v>71</v>
      </c>
      <c r="G28" s="4" t="str">
        <f>IF(Tabel1[[#This Row],[Model]]="", "",INDEX(Tableau2[Equipment],MATCH(Tabel1[[#This Row],[Model]],Tableau2[Model],0)))</f>
        <v>LB ACTROS 60T</v>
      </c>
      <c r="H28" s="4" t="s">
        <v>169</v>
      </c>
      <c r="I28" s="10" t="s">
        <v>170</v>
      </c>
      <c r="J28" s="35"/>
      <c r="K28" s="4">
        <v>5250657</v>
      </c>
      <c r="L28" s="9">
        <v>0.375</v>
      </c>
      <c r="M28" s="9">
        <v>4.1666666666666664E-2</v>
      </c>
      <c r="N28" s="9">
        <v>0.66666666666666663</v>
      </c>
      <c r="O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P28" s="21">
        <f>HOUR(Tabel1[[#This Row],[Total Hours]])+MINUTE(Tabel1[[#This Row],[Total Hours]])/60+SECOND(Tabel1[[#This Row],[Total Hours]])/3600</f>
        <v>6</v>
      </c>
      <c r="Q28" s="6">
        <f>Tabel1[[#This Row],[End Time]]+(Tabel1[[#This Row],[End Time]]&lt;Tabel1[[#This Row],[Start time]])</f>
        <v>0.66666666666666663</v>
      </c>
      <c r="R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8" s="6"/>
      <c r="T28" s="7"/>
    </row>
    <row r="29" spans="1:20" x14ac:dyDescent="0.3">
      <c r="A29" s="4"/>
      <c r="B29" s="4">
        <f t="shared" si="0"/>
        <v>22</v>
      </c>
      <c r="C29" s="4" t="str">
        <f>IFERROR(VLOOKUP(Tabel1[[#This Row],[Model]],Tableau2[[Model]:[Parking Number]],2,FALSE)," ")</f>
        <v>WT1</v>
      </c>
      <c r="D29" s="23">
        <v>45520</v>
      </c>
      <c r="E29" s="4" t="str">
        <f>IF(Tabel1[[#This Row],[Model]]="", "",INDEX(Tableau2[Equipment Type],MATCH(Tabel1[[#This Row],[Model]],Tableau2[Model],0)))</f>
        <v>Water Truck</v>
      </c>
      <c r="F29" s="4" t="s">
        <v>47</v>
      </c>
      <c r="G29" s="4" t="str">
        <f>IF(Tabel1[[#This Row],[Model]]="", "",INDEX(Tableau2[Equipment],MATCH(Tabel1[[#This Row],[Model]],Tableau2[Model],0)))</f>
        <v>Water Truck 20T / 1924.1</v>
      </c>
      <c r="H29" s="4" t="s">
        <v>56</v>
      </c>
      <c r="I29" s="10" t="s">
        <v>57</v>
      </c>
      <c r="J29" s="35" t="s">
        <v>153</v>
      </c>
      <c r="K29" s="4">
        <v>5239743</v>
      </c>
      <c r="L29" s="9">
        <v>0.33333333333333331</v>
      </c>
      <c r="M29" s="9">
        <v>0</v>
      </c>
      <c r="N29" s="9">
        <v>0.54166666666666663</v>
      </c>
      <c r="O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29" s="21">
        <f>HOUR(Tabel1[[#This Row],[Total Hours]])+MINUTE(Tabel1[[#This Row],[Total Hours]])/60+SECOND(Tabel1[[#This Row],[Total Hours]])/3600</f>
        <v>5</v>
      </c>
      <c r="Q29" s="6">
        <f>Tabel1[[#This Row],[End Time]]+(Tabel1[[#This Row],[End Time]]&lt;Tabel1[[#This Row],[Start time]])</f>
        <v>0.54166666666666663</v>
      </c>
      <c r="R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9" s="6"/>
      <c r="T29" s="7"/>
    </row>
    <row r="30" spans="1:20" x14ac:dyDescent="0.3">
      <c r="A30" s="4"/>
      <c r="B30" s="4">
        <f t="shared" si="0"/>
        <v>23</v>
      </c>
      <c r="C30" s="4" t="str">
        <f>IFERROR(VLOOKUP(Tabel1[[#This Row],[Model]],Tableau2[[Model]:[Parking Number]],2,FALSE)," ")</f>
        <v>WT2</v>
      </c>
      <c r="D30" s="23">
        <v>45520</v>
      </c>
      <c r="E30" s="4" t="str">
        <f>IF(Tabel1[[#This Row],[Model]]="", "",INDEX(Tableau2[Equipment Type],MATCH(Tabel1[[#This Row],[Model]],Tableau2[Model],0)))</f>
        <v>Water Truck</v>
      </c>
      <c r="F30" s="4" t="s">
        <v>48</v>
      </c>
      <c r="G30" s="4" t="str">
        <f>IF(Tabel1[[#This Row],[Model]]="", "",INDEX(Tableau2[Equipment],MATCH(Tabel1[[#This Row],[Model]],Tableau2[Model],0)))</f>
        <v>Water Truck 20T / 1924.2</v>
      </c>
      <c r="H30" s="4" t="s">
        <v>56</v>
      </c>
      <c r="I30" s="10" t="s">
        <v>57</v>
      </c>
      <c r="J30" s="35" t="s">
        <v>153</v>
      </c>
      <c r="K30" s="4">
        <v>5239743</v>
      </c>
      <c r="L30" s="9">
        <v>0.33333333333333331</v>
      </c>
      <c r="M30" s="9">
        <v>0</v>
      </c>
      <c r="N30" s="9">
        <v>0.54166666666666663</v>
      </c>
      <c r="O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0" s="21">
        <f>HOUR(Tabel1[[#This Row],[Total Hours]])+MINUTE(Tabel1[[#This Row],[Total Hours]])/60+SECOND(Tabel1[[#This Row],[Total Hours]])/3600</f>
        <v>5</v>
      </c>
      <c r="Q30" s="6">
        <f>Tabel1[[#This Row],[End Time]]+(Tabel1[[#This Row],[End Time]]&lt;Tabel1[[#This Row],[Start time]])</f>
        <v>0.54166666666666663</v>
      </c>
      <c r="R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0" s="6"/>
      <c r="T30" s="7"/>
    </row>
    <row r="31" spans="1:20" x14ac:dyDescent="0.3">
      <c r="A31" s="4"/>
      <c r="B31" s="4">
        <f t="shared" si="0"/>
        <v>24</v>
      </c>
      <c r="C31" s="4" t="str">
        <f>IFERROR(VLOOKUP(Tabel1[[#This Row],[Model]],Tableau2[[Model]:[Parking Number]],2,FALSE)," ")</f>
        <v>WT3</v>
      </c>
      <c r="D31" s="23">
        <v>45520</v>
      </c>
      <c r="E31" s="4" t="str">
        <f>IF(Tabel1[[#This Row],[Model]]="", "",INDEX(Tableau2[Equipment Type],MATCH(Tabel1[[#This Row],[Model]],Tableau2[Model],0)))</f>
        <v>Water Truck</v>
      </c>
      <c r="F31" s="4" t="s">
        <v>49</v>
      </c>
      <c r="G31" s="4" t="str">
        <f>IF(Tabel1[[#This Row],[Model]]="", "",INDEX(Tableau2[Equipment],MATCH(Tabel1[[#This Row],[Model]],Tableau2[Model],0)))</f>
        <v>Water Truck 20T / 1924.3</v>
      </c>
      <c r="H31" s="4" t="s">
        <v>56</v>
      </c>
      <c r="I31" s="10" t="s">
        <v>57</v>
      </c>
      <c r="J31" s="35" t="s">
        <v>153</v>
      </c>
      <c r="K31" s="4">
        <v>5239743</v>
      </c>
      <c r="L31" s="9">
        <v>0.33333333333333331</v>
      </c>
      <c r="M31" s="9">
        <v>0</v>
      </c>
      <c r="N31" s="9">
        <v>0.54166666666666663</v>
      </c>
      <c r="O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1" s="21">
        <f>HOUR(Tabel1[[#This Row],[Total Hours]])+MINUTE(Tabel1[[#This Row],[Total Hours]])/60+SECOND(Tabel1[[#This Row],[Total Hours]])/3600</f>
        <v>5</v>
      </c>
      <c r="Q31" s="6">
        <f>Tabel1[[#This Row],[End Time]]+(Tabel1[[#This Row],[End Time]]&lt;Tabel1[[#This Row],[Start time]])</f>
        <v>0.54166666666666663</v>
      </c>
      <c r="R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1" s="6"/>
      <c r="T31" s="7"/>
    </row>
    <row r="32" spans="1:20" x14ac:dyDescent="0.3">
      <c r="A32" s="4"/>
      <c r="B32" s="4">
        <f t="shared" si="0"/>
        <v>25</v>
      </c>
      <c r="C32" s="4" t="str">
        <f>IFERROR(VLOOKUP(Tabel1[[#This Row],[Model]],Tableau2[[Model]:[Parking Number]],2,FALSE)," ")</f>
        <v>WT9</v>
      </c>
      <c r="D32" s="23">
        <v>45520</v>
      </c>
      <c r="E32" s="4" t="str">
        <f>IF(Tabel1[[#This Row],[Model]]="", "",INDEX(Tableau2[Equipment Type],MATCH(Tabel1[[#This Row],[Model]],Tableau2[Model],0)))</f>
        <v>Water Truck</v>
      </c>
      <c r="F32" s="4" t="s">
        <v>50</v>
      </c>
      <c r="G32" s="4" t="str">
        <f>IF(Tabel1[[#This Row],[Model]]="", "",INDEX(Tableau2[Equipment],MATCH(Tabel1[[#This Row],[Model]],Tableau2[Model],0)))</f>
        <v>Water Truck 20T / WT09</v>
      </c>
      <c r="H32" s="4" t="s">
        <v>56</v>
      </c>
      <c r="I32" s="10" t="s">
        <v>57</v>
      </c>
      <c r="J32" s="35" t="s">
        <v>153</v>
      </c>
      <c r="K32" s="4">
        <v>5239743</v>
      </c>
      <c r="L32" s="9">
        <v>0.33333333333333331</v>
      </c>
      <c r="M32" s="9">
        <v>0</v>
      </c>
      <c r="N32" s="9">
        <v>0.54166666666666663</v>
      </c>
      <c r="O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2" s="21">
        <f>HOUR(Tabel1[[#This Row],[Total Hours]])+MINUTE(Tabel1[[#This Row],[Total Hours]])/60+SECOND(Tabel1[[#This Row],[Total Hours]])/3600</f>
        <v>5</v>
      </c>
      <c r="Q32" s="6">
        <f>Tabel1[[#This Row],[End Time]]+(Tabel1[[#This Row],[End Time]]&lt;Tabel1[[#This Row],[Start time]])</f>
        <v>0.54166666666666663</v>
      </c>
      <c r="R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2" s="6"/>
      <c r="T32" s="7"/>
    </row>
    <row r="33" spans="1:20" x14ac:dyDescent="0.3">
      <c r="A33" s="4"/>
      <c r="B33" s="4">
        <f t="shared" si="0"/>
        <v>26</v>
      </c>
      <c r="C33" s="4" t="str">
        <f>IFERROR(VLOOKUP(Tabel1[[#This Row],[Model]],Tableau2[[Model]:[Parking Number]],2,FALSE)," ")</f>
        <v>GR1</v>
      </c>
      <c r="D33" s="23">
        <v>45520</v>
      </c>
      <c r="E33" s="4" t="str">
        <f>IF(Tabel1[[#This Row],[Model]]="", "",INDEX(Tableau2[Equipment Type],MATCH(Tabel1[[#This Row],[Model]],Tableau2[Model],0)))</f>
        <v>Grader</v>
      </c>
      <c r="F33" s="4" t="s">
        <v>63</v>
      </c>
      <c r="G33" s="4" t="str">
        <f>IF(Tabel1[[#This Row],[Model]]="", "",INDEX(Tableau2[Equipment],MATCH(Tabel1[[#This Row],[Model]],Tableau2[Model],0)))</f>
        <v>CAT12K.1</v>
      </c>
      <c r="H33" s="4" t="s">
        <v>56</v>
      </c>
      <c r="I33" s="10" t="s">
        <v>57</v>
      </c>
      <c r="J33" s="35" t="s">
        <v>153</v>
      </c>
      <c r="K33" s="4">
        <v>5239743</v>
      </c>
      <c r="L33" s="9">
        <v>0.33333333333333331</v>
      </c>
      <c r="M33" s="9">
        <v>0</v>
      </c>
      <c r="N33" s="9">
        <v>0.54166666666666663</v>
      </c>
      <c r="O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3" s="21">
        <f>HOUR(Tabel1[[#This Row],[Total Hours]])+MINUTE(Tabel1[[#This Row],[Total Hours]])/60+SECOND(Tabel1[[#This Row],[Total Hours]])/3600</f>
        <v>5</v>
      </c>
      <c r="Q33" s="6">
        <f>Tabel1[[#This Row],[End Time]]+(Tabel1[[#This Row],[End Time]]&lt;Tabel1[[#This Row],[Start time]])</f>
        <v>0.54166666666666663</v>
      </c>
      <c r="R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3" s="6"/>
      <c r="T33" s="7"/>
    </row>
    <row r="34" spans="1:20" x14ac:dyDescent="0.3">
      <c r="A34" s="4"/>
      <c r="B34" s="4">
        <f t="shared" si="0"/>
        <v>27</v>
      </c>
      <c r="C34" s="4" t="str">
        <f>IFERROR(VLOOKUP(Tabel1[[#This Row],[Model]],Tableau2[[Model]:[Parking Number]],2,FALSE)," ")</f>
        <v>GR2</v>
      </c>
      <c r="D34" s="23">
        <v>45520</v>
      </c>
      <c r="E34" s="4" t="str">
        <f>IF(Tabel1[[#This Row],[Model]]="", "",INDEX(Tableau2[Equipment Type],MATCH(Tabel1[[#This Row],[Model]],Tableau2[Model],0)))</f>
        <v>Grader</v>
      </c>
      <c r="F34" s="4" t="s">
        <v>39</v>
      </c>
      <c r="G34" s="4" t="str">
        <f>IF(Tabel1[[#This Row],[Model]]="", "",INDEX(Tableau2[Equipment],MATCH(Tabel1[[#This Row],[Model]],Tableau2[Model],0)))</f>
        <v>CAT12K.2</v>
      </c>
      <c r="H34" s="4" t="s">
        <v>56</v>
      </c>
      <c r="I34" s="10" t="s">
        <v>57</v>
      </c>
      <c r="J34" s="35" t="s">
        <v>153</v>
      </c>
      <c r="K34" s="4">
        <v>5239743</v>
      </c>
      <c r="L34" s="9">
        <v>0.33333333333333331</v>
      </c>
      <c r="M34" s="9">
        <v>0</v>
      </c>
      <c r="N34" s="9">
        <v>0.54166666666666663</v>
      </c>
      <c r="O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4" s="21">
        <f>HOUR(Tabel1[[#This Row],[Total Hours]])+MINUTE(Tabel1[[#This Row],[Total Hours]])/60+SECOND(Tabel1[[#This Row],[Total Hours]])/3600</f>
        <v>5</v>
      </c>
      <c r="Q34" s="6">
        <f>Tabel1[[#This Row],[End Time]]+(Tabel1[[#This Row],[End Time]]&lt;Tabel1[[#This Row],[Start time]])</f>
        <v>0.54166666666666663</v>
      </c>
      <c r="R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4" s="6"/>
      <c r="T34" s="7"/>
    </row>
    <row r="35" spans="1:20" x14ac:dyDescent="0.3">
      <c r="A35" s="4"/>
      <c r="B35" s="4">
        <f t="shared" si="0"/>
        <v>28</v>
      </c>
      <c r="C35" s="4" t="str">
        <f>IFERROR(VLOOKUP(Tabel1[[#This Row],[Model]],Tableau2[[Model]:[Parking Number]],2,FALSE)," ")</f>
        <v>FEL4</v>
      </c>
      <c r="D35" s="23">
        <v>45520</v>
      </c>
      <c r="E35" s="4" t="str">
        <f>IF(Tabel1[[#This Row],[Model]]="", "",INDEX(Tableau2[Equipment Type],MATCH(Tabel1[[#This Row],[Model]],Tableau2[Model],0)))</f>
        <v>Loader</v>
      </c>
      <c r="F35" s="4" t="s">
        <v>40</v>
      </c>
      <c r="G35" s="4" t="str">
        <f>IF(Tabel1[[#This Row],[Model]]="", "",INDEX(Tableau2[Equipment],MATCH(Tabel1[[#This Row],[Model]],Tableau2[Model],0)))</f>
        <v>Cat972G.2</v>
      </c>
      <c r="H35" s="4" t="s">
        <v>56</v>
      </c>
      <c r="I35" s="10" t="s">
        <v>57</v>
      </c>
      <c r="J35" s="35" t="s">
        <v>153</v>
      </c>
      <c r="K35" s="4">
        <v>5239743</v>
      </c>
      <c r="L35" s="9">
        <v>0.33333333333333331</v>
      </c>
      <c r="M35" s="9">
        <v>0</v>
      </c>
      <c r="N35" s="9">
        <v>0.54166666666666663</v>
      </c>
      <c r="O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5" s="21">
        <f>HOUR(Tabel1[[#This Row],[Total Hours]])+MINUTE(Tabel1[[#This Row],[Total Hours]])/60+SECOND(Tabel1[[#This Row],[Total Hours]])/3600</f>
        <v>5</v>
      </c>
      <c r="Q35" s="6">
        <f>Tabel1[[#This Row],[End Time]]+(Tabel1[[#This Row],[End Time]]&lt;Tabel1[[#This Row],[Start time]])</f>
        <v>0.54166666666666663</v>
      </c>
      <c r="R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5" s="6"/>
      <c r="T35" s="7"/>
    </row>
    <row r="36" spans="1:20" x14ac:dyDescent="0.3">
      <c r="A36" s="4"/>
      <c r="B36" s="4">
        <f t="shared" si="0"/>
        <v>29</v>
      </c>
      <c r="C36" s="4" t="str">
        <f>IFERROR(VLOOKUP(Tabel1[[#This Row],[Model]],Tableau2[[Model]:[Parking Number]],2,FALSE)," ")</f>
        <v>TD1</v>
      </c>
      <c r="D36" s="23">
        <v>45520</v>
      </c>
      <c r="E36" s="4" t="str">
        <f>IF(Tabel1[[#This Row],[Model]]="", "",INDEX(Tableau2[Equipment Type],MATCH(Tabel1[[#This Row],[Model]],Tableau2[Model],0)))</f>
        <v>Bulldozer</v>
      </c>
      <c r="F36" s="4" t="s">
        <v>70</v>
      </c>
      <c r="G36" s="4" t="str">
        <f>IF(Tabel1[[#This Row],[Model]]="", "",INDEX(Tableau2[Equipment],MATCH(Tabel1[[#This Row],[Model]],Tableau2[Model],0)))</f>
        <v>CATD8R.1</v>
      </c>
      <c r="H36" s="4" t="s">
        <v>56</v>
      </c>
      <c r="I36" s="10" t="s">
        <v>159</v>
      </c>
      <c r="J36" s="35" t="s">
        <v>153</v>
      </c>
      <c r="K36" s="4">
        <v>5092509</v>
      </c>
      <c r="L36" s="9">
        <v>0.33333333333333331</v>
      </c>
      <c r="M36" s="9">
        <v>4.1666666666666664E-2</v>
      </c>
      <c r="N36" s="9">
        <v>0.54166666666666663</v>
      </c>
      <c r="O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P36" s="21">
        <f>HOUR(Tabel1[[#This Row],[Total Hours]])+MINUTE(Tabel1[[#This Row],[Total Hours]])/60+SECOND(Tabel1[[#This Row],[Total Hours]])/3600</f>
        <v>4</v>
      </c>
      <c r="Q36" s="6">
        <f>Tabel1[[#This Row],[End Time]]+(Tabel1[[#This Row],[End Time]]&lt;Tabel1[[#This Row],[Start time]])</f>
        <v>0.54166666666666663</v>
      </c>
      <c r="R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6" s="6"/>
      <c r="T36" s="7"/>
    </row>
    <row r="37" spans="1:20" x14ac:dyDescent="0.3">
      <c r="A37" s="4"/>
      <c r="B37" s="4">
        <f t="shared" si="0"/>
        <v>30</v>
      </c>
      <c r="C37" s="4" t="str">
        <f>IFERROR(VLOOKUP(Tabel1[[#This Row],[Model]],Tableau2[[Model]:[Parking Number]],2,FALSE)," ")</f>
        <v>FEL1</v>
      </c>
      <c r="D37" s="23">
        <v>45520</v>
      </c>
      <c r="E37" s="4" t="str">
        <f>IF(Tabel1[[#This Row],[Model]]="", "",INDEX(Tableau2[Equipment Type],MATCH(Tabel1[[#This Row],[Model]],Tableau2[Model],0)))</f>
        <v>Loader</v>
      </c>
      <c r="F37" s="4" t="s">
        <v>46</v>
      </c>
      <c r="G37" s="4" t="str">
        <f>IF(Tabel1[[#This Row],[Model]]="", "",INDEX(Tableau2[Equipment],MATCH(Tabel1[[#This Row],[Model]],Tableau2[Model],0)))</f>
        <v>Cat966H.1</v>
      </c>
      <c r="H37" s="4" t="s">
        <v>66</v>
      </c>
      <c r="I37" s="10" t="s">
        <v>160</v>
      </c>
      <c r="J37" s="35" t="s">
        <v>234</v>
      </c>
      <c r="K37" s="4">
        <v>5198487</v>
      </c>
      <c r="L37" s="9">
        <v>0.29166666666666669</v>
      </c>
      <c r="M37" s="9">
        <v>4.1666666666666664E-2</v>
      </c>
      <c r="N37" s="9">
        <v>0.79166666666666663</v>
      </c>
      <c r="O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37" s="21">
        <f>HOUR(Tabel1[[#This Row],[Total Hours]])+MINUTE(Tabel1[[#This Row],[Total Hours]])/60+SECOND(Tabel1[[#This Row],[Total Hours]])/3600</f>
        <v>11</v>
      </c>
      <c r="Q37" s="6">
        <f>Tabel1[[#This Row],[End Time]]+(Tabel1[[#This Row],[End Time]]&lt;Tabel1[[#This Row],[Start time]])</f>
        <v>0.79166666666666663</v>
      </c>
      <c r="R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7" s="6"/>
      <c r="T37" s="7"/>
    </row>
    <row r="38" spans="1:20" x14ac:dyDescent="0.3">
      <c r="A38" s="4"/>
      <c r="B38" s="4">
        <f t="shared" si="0"/>
        <v>31</v>
      </c>
      <c r="C38" s="4" t="str">
        <f>IFERROR(VLOOKUP(Tabel1[[#This Row],[Model]],Tableau2[[Model]:[Parking Number]],2,FALSE)," ")</f>
        <v>FEL1</v>
      </c>
      <c r="D38" s="23">
        <v>45520</v>
      </c>
      <c r="E38" s="4" t="str">
        <f>IF(Tabel1[[#This Row],[Model]]="", "",INDEX(Tableau2[Equipment Type],MATCH(Tabel1[[#This Row],[Model]],Tableau2[Model],0)))</f>
        <v>Loader</v>
      </c>
      <c r="F38" s="4" t="s">
        <v>46</v>
      </c>
      <c r="G38" s="4" t="str">
        <f>IF(Tabel1[[#This Row],[Model]]="", "",INDEX(Tableau2[Equipment],MATCH(Tabel1[[#This Row],[Model]],Tableau2[Model],0)))</f>
        <v>Cat966H.1</v>
      </c>
      <c r="H38" s="4" t="s">
        <v>66</v>
      </c>
      <c r="I38" s="10" t="s">
        <v>160</v>
      </c>
      <c r="J38" s="35" t="s">
        <v>234</v>
      </c>
      <c r="K38" s="4">
        <v>5198487</v>
      </c>
      <c r="L38" s="9">
        <v>0.79166666666666663</v>
      </c>
      <c r="M38" s="9">
        <v>0</v>
      </c>
      <c r="N38" s="9">
        <v>0.20833333333333334</v>
      </c>
      <c r="O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38" s="21">
        <f>HOUR(Tabel1[[#This Row],[Total Hours]])+MINUTE(Tabel1[[#This Row],[Total Hours]])/60+SECOND(Tabel1[[#This Row],[Total Hours]])/3600</f>
        <v>10</v>
      </c>
      <c r="Q38" s="6">
        <f>Tabel1[[#This Row],[End Time]]+(Tabel1[[#This Row],[End Time]]&lt;Tabel1[[#This Row],[Start time]])</f>
        <v>1.2083333333333333</v>
      </c>
      <c r="R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8" s="6"/>
      <c r="T38" s="7"/>
    </row>
    <row r="39" spans="1:20" x14ac:dyDescent="0.3">
      <c r="A39" s="4"/>
      <c r="B39" s="4">
        <f t="shared" si="0"/>
        <v>32</v>
      </c>
      <c r="C39" s="4" t="str">
        <f>IFERROR(VLOOKUP(Tabel1[[#This Row],[Model]],Tableau2[[Model]:[Parking Number]],2,FALSE)," ")</f>
        <v>TT17</v>
      </c>
      <c r="D39" s="23">
        <v>45520</v>
      </c>
      <c r="E39" s="4" t="str">
        <f>IF(Tabel1[[#This Row],[Model]]="", "",INDEX(Tableau2[Equipment Type],MATCH(Tabel1[[#This Row],[Model]],Tableau2[Model],0)))</f>
        <v>Tipper Truck</v>
      </c>
      <c r="F39" s="4" t="s">
        <v>51</v>
      </c>
      <c r="G39" s="4" t="str">
        <f>IF(Tabel1[[#This Row],[Model]]="", "",INDEX(Tableau2[Equipment],MATCH(Tabel1[[#This Row],[Model]],Tableau2[Model],0)))</f>
        <v>Tipper Truck 20m3 / F17</v>
      </c>
      <c r="H39" s="4" t="s">
        <v>66</v>
      </c>
      <c r="I39" s="10" t="s">
        <v>160</v>
      </c>
      <c r="J39" s="35" t="s">
        <v>234</v>
      </c>
      <c r="K39" s="4">
        <v>5198487</v>
      </c>
      <c r="L39" s="9">
        <v>0.29166666666666669</v>
      </c>
      <c r="M39" s="9">
        <v>4.1666666666666664E-2</v>
      </c>
      <c r="N39" s="9">
        <v>0.79166666666666663</v>
      </c>
      <c r="O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39" s="21">
        <f>HOUR(Tabel1[[#This Row],[Total Hours]])+MINUTE(Tabel1[[#This Row],[Total Hours]])/60+SECOND(Tabel1[[#This Row],[Total Hours]])/3600</f>
        <v>11</v>
      </c>
      <c r="Q39" s="6">
        <f>Tabel1[[#This Row],[End Time]]+(Tabel1[[#This Row],[End Time]]&lt;Tabel1[[#This Row],[Start time]])</f>
        <v>0.79166666666666663</v>
      </c>
      <c r="R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9" s="6"/>
      <c r="T39" s="7"/>
    </row>
    <row r="40" spans="1:20" x14ac:dyDescent="0.3">
      <c r="A40" s="4"/>
      <c r="B40" s="4">
        <f t="shared" si="0"/>
        <v>33</v>
      </c>
      <c r="C40" s="4" t="str">
        <f>IFERROR(VLOOKUP(Tabel1[[#This Row],[Model]],Tableau2[[Model]:[Parking Number]],2,FALSE)," ")</f>
        <v>WT8</v>
      </c>
      <c r="D40" s="23">
        <v>45520</v>
      </c>
      <c r="E40" s="4" t="str">
        <f>IF(Tabel1[[#This Row],[Model]]="", "",INDEX(Tableau2[Equipment Type],MATCH(Tabel1[[#This Row],[Model]],Tableau2[Model],0)))</f>
        <v>Water Truck</v>
      </c>
      <c r="F40" s="4" t="s">
        <v>52</v>
      </c>
      <c r="G40" s="4" t="str">
        <f>IF(Tabel1[[#This Row],[Model]]="", "",INDEX(Tableau2[Equipment],MATCH(Tabel1[[#This Row],[Model]],Tableau2[Model],0)))</f>
        <v>Water Truck 20T / WT08</v>
      </c>
      <c r="H40" s="4" t="s">
        <v>161</v>
      </c>
      <c r="I40" s="10" t="s">
        <v>162</v>
      </c>
      <c r="J40" s="35"/>
      <c r="K40" s="4">
        <v>5253778</v>
      </c>
      <c r="L40" s="9">
        <v>0.29166666666666669</v>
      </c>
      <c r="M40" s="9">
        <v>0</v>
      </c>
      <c r="N40" s="9">
        <v>0.54166666666666663</v>
      </c>
      <c r="O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40" s="21">
        <f>HOUR(Tabel1[[#This Row],[Total Hours]])+MINUTE(Tabel1[[#This Row],[Total Hours]])/60+SECOND(Tabel1[[#This Row],[Total Hours]])/3600</f>
        <v>6</v>
      </c>
      <c r="Q40" s="6">
        <f>Tabel1[[#This Row],[End Time]]+(Tabel1[[#This Row],[End Time]]&lt;Tabel1[[#This Row],[Start time]])</f>
        <v>0.54166666666666663</v>
      </c>
      <c r="R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0" s="6"/>
      <c r="T40" s="7"/>
    </row>
    <row r="41" spans="1:20" ht="28.8" x14ac:dyDescent="0.3">
      <c r="A41" s="4"/>
      <c r="B41" s="4">
        <f t="shared" si="0"/>
        <v>34</v>
      </c>
      <c r="C41" s="4" t="str">
        <f>IFERROR(VLOOKUP(Tabel1[[#This Row],[Model]],Tableau2[[Model]:[Parking Number]],2,FALSE)," ")</f>
        <v>LB2</v>
      </c>
      <c r="D41" s="23">
        <v>45520</v>
      </c>
      <c r="E41" s="4" t="str">
        <f>IF(Tabel1[[#This Row],[Model]]="", "",INDEX(Tableau2[Equipment Type],MATCH(Tabel1[[#This Row],[Model]],Tableau2[Model],0)))</f>
        <v>Lowbed</v>
      </c>
      <c r="F41" s="4" t="s">
        <v>64</v>
      </c>
      <c r="G41" s="4" t="str">
        <f>IF(Tabel1[[#This Row],[Model]]="", "",INDEX(Tableau2[Equipment],MATCH(Tabel1[[#This Row],[Model]],Tableau2[Model],0)))</f>
        <v>LB Man 100T</v>
      </c>
      <c r="H41" s="4" t="s">
        <v>165</v>
      </c>
      <c r="I41" s="10" t="s">
        <v>166</v>
      </c>
      <c r="J41" s="35"/>
      <c r="K41" s="4">
        <v>5246686</v>
      </c>
      <c r="L41" s="9">
        <v>0.66666666666666663</v>
      </c>
      <c r="M41" s="9">
        <v>0</v>
      </c>
      <c r="N41" s="9">
        <v>0.83333333333333337</v>
      </c>
      <c r="O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0.16666666666666674</v>
      </c>
      <c r="P41" s="21">
        <f>HOUR(Tabel1[[#This Row],[Total Hours]])+MINUTE(Tabel1[[#This Row],[Total Hours]])/60+SECOND(Tabel1[[#This Row],[Total Hours]])/3600</f>
        <v>4</v>
      </c>
      <c r="Q41" s="6">
        <f>Tabel1[[#This Row],[End Time]]+(Tabel1[[#This Row],[End Time]]&lt;Tabel1[[#This Row],[Start time]])</f>
        <v>0.83333333333333337</v>
      </c>
      <c r="R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1" s="6"/>
      <c r="T41" s="7"/>
    </row>
    <row r="42" spans="1:20" x14ac:dyDescent="0.3">
      <c r="A42" s="4"/>
      <c r="B42" s="4">
        <f t="shared" si="0"/>
        <v>35</v>
      </c>
      <c r="C42" s="4" t="str">
        <f>IFERROR(VLOOKUP(Tabel1[[#This Row],[Model]],Tableau2[[Model]:[Parking Number]],2,FALSE)," ")</f>
        <v>BL1</v>
      </c>
      <c r="D42" s="23">
        <v>45520</v>
      </c>
      <c r="E42" s="4" t="str">
        <f>IF(Tabel1[[#This Row],[Model]]="", "",INDEX(Tableau2[Equipment Type],MATCH(Tabel1[[#This Row],[Model]],Tableau2[Model],0)))</f>
        <v>Backhoe Loader</v>
      </c>
      <c r="F42" s="4" t="s">
        <v>76</v>
      </c>
      <c r="G42" s="4" t="str">
        <f>IF(Tabel1[[#This Row],[Model]]="", "",INDEX(Tableau2[Equipment],MATCH(Tabel1[[#This Row],[Model]],Tableau2[Model],0)))</f>
        <v>CAT432D</v>
      </c>
      <c r="H42" s="4" t="s">
        <v>171</v>
      </c>
      <c r="I42" s="10" t="s">
        <v>172</v>
      </c>
      <c r="J42" s="35"/>
      <c r="K42" s="4">
        <v>5246410</v>
      </c>
      <c r="L42" s="9">
        <v>0.83333333333333337</v>
      </c>
      <c r="M42" s="9">
        <v>0</v>
      </c>
      <c r="N42" s="9">
        <v>0.95833333333333337</v>
      </c>
      <c r="O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42" s="21">
        <f>HOUR(Tabel1[[#This Row],[Total Hours]])+MINUTE(Tabel1[[#This Row],[Total Hours]])/60+SECOND(Tabel1[[#This Row],[Total Hours]])/3600</f>
        <v>3</v>
      </c>
      <c r="Q42" s="6">
        <f>Tabel1[[#This Row],[End Time]]+(Tabel1[[#This Row],[End Time]]&lt;Tabel1[[#This Row],[Start time]])</f>
        <v>0.95833333333333337</v>
      </c>
      <c r="R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2" s="6"/>
      <c r="T42" s="7"/>
    </row>
    <row r="43" spans="1:20" x14ac:dyDescent="0.3">
      <c r="A43" s="4"/>
      <c r="B43" s="4">
        <f t="shared" si="0"/>
        <v>36</v>
      </c>
      <c r="C43" s="4" t="str">
        <f>IFERROR(VLOOKUP(Tabel1[[#This Row],[Model]],Tableau2[[Model]:[Parking Number]],2,FALSE)," ")</f>
        <v>TT87</v>
      </c>
      <c r="D43" s="23">
        <v>45520</v>
      </c>
      <c r="E43" s="4" t="str">
        <f>IF(Tabel1[[#This Row],[Model]]="", "",INDEX(Tableau2[Equipment Type],MATCH(Tabel1[[#This Row],[Model]],Tableau2[Model],0)))</f>
        <v>Tipper Truck</v>
      </c>
      <c r="F43" s="4" t="s">
        <v>79</v>
      </c>
      <c r="G43" s="4" t="str">
        <f>IF(Tabel1[[#This Row],[Model]]="", "",INDEX(Tableau2[Equipment],MATCH(Tabel1[[#This Row],[Model]],Tableau2[Model],0)))</f>
        <v>Tipper Truck 20m3 / F87</v>
      </c>
      <c r="H43" s="4" t="s">
        <v>171</v>
      </c>
      <c r="I43" s="10" t="s">
        <v>172</v>
      </c>
      <c r="J43" s="35"/>
      <c r="K43" s="4">
        <v>5246410</v>
      </c>
      <c r="L43" s="9">
        <v>0.875</v>
      </c>
      <c r="M43" s="9">
        <v>0</v>
      </c>
      <c r="N43" s="9">
        <v>4.1666666666666664E-2</v>
      </c>
      <c r="O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23.166666666666668</v>
      </c>
      <c r="P43" s="21">
        <f>HOUR(Tabel1[[#This Row],[Total Hours]])+MINUTE(Tabel1[[#This Row],[Total Hours]])/60+SECOND(Tabel1[[#This Row],[Total Hours]])/3600</f>
        <v>4</v>
      </c>
      <c r="Q43" s="6">
        <f>Tabel1[[#This Row],[End Time]]+(Tabel1[[#This Row],[End Time]]&lt;Tabel1[[#This Row],[Start time]])</f>
        <v>1.0416666666666667</v>
      </c>
      <c r="R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3" s="6"/>
      <c r="T43" s="7"/>
    </row>
    <row r="44" spans="1:20" x14ac:dyDescent="0.3">
      <c r="A44" s="4"/>
      <c r="B44" s="4">
        <f t="shared" si="0"/>
        <v>37</v>
      </c>
      <c r="C44" s="4" t="str">
        <f>IFERROR(VLOOKUP(Tabel1[[#This Row],[Model]],Tableau2[[Model]:[Parking Number]],2,FALSE)," ")</f>
        <v>EX3</v>
      </c>
      <c r="D44" s="23">
        <v>45520</v>
      </c>
      <c r="E44" s="4" t="str">
        <f>IF(Tabel1[[#This Row],[Model]]="", "",INDEX(Tableau2[Equipment Type],MATCH(Tabel1[[#This Row],[Model]],Tableau2[Model],0)))</f>
        <v>Excavator</v>
      </c>
      <c r="F44" s="4" t="s">
        <v>86</v>
      </c>
      <c r="G44" s="4" t="str">
        <f>IF(Tabel1[[#This Row],[Model]]="", "",INDEX(Tableau2[Equipment],MATCH(Tabel1[[#This Row],[Model]],Tableau2[Model],0)))</f>
        <v>CAT323D.1</v>
      </c>
      <c r="H44" s="4" t="s">
        <v>173</v>
      </c>
      <c r="I44" s="10"/>
      <c r="J44" s="35"/>
      <c r="L44" s="9">
        <v>0.41666666666666669</v>
      </c>
      <c r="M44" s="9">
        <v>4.1666666666666664E-2</v>
      </c>
      <c r="N44" s="9">
        <v>0.58333333333333337</v>
      </c>
      <c r="O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P44" s="21">
        <f>HOUR(Tabel1[[#This Row],[Total Hours]])+MINUTE(Tabel1[[#This Row],[Total Hours]])/60+SECOND(Tabel1[[#This Row],[Total Hours]])/3600</f>
        <v>3</v>
      </c>
      <c r="Q44" s="6">
        <f>Tabel1[[#This Row],[End Time]]+(Tabel1[[#This Row],[End Time]]&lt;Tabel1[[#This Row],[Start time]])</f>
        <v>0.58333333333333337</v>
      </c>
      <c r="R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4" s="6"/>
      <c r="T44" s="7"/>
    </row>
    <row r="45" spans="1:20" x14ac:dyDescent="0.3">
      <c r="A45" s="4"/>
      <c r="B45" s="4">
        <f t="shared" si="0"/>
        <v>38</v>
      </c>
      <c r="C45" s="4" t="str">
        <f>IFERROR(VLOOKUP(Tabel1[[#This Row],[Model]],Tableau2[[Model]:[Parking Number]],2,FALSE)," ")</f>
        <v>LB1</v>
      </c>
      <c r="D45" s="23">
        <v>45520</v>
      </c>
      <c r="E45" s="4" t="str">
        <f>IF(Tabel1[[#This Row],[Model]]="", "",INDEX(Tableau2[Equipment Type],MATCH(Tabel1[[#This Row],[Model]],Tableau2[Model],0)))</f>
        <v>Lowbed</v>
      </c>
      <c r="F45" s="4" t="s">
        <v>71</v>
      </c>
      <c r="G45" s="4" t="str">
        <f>IF(Tabel1[[#This Row],[Model]]="", "",INDEX(Tableau2[Equipment],MATCH(Tabel1[[#This Row],[Model]],Tableau2[Model],0)))</f>
        <v>LB ACTROS 60T</v>
      </c>
      <c r="H45" s="4" t="s">
        <v>173</v>
      </c>
      <c r="I45" s="10"/>
      <c r="J45" s="35"/>
      <c r="L45" s="9">
        <v>0.33333333333333331</v>
      </c>
      <c r="M45" s="9">
        <v>4.1666666666666664E-2</v>
      </c>
      <c r="N45" s="9">
        <v>0.66666666666666663</v>
      </c>
      <c r="O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45" s="21">
        <f>HOUR(Tabel1[[#This Row],[Total Hours]])+MINUTE(Tabel1[[#This Row],[Total Hours]])/60+SECOND(Tabel1[[#This Row],[Total Hours]])/3600</f>
        <v>7</v>
      </c>
      <c r="Q45" s="6">
        <f>Tabel1[[#This Row],[End Time]]+(Tabel1[[#This Row],[End Time]]&lt;Tabel1[[#This Row],[Start time]])</f>
        <v>0.66666666666666663</v>
      </c>
      <c r="R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5" s="6"/>
      <c r="T45" s="7"/>
    </row>
    <row r="46" spans="1:20" x14ac:dyDescent="0.3">
      <c r="A46" s="4"/>
      <c r="B46" s="4">
        <f t="shared" si="0"/>
        <v>39</v>
      </c>
      <c r="C46" s="4" t="str">
        <f>IFERROR(VLOOKUP(Tabel1[[#This Row],[Model]],Tableau2[[Model]:[Parking Number]],2,FALSE)," ")</f>
        <v>WT1</v>
      </c>
      <c r="D46" s="23">
        <v>45521</v>
      </c>
      <c r="E46" s="4" t="str">
        <f>IF(Tabel1[[#This Row],[Model]]="", "",INDEX(Tableau2[Equipment Type],MATCH(Tabel1[[#This Row],[Model]],Tableau2[Model],0)))</f>
        <v>Water Truck</v>
      </c>
      <c r="F46" s="4" t="s">
        <v>47</v>
      </c>
      <c r="G46" s="4" t="str">
        <f>IF(Tabel1[[#This Row],[Model]]="", "",INDEX(Tableau2[Equipment],MATCH(Tabel1[[#This Row],[Model]],Tableau2[Model],0)))</f>
        <v>Water Truck 20T / 1924.1</v>
      </c>
      <c r="H46" s="4" t="s">
        <v>56</v>
      </c>
      <c r="I46" s="10" t="s">
        <v>57</v>
      </c>
      <c r="J46" s="35" t="s">
        <v>153</v>
      </c>
      <c r="K46" s="4">
        <v>5246135</v>
      </c>
      <c r="L46" s="9">
        <v>0.33333333333333331</v>
      </c>
      <c r="M46" s="9">
        <v>4.1666666666666664E-2</v>
      </c>
      <c r="N46" s="9">
        <v>0.70833333333333337</v>
      </c>
      <c r="O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6" s="21">
        <f>HOUR(Tabel1[[#This Row],[Total Hours]])+MINUTE(Tabel1[[#This Row],[Total Hours]])/60+SECOND(Tabel1[[#This Row],[Total Hours]])/3600</f>
        <v>8</v>
      </c>
      <c r="Q46" s="6">
        <f>Tabel1[[#This Row],[End Time]]+(Tabel1[[#This Row],[End Time]]&lt;Tabel1[[#This Row],[Start time]])</f>
        <v>0.70833333333333337</v>
      </c>
      <c r="R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6" s="6"/>
      <c r="T46" s="7"/>
    </row>
    <row r="47" spans="1:20" x14ac:dyDescent="0.3">
      <c r="A47" s="4"/>
      <c r="B47" s="4">
        <f t="shared" si="0"/>
        <v>40</v>
      </c>
      <c r="C47" s="4" t="str">
        <f>IFERROR(VLOOKUP(Tabel1[[#This Row],[Model]],Tableau2[[Model]:[Parking Number]],2,FALSE)," ")</f>
        <v>WT2</v>
      </c>
      <c r="D47" s="23">
        <v>45521</v>
      </c>
      <c r="E47" s="4" t="str">
        <f>IF(Tabel1[[#This Row],[Model]]="", "",INDEX(Tableau2[Equipment Type],MATCH(Tabel1[[#This Row],[Model]],Tableau2[Model],0)))</f>
        <v>Water Truck</v>
      </c>
      <c r="F47" s="4" t="s">
        <v>48</v>
      </c>
      <c r="G47" s="4" t="str">
        <f>IF(Tabel1[[#This Row],[Model]]="", "",INDEX(Tableau2[Equipment],MATCH(Tabel1[[#This Row],[Model]],Tableau2[Model],0)))</f>
        <v>Water Truck 20T / 1924.2</v>
      </c>
      <c r="H47" s="4" t="s">
        <v>56</v>
      </c>
      <c r="I47" s="10" t="s">
        <v>57</v>
      </c>
      <c r="J47" s="35" t="s">
        <v>153</v>
      </c>
      <c r="K47" s="4">
        <v>5246135</v>
      </c>
      <c r="L47" s="9">
        <v>0.33333333333333331</v>
      </c>
      <c r="M47" s="9">
        <v>4.1666666666666664E-2</v>
      </c>
      <c r="N47" s="9">
        <v>0.70833333333333337</v>
      </c>
      <c r="O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7" s="21">
        <f>HOUR(Tabel1[[#This Row],[Total Hours]])+MINUTE(Tabel1[[#This Row],[Total Hours]])/60+SECOND(Tabel1[[#This Row],[Total Hours]])/3600</f>
        <v>8</v>
      </c>
      <c r="Q47" s="6">
        <f>Tabel1[[#This Row],[End Time]]+(Tabel1[[#This Row],[End Time]]&lt;Tabel1[[#This Row],[Start time]])</f>
        <v>0.70833333333333337</v>
      </c>
      <c r="R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7" s="6"/>
      <c r="T47" s="7"/>
    </row>
    <row r="48" spans="1:20" x14ac:dyDescent="0.3">
      <c r="A48" s="4"/>
      <c r="B48" s="4">
        <f t="shared" si="0"/>
        <v>41</v>
      </c>
      <c r="C48" s="4" t="str">
        <f>IFERROR(VLOOKUP(Tabel1[[#This Row],[Model]],Tableau2[[Model]:[Parking Number]],2,FALSE)," ")</f>
        <v>WT3</v>
      </c>
      <c r="D48" s="23">
        <v>45521</v>
      </c>
      <c r="E48" s="4" t="str">
        <f>IF(Tabel1[[#This Row],[Model]]="", "",INDEX(Tableau2[Equipment Type],MATCH(Tabel1[[#This Row],[Model]],Tableau2[Model],0)))</f>
        <v>Water Truck</v>
      </c>
      <c r="F48" s="4" t="s">
        <v>49</v>
      </c>
      <c r="G48" s="4" t="str">
        <f>IF(Tabel1[[#This Row],[Model]]="", "",INDEX(Tableau2[Equipment],MATCH(Tabel1[[#This Row],[Model]],Tableau2[Model],0)))</f>
        <v>Water Truck 20T / 1924.3</v>
      </c>
      <c r="H48" s="4" t="s">
        <v>56</v>
      </c>
      <c r="I48" s="10" t="s">
        <v>57</v>
      </c>
      <c r="J48" s="35" t="s">
        <v>153</v>
      </c>
      <c r="K48" s="4">
        <v>5246135</v>
      </c>
      <c r="L48" s="9">
        <v>0.33333333333333331</v>
      </c>
      <c r="M48" s="9">
        <v>4.1666666666666664E-2</v>
      </c>
      <c r="N48" s="9">
        <v>0.70833333333333337</v>
      </c>
      <c r="O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8" s="21">
        <f>HOUR(Tabel1[[#This Row],[Total Hours]])+MINUTE(Tabel1[[#This Row],[Total Hours]])/60+SECOND(Tabel1[[#This Row],[Total Hours]])/3600</f>
        <v>8</v>
      </c>
      <c r="Q48" s="6">
        <f>Tabel1[[#This Row],[End Time]]+(Tabel1[[#This Row],[End Time]]&lt;Tabel1[[#This Row],[Start time]])</f>
        <v>0.70833333333333337</v>
      </c>
      <c r="R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8" s="6"/>
      <c r="T48" s="7"/>
    </row>
    <row r="49" spans="1:20" x14ac:dyDescent="0.3">
      <c r="A49" s="4"/>
      <c r="B49" s="4">
        <f t="shared" si="0"/>
        <v>42</v>
      </c>
      <c r="C49" s="4" t="str">
        <f>IFERROR(VLOOKUP(Tabel1[[#This Row],[Model]],Tableau2[[Model]:[Parking Number]],2,FALSE)," ")</f>
        <v>WT9</v>
      </c>
      <c r="D49" s="23">
        <v>45521</v>
      </c>
      <c r="E49" s="4" t="str">
        <f>IF(Tabel1[[#This Row],[Model]]="", "",INDEX(Tableau2[Equipment Type],MATCH(Tabel1[[#This Row],[Model]],Tableau2[Model],0)))</f>
        <v>Water Truck</v>
      </c>
      <c r="F49" s="4" t="s">
        <v>50</v>
      </c>
      <c r="G49" s="4" t="str">
        <f>IF(Tabel1[[#This Row],[Model]]="", "",INDEX(Tableau2[Equipment],MATCH(Tabel1[[#This Row],[Model]],Tableau2[Model],0)))</f>
        <v>Water Truck 20T / WT09</v>
      </c>
      <c r="H49" s="4" t="s">
        <v>56</v>
      </c>
      <c r="I49" s="10" t="s">
        <v>57</v>
      </c>
      <c r="J49" s="35" t="s">
        <v>153</v>
      </c>
      <c r="K49" s="4">
        <v>5246135</v>
      </c>
      <c r="L49" s="9">
        <v>0.33333333333333331</v>
      </c>
      <c r="M49" s="9">
        <v>4.1666666666666664E-2</v>
      </c>
      <c r="N49" s="9">
        <v>0.70833333333333337</v>
      </c>
      <c r="O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9" s="21">
        <f>HOUR(Tabel1[[#This Row],[Total Hours]])+MINUTE(Tabel1[[#This Row],[Total Hours]])/60+SECOND(Tabel1[[#This Row],[Total Hours]])/3600</f>
        <v>8</v>
      </c>
      <c r="Q49" s="6">
        <f>Tabel1[[#This Row],[End Time]]+(Tabel1[[#This Row],[End Time]]&lt;Tabel1[[#This Row],[Start time]])</f>
        <v>0.70833333333333337</v>
      </c>
      <c r="R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9" s="6"/>
      <c r="T49" s="7"/>
    </row>
    <row r="50" spans="1:20" x14ac:dyDescent="0.3">
      <c r="A50" s="4"/>
      <c r="B50" s="4">
        <f t="shared" si="0"/>
        <v>43</v>
      </c>
      <c r="C50" s="4" t="str">
        <f>IFERROR(VLOOKUP(Tabel1[[#This Row],[Model]],Tableau2[[Model]:[Parking Number]],2,FALSE)," ")</f>
        <v>GR1</v>
      </c>
      <c r="D50" s="23">
        <v>45521</v>
      </c>
      <c r="E50" s="4" t="str">
        <f>IF(Tabel1[[#This Row],[Model]]="", "",INDEX(Tableau2[Equipment Type],MATCH(Tabel1[[#This Row],[Model]],Tableau2[Model],0)))</f>
        <v>Grader</v>
      </c>
      <c r="F50" s="4" t="s">
        <v>63</v>
      </c>
      <c r="G50" s="4" t="str">
        <f>IF(Tabel1[[#This Row],[Model]]="", "",INDEX(Tableau2[Equipment],MATCH(Tabel1[[#This Row],[Model]],Tableau2[Model],0)))</f>
        <v>CAT12K.1</v>
      </c>
      <c r="H50" s="4" t="s">
        <v>56</v>
      </c>
      <c r="I50" s="10" t="s">
        <v>57</v>
      </c>
      <c r="J50" s="35" t="s">
        <v>153</v>
      </c>
      <c r="K50" s="4">
        <v>5246135</v>
      </c>
      <c r="L50" s="9">
        <v>0.33333333333333331</v>
      </c>
      <c r="M50" s="9">
        <v>4.1666666666666664E-2</v>
      </c>
      <c r="N50" s="9">
        <v>0.70833333333333337</v>
      </c>
      <c r="O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0" s="21">
        <f>HOUR(Tabel1[[#This Row],[Total Hours]])+MINUTE(Tabel1[[#This Row],[Total Hours]])/60+SECOND(Tabel1[[#This Row],[Total Hours]])/3600</f>
        <v>8</v>
      </c>
      <c r="Q50" s="6">
        <f>Tabel1[[#This Row],[End Time]]+(Tabel1[[#This Row],[End Time]]&lt;Tabel1[[#This Row],[Start time]])</f>
        <v>0.70833333333333337</v>
      </c>
      <c r="R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0" s="6"/>
      <c r="T50" s="7"/>
    </row>
    <row r="51" spans="1:20" x14ac:dyDescent="0.3">
      <c r="A51" s="4"/>
      <c r="B51" s="4">
        <f t="shared" si="0"/>
        <v>44</v>
      </c>
      <c r="C51" s="4" t="str">
        <f>IFERROR(VLOOKUP(Tabel1[[#This Row],[Model]],Tableau2[[Model]:[Parking Number]],2,FALSE)," ")</f>
        <v>GR2</v>
      </c>
      <c r="D51" s="23">
        <v>45521</v>
      </c>
      <c r="E51" s="4" t="str">
        <f>IF(Tabel1[[#This Row],[Model]]="", "",INDEX(Tableau2[Equipment Type],MATCH(Tabel1[[#This Row],[Model]],Tableau2[Model],0)))</f>
        <v>Grader</v>
      </c>
      <c r="F51" s="4" t="s">
        <v>39</v>
      </c>
      <c r="G51" s="4" t="str">
        <f>IF(Tabel1[[#This Row],[Model]]="", "",INDEX(Tableau2[Equipment],MATCH(Tabel1[[#This Row],[Model]],Tableau2[Model],0)))</f>
        <v>CAT12K.2</v>
      </c>
      <c r="H51" s="4" t="s">
        <v>56</v>
      </c>
      <c r="I51" s="10" t="s">
        <v>57</v>
      </c>
      <c r="J51" s="35" t="s">
        <v>153</v>
      </c>
      <c r="K51" s="4">
        <v>5246135</v>
      </c>
      <c r="L51" s="9">
        <v>0.33333333333333331</v>
      </c>
      <c r="M51" s="9">
        <v>4.1666666666666664E-2</v>
      </c>
      <c r="N51" s="9">
        <v>0.70833333333333337</v>
      </c>
      <c r="O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1" s="21">
        <f>HOUR(Tabel1[[#This Row],[Total Hours]])+MINUTE(Tabel1[[#This Row],[Total Hours]])/60+SECOND(Tabel1[[#This Row],[Total Hours]])/3600</f>
        <v>8</v>
      </c>
      <c r="Q51" s="6">
        <f>Tabel1[[#This Row],[End Time]]+(Tabel1[[#This Row],[End Time]]&lt;Tabel1[[#This Row],[Start time]])</f>
        <v>0.70833333333333337</v>
      </c>
      <c r="R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1" s="6"/>
      <c r="T51" s="7"/>
    </row>
    <row r="52" spans="1:20" x14ac:dyDescent="0.3">
      <c r="A52" s="4"/>
      <c r="B52" s="4">
        <f t="shared" si="0"/>
        <v>45</v>
      </c>
      <c r="C52" s="4" t="str">
        <f>IFERROR(VLOOKUP(Tabel1[[#This Row],[Model]],Tableau2[[Model]:[Parking Number]],2,FALSE)," ")</f>
        <v>FEL4</v>
      </c>
      <c r="D52" s="23">
        <v>45521</v>
      </c>
      <c r="E52" s="4" t="str">
        <f>IF(Tabel1[[#This Row],[Model]]="", "",INDEX(Tableau2[Equipment Type],MATCH(Tabel1[[#This Row],[Model]],Tableau2[Model],0)))</f>
        <v>Loader</v>
      </c>
      <c r="F52" s="4" t="s">
        <v>40</v>
      </c>
      <c r="G52" s="4" t="str">
        <f>IF(Tabel1[[#This Row],[Model]]="", "",INDEX(Tableau2[Equipment],MATCH(Tabel1[[#This Row],[Model]],Tableau2[Model],0)))</f>
        <v>Cat972G.2</v>
      </c>
      <c r="H52" s="4" t="s">
        <v>56</v>
      </c>
      <c r="I52" s="10" t="s">
        <v>57</v>
      </c>
      <c r="J52" s="35" t="s">
        <v>153</v>
      </c>
      <c r="K52" s="4">
        <v>5246135</v>
      </c>
      <c r="L52" s="9">
        <v>0.33333333333333331</v>
      </c>
      <c r="M52" s="9">
        <v>4.1666666666666664E-2</v>
      </c>
      <c r="N52" s="9">
        <v>0.79166666666666663</v>
      </c>
      <c r="O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P52" s="21">
        <f>HOUR(Tabel1[[#This Row],[Total Hours]])+MINUTE(Tabel1[[#This Row],[Total Hours]])/60+SECOND(Tabel1[[#This Row],[Total Hours]])/3600</f>
        <v>10</v>
      </c>
      <c r="Q52" s="6">
        <f>Tabel1[[#This Row],[End Time]]+(Tabel1[[#This Row],[End Time]]&lt;Tabel1[[#This Row],[Start time]])</f>
        <v>0.79166666666666663</v>
      </c>
      <c r="R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2" s="6"/>
      <c r="T52" s="7"/>
    </row>
    <row r="53" spans="1:20" x14ac:dyDescent="0.3">
      <c r="A53" s="4"/>
      <c r="B53" s="4">
        <f t="shared" si="0"/>
        <v>46</v>
      </c>
      <c r="C53" s="4" t="str">
        <f>IFERROR(VLOOKUP(Tabel1[[#This Row],[Model]],Tableau2[[Model]:[Parking Number]],2,FALSE)," ")</f>
        <v>TD1</v>
      </c>
      <c r="D53" s="23">
        <v>45521</v>
      </c>
      <c r="E53" s="4" t="str">
        <f>IF(Tabel1[[#This Row],[Model]]="", "",INDEX(Tableau2[Equipment Type],MATCH(Tabel1[[#This Row],[Model]],Tableau2[Model],0)))</f>
        <v>Bulldozer</v>
      </c>
      <c r="F53" s="4" t="s">
        <v>70</v>
      </c>
      <c r="G53" s="4" t="str">
        <f>IF(Tabel1[[#This Row],[Model]]="", "",INDEX(Tableau2[Equipment],MATCH(Tabel1[[#This Row],[Model]],Tableau2[Model],0)))</f>
        <v>CATD8R.1</v>
      </c>
      <c r="H53" s="4" t="s">
        <v>56</v>
      </c>
      <c r="I53" s="10" t="s">
        <v>159</v>
      </c>
      <c r="J53" s="35" t="s">
        <v>153</v>
      </c>
      <c r="K53" s="4">
        <v>5092509</v>
      </c>
      <c r="L53" s="9">
        <v>0.33333333333333331</v>
      </c>
      <c r="M53" s="9">
        <v>4.1666666666666664E-2</v>
      </c>
      <c r="N53" s="9">
        <v>0.70833333333333337</v>
      </c>
      <c r="O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3" s="21">
        <f>HOUR(Tabel1[[#This Row],[Total Hours]])+MINUTE(Tabel1[[#This Row],[Total Hours]])/60+SECOND(Tabel1[[#This Row],[Total Hours]])/3600</f>
        <v>8</v>
      </c>
      <c r="Q53" s="6">
        <f>Tabel1[[#This Row],[End Time]]+(Tabel1[[#This Row],[End Time]]&lt;Tabel1[[#This Row],[Start time]])</f>
        <v>0.70833333333333337</v>
      </c>
      <c r="R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3" s="6"/>
      <c r="T53" s="7"/>
    </row>
    <row r="54" spans="1:20" x14ac:dyDescent="0.3">
      <c r="A54" s="4"/>
      <c r="B54" s="4">
        <f t="shared" si="0"/>
        <v>47</v>
      </c>
      <c r="C54" s="4" t="str">
        <f>IFERROR(VLOOKUP(Tabel1[[#This Row],[Model]],Tableau2[[Model]:[Parking Number]],2,FALSE)," ")</f>
        <v>FEL1</v>
      </c>
      <c r="D54" s="23">
        <v>45521</v>
      </c>
      <c r="E54" s="4" t="str">
        <f>IF(Tabel1[[#This Row],[Model]]="", "",INDEX(Tableau2[Equipment Type],MATCH(Tabel1[[#This Row],[Model]],Tableau2[Model],0)))</f>
        <v>Loader</v>
      </c>
      <c r="F54" s="4" t="s">
        <v>46</v>
      </c>
      <c r="G54" s="4" t="str">
        <f>IF(Tabel1[[#This Row],[Model]]="", "",INDEX(Tableau2[Equipment],MATCH(Tabel1[[#This Row],[Model]],Tableau2[Model],0)))</f>
        <v>Cat966H.1</v>
      </c>
      <c r="H54" s="4" t="s">
        <v>66</v>
      </c>
      <c r="I54" s="10" t="s">
        <v>160</v>
      </c>
      <c r="J54" s="35" t="s">
        <v>234</v>
      </c>
      <c r="K54" s="4">
        <v>5198487</v>
      </c>
      <c r="L54" s="9">
        <v>0.29166666666666669</v>
      </c>
      <c r="M54" s="9">
        <v>4.1666666666666664E-2</v>
      </c>
      <c r="N54" s="9">
        <v>0.79166666666666663</v>
      </c>
      <c r="O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54" s="21">
        <f>HOUR(Tabel1[[#This Row],[Total Hours]])+MINUTE(Tabel1[[#This Row],[Total Hours]])/60+SECOND(Tabel1[[#This Row],[Total Hours]])/3600</f>
        <v>11</v>
      </c>
      <c r="Q54" s="6">
        <f>Tabel1[[#This Row],[End Time]]+(Tabel1[[#This Row],[End Time]]&lt;Tabel1[[#This Row],[Start time]])</f>
        <v>0.79166666666666663</v>
      </c>
      <c r="R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4" s="6"/>
      <c r="T54" s="7"/>
    </row>
    <row r="55" spans="1:20" x14ac:dyDescent="0.3">
      <c r="A55" s="4"/>
      <c r="B55" s="4">
        <f t="shared" si="0"/>
        <v>48</v>
      </c>
      <c r="C55" s="4" t="str">
        <f>IFERROR(VLOOKUP(Tabel1[[#This Row],[Model]],Tableau2[[Model]:[Parking Number]],2,FALSE)," ")</f>
        <v>FEL1</v>
      </c>
      <c r="D55" s="23">
        <v>45521</v>
      </c>
      <c r="E55" s="4" t="str">
        <f>IF(Tabel1[[#This Row],[Model]]="", "",INDEX(Tableau2[Equipment Type],MATCH(Tabel1[[#This Row],[Model]],Tableau2[Model],0)))</f>
        <v>Loader</v>
      </c>
      <c r="F55" s="4" t="s">
        <v>46</v>
      </c>
      <c r="G55" s="4" t="str">
        <f>IF(Tabel1[[#This Row],[Model]]="", "",INDEX(Tableau2[Equipment],MATCH(Tabel1[[#This Row],[Model]],Tableau2[Model],0)))</f>
        <v>Cat966H.1</v>
      </c>
      <c r="H55" s="4" t="s">
        <v>66</v>
      </c>
      <c r="I55" s="10" t="s">
        <v>160</v>
      </c>
      <c r="J55" s="35" t="s">
        <v>234</v>
      </c>
      <c r="K55" s="4">
        <v>5198487</v>
      </c>
      <c r="L55" s="9">
        <v>0.79166666666666663</v>
      </c>
      <c r="M55" s="9">
        <v>0</v>
      </c>
      <c r="N55" s="9">
        <v>0.20833333333333334</v>
      </c>
      <c r="O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55" s="21">
        <f>HOUR(Tabel1[[#This Row],[Total Hours]])+MINUTE(Tabel1[[#This Row],[Total Hours]])/60+SECOND(Tabel1[[#This Row],[Total Hours]])/3600</f>
        <v>10</v>
      </c>
      <c r="Q55" s="6">
        <f>Tabel1[[#This Row],[End Time]]+(Tabel1[[#This Row],[End Time]]&lt;Tabel1[[#This Row],[Start time]])</f>
        <v>1.2083333333333333</v>
      </c>
      <c r="R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5" s="6"/>
      <c r="T55" s="7"/>
    </row>
    <row r="56" spans="1:20" x14ac:dyDescent="0.3">
      <c r="A56" s="4"/>
      <c r="B56" s="4">
        <f t="shared" si="0"/>
        <v>49</v>
      </c>
      <c r="C56" s="4" t="str">
        <f>IFERROR(VLOOKUP(Tabel1[[#This Row],[Model]],Tableau2[[Model]:[Parking Number]],2,FALSE)," ")</f>
        <v>TT17</v>
      </c>
      <c r="D56" s="23">
        <v>45521</v>
      </c>
      <c r="E56" s="4" t="str">
        <f>IF(Tabel1[[#This Row],[Model]]="", "",INDEX(Tableau2[Equipment Type],MATCH(Tabel1[[#This Row],[Model]],Tableau2[Model],0)))</f>
        <v>Tipper Truck</v>
      </c>
      <c r="F56" s="4" t="s">
        <v>51</v>
      </c>
      <c r="G56" s="4" t="str">
        <f>IF(Tabel1[[#This Row],[Model]]="", "",INDEX(Tableau2[Equipment],MATCH(Tabel1[[#This Row],[Model]],Tableau2[Model],0)))</f>
        <v>Tipper Truck 20m3 / F17</v>
      </c>
      <c r="H56" s="4" t="s">
        <v>66</v>
      </c>
      <c r="I56" s="10" t="s">
        <v>160</v>
      </c>
      <c r="J56" s="35" t="s">
        <v>234</v>
      </c>
      <c r="K56" s="4">
        <v>5198487</v>
      </c>
      <c r="L56" s="9">
        <v>0.29166666666666669</v>
      </c>
      <c r="M56" s="9">
        <v>4.1666666666666664E-2</v>
      </c>
      <c r="N56" s="9">
        <v>0.79166666666666663</v>
      </c>
      <c r="O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56" s="21">
        <f>HOUR(Tabel1[[#This Row],[Total Hours]])+MINUTE(Tabel1[[#This Row],[Total Hours]])/60+SECOND(Tabel1[[#This Row],[Total Hours]])/3600</f>
        <v>11</v>
      </c>
      <c r="Q56" s="6">
        <f>Tabel1[[#This Row],[End Time]]+(Tabel1[[#This Row],[End Time]]&lt;Tabel1[[#This Row],[Start time]])</f>
        <v>0.79166666666666663</v>
      </c>
      <c r="R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6" s="6"/>
      <c r="T56" s="7"/>
    </row>
    <row r="57" spans="1:20" x14ac:dyDescent="0.3">
      <c r="A57" s="4"/>
      <c r="B57" s="4">
        <f t="shared" si="0"/>
        <v>50</v>
      </c>
      <c r="C57" s="4" t="str">
        <f>IFERROR(VLOOKUP(Tabel1[[#This Row],[Model]],Tableau2[[Model]:[Parking Number]],2,FALSE)," ")</f>
        <v>WT8</v>
      </c>
      <c r="D57" s="23">
        <v>45521</v>
      </c>
      <c r="E57" s="4" t="str">
        <f>IF(Tabel1[[#This Row],[Model]]="", "",INDEX(Tableau2[Equipment Type],MATCH(Tabel1[[#This Row],[Model]],Tableau2[Model],0)))</f>
        <v>Water Truck</v>
      </c>
      <c r="F57" s="4" t="s">
        <v>52</v>
      </c>
      <c r="G57" s="4" t="str">
        <f>IF(Tabel1[[#This Row],[Model]]="", "",INDEX(Tableau2[Equipment],MATCH(Tabel1[[#This Row],[Model]],Tableau2[Model],0)))</f>
        <v>Water Truck 20T / WT08</v>
      </c>
      <c r="H57" s="4" t="s">
        <v>161</v>
      </c>
      <c r="I57" s="10" t="s">
        <v>162</v>
      </c>
      <c r="J57" s="35"/>
      <c r="K57" s="4">
        <v>5253778</v>
      </c>
      <c r="L57" s="9">
        <v>0.29166666666666669</v>
      </c>
      <c r="M57" s="9">
        <v>4.1666666666666664E-2</v>
      </c>
      <c r="N57" s="9">
        <v>0.70833333333333337</v>
      </c>
      <c r="O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57" s="21">
        <f>HOUR(Tabel1[[#This Row],[Total Hours]])+MINUTE(Tabel1[[#This Row],[Total Hours]])/60+SECOND(Tabel1[[#This Row],[Total Hours]])/3600</f>
        <v>9</v>
      </c>
      <c r="Q57" s="6">
        <f>Tabel1[[#This Row],[End Time]]+(Tabel1[[#This Row],[End Time]]&lt;Tabel1[[#This Row],[Start time]])</f>
        <v>0.70833333333333337</v>
      </c>
      <c r="R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7" s="6"/>
      <c r="T57" s="7"/>
    </row>
    <row r="58" spans="1:20" x14ac:dyDescent="0.3">
      <c r="A58" s="4"/>
      <c r="B58" s="4">
        <f t="shared" si="0"/>
        <v>51</v>
      </c>
      <c r="C58" s="4" t="str">
        <f>IFERROR(VLOOKUP(Tabel1[[#This Row],[Model]],Tableau2[[Model]:[Parking Number]],2,FALSE)," ")</f>
        <v>FEL5</v>
      </c>
      <c r="D58" s="23">
        <v>45521</v>
      </c>
      <c r="E58" s="4" t="str">
        <f>IF(Tabel1[[#This Row],[Model]]="", "",INDEX(Tableau2[Equipment Type],MATCH(Tabel1[[#This Row],[Model]],Tableau2[Model],0)))</f>
        <v>Loader</v>
      </c>
      <c r="F58" s="4" t="s">
        <v>113</v>
      </c>
      <c r="G58" s="4" t="str">
        <f>IF(Tabel1[[#This Row],[Model]]="", "",INDEX(Tableau2[Equipment],MATCH(Tabel1[[#This Row],[Model]],Tableau2[Model],0)))</f>
        <v>CAT980G</v>
      </c>
      <c r="H58" s="4" t="s">
        <v>174</v>
      </c>
      <c r="I58" s="10" t="s">
        <v>175</v>
      </c>
      <c r="J58" s="35"/>
      <c r="K58" s="4">
        <v>5252466</v>
      </c>
      <c r="L58" s="9">
        <v>0.33333333333333331</v>
      </c>
      <c r="M58" s="9">
        <v>4.1666666666666664E-2</v>
      </c>
      <c r="N58" s="9">
        <v>0.625</v>
      </c>
      <c r="O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58" s="21">
        <f>HOUR(Tabel1[[#This Row],[Total Hours]])+MINUTE(Tabel1[[#This Row],[Total Hours]])/60+SECOND(Tabel1[[#This Row],[Total Hours]])/3600</f>
        <v>6</v>
      </c>
      <c r="Q58" s="6">
        <f>Tabel1[[#This Row],[End Time]]+(Tabel1[[#This Row],[End Time]]&lt;Tabel1[[#This Row],[Start time]])</f>
        <v>0.625</v>
      </c>
      <c r="R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8" s="6"/>
      <c r="T58" s="7"/>
    </row>
    <row r="59" spans="1:20" x14ac:dyDescent="0.3">
      <c r="A59" s="4"/>
      <c r="B59" s="4">
        <f t="shared" si="0"/>
        <v>52</v>
      </c>
      <c r="C59" s="4" t="str">
        <f>IFERROR(VLOOKUP(Tabel1[[#This Row],[Model]],Tableau2[[Model]:[Parking Number]],2,FALSE)," ")</f>
        <v>FEL2</v>
      </c>
      <c r="D59" s="23">
        <v>45521</v>
      </c>
      <c r="E59" s="4" t="str">
        <f>IF(Tabel1[[#This Row],[Model]]="", "",INDEX(Tableau2[Equipment Type],MATCH(Tabel1[[#This Row],[Model]],Tableau2[Model],0)))</f>
        <v>Loader</v>
      </c>
      <c r="F59" s="4" t="s">
        <v>42</v>
      </c>
      <c r="G59" s="4" t="str">
        <f>IF(Tabel1[[#This Row],[Model]]="", "",INDEX(Tableau2[Equipment],MATCH(Tabel1[[#This Row],[Model]],Tableau2[Model],0)))</f>
        <v>Cat966H.2</v>
      </c>
      <c r="H59" s="4" t="s">
        <v>171</v>
      </c>
      <c r="I59" s="10" t="s">
        <v>172</v>
      </c>
      <c r="J59" s="35"/>
      <c r="K59" s="4">
        <v>5246410</v>
      </c>
      <c r="L59" s="9">
        <v>0.33333333333333331</v>
      </c>
      <c r="M59" s="9">
        <v>4.1666666666666664E-2</v>
      </c>
      <c r="N59" s="9">
        <v>0.70833333333333337</v>
      </c>
      <c r="O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9" s="21">
        <f>HOUR(Tabel1[[#This Row],[Total Hours]])+MINUTE(Tabel1[[#This Row],[Total Hours]])/60+SECOND(Tabel1[[#This Row],[Total Hours]])/3600</f>
        <v>8</v>
      </c>
      <c r="Q59" s="6">
        <f>Tabel1[[#This Row],[End Time]]+(Tabel1[[#This Row],[End Time]]&lt;Tabel1[[#This Row],[Start time]])</f>
        <v>0.70833333333333337</v>
      </c>
      <c r="R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9" s="6"/>
      <c r="T59" s="7"/>
    </row>
    <row r="60" spans="1:20" x14ac:dyDescent="0.3">
      <c r="A60" s="4"/>
      <c r="B60" s="4">
        <f t="shared" si="0"/>
        <v>53</v>
      </c>
      <c r="C60" s="4" t="str">
        <f>IFERROR(VLOOKUP(Tabel1[[#This Row],[Model]],Tableau2[[Model]:[Parking Number]],2,FALSE)," ")</f>
        <v>TT87</v>
      </c>
      <c r="D60" s="23">
        <v>45521</v>
      </c>
      <c r="E60" s="4" t="str">
        <f>IF(Tabel1[[#This Row],[Model]]="", "",INDEX(Tableau2[Equipment Type],MATCH(Tabel1[[#This Row],[Model]],Tableau2[Model],0)))</f>
        <v>Tipper Truck</v>
      </c>
      <c r="F60" s="4" t="s">
        <v>79</v>
      </c>
      <c r="G60" s="4" t="str">
        <f>IF(Tabel1[[#This Row],[Model]]="", "",INDEX(Tableau2[Equipment],MATCH(Tabel1[[#This Row],[Model]],Tableau2[Model],0)))</f>
        <v>Tipper Truck 20m3 / F87</v>
      </c>
      <c r="H60" s="4" t="s">
        <v>171</v>
      </c>
      <c r="I60" s="10" t="s">
        <v>172</v>
      </c>
      <c r="J60" s="35"/>
      <c r="K60" s="4">
        <v>5246410</v>
      </c>
      <c r="L60" s="9">
        <v>0.33333333333333331</v>
      </c>
      <c r="M60" s="9">
        <v>0</v>
      </c>
      <c r="N60" s="9">
        <v>0.5</v>
      </c>
      <c r="O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60" s="21">
        <f>HOUR(Tabel1[[#This Row],[Total Hours]])+MINUTE(Tabel1[[#This Row],[Total Hours]])/60+SECOND(Tabel1[[#This Row],[Total Hours]])/3600</f>
        <v>4</v>
      </c>
      <c r="Q60" s="6">
        <f>Tabel1[[#This Row],[End Time]]+(Tabel1[[#This Row],[End Time]]&lt;Tabel1[[#This Row],[Start time]])</f>
        <v>0.5</v>
      </c>
      <c r="R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0" s="6"/>
      <c r="T60" s="7"/>
    </row>
    <row r="61" spans="1:20" x14ac:dyDescent="0.3">
      <c r="A61" s="4"/>
      <c r="B61" s="4">
        <f t="shared" si="0"/>
        <v>54</v>
      </c>
      <c r="C61" s="4" t="str">
        <f>IFERROR(VLOOKUP(Tabel1[[#This Row],[Model]],Tableau2[[Model]:[Parking Number]],2,FALSE)," ")</f>
        <v>TT87</v>
      </c>
      <c r="D61" s="23">
        <v>45521</v>
      </c>
      <c r="E61" s="4" t="str">
        <f>IF(Tabel1[[#This Row],[Model]]="", "",INDEX(Tableau2[Equipment Type],MATCH(Tabel1[[#This Row],[Model]],Tableau2[Model],0)))</f>
        <v>Tipper Truck</v>
      </c>
      <c r="F61" s="4" t="s">
        <v>79</v>
      </c>
      <c r="G61" s="4" t="str">
        <f>IF(Tabel1[[#This Row],[Model]]="", "",INDEX(Tableau2[Equipment],MATCH(Tabel1[[#This Row],[Model]],Tableau2[Model],0)))</f>
        <v>Tipper Truck 20m3 / F87</v>
      </c>
      <c r="H61" s="4" t="s">
        <v>171</v>
      </c>
      <c r="I61" s="10" t="s">
        <v>172</v>
      </c>
      <c r="J61" s="35"/>
      <c r="K61" s="4">
        <v>5246410</v>
      </c>
      <c r="L61" s="9">
        <v>0.625</v>
      </c>
      <c r="M61" s="9">
        <v>0</v>
      </c>
      <c r="N61" s="9">
        <v>0.70833333333333337</v>
      </c>
      <c r="O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61" s="21">
        <f>HOUR(Tabel1[[#This Row],[Total Hours]])+MINUTE(Tabel1[[#This Row],[Total Hours]])/60+SECOND(Tabel1[[#This Row],[Total Hours]])/3600</f>
        <v>2</v>
      </c>
      <c r="Q61" s="6">
        <f>Tabel1[[#This Row],[End Time]]+(Tabel1[[#This Row],[End Time]]&lt;Tabel1[[#This Row],[Start time]])</f>
        <v>0.70833333333333337</v>
      </c>
      <c r="R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1" s="6"/>
      <c r="T61" s="7"/>
    </row>
    <row r="62" spans="1:20" x14ac:dyDescent="0.3">
      <c r="A62" s="4"/>
      <c r="B62" s="4">
        <f t="shared" si="0"/>
        <v>55</v>
      </c>
      <c r="C62" s="4" t="str">
        <f>IFERROR(VLOOKUP(Tabel1[[#This Row],[Model]],Tableau2[[Model]:[Parking Number]],2,FALSE)," ")</f>
        <v>BL1</v>
      </c>
      <c r="D62" s="23">
        <v>45521</v>
      </c>
      <c r="E62" s="4" t="str">
        <f>IF(Tabel1[[#This Row],[Model]]="", "",INDEX(Tableau2[Equipment Type],MATCH(Tabel1[[#This Row],[Model]],Tableau2[Model],0)))</f>
        <v>Backhoe Loader</v>
      </c>
      <c r="F62" s="4" t="s">
        <v>76</v>
      </c>
      <c r="G62" s="4" t="str">
        <f>IF(Tabel1[[#This Row],[Model]]="", "",INDEX(Tableau2[Equipment],MATCH(Tabel1[[#This Row],[Model]],Tableau2[Model],0)))</f>
        <v>CAT432D</v>
      </c>
      <c r="H62" s="4" t="s">
        <v>179</v>
      </c>
      <c r="I62" s="10" t="s">
        <v>176</v>
      </c>
      <c r="J62" s="35"/>
      <c r="K62" s="4">
        <v>5252655</v>
      </c>
      <c r="L62" s="9">
        <v>0.33333333333333331</v>
      </c>
      <c r="M62" s="9">
        <v>4.1666666666666664E-2</v>
      </c>
      <c r="N62" s="9">
        <v>0.70833333333333337</v>
      </c>
      <c r="O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2" s="21">
        <f>HOUR(Tabel1[[#This Row],[Total Hours]])+MINUTE(Tabel1[[#This Row],[Total Hours]])/60+SECOND(Tabel1[[#This Row],[Total Hours]])/3600</f>
        <v>8</v>
      </c>
      <c r="Q62" s="6">
        <f>Tabel1[[#This Row],[End Time]]+(Tabel1[[#This Row],[End Time]]&lt;Tabel1[[#This Row],[Start time]])</f>
        <v>0.70833333333333337</v>
      </c>
      <c r="R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2" s="6"/>
      <c r="T62" s="7"/>
    </row>
    <row r="63" spans="1:20" x14ac:dyDescent="0.3">
      <c r="A63" s="4"/>
      <c r="B63" s="4">
        <f t="shared" si="0"/>
        <v>56</v>
      </c>
      <c r="C63" s="4" t="str">
        <f>IFERROR(VLOOKUP(Tabel1[[#This Row],[Model]],Tableau2[[Model]:[Parking Number]],2,FALSE)," ")</f>
        <v>WT1</v>
      </c>
      <c r="D63" s="23">
        <v>45522</v>
      </c>
      <c r="E63" s="4" t="str">
        <f>IF(Tabel1[[#This Row],[Model]]="", "",INDEX(Tableau2[Equipment Type],MATCH(Tabel1[[#This Row],[Model]],Tableau2[Model],0)))</f>
        <v>Water Truck</v>
      </c>
      <c r="F63" s="4" t="s">
        <v>47</v>
      </c>
      <c r="G63" s="4" t="str">
        <f>IF(Tabel1[[#This Row],[Model]]="", "",INDEX(Tableau2[Equipment],MATCH(Tabel1[[#This Row],[Model]],Tableau2[Model],0)))</f>
        <v>Water Truck 20T / 1924.1</v>
      </c>
      <c r="H63" s="4" t="s">
        <v>56</v>
      </c>
      <c r="I63" s="10" t="s">
        <v>57</v>
      </c>
      <c r="J63" s="35" t="s">
        <v>153</v>
      </c>
      <c r="K63" s="4">
        <v>5246135</v>
      </c>
      <c r="L63" s="9">
        <v>0.33333333333333331</v>
      </c>
      <c r="M63" s="9">
        <v>4.1666666666666664E-2</v>
      </c>
      <c r="N63" s="9">
        <v>0.70833333333333337</v>
      </c>
      <c r="O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3" s="21">
        <f>HOUR(Tabel1[[#This Row],[Total Hours]])+MINUTE(Tabel1[[#This Row],[Total Hours]])/60+SECOND(Tabel1[[#This Row],[Total Hours]])/3600</f>
        <v>8</v>
      </c>
      <c r="Q63" s="6">
        <f>Tabel1[[#This Row],[End Time]]+(Tabel1[[#This Row],[End Time]]&lt;Tabel1[[#This Row],[Start time]])</f>
        <v>0.70833333333333337</v>
      </c>
      <c r="R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3" s="6"/>
      <c r="T63" s="7"/>
    </row>
    <row r="64" spans="1:20" x14ac:dyDescent="0.3">
      <c r="A64" s="4"/>
      <c r="B64" s="4">
        <f t="shared" si="0"/>
        <v>57</v>
      </c>
      <c r="C64" s="4" t="str">
        <f>IFERROR(VLOOKUP(Tabel1[[#This Row],[Model]],Tableau2[[Model]:[Parking Number]],2,FALSE)," ")</f>
        <v>WT2</v>
      </c>
      <c r="D64" s="23">
        <v>45522</v>
      </c>
      <c r="E64" s="4" t="str">
        <f>IF(Tabel1[[#This Row],[Model]]="", "",INDEX(Tableau2[Equipment Type],MATCH(Tabel1[[#This Row],[Model]],Tableau2[Model],0)))</f>
        <v>Water Truck</v>
      </c>
      <c r="F64" s="4" t="s">
        <v>48</v>
      </c>
      <c r="G64" s="4" t="str">
        <f>IF(Tabel1[[#This Row],[Model]]="", "",INDEX(Tableau2[Equipment],MATCH(Tabel1[[#This Row],[Model]],Tableau2[Model],0)))</f>
        <v>Water Truck 20T / 1924.2</v>
      </c>
      <c r="H64" s="4" t="s">
        <v>56</v>
      </c>
      <c r="I64" s="10" t="s">
        <v>57</v>
      </c>
      <c r="J64" s="35" t="s">
        <v>153</v>
      </c>
      <c r="K64" s="4">
        <v>5246135</v>
      </c>
      <c r="L64" s="9">
        <v>0.33333333333333331</v>
      </c>
      <c r="M64" s="9">
        <v>4.1666666666666664E-2</v>
      </c>
      <c r="N64" s="9">
        <v>0.70833333333333337</v>
      </c>
      <c r="O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4" s="21">
        <f>HOUR(Tabel1[[#This Row],[Total Hours]])+MINUTE(Tabel1[[#This Row],[Total Hours]])/60+SECOND(Tabel1[[#This Row],[Total Hours]])/3600</f>
        <v>8</v>
      </c>
      <c r="Q64" s="6">
        <f>Tabel1[[#This Row],[End Time]]+(Tabel1[[#This Row],[End Time]]&lt;Tabel1[[#This Row],[Start time]])</f>
        <v>0.70833333333333337</v>
      </c>
      <c r="R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4" s="6"/>
      <c r="T64" s="7"/>
    </row>
    <row r="65" spans="1:20" x14ac:dyDescent="0.3">
      <c r="A65" s="4"/>
      <c r="B65" s="4">
        <f t="shared" si="0"/>
        <v>58</v>
      </c>
      <c r="C65" s="4" t="str">
        <f>IFERROR(VLOOKUP(Tabel1[[#This Row],[Model]],Tableau2[[Model]:[Parking Number]],2,FALSE)," ")</f>
        <v>WT3</v>
      </c>
      <c r="D65" s="23">
        <v>45522</v>
      </c>
      <c r="E65" s="4" t="str">
        <f>IF(Tabel1[[#This Row],[Model]]="", "",INDEX(Tableau2[Equipment Type],MATCH(Tabel1[[#This Row],[Model]],Tableau2[Model],0)))</f>
        <v>Water Truck</v>
      </c>
      <c r="F65" s="4" t="s">
        <v>49</v>
      </c>
      <c r="G65" s="4" t="str">
        <f>IF(Tabel1[[#This Row],[Model]]="", "",INDEX(Tableau2[Equipment],MATCH(Tabel1[[#This Row],[Model]],Tableau2[Model],0)))</f>
        <v>Water Truck 20T / 1924.3</v>
      </c>
      <c r="H65" s="4" t="s">
        <v>56</v>
      </c>
      <c r="I65" s="10" t="s">
        <v>57</v>
      </c>
      <c r="J65" s="35" t="s">
        <v>153</v>
      </c>
      <c r="K65" s="4">
        <v>5246135</v>
      </c>
      <c r="L65" s="9">
        <v>0.33333333333333331</v>
      </c>
      <c r="M65" s="9">
        <v>4.1666666666666664E-2</v>
      </c>
      <c r="N65" s="9">
        <v>0.70833333333333337</v>
      </c>
      <c r="O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5" s="21">
        <f>HOUR(Tabel1[[#This Row],[Total Hours]])+MINUTE(Tabel1[[#This Row],[Total Hours]])/60+SECOND(Tabel1[[#This Row],[Total Hours]])/3600</f>
        <v>8</v>
      </c>
      <c r="Q65" s="6">
        <f>Tabel1[[#This Row],[End Time]]+(Tabel1[[#This Row],[End Time]]&lt;Tabel1[[#This Row],[Start time]])</f>
        <v>0.70833333333333337</v>
      </c>
      <c r="R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5" s="6"/>
      <c r="T65" s="7"/>
    </row>
    <row r="66" spans="1:20" x14ac:dyDescent="0.3">
      <c r="A66" s="4"/>
      <c r="B66" s="4">
        <f t="shared" si="0"/>
        <v>59</v>
      </c>
      <c r="C66" s="4" t="str">
        <f>IFERROR(VLOOKUP(Tabel1[[#This Row],[Model]],Tableau2[[Model]:[Parking Number]],2,FALSE)," ")</f>
        <v>WT9</v>
      </c>
      <c r="D66" s="23">
        <v>45522</v>
      </c>
      <c r="E66" s="4" t="str">
        <f>IF(Tabel1[[#This Row],[Model]]="", "",INDEX(Tableau2[Equipment Type],MATCH(Tabel1[[#This Row],[Model]],Tableau2[Model],0)))</f>
        <v>Water Truck</v>
      </c>
      <c r="F66" s="4" t="s">
        <v>50</v>
      </c>
      <c r="G66" s="4" t="str">
        <f>IF(Tabel1[[#This Row],[Model]]="", "",INDEX(Tableau2[Equipment],MATCH(Tabel1[[#This Row],[Model]],Tableau2[Model],0)))</f>
        <v>Water Truck 20T / WT09</v>
      </c>
      <c r="H66" s="4" t="s">
        <v>56</v>
      </c>
      <c r="I66" s="10" t="s">
        <v>57</v>
      </c>
      <c r="J66" s="35" t="s">
        <v>153</v>
      </c>
      <c r="K66" s="4">
        <v>5246135</v>
      </c>
      <c r="L66" s="9">
        <v>0.33333333333333331</v>
      </c>
      <c r="M66" s="9">
        <v>4.1666666666666664E-2</v>
      </c>
      <c r="N66" s="9">
        <v>0.70833333333333337</v>
      </c>
      <c r="O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6" s="21">
        <f>HOUR(Tabel1[[#This Row],[Total Hours]])+MINUTE(Tabel1[[#This Row],[Total Hours]])/60+SECOND(Tabel1[[#This Row],[Total Hours]])/3600</f>
        <v>8</v>
      </c>
      <c r="Q66" s="6">
        <f>Tabel1[[#This Row],[End Time]]+(Tabel1[[#This Row],[End Time]]&lt;Tabel1[[#This Row],[Start time]])</f>
        <v>0.70833333333333337</v>
      </c>
      <c r="R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6" s="6"/>
      <c r="T66" s="7"/>
    </row>
    <row r="67" spans="1:20" x14ac:dyDescent="0.3">
      <c r="A67" s="4"/>
      <c r="B67" s="4">
        <f t="shared" si="0"/>
        <v>60</v>
      </c>
      <c r="C67" s="4" t="str">
        <f>IFERROR(VLOOKUP(Tabel1[[#This Row],[Model]],Tableau2[[Model]:[Parking Number]],2,FALSE)," ")</f>
        <v>GR1</v>
      </c>
      <c r="D67" s="23">
        <v>45522</v>
      </c>
      <c r="E67" s="4" t="str">
        <f>IF(Tabel1[[#This Row],[Model]]="", "",INDEX(Tableau2[Equipment Type],MATCH(Tabel1[[#This Row],[Model]],Tableau2[Model],0)))</f>
        <v>Grader</v>
      </c>
      <c r="F67" s="4" t="s">
        <v>63</v>
      </c>
      <c r="G67" s="4" t="str">
        <f>IF(Tabel1[[#This Row],[Model]]="", "",INDEX(Tableau2[Equipment],MATCH(Tabel1[[#This Row],[Model]],Tableau2[Model],0)))</f>
        <v>CAT12K.1</v>
      </c>
      <c r="H67" s="4" t="s">
        <v>56</v>
      </c>
      <c r="I67" s="10" t="s">
        <v>57</v>
      </c>
      <c r="J67" s="35" t="s">
        <v>153</v>
      </c>
      <c r="K67" s="4">
        <v>5246135</v>
      </c>
      <c r="L67" s="9">
        <v>0.33333333333333331</v>
      </c>
      <c r="M67" s="9">
        <v>4.1666666666666664E-2</v>
      </c>
      <c r="N67" s="9">
        <v>0.70833333333333337</v>
      </c>
      <c r="O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7" s="21">
        <f>HOUR(Tabel1[[#This Row],[Total Hours]])+MINUTE(Tabel1[[#This Row],[Total Hours]])/60+SECOND(Tabel1[[#This Row],[Total Hours]])/3600</f>
        <v>8</v>
      </c>
      <c r="Q67" s="6">
        <f>Tabel1[[#This Row],[End Time]]+(Tabel1[[#This Row],[End Time]]&lt;Tabel1[[#This Row],[Start time]])</f>
        <v>0.70833333333333337</v>
      </c>
      <c r="R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7" s="6"/>
      <c r="T67" s="7"/>
    </row>
    <row r="68" spans="1:20" x14ac:dyDescent="0.3">
      <c r="A68" s="4"/>
      <c r="B68" s="4">
        <f t="shared" si="0"/>
        <v>61</v>
      </c>
      <c r="C68" s="4" t="str">
        <f>IFERROR(VLOOKUP(Tabel1[[#This Row],[Model]],Tableau2[[Model]:[Parking Number]],2,FALSE)," ")</f>
        <v>GR2</v>
      </c>
      <c r="D68" s="23">
        <v>45522</v>
      </c>
      <c r="E68" s="4" t="str">
        <f>IF(Tabel1[[#This Row],[Model]]="", "",INDEX(Tableau2[Equipment Type],MATCH(Tabel1[[#This Row],[Model]],Tableau2[Model],0)))</f>
        <v>Grader</v>
      </c>
      <c r="F68" s="4" t="s">
        <v>39</v>
      </c>
      <c r="G68" s="4" t="str">
        <f>IF(Tabel1[[#This Row],[Model]]="", "",INDEX(Tableau2[Equipment],MATCH(Tabel1[[#This Row],[Model]],Tableau2[Model],0)))</f>
        <v>CAT12K.2</v>
      </c>
      <c r="H68" s="4" t="s">
        <v>56</v>
      </c>
      <c r="I68" s="10" t="s">
        <v>57</v>
      </c>
      <c r="J68" s="35" t="s">
        <v>153</v>
      </c>
      <c r="K68" s="4">
        <v>5246135</v>
      </c>
      <c r="L68" s="9">
        <v>0.33333333333333331</v>
      </c>
      <c r="M68" s="9">
        <v>4.1666666666666664E-2</v>
      </c>
      <c r="N68" s="9">
        <v>0.70833333333333337</v>
      </c>
      <c r="O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8" s="21">
        <f>HOUR(Tabel1[[#This Row],[Total Hours]])+MINUTE(Tabel1[[#This Row],[Total Hours]])/60+SECOND(Tabel1[[#This Row],[Total Hours]])/3600</f>
        <v>8</v>
      </c>
      <c r="Q68" s="6">
        <f>Tabel1[[#This Row],[End Time]]+(Tabel1[[#This Row],[End Time]]&lt;Tabel1[[#This Row],[Start time]])</f>
        <v>0.70833333333333337</v>
      </c>
      <c r="R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8" s="6"/>
      <c r="T68" s="7"/>
    </row>
    <row r="69" spans="1:20" x14ac:dyDescent="0.3">
      <c r="A69" s="4"/>
      <c r="B69" s="4">
        <f t="shared" si="0"/>
        <v>62</v>
      </c>
      <c r="C69" s="4" t="str">
        <f>IFERROR(VLOOKUP(Tabel1[[#This Row],[Model]],Tableau2[[Model]:[Parking Number]],2,FALSE)," ")</f>
        <v>FEL4</v>
      </c>
      <c r="D69" s="23">
        <v>45522</v>
      </c>
      <c r="E69" s="4" t="str">
        <f>IF(Tabel1[[#This Row],[Model]]="", "",INDEX(Tableau2[Equipment Type],MATCH(Tabel1[[#This Row],[Model]],Tableau2[Model],0)))</f>
        <v>Loader</v>
      </c>
      <c r="F69" s="4" t="s">
        <v>40</v>
      </c>
      <c r="G69" s="4" t="str">
        <f>IF(Tabel1[[#This Row],[Model]]="", "",INDEX(Tableau2[Equipment],MATCH(Tabel1[[#This Row],[Model]],Tableau2[Model],0)))</f>
        <v>Cat972G.2</v>
      </c>
      <c r="H69" s="4" t="s">
        <v>56</v>
      </c>
      <c r="I69" s="10" t="s">
        <v>57</v>
      </c>
      <c r="J69" s="35" t="s">
        <v>153</v>
      </c>
      <c r="K69" s="4">
        <v>5246135</v>
      </c>
      <c r="L69" s="9">
        <v>0.33333333333333331</v>
      </c>
      <c r="M69" s="9">
        <v>4.1666666666666664E-2</v>
      </c>
      <c r="N69" s="9">
        <v>0.70833333333333337</v>
      </c>
      <c r="O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9" s="21">
        <f>HOUR(Tabel1[[#This Row],[Total Hours]])+MINUTE(Tabel1[[#This Row],[Total Hours]])/60+SECOND(Tabel1[[#This Row],[Total Hours]])/3600</f>
        <v>8</v>
      </c>
      <c r="Q69" s="6">
        <f>Tabel1[[#This Row],[End Time]]+(Tabel1[[#This Row],[End Time]]&lt;Tabel1[[#This Row],[Start time]])</f>
        <v>0.70833333333333337</v>
      </c>
      <c r="R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9" s="6"/>
      <c r="T69" s="7"/>
    </row>
    <row r="70" spans="1:20" x14ac:dyDescent="0.3">
      <c r="A70" s="4"/>
      <c r="B70" s="4">
        <f t="shared" si="0"/>
        <v>63</v>
      </c>
      <c r="C70" s="4" t="str">
        <f>IFERROR(VLOOKUP(Tabel1[[#This Row],[Model]],Tableau2[[Model]:[Parking Number]],2,FALSE)," ")</f>
        <v>TD1</v>
      </c>
      <c r="D70" s="23">
        <v>45522</v>
      </c>
      <c r="E70" s="4" t="str">
        <f>IF(Tabel1[[#This Row],[Model]]="", "",INDEX(Tableau2[Equipment Type],MATCH(Tabel1[[#This Row],[Model]],Tableau2[Model],0)))</f>
        <v>Bulldozer</v>
      </c>
      <c r="F70" s="4" t="s">
        <v>70</v>
      </c>
      <c r="G70" s="4" t="str">
        <f>IF(Tabel1[[#This Row],[Model]]="", "",INDEX(Tableau2[Equipment],MATCH(Tabel1[[#This Row],[Model]],Tableau2[Model],0)))</f>
        <v>CATD8R.1</v>
      </c>
      <c r="H70" s="4" t="s">
        <v>56</v>
      </c>
      <c r="I70" s="10" t="s">
        <v>159</v>
      </c>
      <c r="J70" s="35" t="s">
        <v>153</v>
      </c>
      <c r="K70" s="4">
        <v>5092509</v>
      </c>
      <c r="L70" s="9">
        <v>0.41666666666666669</v>
      </c>
      <c r="M70" s="9">
        <v>4.1666666666666664E-2</v>
      </c>
      <c r="N70" s="9">
        <v>0.70833333333333337</v>
      </c>
      <c r="O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70" s="21">
        <f>HOUR(Tabel1[[#This Row],[Total Hours]])+MINUTE(Tabel1[[#This Row],[Total Hours]])/60+SECOND(Tabel1[[#This Row],[Total Hours]])/3600</f>
        <v>6</v>
      </c>
      <c r="Q70" s="6">
        <f>Tabel1[[#This Row],[End Time]]+(Tabel1[[#This Row],[End Time]]&lt;Tabel1[[#This Row],[Start time]])</f>
        <v>0.70833333333333337</v>
      </c>
      <c r="R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0" s="6"/>
      <c r="T70" s="7"/>
    </row>
    <row r="71" spans="1:20" x14ac:dyDescent="0.3">
      <c r="A71" s="4"/>
      <c r="B71" s="4">
        <f t="shared" si="0"/>
        <v>64</v>
      </c>
      <c r="C71" s="4" t="str">
        <f>IFERROR(VLOOKUP(Tabel1[[#This Row],[Model]],Tableau2[[Model]:[Parking Number]],2,FALSE)," ")</f>
        <v>FEL1</v>
      </c>
      <c r="D71" s="23">
        <v>45522</v>
      </c>
      <c r="E71" s="4" t="str">
        <f>IF(Tabel1[[#This Row],[Model]]="", "",INDEX(Tableau2[Equipment Type],MATCH(Tabel1[[#This Row],[Model]],Tableau2[Model],0)))</f>
        <v>Loader</v>
      </c>
      <c r="F71" s="4" t="s">
        <v>46</v>
      </c>
      <c r="G71" s="4" t="str">
        <f>IF(Tabel1[[#This Row],[Model]]="", "",INDEX(Tableau2[Equipment],MATCH(Tabel1[[#This Row],[Model]],Tableau2[Model],0)))</f>
        <v>Cat966H.1</v>
      </c>
      <c r="H71" s="4" t="s">
        <v>66</v>
      </c>
      <c r="I71" s="10" t="s">
        <v>160</v>
      </c>
      <c r="J71" s="35" t="s">
        <v>234</v>
      </c>
      <c r="K71" s="4">
        <v>5198487</v>
      </c>
      <c r="L71" s="9">
        <v>0.29166666666666669</v>
      </c>
      <c r="M71" s="9">
        <v>4.1666666666666664E-2</v>
      </c>
      <c r="N71" s="9">
        <v>0.79166666666666663</v>
      </c>
      <c r="O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71" s="21">
        <f>HOUR(Tabel1[[#This Row],[Total Hours]])+MINUTE(Tabel1[[#This Row],[Total Hours]])/60+SECOND(Tabel1[[#This Row],[Total Hours]])/3600</f>
        <v>11</v>
      </c>
      <c r="Q71" s="6">
        <f>Tabel1[[#This Row],[End Time]]+(Tabel1[[#This Row],[End Time]]&lt;Tabel1[[#This Row],[Start time]])</f>
        <v>0.79166666666666663</v>
      </c>
      <c r="R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1" s="6"/>
      <c r="T71" s="7"/>
    </row>
    <row r="72" spans="1:20" x14ac:dyDescent="0.3">
      <c r="A72" s="4"/>
      <c r="B72" s="4">
        <f t="shared" si="0"/>
        <v>65</v>
      </c>
      <c r="C72" s="4" t="str">
        <f>IFERROR(VLOOKUP(Tabel1[[#This Row],[Model]],Tableau2[[Model]:[Parking Number]],2,FALSE)," ")</f>
        <v>FEL1</v>
      </c>
      <c r="D72" s="23">
        <v>45522</v>
      </c>
      <c r="E72" s="4" t="str">
        <f>IF(Tabel1[[#This Row],[Model]]="", "",INDEX(Tableau2[Equipment Type],MATCH(Tabel1[[#This Row],[Model]],Tableau2[Model],0)))</f>
        <v>Loader</v>
      </c>
      <c r="F72" s="4" t="s">
        <v>46</v>
      </c>
      <c r="G72" s="4" t="str">
        <f>IF(Tabel1[[#This Row],[Model]]="", "",INDEX(Tableau2[Equipment],MATCH(Tabel1[[#This Row],[Model]],Tableau2[Model],0)))</f>
        <v>Cat966H.1</v>
      </c>
      <c r="H72" s="4" t="s">
        <v>66</v>
      </c>
      <c r="I72" s="10" t="s">
        <v>160</v>
      </c>
      <c r="J72" s="35" t="s">
        <v>234</v>
      </c>
      <c r="K72" s="4">
        <v>5198487</v>
      </c>
      <c r="L72" s="9">
        <v>0.79166666666666663</v>
      </c>
      <c r="M72" s="9">
        <v>0</v>
      </c>
      <c r="N72" s="9">
        <v>0.20833333333333334</v>
      </c>
      <c r="O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72" s="21">
        <f>HOUR(Tabel1[[#This Row],[Total Hours]])+MINUTE(Tabel1[[#This Row],[Total Hours]])/60+SECOND(Tabel1[[#This Row],[Total Hours]])/3600</f>
        <v>10</v>
      </c>
      <c r="Q72" s="6">
        <f>Tabel1[[#This Row],[End Time]]+(Tabel1[[#This Row],[End Time]]&lt;Tabel1[[#This Row],[Start time]])</f>
        <v>1.2083333333333333</v>
      </c>
      <c r="R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2" s="6"/>
      <c r="T72" s="7"/>
    </row>
    <row r="73" spans="1:20" x14ac:dyDescent="0.3">
      <c r="A73" s="4"/>
      <c r="B73" s="4">
        <f t="shared" ref="B73:B136" si="1">B72+1</f>
        <v>66</v>
      </c>
      <c r="C73" s="4" t="str">
        <f>IFERROR(VLOOKUP(Tabel1[[#This Row],[Model]],Tableau2[[Model]:[Parking Number]],2,FALSE)," ")</f>
        <v>TT17</v>
      </c>
      <c r="D73" s="23">
        <v>45522</v>
      </c>
      <c r="E73" s="4" t="str">
        <f>IF(Tabel1[[#This Row],[Model]]="", "",INDEX(Tableau2[Equipment Type],MATCH(Tabel1[[#This Row],[Model]],Tableau2[Model],0)))</f>
        <v>Tipper Truck</v>
      </c>
      <c r="F73" s="4" t="s">
        <v>51</v>
      </c>
      <c r="G73" s="4" t="str">
        <f>IF(Tabel1[[#This Row],[Model]]="", "",INDEX(Tableau2[Equipment],MATCH(Tabel1[[#This Row],[Model]],Tableau2[Model],0)))</f>
        <v>Tipper Truck 20m3 / F17</v>
      </c>
      <c r="H73" s="4" t="s">
        <v>66</v>
      </c>
      <c r="I73" s="10" t="s">
        <v>160</v>
      </c>
      <c r="J73" s="35" t="s">
        <v>234</v>
      </c>
      <c r="K73" s="4">
        <v>5198487</v>
      </c>
      <c r="L73" s="9">
        <v>0.29166666666666669</v>
      </c>
      <c r="M73" s="9">
        <v>4.1666666666666664E-2</v>
      </c>
      <c r="N73" s="9">
        <v>0.79166666666666663</v>
      </c>
      <c r="O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73" s="21">
        <f>HOUR(Tabel1[[#This Row],[Total Hours]])+MINUTE(Tabel1[[#This Row],[Total Hours]])/60+SECOND(Tabel1[[#This Row],[Total Hours]])/3600</f>
        <v>11</v>
      </c>
      <c r="Q73" s="6">
        <f>Tabel1[[#This Row],[End Time]]+(Tabel1[[#This Row],[End Time]]&lt;Tabel1[[#This Row],[Start time]])</f>
        <v>0.79166666666666663</v>
      </c>
      <c r="R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3" s="6"/>
      <c r="T73" s="7"/>
    </row>
    <row r="74" spans="1:20" x14ac:dyDescent="0.3">
      <c r="A74" s="4"/>
      <c r="B74" s="4">
        <f t="shared" si="1"/>
        <v>67</v>
      </c>
      <c r="C74" s="4" t="str">
        <f>IFERROR(VLOOKUP(Tabel1[[#This Row],[Model]],Tableau2[[Model]:[Parking Number]],2,FALSE)," ")</f>
        <v>WT8</v>
      </c>
      <c r="D74" s="23">
        <v>45522</v>
      </c>
      <c r="E74" s="4" t="str">
        <f>IF(Tabel1[[#This Row],[Model]]="", "",INDEX(Tableau2[Equipment Type],MATCH(Tabel1[[#This Row],[Model]],Tableau2[Model],0)))</f>
        <v>Water Truck</v>
      </c>
      <c r="F74" s="4" t="s">
        <v>52</v>
      </c>
      <c r="G74" s="4" t="str">
        <f>IF(Tabel1[[#This Row],[Model]]="", "",INDEX(Tableau2[Equipment],MATCH(Tabel1[[#This Row],[Model]],Tableau2[Model],0)))</f>
        <v>Water Truck 20T / WT08</v>
      </c>
      <c r="H74" s="4" t="s">
        <v>161</v>
      </c>
      <c r="I74" s="10" t="s">
        <v>162</v>
      </c>
      <c r="J74" s="35"/>
      <c r="K74" s="4">
        <v>5253778</v>
      </c>
      <c r="L74" s="9">
        <v>0.29166666666666669</v>
      </c>
      <c r="M74" s="9">
        <v>4.1666666666666664E-2</v>
      </c>
      <c r="N74" s="9">
        <v>0.70833333333333337</v>
      </c>
      <c r="O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74" s="21">
        <f>HOUR(Tabel1[[#This Row],[Total Hours]])+MINUTE(Tabel1[[#This Row],[Total Hours]])/60+SECOND(Tabel1[[#This Row],[Total Hours]])/3600</f>
        <v>9</v>
      </c>
      <c r="Q74" s="6">
        <f>Tabel1[[#This Row],[End Time]]+(Tabel1[[#This Row],[End Time]]&lt;Tabel1[[#This Row],[Start time]])</f>
        <v>0.70833333333333337</v>
      </c>
      <c r="R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4" s="6"/>
      <c r="T74" s="7"/>
    </row>
    <row r="75" spans="1:20" x14ac:dyDescent="0.3">
      <c r="A75" s="4"/>
      <c r="B75" s="4">
        <f t="shared" si="1"/>
        <v>68</v>
      </c>
      <c r="C75" s="4" t="str">
        <f>IFERROR(VLOOKUP(Tabel1[[#This Row],[Model]],Tableau2[[Model]:[Parking Number]],2,FALSE)," ")</f>
        <v>FEL2</v>
      </c>
      <c r="D75" s="23">
        <v>45522</v>
      </c>
      <c r="E75" s="4" t="str">
        <f>IF(Tabel1[[#This Row],[Model]]="", "",INDEX(Tableau2[Equipment Type],MATCH(Tabel1[[#This Row],[Model]],Tableau2[Model],0)))</f>
        <v>Loader</v>
      </c>
      <c r="F75" s="4" t="s">
        <v>42</v>
      </c>
      <c r="G75" s="4" t="str">
        <f>IF(Tabel1[[#This Row],[Model]]="", "",INDEX(Tableau2[Equipment],MATCH(Tabel1[[#This Row],[Model]],Tableau2[Model],0)))</f>
        <v>Cat966H.2</v>
      </c>
      <c r="H75" s="4" t="s">
        <v>171</v>
      </c>
      <c r="I75" s="10" t="s">
        <v>172</v>
      </c>
      <c r="J75" s="35"/>
      <c r="K75" s="4">
        <v>5246410</v>
      </c>
      <c r="L75" s="9">
        <v>0.375</v>
      </c>
      <c r="M75" s="9">
        <v>0</v>
      </c>
      <c r="N75" s="9">
        <v>0.45833333333333331</v>
      </c>
      <c r="O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75" s="21">
        <f>HOUR(Tabel1[[#This Row],[Total Hours]])+MINUTE(Tabel1[[#This Row],[Total Hours]])/60+SECOND(Tabel1[[#This Row],[Total Hours]])/3600</f>
        <v>2</v>
      </c>
      <c r="Q75" s="6">
        <f>Tabel1[[#This Row],[End Time]]+(Tabel1[[#This Row],[End Time]]&lt;Tabel1[[#This Row],[Start time]])</f>
        <v>0.45833333333333331</v>
      </c>
      <c r="R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5" s="6"/>
      <c r="T75" s="7"/>
    </row>
    <row r="76" spans="1:20" x14ac:dyDescent="0.3">
      <c r="A76" s="4"/>
      <c r="B76" s="4">
        <f t="shared" si="1"/>
        <v>69</v>
      </c>
      <c r="C76" s="4" t="str">
        <f>IFERROR(VLOOKUP(Tabel1[[#This Row],[Model]],Tableau2[[Model]:[Parking Number]],2,FALSE)," ")</f>
        <v>FEL2</v>
      </c>
      <c r="D76" s="23">
        <v>45522</v>
      </c>
      <c r="E76" s="4" t="str">
        <f>IF(Tabel1[[#This Row],[Model]]="", "",INDEX(Tableau2[Equipment Type],MATCH(Tabel1[[#This Row],[Model]],Tableau2[Model],0)))</f>
        <v>Loader</v>
      </c>
      <c r="F76" s="4" t="s">
        <v>42</v>
      </c>
      <c r="G76" s="4" t="str">
        <f>IF(Tabel1[[#This Row],[Model]]="", "",INDEX(Tableau2[Equipment],MATCH(Tabel1[[#This Row],[Model]],Tableau2[Model],0)))</f>
        <v>Cat966H.2</v>
      </c>
      <c r="H76" s="4" t="s">
        <v>171</v>
      </c>
      <c r="I76" s="10" t="s">
        <v>172</v>
      </c>
      <c r="J76" s="35"/>
      <c r="K76" s="4">
        <v>5246410</v>
      </c>
      <c r="L76" s="9">
        <v>0.58333333333333337</v>
      </c>
      <c r="M76" s="9">
        <v>0</v>
      </c>
      <c r="N76" s="9">
        <v>0.70833333333333337</v>
      </c>
      <c r="O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76" s="21">
        <f>HOUR(Tabel1[[#This Row],[Total Hours]])+MINUTE(Tabel1[[#This Row],[Total Hours]])/60+SECOND(Tabel1[[#This Row],[Total Hours]])/3600</f>
        <v>3</v>
      </c>
      <c r="Q76" s="6">
        <f>Tabel1[[#This Row],[End Time]]+(Tabel1[[#This Row],[End Time]]&lt;Tabel1[[#This Row],[Start time]])</f>
        <v>0.70833333333333337</v>
      </c>
      <c r="R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6" s="6"/>
      <c r="T76" s="7"/>
    </row>
    <row r="77" spans="1:20" x14ac:dyDescent="0.3">
      <c r="A77" s="4"/>
      <c r="B77" s="4">
        <f t="shared" si="1"/>
        <v>70</v>
      </c>
      <c r="C77" s="4" t="str">
        <f>IFERROR(VLOOKUP(Tabel1[[#This Row],[Model]],Tableau2[[Model]:[Parking Number]],2,FALSE)," ")</f>
        <v>TT87</v>
      </c>
      <c r="D77" s="23">
        <v>45522</v>
      </c>
      <c r="E77" s="4" t="str">
        <f>IF(Tabel1[[#This Row],[Model]]="", "",INDEX(Tableau2[Equipment Type],MATCH(Tabel1[[#This Row],[Model]],Tableau2[Model],0)))</f>
        <v>Tipper Truck</v>
      </c>
      <c r="F77" s="4" t="s">
        <v>79</v>
      </c>
      <c r="G77" s="4" t="str">
        <f>IF(Tabel1[[#This Row],[Model]]="", "",INDEX(Tableau2[Equipment],MATCH(Tabel1[[#This Row],[Model]],Tableau2[Model],0)))</f>
        <v>Tipper Truck 20m3 / F87</v>
      </c>
      <c r="H77" s="4" t="s">
        <v>177</v>
      </c>
      <c r="I77" s="10" t="s">
        <v>178</v>
      </c>
      <c r="J77" s="35"/>
      <c r="K77" s="4">
        <v>5240419</v>
      </c>
      <c r="L77" s="9">
        <v>0.375</v>
      </c>
      <c r="M77" s="9">
        <v>4.1666666666666664E-2</v>
      </c>
      <c r="N77" s="9">
        <v>0.66666666666666663</v>
      </c>
      <c r="O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P77" s="21">
        <f>HOUR(Tabel1[[#This Row],[Total Hours]])+MINUTE(Tabel1[[#This Row],[Total Hours]])/60+SECOND(Tabel1[[#This Row],[Total Hours]])/3600</f>
        <v>6</v>
      </c>
      <c r="Q77" s="6">
        <f>Tabel1[[#This Row],[End Time]]+(Tabel1[[#This Row],[End Time]]&lt;Tabel1[[#This Row],[Start time]])</f>
        <v>0.66666666666666663</v>
      </c>
      <c r="R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7" s="6"/>
      <c r="T77" s="7"/>
    </row>
    <row r="78" spans="1:20" x14ac:dyDescent="0.3">
      <c r="A78" s="4"/>
      <c r="B78" s="4">
        <f t="shared" si="1"/>
        <v>71</v>
      </c>
      <c r="C78" s="4" t="str">
        <f>IFERROR(VLOOKUP(Tabel1[[#This Row],[Model]],Tableau2[[Model]:[Parking Number]],2,FALSE)," ")</f>
        <v>EX2</v>
      </c>
      <c r="D78" s="23">
        <v>45522</v>
      </c>
      <c r="E78" s="4" t="str">
        <f>IF(Tabel1[[#This Row],[Model]]="", "",INDEX(Tableau2[Equipment Type],MATCH(Tabel1[[#This Row],[Model]],Tableau2[Model],0)))</f>
        <v>Excavator</v>
      </c>
      <c r="F78" s="4" t="s">
        <v>157</v>
      </c>
      <c r="G78" s="4" t="str">
        <f>IF(Tabel1[[#This Row],[Model]]="", "",INDEX(Tableau2[Equipment],MATCH(Tabel1[[#This Row],[Model]],Tableau2[Model],0)))</f>
        <v>CAT320E.2</v>
      </c>
      <c r="H78" s="4" t="s">
        <v>179</v>
      </c>
      <c r="I78" s="10" t="s">
        <v>176</v>
      </c>
      <c r="J78" s="35"/>
      <c r="K78" s="4">
        <v>5252655</v>
      </c>
      <c r="L78" s="9">
        <v>0.33333333333333331</v>
      </c>
      <c r="M78" s="9">
        <v>0</v>
      </c>
      <c r="N78" s="9">
        <v>0.41666666666666669</v>
      </c>
      <c r="O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78" s="21">
        <f>HOUR(Tabel1[[#This Row],[Total Hours]])+MINUTE(Tabel1[[#This Row],[Total Hours]])/60+SECOND(Tabel1[[#This Row],[Total Hours]])/3600</f>
        <v>2</v>
      </c>
      <c r="Q78" s="6">
        <f>Tabel1[[#This Row],[End Time]]+(Tabel1[[#This Row],[End Time]]&lt;Tabel1[[#This Row],[Start time]])</f>
        <v>0.41666666666666669</v>
      </c>
      <c r="R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8" s="6"/>
      <c r="T78" s="7"/>
    </row>
    <row r="79" spans="1:20" x14ac:dyDescent="0.3">
      <c r="A79" s="4"/>
      <c r="B79" s="4">
        <f t="shared" si="1"/>
        <v>72</v>
      </c>
      <c r="C79" s="4" t="str">
        <f>IFERROR(VLOOKUP(Tabel1[[#This Row],[Model]],Tableau2[[Model]:[Parking Number]],2,FALSE)," ")</f>
        <v>WT1</v>
      </c>
      <c r="D79" s="23">
        <v>45523</v>
      </c>
      <c r="E79" s="4" t="str">
        <f>IF(Tabel1[[#This Row],[Model]]="", "",INDEX(Tableau2[Equipment Type],MATCH(Tabel1[[#This Row],[Model]],Tableau2[Model],0)))</f>
        <v>Water Truck</v>
      </c>
      <c r="F79" s="4" t="s">
        <v>47</v>
      </c>
      <c r="G79" s="4" t="str">
        <f>IF(Tabel1[[#This Row],[Model]]="", "",INDEX(Tableau2[Equipment],MATCH(Tabel1[[#This Row],[Model]],Tableau2[Model],0)))</f>
        <v>Water Truck 20T / 1924.1</v>
      </c>
      <c r="H79" s="4" t="s">
        <v>56</v>
      </c>
      <c r="I79" s="10" t="s">
        <v>57</v>
      </c>
      <c r="J79" s="35" t="s">
        <v>153</v>
      </c>
      <c r="K79" s="4">
        <v>5246135</v>
      </c>
      <c r="L79" s="9">
        <v>0.33333333333333331</v>
      </c>
      <c r="M79" s="9">
        <v>4.1666666666666664E-2</v>
      </c>
      <c r="N79" s="9">
        <v>0.70833333333333337</v>
      </c>
      <c r="O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79" s="21">
        <f>HOUR(Tabel1[[#This Row],[Total Hours]])+MINUTE(Tabel1[[#This Row],[Total Hours]])/60+SECOND(Tabel1[[#This Row],[Total Hours]])/3600</f>
        <v>8</v>
      </c>
      <c r="Q79" s="6">
        <f>Tabel1[[#This Row],[End Time]]+(Tabel1[[#This Row],[End Time]]&lt;Tabel1[[#This Row],[Start time]])</f>
        <v>0.70833333333333337</v>
      </c>
      <c r="R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9" s="6"/>
      <c r="T79" s="7"/>
    </row>
    <row r="80" spans="1:20" x14ac:dyDescent="0.3">
      <c r="A80" s="4"/>
      <c r="B80" s="4">
        <f t="shared" si="1"/>
        <v>73</v>
      </c>
      <c r="C80" s="4" t="str">
        <f>IFERROR(VLOOKUP(Tabel1[[#This Row],[Model]],Tableau2[[Model]:[Parking Number]],2,FALSE)," ")</f>
        <v>WT2</v>
      </c>
      <c r="D80" s="23">
        <v>45523</v>
      </c>
      <c r="E80" s="4" t="str">
        <f>IF(Tabel1[[#This Row],[Model]]="", "",INDEX(Tableau2[Equipment Type],MATCH(Tabel1[[#This Row],[Model]],Tableau2[Model],0)))</f>
        <v>Water Truck</v>
      </c>
      <c r="F80" s="4" t="s">
        <v>48</v>
      </c>
      <c r="G80" s="4" t="str">
        <f>IF(Tabel1[[#This Row],[Model]]="", "",INDEX(Tableau2[Equipment],MATCH(Tabel1[[#This Row],[Model]],Tableau2[Model],0)))</f>
        <v>Water Truck 20T / 1924.2</v>
      </c>
      <c r="H80" s="4" t="s">
        <v>56</v>
      </c>
      <c r="I80" s="10" t="s">
        <v>57</v>
      </c>
      <c r="J80" s="35" t="s">
        <v>153</v>
      </c>
      <c r="K80" s="4">
        <v>5246135</v>
      </c>
      <c r="L80" s="9">
        <v>0.33333333333333331</v>
      </c>
      <c r="M80" s="9">
        <v>4.1666666666666664E-2</v>
      </c>
      <c r="N80" s="9">
        <v>0.70833333333333337</v>
      </c>
      <c r="O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0" s="21">
        <f>HOUR(Tabel1[[#This Row],[Total Hours]])+MINUTE(Tabel1[[#This Row],[Total Hours]])/60+SECOND(Tabel1[[#This Row],[Total Hours]])/3600</f>
        <v>8</v>
      </c>
      <c r="Q80" s="6">
        <f>Tabel1[[#This Row],[End Time]]+(Tabel1[[#This Row],[End Time]]&lt;Tabel1[[#This Row],[Start time]])</f>
        <v>0.70833333333333337</v>
      </c>
      <c r="R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0" s="6"/>
      <c r="T80" s="7"/>
    </row>
    <row r="81" spans="1:20" x14ac:dyDescent="0.3">
      <c r="A81" s="4"/>
      <c r="B81" s="4">
        <f t="shared" si="1"/>
        <v>74</v>
      </c>
      <c r="C81" s="4" t="str">
        <f>IFERROR(VLOOKUP(Tabel1[[#This Row],[Model]],Tableau2[[Model]:[Parking Number]],2,FALSE)," ")</f>
        <v>WT3</v>
      </c>
      <c r="D81" s="23">
        <v>45523</v>
      </c>
      <c r="E81" s="4" t="str">
        <f>IF(Tabel1[[#This Row],[Model]]="", "",INDEX(Tableau2[Equipment Type],MATCH(Tabel1[[#This Row],[Model]],Tableau2[Model],0)))</f>
        <v>Water Truck</v>
      </c>
      <c r="F81" s="4" t="s">
        <v>49</v>
      </c>
      <c r="G81" s="4" t="str">
        <f>IF(Tabel1[[#This Row],[Model]]="", "",INDEX(Tableau2[Equipment],MATCH(Tabel1[[#This Row],[Model]],Tableau2[Model],0)))</f>
        <v>Water Truck 20T / 1924.3</v>
      </c>
      <c r="H81" s="4" t="s">
        <v>56</v>
      </c>
      <c r="I81" s="10" t="s">
        <v>57</v>
      </c>
      <c r="J81" s="35" t="s">
        <v>153</v>
      </c>
      <c r="K81" s="4">
        <v>5246135</v>
      </c>
      <c r="L81" s="9">
        <v>0.33333333333333331</v>
      </c>
      <c r="M81" s="9">
        <v>4.1666666666666664E-2</v>
      </c>
      <c r="N81" s="9">
        <v>0.70833333333333337</v>
      </c>
      <c r="O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1" s="21">
        <f>HOUR(Tabel1[[#This Row],[Total Hours]])+MINUTE(Tabel1[[#This Row],[Total Hours]])/60+SECOND(Tabel1[[#This Row],[Total Hours]])/3600</f>
        <v>8</v>
      </c>
      <c r="Q81" s="6">
        <f>Tabel1[[#This Row],[End Time]]+(Tabel1[[#This Row],[End Time]]&lt;Tabel1[[#This Row],[Start time]])</f>
        <v>0.70833333333333337</v>
      </c>
      <c r="R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1" s="6"/>
      <c r="T81" s="7"/>
    </row>
    <row r="82" spans="1:20" x14ac:dyDescent="0.3">
      <c r="A82" s="4"/>
      <c r="B82" s="4">
        <f t="shared" si="1"/>
        <v>75</v>
      </c>
      <c r="C82" s="4" t="str">
        <f>IFERROR(VLOOKUP(Tabel1[[#This Row],[Model]],Tableau2[[Model]:[Parking Number]],2,FALSE)," ")</f>
        <v>WT9</v>
      </c>
      <c r="D82" s="23">
        <v>45523</v>
      </c>
      <c r="E82" s="4" t="str">
        <f>IF(Tabel1[[#This Row],[Model]]="", "",INDEX(Tableau2[Equipment Type],MATCH(Tabel1[[#This Row],[Model]],Tableau2[Model],0)))</f>
        <v>Water Truck</v>
      </c>
      <c r="F82" s="4" t="s">
        <v>50</v>
      </c>
      <c r="G82" s="4" t="str">
        <f>IF(Tabel1[[#This Row],[Model]]="", "",INDEX(Tableau2[Equipment],MATCH(Tabel1[[#This Row],[Model]],Tableau2[Model],0)))</f>
        <v>Water Truck 20T / WT09</v>
      </c>
      <c r="H82" s="4" t="s">
        <v>56</v>
      </c>
      <c r="I82" s="10" t="s">
        <v>57</v>
      </c>
      <c r="J82" s="35" t="s">
        <v>153</v>
      </c>
      <c r="K82" s="4">
        <v>5246135</v>
      </c>
      <c r="L82" s="9">
        <v>0.33333333333333331</v>
      </c>
      <c r="M82" s="9">
        <v>4.1666666666666664E-2</v>
      </c>
      <c r="N82" s="9">
        <v>0.70833333333333337</v>
      </c>
      <c r="O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2" s="21">
        <f>HOUR(Tabel1[[#This Row],[Total Hours]])+MINUTE(Tabel1[[#This Row],[Total Hours]])/60+SECOND(Tabel1[[#This Row],[Total Hours]])/3600</f>
        <v>8</v>
      </c>
      <c r="Q82" s="6">
        <f>Tabel1[[#This Row],[End Time]]+(Tabel1[[#This Row],[End Time]]&lt;Tabel1[[#This Row],[Start time]])</f>
        <v>0.70833333333333337</v>
      </c>
      <c r="R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2" s="6"/>
      <c r="T82" s="7"/>
    </row>
    <row r="83" spans="1:20" x14ac:dyDescent="0.3">
      <c r="A83" s="4"/>
      <c r="B83" s="4">
        <f t="shared" si="1"/>
        <v>76</v>
      </c>
      <c r="C83" s="4" t="str">
        <f>IFERROR(VLOOKUP(Tabel1[[#This Row],[Model]],Tableau2[[Model]:[Parking Number]],2,FALSE)," ")</f>
        <v>GR1</v>
      </c>
      <c r="D83" s="23">
        <v>45523</v>
      </c>
      <c r="E83" s="4" t="str">
        <f>IF(Tabel1[[#This Row],[Model]]="", "",INDEX(Tableau2[Equipment Type],MATCH(Tabel1[[#This Row],[Model]],Tableau2[Model],0)))</f>
        <v>Grader</v>
      </c>
      <c r="F83" s="4" t="s">
        <v>63</v>
      </c>
      <c r="G83" s="4" t="str">
        <f>IF(Tabel1[[#This Row],[Model]]="", "",INDEX(Tableau2[Equipment],MATCH(Tabel1[[#This Row],[Model]],Tableau2[Model],0)))</f>
        <v>CAT12K.1</v>
      </c>
      <c r="H83" s="4" t="s">
        <v>56</v>
      </c>
      <c r="I83" s="10" t="s">
        <v>57</v>
      </c>
      <c r="J83" s="35" t="s">
        <v>153</v>
      </c>
      <c r="K83" s="4">
        <v>5246135</v>
      </c>
      <c r="L83" s="9">
        <v>0.33333333333333331</v>
      </c>
      <c r="M83" s="9">
        <v>4.1666666666666664E-2</v>
      </c>
      <c r="N83" s="9">
        <v>0.70833333333333337</v>
      </c>
      <c r="O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3" s="21">
        <f>HOUR(Tabel1[[#This Row],[Total Hours]])+MINUTE(Tabel1[[#This Row],[Total Hours]])/60+SECOND(Tabel1[[#This Row],[Total Hours]])/3600</f>
        <v>8</v>
      </c>
      <c r="Q83" s="6">
        <f>Tabel1[[#This Row],[End Time]]+(Tabel1[[#This Row],[End Time]]&lt;Tabel1[[#This Row],[Start time]])</f>
        <v>0.70833333333333337</v>
      </c>
      <c r="R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3" s="6"/>
      <c r="T83" s="7"/>
    </row>
    <row r="84" spans="1:20" x14ac:dyDescent="0.3">
      <c r="A84" s="4"/>
      <c r="B84" s="4">
        <f t="shared" si="1"/>
        <v>77</v>
      </c>
      <c r="C84" s="4" t="str">
        <f>IFERROR(VLOOKUP(Tabel1[[#This Row],[Model]],Tableau2[[Model]:[Parking Number]],2,FALSE)," ")</f>
        <v>GR2</v>
      </c>
      <c r="D84" s="23">
        <v>45523</v>
      </c>
      <c r="E84" s="4" t="str">
        <f>IF(Tabel1[[#This Row],[Model]]="", "",INDEX(Tableau2[Equipment Type],MATCH(Tabel1[[#This Row],[Model]],Tableau2[Model],0)))</f>
        <v>Grader</v>
      </c>
      <c r="F84" s="4" t="s">
        <v>39</v>
      </c>
      <c r="G84" s="4" t="str">
        <f>IF(Tabel1[[#This Row],[Model]]="", "",INDEX(Tableau2[Equipment],MATCH(Tabel1[[#This Row],[Model]],Tableau2[Model],0)))</f>
        <v>CAT12K.2</v>
      </c>
      <c r="H84" s="4" t="s">
        <v>56</v>
      </c>
      <c r="I84" s="10" t="s">
        <v>57</v>
      </c>
      <c r="J84" s="35" t="s">
        <v>153</v>
      </c>
      <c r="K84" s="4">
        <v>5246135</v>
      </c>
      <c r="L84" s="9">
        <v>0.33333333333333331</v>
      </c>
      <c r="M84" s="9">
        <v>4.1666666666666664E-2</v>
      </c>
      <c r="N84" s="9">
        <v>0.70833333333333337</v>
      </c>
      <c r="O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4" s="21">
        <f>HOUR(Tabel1[[#This Row],[Total Hours]])+MINUTE(Tabel1[[#This Row],[Total Hours]])/60+SECOND(Tabel1[[#This Row],[Total Hours]])/3600</f>
        <v>8</v>
      </c>
      <c r="Q84" s="6">
        <f>Tabel1[[#This Row],[End Time]]+(Tabel1[[#This Row],[End Time]]&lt;Tabel1[[#This Row],[Start time]])</f>
        <v>0.70833333333333337</v>
      </c>
      <c r="R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4" s="6"/>
      <c r="T84" s="7"/>
    </row>
    <row r="85" spans="1:20" x14ac:dyDescent="0.3">
      <c r="A85" s="4"/>
      <c r="B85" s="4">
        <f t="shared" si="1"/>
        <v>78</v>
      </c>
      <c r="C85" s="4" t="str">
        <f>IFERROR(VLOOKUP(Tabel1[[#This Row],[Model]],Tableau2[[Model]:[Parking Number]],2,FALSE)," ")</f>
        <v>FEL4</v>
      </c>
      <c r="D85" s="23">
        <v>45523</v>
      </c>
      <c r="E85" s="4" t="str">
        <f>IF(Tabel1[[#This Row],[Model]]="", "",INDEX(Tableau2[Equipment Type],MATCH(Tabel1[[#This Row],[Model]],Tableau2[Model],0)))</f>
        <v>Loader</v>
      </c>
      <c r="F85" s="4" t="s">
        <v>40</v>
      </c>
      <c r="G85" s="4" t="str">
        <f>IF(Tabel1[[#This Row],[Model]]="", "",INDEX(Tableau2[Equipment],MATCH(Tabel1[[#This Row],[Model]],Tableau2[Model],0)))</f>
        <v>Cat972G.2</v>
      </c>
      <c r="H85" s="4" t="s">
        <v>56</v>
      </c>
      <c r="I85" s="10" t="s">
        <v>57</v>
      </c>
      <c r="J85" s="35" t="s">
        <v>153</v>
      </c>
      <c r="K85" s="4">
        <v>5246135</v>
      </c>
      <c r="L85" s="9">
        <v>0.33333333333333331</v>
      </c>
      <c r="M85" s="9">
        <v>4.1666666666666664E-2</v>
      </c>
      <c r="N85" s="9">
        <v>0.70833333333333337</v>
      </c>
      <c r="O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5" s="21">
        <f>HOUR(Tabel1[[#This Row],[Total Hours]])+MINUTE(Tabel1[[#This Row],[Total Hours]])/60+SECOND(Tabel1[[#This Row],[Total Hours]])/3600</f>
        <v>8</v>
      </c>
      <c r="Q85" s="6">
        <f>Tabel1[[#This Row],[End Time]]+(Tabel1[[#This Row],[End Time]]&lt;Tabel1[[#This Row],[Start time]])</f>
        <v>0.70833333333333337</v>
      </c>
      <c r="R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5" s="6"/>
      <c r="T85" s="7"/>
    </row>
    <row r="86" spans="1:20" x14ac:dyDescent="0.3">
      <c r="A86" s="4"/>
      <c r="B86" s="4">
        <f t="shared" si="1"/>
        <v>79</v>
      </c>
      <c r="C86" s="4" t="str">
        <f>IFERROR(VLOOKUP(Tabel1[[#This Row],[Model]],Tableau2[[Model]:[Parking Number]],2,FALSE)," ")</f>
        <v>TD1</v>
      </c>
      <c r="D86" s="23">
        <v>45523</v>
      </c>
      <c r="E86" s="4" t="str">
        <f>IF(Tabel1[[#This Row],[Model]]="", "",INDEX(Tableau2[Equipment Type],MATCH(Tabel1[[#This Row],[Model]],Tableau2[Model],0)))</f>
        <v>Bulldozer</v>
      </c>
      <c r="F86" s="4" t="s">
        <v>70</v>
      </c>
      <c r="G86" s="4" t="str">
        <f>IF(Tabel1[[#This Row],[Model]]="", "",INDEX(Tableau2[Equipment],MATCH(Tabel1[[#This Row],[Model]],Tableau2[Model],0)))</f>
        <v>CATD8R.1</v>
      </c>
      <c r="H86" s="4" t="s">
        <v>56</v>
      </c>
      <c r="I86" s="10" t="s">
        <v>159</v>
      </c>
      <c r="J86" s="35" t="s">
        <v>153</v>
      </c>
      <c r="K86" s="4">
        <v>5092509</v>
      </c>
      <c r="L86" s="9">
        <v>0.33333333333333331</v>
      </c>
      <c r="M86" s="9">
        <v>4.1666666666666664E-2</v>
      </c>
      <c r="N86" s="9">
        <v>0.70833333333333337</v>
      </c>
      <c r="O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6" s="21">
        <f>HOUR(Tabel1[[#This Row],[Total Hours]])+MINUTE(Tabel1[[#This Row],[Total Hours]])/60+SECOND(Tabel1[[#This Row],[Total Hours]])/3600</f>
        <v>8</v>
      </c>
      <c r="Q86" s="6">
        <f>Tabel1[[#This Row],[End Time]]+(Tabel1[[#This Row],[End Time]]&lt;Tabel1[[#This Row],[Start time]])</f>
        <v>0.70833333333333337</v>
      </c>
      <c r="R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6" s="6"/>
      <c r="T86" s="7"/>
    </row>
    <row r="87" spans="1:20" x14ac:dyDescent="0.3">
      <c r="A87" s="4"/>
      <c r="B87" s="4">
        <f t="shared" si="1"/>
        <v>80</v>
      </c>
      <c r="C87" s="4" t="str">
        <f>IFERROR(VLOOKUP(Tabel1[[#This Row],[Model]],Tableau2[[Model]:[Parking Number]],2,FALSE)," ")</f>
        <v>FEL1</v>
      </c>
      <c r="D87" s="23">
        <v>45523</v>
      </c>
      <c r="E87" s="4" t="str">
        <f>IF(Tabel1[[#This Row],[Model]]="", "",INDEX(Tableau2[Equipment Type],MATCH(Tabel1[[#This Row],[Model]],Tableau2[Model],0)))</f>
        <v>Loader</v>
      </c>
      <c r="F87" s="4" t="s">
        <v>46</v>
      </c>
      <c r="G87" s="4" t="str">
        <f>IF(Tabel1[[#This Row],[Model]]="", "",INDEX(Tableau2[Equipment],MATCH(Tabel1[[#This Row],[Model]],Tableau2[Model],0)))</f>
        <v>Cat966H.1</v>
      </c>
      <c r="H87" s="4" t="s">
        <v>66</v>
      </c>
      <c r="I87" s="10" t="s">
        <v>160</v>
      </c>
      <c r="J87" s="35" t="s">
        <v>234</v>
      </c>
      <c r="K87" s="4">
        <v>5198487</v>
      </c>
      <c r="L87" s="9">
        <v>0.29166666666666669</v>
      </c>
      <c r="M87" s="9">
        <v>4.1666666666666664E-2</v>
      </c>
      <c r="N87" s="9">
        <v>0.79166666666666663</v>
      </c>
      <c r="O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87" s="21">
        <f>HOUR(Tabel1[[#This Row],[Total Hours]])+MINUTE(Tabel1[[#This Row],[Total Hours]])/60+SECOND(Tabel1[[#This Row],[Total Hours]])/3600</f>
        <v>11</v>
      </c>
      <c r="Q87" s="6">
        <f>Tabel1[[#This Row],[End Time]]+(Tabel1[[#This Row],[End Time]]&lt;Tabel1[[#This Row],[Start time]])</f>
        <v>0.79166666666666663</v>
      </c>
      <c r="R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7" s="6"/>
      <c r="T87" s="7"/>
    </row>
    <row r="88" spans="1:20" x14ac:dyDescent="0.3">
      <c r="A88" s="4"/>
      <c r="B88" s="4">
        <f t="shared" si="1"/>
        <v>81</v>
      </c>
      <c r="C88" s="4" t="str">
        <f>IFERROR(VLOOKUP(Tabel1[[#This Row],[Model]],Tableau2[[Model]:[Parking Number]],2,FALSE)," ")</f>
        <v>FEL1</v>
      </c>
      <c r="D88" s="23">
        <v>45523</v>
      </c>
      <c r="E88" s="4" t="str">
        <f>IF(Tabel1[[#This Row],[Model]]="", "",INDEX(Tableau2[Equipment Type],MATCH(Tabel1[[#This Row],[Model]],Tableau2[Model],0)))</f>
        <v>Loader</v>
      </c>
      <c r="F88" s="4" t="s">
        <v>46</v>
      </c>
      <c r="G88" s="4" t="str">
        <f>IF(Tabel1[[#This Row],[Model]]="", "",INDEX(Tableau2[Equipment],MATCH(Tabel1[[#This Row],[Model]],Tableau2[Model],0)))</f>
        <v>Cat966H.1</v>
      </c>
      <c r="H88" s="4" t="s">
        <v>66</v>
      </c>
      <c r="I88" s="10" t="s">
        <v>160</v>
      </c>
      <c r="J88" s="35" t="s">
        <v>234</v>
      </c>
      <c r="K88" s="4">
        <v>5198487</v>
      </c>
      <c r="L88" s="9">
        <v>0.79166666666666663</v>
      </c>
      <c r="M88" s="9">
        <v>0</v>
      </c>
      <c r="N88" s="9">
        <v>0.20833333333333334</v>
      </c>
      <c r="O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88" s="21">
        <f>HOUR(Tabel1[[#This Row],[Total Hours]])+MINUTE(Tabel1[[#This Row],[Total Hours]])/60+SECOND(Tabel1[[#This Row],[Total Hours]])/3600</f>
        <v>10</v>
      </c>
      <c r="Q88" s="6">
        <f>Tabel1[[#This Row],[End Time]]+(Tabel1[[#This Row],[End Time]]&lt;Tabel1[[#This Row],[Start time]])</f>
        <v>1.2083333333333333</v>
      </c>
      <c r="R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8" s="6"/>
      <c r="T88" s="7"/>
    </row>
    <row r="89" spans="1:20" x14ac:dyDescent="0.3">
      <c r="A89" s="4"/>
      <c r="B89" s="4">
        <f t="shared" si="1"/>
        <v>82</v>
      </c>
      <c r="C89" s="4" t="str">
        <f>IFERROR(VLOOKUP(Tabel1[[#This Row],[Model]],Tableau2[[Model]:[Parking Number]],2,FALSE)," ")</f>
        <v>TT17</v>
      </c>
      <c r="D89" s="23">
        <v>45523</v>
      </c>
      <c r="E89" s="4" t="str">
        <f>IF(Tabel1[[#This Row],[Model]]="", "",INDEX(Tableau2[Equipment Type],MATCH(Tabel1[[#This Row],[Model]],Tableau2[Model],0)))</f>
        <v>Tipper Truck</v>
      </c>
      <c r="F89" s="4" t="s">
        <v>51</v>
      </c>
      <c r="G89" s="4" t="str">
        <f>IF(Tabel1[[#This Row],[Model]]="", "",INDEX(Tableau2[Equipment],MATCH(Tabel1[[#This Row],[Model]],Tableau2[Model],0)))</f>
        <v>Tipper Truck 20m3 / F17</v>
      </c>
      <c r="H89" s="4" t="s">
        <v>66</v>
      </c>
      <c r="I89" s="10" t="s">
        <v>160</v>
      </c>
      <c r="J89" s="35" t="s">
        <v>234</v>
      </c>
      <c r="K89" s="4">
        <v>5198487</v>
      </c>
      <c r="L89" s="9">
        <v>0.29166666666666669</v>
      </c>
      <c r="M89" s="9">
        <v>4.1666666666666664E-2</v>
      </c>
      <c r="N89" s="9">
        <v>0.79166666666666663</v>
      </c>
      <c r="O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89" s="21">
        <f>HOUR(Tabel1[[#This Row],[Total Hours]])+MINUTE(Tabel1[[#This Row],[Total Hours]])/60+SECOND(Tabel1[[#This Row],[Total Hours]])/3600</f>
        <v>11</v>
      </c>
      <c r="Q89" s="6">
        <f>Tabel1[[#This Row],[End Time]]+(Tabel1[[#This Row],[End Time]]&lt;Tabel1[[#This Row],[Start time]])</f>
        <v>0.79166666666666663</v>
      </c>
      <c r="R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9" s="6"/>
      <c r="T89" s="7"/>
    </row>
    <row r="90" spans="1:20" x14ac:dyDescent="0.3">
      <c r="A90" s="4"/>
      <c r="B90" s="4">
        <f t="shared" si="1"/>
        <v>83</v>
      </c>
      <c r="C90" s="4" t="str">
        <f>IFERROR(VLOOKUP(Tabel1[[#This Row],[Model]],Tableau2[[Model]:[Parking Number]],2,FALSE)," ")</f>
        <v>WT8</v>
      </c>
      <c r="D90" s="23">
        <v>45523</v>
      </c>
      <c r="E90" s="4" t="str">
        <f>IF(Tabel1[[#This Row],[Model]]="", "",INDEX(Tableau2[Equipment Type],MATCH(Tabel1[[#This Row],[Model]],Tableau2[Model],0)))</f>
        <v>Water Truck</v>
      </c>
      <c r="F90" s="4" t="s">
        <v>52</v>
      </c>
      <c r="G90" s="4" t="str">
        <f>IF(Tabel1[[#This Row],[Model]]="", "",INDEX(Tableau2[Equipment],MATCH(Tabel1[[#This Row],[Model]],Tableau2[Model],0)))</f>
        <v>Water Truck 20T / WT08</v>
      </c>
      <c r="H90" s="4" t="s">
        <v>161</v>
      </c>
      <c r="I90" s="10" t="s">
        <v>162</v>
      </c>
      <c r="J90" s="35"/>
      <c r="K90" s="4">
        <v>5253778</v>
      </c>
      <c r="L90" s="9">
        <v>0.29166666666666669</v>
      </c>
      <c r="M90" s="9">
        <v>4.1666666666666664E-2</v>
      </c>
      <c r="N90" s="9">
        <v>0.70833333333333337</v>
      </c>
      <c r="O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90" s="21">
        <f>HOUR(Tabel1[[#This Row],[Total Hours]])+MINUTE(Tabel1[[#This Row],[Total Hours]])/60+SECOND(Tabel1[[#This Row],[Total Hours]])/3600</f>
        <v>9</v>
      </c>
      <c r="Q90" s="6">
        <f>Tabel1[[#This Row],[End Time]]+(Tabel1[[#This Row],[End Time]]&lt;Tabel1[[#This Row],[Start time]])</f>
        <v>0.70833333333333337</v>
      </c>
      <c r="R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0" s="6"/>
      <c r="T90" s="7"/>
    </row>
    <row r="91" spans="1:20" x14ac:dyDescent="0.3">
      <c r="A91" s="4"/>
      <c r="B91" s="4">
        <f t="shared" si="1"/>
        <v>84</v>
      </c>
      <c r="C91" s="4" t="str">
        <f>IFERROR(VLOOKUP(Tabel1[[#This Row],[Model]],Tableau2[[Model]:[Parking Number]],2,FALSE)," ")</f>
        <v>FEL2</v>
      </c>
      <c r="D91" s="23">
        <v>45523</v>
      </c>
      <c r="E91" s="4" t="str">
        <f>IF(Tabel1[[#This Row],[Model]]="", "",INDEX(Tableau2[Equipment Type],MATCH(Tabel1[[#This Row],[Model]],Tableau2[Model],0)))</f>
        <v>Loader</v>
      </c>
      <c r="F91" s="4" t="s">
        <v>42</v>
      </c>
      <c r="G91" s="4" t="str">
        <f>IF(Tabel1[[#This Row],[Model]]="", "",INDEX(Tableau2[Equipment],MATCH(Tabel1[[#This Row],[Model]],Tableau2[Model],0)))</f>
        <v>Cat966H.2</v>
      </c>
      <c r="H91" s="4" t="s">
        <v>180</v>
      </c>
      <c r="I91" s="10" t="s">
        <v>181</v>
      </c>
      <c r="J91" s="35"/>
      <c r="K91" s="4">
        <v>5253954</v>
      </c>
      <c r="L91" s="9">
        <v>0.41666666666666669</v>
      </c>
      <c r="M91" s="9">
        <v>0</v>
      </c>
      <c r="N91" s="9">
        <v>0.54166666666666663</v>
      </c>
      <c r="O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P91" s="21">
        <f>HOUR(Tabel1[[#This Row],[Total Hours]])+MINUTE(Tabel1[[#This Row],[Total Hours]])/60+SECOND(Tabel1[[#This Row],[Total Hours]])/3600</f>
        <v>3</v>
      </c>
      <c r="Q91" s="6">
        <f>Tabel1[[#This Row],[End Time]]+(Tabel1[[#This Row],[End Time]]&lt;Tabel1[[#This Row],[Start time]])</f>
        <v>0.54166666666666663</v>
      </c>
      <c r="R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1" s="6"/>
      <c r="T91" s="7"/>
    </row>
    <row r="92" spans="1:20" x14ac:dyDescent="0.3">
      <c r="A92" s="4"/>
      <c r="B92" s="4">
        <f t="shared" si="1"/>
        <v>85</v>
      </c>
      <c r="C92" s="4" t="str">
        <f>IFERROR(VLOOKUP(Tabel1[[#This Row],[Model]],Tableau2[[Model]:[Parking Number]],2,FALSE)," ")</f>
        <v>TT87</v>
      </c>
      <c r="D92" s="23">
        <v>45523</v>
      </c>
      <c r="E92" s="4" t="str">
        <f>IF(Tabel1[[#This Row],[Model]]="", "",INDEX(Tableau2[Equipment Type],MATCH(Tabel1[[#This Row],[Model]],Tableau2[Model],0)))</f>
        <v>Tipper Truck</v>
      </c>
      <c r="F92" s="4" t="s">
        <v>79</v>
      </c>
      <c r="G92" s="4" t="str">
        <f>IF(Tabel1[[#This Row],[Model]]="", "",INDEX(Tableau2[Equipment],MATCH(Tabel1[[#This Row],[Model]],Tableau2[Model],0)))</f>
        <v>Tipper Truck 20m3 / F87</v>
      </c>
      <c r="H92" s="4" t="s">
        <v>180</v>
      </c>
      <c r="I92" s="10" t="s">
        <v>181</v>
      </c>
      <c r="J92" s="35"/>
      <c r="K92" s="4">
        <v>5253954</v>
      </c>
      <c r="L92" s="9">
        <v>0.41666666666666669</v>
      </c>
      <c r="M92" s="9">
        <v>0</v>
      </c>
      <c r="N92" s="9">
        <v>0.54166666666666663</v>
      </c>
      <c r="O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P92" s="21">
        <f>HOUR(Tabel1[[#This Row],[Total Hours]])+MINUTE(Tabel1[[#This Row],[Total Hours]])/60+SECOND(Tabel1[[#This Row],[Total Hours]])/3600</f>
        <v>3</v>
      </c>
      <c r="Q92" s="6">
        <f>Tabel1[[#This Row],[End Time]]+(Tabel1[[#This Row],[End Time]]&lt;Tabel1[[#This Row],[Start time]])</f>
        <v>0.54166666666666663</v>
      </c>
      <c r="R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2" s="6"/>
      <c r="T92" s="7"/>
    </row>
    <row r="93" spans="1:20" x14ac:dyDescent="0.3">
      <c r="A93" s="4"/>
      <c r="B93" s="4">
        <f t="shared" si="1"/>
        <v>86</v>
      </c>
      <c r="C93" s="4" t="str">
        <f>IFERROR(VLOOKUP(Tabel1[[#This Row],[Model]],Tableau2[[Model]:[Parking Number]],2,FALSE)," ")</f>
        <v>FEL2</v>
      </c>
      <c r="D93" s="23">
        <v>45523</v>
      </c>
      <c r="E93" s="4" t="str">
        <f>IF(Tabel1[[#This Row],[Model]]="", "",INDEX(Tableau2[Equipment Type],MATCH(Tabel1[[#This Row],[Model]],Tableau2[Model],0)))</f>
        <v>Loader</v>
      </c>
      <c r="F93" s="4" t="s">
        <v>42</v>
      </c>
      <c r="G93" s="4" t="str">
        <f>IF(Tabel1[[#This Row],[Model]]="", "",INDEX(Tableau2[Equipment],MATCH(Tabel1[[#This Row],[Model]],Tableau2[Model],0)))</f>
        <v>Cat966H.2</v>
      </c>
      <c r="H93" s="4" t="s">
        <v>182</v>
      </c>
      <c r="I93" s="10" t="s">
        <v>183</v>
      </c>
      <c r="J93" s="35"/>
      <c r="K93" s="4">
        <v>5254073</v>
      </c>
      <c r="L93" s="9">
        <v>0.54166666666666663</v>
      </c>
      <c r="M93" s="9">
        <v>0</v>
      </c>
      <c r="N93" s="9">
        <v>0.79166666666666663</v>
      </c>
      <c r="O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93" s="21">
        <f>HOUR(Tabel1[[#This Row],[Total Hours]])+MINUTE(Tabel1[[#This Row],[Total Hours]])/60+SECOND(Tabel1[[#This Row],[Total Hours]])/3600</f>
        <v>6</v>
      </c>
      <c r="Q93" s="6">
        <f>Tabel1[[#This Row],[End Time]]+(Tabel1[[#This Row],[End Time]]&lt;Tabel1[[#This Row],[Start time]])</f>
        <v>0.79166666666666663</v>
      </c>
      <c r="R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3" s="6"/>
      <c r="T93" s="7"/>
    </row>
    <row r="94" spans="1:20" x14ac:dyDescent="0.3">
      <c r="A94" s="4"/>
      <c r="B94" s="4">
        <f t="shared" si="1"/>
        <v>87</v>
      </c>
      <c r="C94" s="4" t="str">
        <f>IFERROR(VLOOKUP(Tabel1[[#This Row],[Model]],Tableau2[[Model]:[Parking Number]],2,FALSE)," ")</f>
        <v>BL1</v>
      </c>
      <c r="D94" s="23">
        <v>45523</v>
      </c>
      <c r="E94" s="4" t="str">
        <f>IF(Tabel1[[#This Row],[Model]]="", "",INDEX(Tableau2[Equipment Type],MATCH(Tabel1[[#This Row],[Model]],Tableau2[Model],0)))</f>
        <v>Backhoe Loader</v>
      </c>
      <c r="F94" s="4" t="s">
        <v>76</v>
      </c>
      <c r="G94" s="4" t="str">
        <f>IF(Tabel1[[#This Row],[Model]]="", "",INDEX(Tableau2[Equipment],MATCH(Tabel1[[#This Row],[Model]],Tableau2[Model],0)))</f>
        <v>CAT432D</v>
      </c>
      <c r="H94" s="4" t="s">
        <v>171</v>
      </c>
      <c r="I94" s="10" t="s">
        <v>172</v>
      </c>
      <c r="J94" s="35"/>
      <c r="K94" s="4">
        <v>5246410</v>
      </c>
      <c r="L94" s="9">
        <v>0.5</v>
      </c>
      <c r="M94" s="9">
        <v>0</v>
      </c>
      <c r="N94" s="9">
        <v>0.54166666666666663</v>
      </c>
      <c r="O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P94" s="21">
        <f>HOUR(Tabel1[[#This Row],[Total Hours]])+MINUTE(Tabel1[[#This Row],[Total Hours]])/60+SECOND(Tabel1[[#This Row],[Total Hours]])/3600</f>
        <v>1</v>
      </c>
      <c r="Q94" s="6">
        <f>Tabel1[[#This Row],[End Time]]+(Tabel1[[#This Row],[End Time]]&lt;Tabel1[[#This Row],[Start time]])</f>
        <v>0.54166666666666663</v>
      </c>
      <c r="R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4" s="6"/>
      <c r="T94" s="7"/>
    </row>
    <row r="95" spans="1:20" x14ac:dyDescent="0.3">
      <c r="A95" s="4"/>
      <c r="B95" s="4">
        <f t="shared" si="1"/>
        <v>88</v>
      </c>
      <c r="C95" s="4" t="str">
        <f>IFERROR(VLOOKUP(Tabel1[[#This Row],[Model]],Tableau2[[Model]:[Parking Number]],2,FALSE)," ")</f>
        <v>WT1</v>
      </c>
      <c r="D95" s="23">
        <v>45524</v>
      </c>
      <c r="E95" s="4" t="str">
        <f>IF(Tabel1[[#This Row],[Model]]="", "",INDEX(Tableau2[Equipment Type],MATCH(Tabel1[[#This Row],[Model]],Tableau2[Model],0)))</f>
        <v>Water Truck</v>
      </c>
      <c r="F95" s="4" t="s">
        <v>47</v>
      </c>
      <c r="G95" s="4" t="str">
        <f>IF(Tabel1[[#This Row],[Model]]="", "",INDEX(Tableau2[Equipment],MATCH(Tabel1[[#This Row],[Model]],Tableau2[Model],0)))</f>
        <v>Water Truck 20T / 1924.1</v>
      </c>
      <c r="H95" s="4" t="s">
        <v>56</v>
      </c>
      <c r="I95" s="10" t="s">
        <v>57</v>
      </c>
      <c r="J95" s="35" t="s">
        <v>153</v>
      </c>
      <c r="K95" s="4">
        <v>5246135</v>
      </c>
      <c r="L95" s="9">
        <v>0.33333333333333331</v>
      </c>
      <c r="M95" s="9">
        <v>4.1666666666666664E-2</v>
      </c>
      <c r="N95" s="9">
        <v>0.70833333333333337</v>
      </c>
      <c r="O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5" s="21">
        <f>HOUR(Tabel1[[#This Row],[Total Hours]])+MINUTE(Tabel1[[#This Row],[Total Hours]])/60+SECOND(Tabel1[[#This Row],[Total Hours]])/3600</f>
        <v>8</v>
      </c>
      <c r="Q95" s="6">
        <f>Tabel1[[#This Row],[End Time]]+(Tabel1[[#This Row],[End Time]]&lt;Tabel1[[#This Row],[Start time]])</f>
        <v>0.70833333333333337</v>
      </c>
      <c r="R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5" s="6"/>
      <c r="T95" s="7"/>
    </row>
    <row r="96" spans="1:20" x14ac:dyDescent="0.3">
      <c r="A96" s="4"/>
      <c r="B96" s="4">
        <f t="shared" si="1"/>
        <v>89</v>
      </c>
      <c r="C96" s="4" t="str">
        <f>IFERROR(VLOOKUP(Tabel1[[#This Row],[Model]],Tableau2[[Model]:[Parking Number]],2,FALSE)," ")</f>
        <v>WT2</v>
      </c>
      <c r="D96" s="23">
        <v>45524</v>
      </c>
      <c r="E96" s="4" t="str">
        <f>IF(Tabel1[[#This Row],[Model]]="", "",INDEX(Tableau2[Equipment Type],MATCH(Tabel1[[#This Row],[Model]],Tableau2[Model],0)))</f>
        <v>Water Truck</v>
      </c>
      <c r="F96" s="4" t="s">
        <v>48</v>
      </c>
      <c r="G96" s="4" t="str">
        <f>IF(Tabel1[[#This Row],[Model]]="", "",INDEX(Tableau2[Equipment],MATCH(Tabel1[[#This Row],[Model]],Tableau2[Model],0)))</f>
        <v>Water Truck 20T / 1924.2</v>
      </c>
      <c r="H96" s="4" t="s">
        <v>56</v>
      </c>
      <c r="I96" s="10" t="s">
        <v>57</v>
      </c>
      <c r="J96" s="35" t="s">
        <v>153</v>
      </c>
      <c r="K96" s="4">
        <v>5246135</v>
      </c>
      <c r="L96" s="9">
        <v>0.33333333333333331</v>
      </c>
      <c r="M96" s="9">
        <v>4.1666666666666664E-2</v>
      </c>
      <c r="N96" s="9">
        <v>0.70833333333333337</v>
      </c>
      <c r="O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6" s="21">
        <f>HOUR(Tabel1[[#This Row],[Total Hours]])+MINUTE(Tabel1[[#This Row],[Total Hours]])/60+SECOND(Tabel1[[#This Row],[Total Hours]])/3600</f>
        <v>8</v>
      </c>
      <c r="Q96" s="6">
        <f>Tabel1[[#This Row],[End Time]]+(Tabel1[[#This Row],[End Time]]&lt;Tabel1[[#This Row],[Start time]])</f>
        <v>0.70833333333333337</v>
      </c>
      <c r="R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6" s="6"/>
      <c r="T96" s="7"/>
    </row>
    <row r="97" spans="1:20" x14ac:dyDescent="0.3">
      <c r="A97" s="4"/>
      <c r="B97" s="4">
        <f t="shared" si="1"/>
        <v>90</v>
      </c>
      <c r="C97" s="4" t="str">
        <f>IFERROR(VLOOKUP(Tabel1[[#This Row],[Model]],Tableau2[[Model]:[Parking Number]],2,FALSE)," ")</f>
        <v>WT3</v>
      </c>
      <c r="D97" s="23">
        <v>45524</v>
      </c>
      <c r="E97" s="4" t="str">
        <f>IF(Tabel1[[#This Row],[Model]]="", "",INDEX(Tableau2[Equipment Type],MATCH(Tabel1[[#This Row],[Model]],Tableau2[Model],0)))</f>
        <v>Water Truck</v>
      </c>
      <c r="F97" s="4" t="s">
        <v>49</v>
      </c>
      <c r="G97" s="4" t="str">
        <f>IF(Tabel1[[#This Row],[Model]]="", "",INDEX(Tableau2[Equipment],MATCH(Tabel1[[#This Row],[Model]],Tableau2[Model],0)))</f>
        <v>Water Truck 20T / 1924.3</v>
      </c>
      <c r="H97" s="4" t="s">
        <v>56</v>
      </c>
      <c r="I97" s="10" t="s">
        <v>57</v>
      </c>
      <c r="J97" s="35" t="s">
        <v>153</v>
      </c>
      <c r="K97" s="4">
        <v>5246135</v>
      </c>
      <c r="L97" s="9">
        <v>0.33333333333333331</v>
      </c>
      <c r="M97" s="9">
        <v>4.1666666666666664E-2</v>
      </c>
      <c r="N97" s="9">
        <v>0.70833333333333337</v>
      </c>
      <c r="O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7" s="21">
        <f>HOUR(Tabel1[[#This Row],[Total Hours]])+MINUTE(Tabel1[[#This Row],[Total Hours]])/60+SECOND(Tabel1[[#This Row],[Total Hours]])/3600</f>
        <v>8</v>
      </c>
      <c r="Q97" s="6">
        <f>Tabel1[[#This Row],[End Time]]+(Tabel1[[#This Row],[End Time]]&lt;Tabel1[[#This Row],[Start time]])</f>
        <v>0.70833333333333337</v>
      </c>
      <c r="R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7" s="6"/>
      <c r="T97" s="7"/>
    </row>
    <row r="98" spans="1:20" x14ac:dyDescent="0.3">
      <c r="A98" s="4"/>
      <c r="B98" s="4">
        <f t="shared" si="1"/>
        <v>91</v>
      </c>
      <c r="C98" s="4" t="str">
        <f>IFERROR(VLOOKUP(Tabel1[[#This Row],[Model]],Tableau2[[Model]:[Parking Number]],2,FALSE)," ")</f>
        <v>WT9</v>
      </c>
      <c r="D98" s="23">
        <v>45524</v>
      </c>
      <c r="E98" s="4" t="str">
        <f>IF(Tabel1[[#This Row],[Model]]="", "",INDEX(Tableau2[Equipment Type],MATCH(Tabel1[[#This Row],[Model]],Tableau2[Model],0)))</f>
        <v>Water Truck</v>
      </c>
      <c r="F98" s="4" t="s">
        <v>50</v>
      </c>
      <c r="G98" s="4" t="str">
        <f>IF(Tabel1[[#This Row],[Model]]="", "",INDEX(Tableau2[Equipment],MATCH(Tabel1[[#This Row],[Model]],Tableau2[Model],0)))</f>
        <v>Water Truck 20T / WT09</v>
      </c>
      <c r="H98" s="4" t="s">
        <v>56</v>
      </c>
      <c r="I98" s="10" t="s">
        <v>57</v>
      </c>
      <c r="J98" s="35" t="s">
        <v>153</v>
      </c>
      <c r="K98" s="4">
        <v>5246135</v>
      </c>
      <c r="L98" s="9">
        <v>0.33333333333333331</v>
      </c>
      <c r="M98" s="9">
        <v>4.1666666666666664E-2</v>
      </c>
      <c r="N98" s="9">
        <v>0.70833333333333337</v>
      </c>
      <c r="O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8" s="21">
        <f>HOUR(Tabel1[[#This Row],[Total Hours]])+MINUTE(Tabel1[[#This Row],[Total Hours]])/60+SECOND(Tabel1[[#This Row],[Total Hours]])/3600</f>
        <v>8</v>
      </c>
      <c r="Q98" s="6">
        <f>Tabel1[[#This Row],[End Time]]+(Tabel1[[#This Row],[End Time]]&lt;Tabel1[[#This Row],[Start time]])</f>
        <v>0.70833333333333337</v>
      </c>
      <c r="R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8" s="6"/>
      <c r="T98" s="7"/>
    </row>
    <row r="99" spans="1:20" x14ac:dyDescent="0.3">
      <c r="A99" s="4"/>
      <c r="B99" s="4">
        <f t="shared" si="1"/>
        <v>92</v>
      </c>
      <c r="C99" s="4" t="str">
        <f>IFERROR(VLOOKUP(Tabel1[[#This Row],[Model]],Tableau2[[Model]:[Parking Number]],2,FALSE)," ")</f>
        <v>GR1</v>
      </c>
      <c r="D99" s="23">
        <v>45524</v>
      </c>
      <c r="E99" s="4" t="str">
        <f>IF(Tabel1[[#This Row],[Model]]="", "",INDEX(Tableau2[Equipment Type],MATCH(Tabel1[[#This Row],[Model]],Tableau2[Model],0)))</f>
        <v>Grader</v>
      </c>
      <c r="F99" s="4" t="s">
        <v>63</v>
      </c>
      <c r="G99" s="4" t="str">
        <f>IF(Tabel1[[#This Row],[Model]]="", "",INDEX(Tableau2[Equipment],MATCH(Tabel1[[#This Row],[Model]],Tableau2[Model],0)))</f>
        <v>CAT12K.1</v>
      </c>
      <c r="H99" s="4" t="s">
        <v>56</v>
      </c>
      <c r="I99" s="10" t="s">
        <v>57</v>
      </c>
      <c r="J99" s="35" t="s">
        <v>153</v>
      </c>
      <c r="K99" s="4">
        <v>5246135</v>
      </c>
      <c r="L99" s="9">
        <v>0.33333333333333331</v>
      </c>
      <c r="M99" s="9">
        <v>4.1666666666666664E-2</v>
      </c>
      <c r="N99" s="9">
        <v>0.70833333333333337</v>
      </c>
      <c r="O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9" s="21">
        <f>HOUR(Tabel1[[#This Row],[Total Hours]])+MINUTE(Tabel1[[#This Row],[Total Hours]])/60+SECOND(Tabel1[[#This Row],[Total Hours]])/3600</f>
        <v>8</v>
      </c>
      <c r="Q99" s="6">
        <f>Tabel1[[#This Row],[End Time]]+(Tabel1[[#This Row],[End Time]]&lt;Tabel1[[#This Row],[Start time]])</f>
        <v>0.70833333333333337</v>
      </c>
      <c r="R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9" s="6"/>
      <c r="T99" s="7"/>
    </row>
    <row r="100" spans="1:20" x14ac:dyDescent="0.3">
      <c r="A100" s="4"/>
      <c r="B100" s="4">
        <f t="shared" si="1"/>
        <v>93</v>
      </c>
      <c r="C100" s="4" t="str">
        <f>IFERROR(VLOOKUP(Tabel1[[#This Row],[Model]],Tableau2[[Model]:[Parking Number]],2,FALSE)," ")</f>
        <v>GR2</v>
      </c>
      <c r="D100" s="23">
        <v>45524</v>
      </c>
      <c r="E100" s="4" t="str">
        <f>IF(Tabel1[[#This Row],[Model]]="", "",INDEX(Tableau2[Equipment Type],MATCH(Tabel1[[#This Row],[Model]],Tableau2[Model],0)))</f>
        <v>Grader</v>
      </c>
      <c r="F100" s="4" t="s">
        <v>39</v>
      </c>
      <c r="G100" s="4" t="str">
        <f>IF(Tabel1[[#This Row],[Model]]="", "",INDEX(Tableau2[Equipment],MATCH(Tabel1[[#This Row],[Model]],Tableau2[Model],0)))</f>
        <v>CAT12K.2</v>
      </c>
      <c r="H100" s="4" t="s">
        <v>56</v>
      </c>
      <c r="I100" s="10" t="s">
        <v>57</v>
      </c>
      <c r="J100" s="35" t="s">
        <v>153</v>
      </c>
      <c r="K100" s="4">
        <v>5246135</v>
      </c>
      <c r="L100" s="9">
        <v>0.33333333333333331</v>
      </c>
      <c r="M100" s="9">
        <v>4.1666666666666664E-2</v>
      </c>
      <c r="N100" s="9">
        <v>0.70833333333333337</v>
      </c>
      <c r="O1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0" s="21">
        <f>HOUR(Tabel1[[#This Row],[Total Hours]])+MINUTE(Tabel1[[#This Row],[Total Hours]])/60+SECOND(Tabel1[[#This Row],[Total Hours]])/3600</f>
        <v>8</v>
      </c>
      <c r="Q100" s="6">
        <f>Tabel1[[#This Row],[End Time]]+(Tabel1[[#This Row],[End Time]]&lt;Tabel1[[#This Row],[Start time]])</f>
        <v>0.70833333333333337</v>
      </c>
      <c r="R1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0" s="6"/>
      <c r="T100" s="7"/>
    </row>
    <row r="101" spans="1:20" x14ac:dyDescent="0.3">
      <c r="A101" s="4"/>
      <c r="B101" s="4">
        <f t="shared" si="1"/>
        <v>94</v>
      </c>
      <c r="C101" s="4" t="str">
        <f>IFERROR(VLOOKUP(Tabel1[[#This Row],[Model]],Tableau2[[Model]:[Parking Number]],2,FALSE)," ")</f>
        <v>FEL4</v>
      </c>
      <c r="D101" s="23">
        <v>45524</v>
      </c>
      <c r="E101" s="4" t="str">
        <f>IF(Tabel1[[#This Row],[Model]]="", "",INDEX(Tableau2[Equipment Type],MATCH(Tabel1[[#This Row],[Model]],Tableau2[Model],0)))</f>
        <v>Loader</v>
      </c>
      <c r="F101" s="4" t="s">
        <v>40</v>
      </c>
      <c r="G101" s="4" t="str">
        <f>IF(Tabel1[[#This Row],[Model]]="", "",INDEX(Tableau2[Equipment],MATCH(Tabel1[[#This Row],[Model]],Tableau2[Model],0)))</f>
        <v>Cat972G.2</v>
      </c>
      <c r="H101" s="4" t="s">
        <v>56</v>
      </c>
      <c r="I101" s="10" t="s">
        <v>57</v>
      </c>
      <c r="J101" s="35" t="s">
        <v>153</v>
      </c>
      <c r="K101" s="4">
        <v>5246135</v>
      </c>
      <c r="L101" s="9">
        <v>0.45833333333333331</v>
      </c>
      <c r="M101" s="9">
        <v>4.1666666666666664E-2</v>
      </c>
      <c r="N101" s="9">
        <v>0.70833333333333337</v>
      </c>
      <c r="O1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0.2083333333333334</v>
      </c>
      <c r="P101" s="21">
        <f>HOUR(Tabel1[[#This Row],[Total Hours]])+MINUTE(Tabel1[[#This Row],[Total Hours]])/60+SECOND(Tabel1[[#This Row],[Total Hours]])/3600</f>
        <v>5</v>
      </c>
      <c r="Q101" s="6">
        <f>Tabel1[[#This Row],[End Time]]+(Tabel1[[#This Row],[End Time]]&lt;Tabel1[[#This Row],[Start time]])</f>
        <v>0.70833333333333337</v>
      </c>
      <c r="R1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1" s="6"/>
      <c r="T101" s="7"/>
    </row>
    <row r="102" spans="1:20" x14ac:dyDescent="0.3">
      <c r="A102" s="4"/>
      <c r="B102" s="4">
        <f t="shared" si="1"/>
        <v>95</v>
      </c>
      <c r="C102" s="4" t="str">
        <f>IFERROR(VLOOKUP(Tabel1[[#This Row],[Model]],Tableau2[[Model]:[Parking Number]],2,FALSE)," ")</f>
        <v>TD1</v>
      </c>
      <c r="D102" s="23">
        <v>45524</v>
      </c>
      <c r="E102" s="4" t="str">
        <f>IF(Tabel1[[#This Row],[Model]]="", "",INDEX(Tableau2[Equipment Type],MATCH(Tabel1[[#This Row],[Model]],Tableau2[Model],0)))</f>
        <v>Bulldozer</v>
      </c>
      <c r="F102" s="4" t="s">
        <v>70</v>
      </c>
      <c r="G102" s="4" t="str">
        <f>IF(Tabel1[[#This Row],[Model]]="", "",INDEX(Tableau2[Equipment],MATCH(Tabel1[[#This Row],[Model]],Tableau2[Model],0)))</f>
        <v>CATD8R.1</v>
      </c>
      <c r="H102" s="4" t="s">
        <v>56</v>
      </c>
      <c r="I102" s="10" t="s">
        <v>159</v>
      </c>
      <c r="J102" s="35" t="s">
        <v>153</v>
      </c>
      <c r="K102" s="4">
        <v>5092509</v>
      </c>
      <c r="L102" s="9">
        <v>0.33333333333333331</v>
      </c>
      <c r="M102" s="9">
        <v>4.1666666666666664E-2</v>
      </c>
      <c r="N102" s="9">
        <v>0.70833333333333337</v>
      </c>
      <c r="O1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2" s="21">
        <f>HOUR(Tabel1[[#This Row],[Total Hours]])+MINUTE(Tabel1[[#This Row],[Total Hours]])/60+SECOND(Tabel1[[#This Row],[Total Hours]])/3600</f>
        <v>8</v>
      </c>
      <c r="Q102" s="6">
        <f>Tabel1[[#This Row],[End Time]]+(Tabel1[[#This Row],[End Time]]&lt;Tabel1[[#This Row],[Start time]])</f>
        <v>0.70833333333333337</v>
      </c>
      <c r="R1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2" s="6"/>
      <c r="T102" s="7"/>
    </row>
    <row r="103" spans="1:20" x14ac:dyDescent="0.3">
      <c r="A103" s="4"/>
      <c r="B103" s="4">
        <f t="shared" si="1"/>
        <v>96</v>
      </c>
      <c r="C103" s="4" t="str">
        <f>IFERROR(VLOOKUP(Tabel1[[#This Row],[Model]],Tableau2[[Model]:[Parking Number]],2,FALSE)," ")</f>
        <v>FEL1</v>
      </c>
      <c r="D103" s="23">
        <v>45524</v>
      </c>
      <c r="E103" s="4" t="str">
        <f>IF(Tabel1[[#This Row],[Model]]="", "",INDEX(Tableau2[Equipment Type],MATCH(Tabel1[[#This Row],[Model]],Tableau2[Model],0)))</f>
        <v>Loader</v>
      </c>
      <c r="F103" s="4" t="s">
        <v>46</v>
      </c>
      <c r="G103" s="4" t="str">
        <f>IF(Tabel1[[#This Row],[Model]]="", "",INDEX(Tableau2[Equipment],MATCH(Tabel1[[#This Row],[Model]],Tableau2[Model],0)))</f>
        <v>Cat966H.1</v>
      </c>
      <c r="H103" s="4" t="s">
        <v>66</v>
      </c>
      <c r="I103" s="10" t="s">
        <v>160</v>
      </c>
      <c r="J103" s="35" t="s">
        <v>234</v>
      </c>
      <c r="K103" s="4">
        <v>5198487</v>
      </c>
      <c r="L103" s="9">
        <v>0.29166666666666669</v>
      </c>
      <c r="M103" s="9">
        <v>4.1666666666666664E-2</v>
      </c>
      <c r="N103" s="9">
        <v>0.79166666666666663</v>
      </c>
      <c r="O1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03" s="21">
        <f>HOUR(Tabel1[[#This Row],[Total Hours]])+MINUTE(Tabel1[[#This Row],[Total Hours]])/60+SECOND(Tabel1[[#This Row],[Total Hours]])/3600</f>
        <v>11</v>
      </c>
      <c r="Q103" s="6">
        <f>Tabel1[[#This Row],[End Time]]+(Tabel1[[#This Row],[End Time]]&lt;Tabel1[[#This Row],[Start time]])</f>
        <v>0.79166666666666663</v>
      </c>
      <c r="R1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3" s="6"/>
      <c r="T103" s="7"/>
    </row>
    <row r="104" spans="1:20" x14ac:dyDescent="0.3">
      <c r="A104" s="4"/>
      <c r="B104" s="4">
        <f t="shared" si="1"/>
        <v>97</v>
      </c>
      <c r="C104" s="4" t="str">
        <f>IFERROR(VLOOKUP(Tabel1[[#This Row],[Model]],Tableau2[[Model]:[Parking Number]],2,FALSE)," ")</f>
        <v>FEL1</v>
      </c>
      <c r="D104" s="23">
        <v>45524</v>
      </c>
      <c r="E104" s="4" t="str">
        <f>IF(Tabel1[[#This Row],[Model]]="", "",INDEX(Tableau2[Equipment Type],MATCH(Tabel1[[#This Row],[Model]],Tableau2[Model],0)))</f>
        <v>Loader</v>
      </c>
      <c r="F104" s="4" t="s">
        <v>46</v>
      </c>
      <c r="G104" s="4" t="str">
        <f>IF(Tabel1[[#This Row],[Model]]="", "",INDEX(Tableau2[Equipment],MATCH(Tabel1[[#This Row],[Model]],Tableau2[Model],0)))</f>
        <v>Cat966H.1</v>
      </c>
      <c r="H104" s="4" t="s">
        <v>66</v>
      </c>
      <c r="I104" s="10" t="s">
        <v>160</v>
      </c>
      <c r="J104" s="35" t="s">
        <v>234</v>
      </c>
      <c r="K104" s="4">
        <v>5198487</v>
      </c>
      <c r="L104" s="9">
        <v>0.79166666666666663</v>
      </c>
      <c r="M104" s="9">
        <v>0</v>
      </c>
      <c r="N104" s="9">
        <v>0.20833333333333334</v>
      </c>
      <c r="O1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04" s="21">
        <f>HOUR(Tabel1[[#This Row],[Total Hours]])+MINUTE(Tabel1[[#This Row],[Total Hours]])/60+SECOND(Tabel1[[#This Row],[Total Hours]])/3600</f>
        <v>10</v>
      </c>
      <c r="Q104" s="6">
        <f>Tabel1[[#This Row],[End Time]]+(Tabel1[[#This Row],[End Time]]&lt;Tabel1[[#This Row],[Start time]])</f>
        <v>1.2083333333333333</v>
      </c>
      <c r="R1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4" s="6"/>
      <c r="T104" s="7"/>
    </row>
    <row r="105" spans="1:20" x14ac:dyDescent="0.3">
      <c r="A105" s="4"/>
      <c r="B105" s="4">
        <f t="shared" si="1"/>
        <v>98</v>
      </c>
      <c r="C105" s="4" t="str">
        <f>IFERROR(VLOOKUP(Tabel1[[#This Row],[Model]],Tableau2[[Model]:[Parking Number]],2,FALSE)," ")</f>
        <v>TT17</v>
      </c>
      <c r="D105" s="23">
        <v>45524</v>
      </c>
      <c r="E105" s="4" t="str">
        <f>IF(Tabel1[[#This Row],[Model]]="", "",INDEX(Tableau2[Equipment Type],MATCH(Tabel1[[#This Row],[Model]],Tableau2[Model],0)))</f>
        <v>Tipper Truck</v>
      </c>
      <c r="F105" s="4" t="s">
        <v>51</v>
      </c>
      <c r="G105" s="4" t="str">
        <f>IF(Tabel1[[#This Row],[Model]]="", "",INDEX(Tableau2[Equipment],MATCH(Tabel1[[#This Row],[Model]],Tableau2[Model],0)))</f>
        <v>Tipper Truck 20m3 / F17</v>
      </c>
      <c r="H105" s="4" t="s">
        <v>66</v>
      </c>
      <c r="I105" s="10" t="s">
        <v>160</v>
      </c>
      <c r="J105" s="35" t="s">
        <v>234</v>
      </c>
      <c r="K105" s="4">
        <v>5198487</v>
      </c>
      <c r="L105" s="9">
        <v>0.29166666666666669</v>
      </c>
      <c r="M105" s="9">
        <v>4.1666666666666664E-2</v>
      </c>
      <c r="N105" s="9">
        <v>0.79166666666666663</v>
      </c>
      <c r="O1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05" s="21">
        <f>HOUR(Tabel1[[#This Row],[Total Hours]])+MINUTE(Tabel1[[#This Row],[Total Hours]])/60+SECOND(Tabel1[[#This Row],[Total Hours]])/3600</f>
        <v>11</v>
      </c>
      <c r="Q105" s="6">
        <f>Tabel1[[#This Row],[End Time]]+(Tabel1[[#This Row],[End Time]]&lt;Tabel1[[#This Row],[Start time]])</f>
        <v>0.79166666666666663</v>
      </c>
      <c r="R1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5" s="6"/>
      <c r="T105" s="7"/>
    </row>
    <row r="106" spans="1:20" x14ac:dyDescent="0.3">
      <c r="A106" s="4"/>
      <c r="B106" s="4">
        <f t="shared" si="1"/>
        <v>99</v>
      </c>
      <c r="C106" s="4" t="str">
        <f>IFERROR(VLOOKUP(Tabel1[[#This Row],[Model]],Tableau2[[Model]:[Parking Number]],2,FALSE)," ")</f>
        <v>WT8</v>
      </c>
      <c r="D106" s="23">
        <v>45524</v>
      </c>
      <c r="E106" s="4" t="str">
        <f>IF(Tabel1[[#This Row],[Model]]="", "",INDEX(Tableau2[Equipment Type],MATCH(Tabel1[[#This Row],[Model]],Tableau2[Model],0)))</f>
        <v>Water Truck</v>
      </c>
      <c r="F106" s="4" t="s">
        <v>52</v>
      </c>
      <c r="G106" s="4" t="str">
        <f>IF(Tabel1[[#This Row],[Model]]="", "",INDEX(Tableau2[Equipment],MATCH(Tabel1[[#This Row],[Model]],Tableau2[Model],0)))</f>
        <v>Water Truck 20T / WT08</v>
      </c>
      <c r="H106" s="4" t="s">
        <v>161</v>
      </c>
      <c r="I106" s="10" t="s">
        <v>162</v>
      </c>
      <c r="J106" s="35"/>
      <c r="K106" s="4">
        <v>5253778</v>
      </c>
      <c r="L106" s="9">
        <v>0.29166666666666669</v>
      </c>
      <c r="M106" s="9">
        <v>8.3333333333333329E-2</v>
      </c>
      <c r="N106" s="9">
        <v>0.70833333333333337</v>
      </c>
      <c r="O1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6" s="21">
        <f>HOUR(Tabel1[[#This Row],[Total Hours]])+MINUTE(Tabel1[[#This Row],[Total Hours]])/60+SECOND(Tabel1[[#This Row],[Total Hours]])/3600</f>
        <v>8</v>
      </c>
      <c r="Q106" s="6">
        <f>Tabel1[[#This Row],[End Time]]+(Tabel1[[#This Row],[End Time]]&lt;Tabel1[[#This Row],[Start time]])</f>
        <v>0.70833333333333337</v>
      </c>
      <c r="R1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6" s="6"/>
      <c r="T106" s="7"/>
    </row>
    <row r="107" spans="1:20" x14ac:dyDescent="0.3">
      <c r="A107" s="4"/>
      <c r="B107" s="4">
        <f t="shared" si="1"/>
        <v>100</v>
      </c>
      <c r="C107" s="4" t="str">
        <f>IFERROR(VLOOKUP(Tabel1[[#This Row],[Model]],Tableau2[[Model]:[Parking Number]],2,FALSE)," ")</f>
        <v>FEL2</v>
      </c>
      <c r="D107" s="23">
        <v>45524</v>
      </c>
      <c r="E107" s="4" t="str">
        <f>IF(Tabel1[[#This Row],[Model]]="", "",INDEX(Tableau2[Equipment Type],MATCH(Tabel1[[#This Row],[Model]],Tableau2[Model],0)))</f>
        <v>Loader</v>
      </c>
      <c r="F107" s="4" t="s">
        <v>42</v>
      </c>
      <c r="G107" s="4" t="str">
        <f>IF(Tabel1[[#This Row],[Model]]="", "",INDEX(Tableau2[Equipment],MATCH(Tabel1[[#This Row],[Model]],Tableau2[Model],0)))</f>
        <v>Cat966H.2</v>
      </c>
      <c r="H107" s="4" t="s">
        <v>171</v>
      </c>
      <c r="I107" s="10" t="s">
        <v>172</v>
      </c>
      <c r="J107" s="35"/>
      <c r="K107" s="4">
        <v>5246410</v>
      </c>
      <c r="L107" s="9">
        <v>0.33333333333333331</v>
      </c>
      <c r="M107" s="9">
        <v>0</v>
      </c>
      <c r="N107" s="9">
        <v>0.5</v>
      </c>
      <c r="O1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07" s="21">
        <f>HOUR(Tabel1[[#This Row],[Total Hours]])+MINUTE(Tabel1[[#This Row],[Total Hours]])/60+SECOND(Tabel1[[#This Row],[Total Hours]])/3600</f>
        <v>4</v>
      </c>
      <c r="Q107" s="6">
        <f>Tabel1[[#This Row],[End Time]]+(Tabel1[[#This Row],[End Time]]&lt;Tabel1[[#This Row],[Start time]])</f>
        <v>0.5</v>
      </c>
      <c r="R1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7" s="6"/>
      <c r="T107" s="7"/>
    </row>
    <row r="108" spans="1:20" x14ac:dyDescent="0.3">
      <c r="A108" s="4"/>
      <c r="B108" s="4">
        <f t="shared" si="1"/>
        <v>101</v>
      </c>
      <c r="C108" s="4" t="str">
        <f>IFERROR(VLOOKUP(Tabel1[[#This Row],[Model]],Tableau2[[Model]:[Parking Number]],2,FALSE)," ")</f>
        <v>FEL2</v>
      </c>
      <c r="D108" s="23">
        <v>45524</v>
      </c>
      <c r="E108" s="4" t="str">
        <f>IF(Tabel1[[#This Row],[Model]]="", "",INDEX(Tableau2[Equipment Type],MATCH(Tabel1[[#This Row],[Model]],Tableau2[Model],0)))</f>
        <v>Loader</v>
      </c>
      <c r="F108" s="4" t="s">
        <v>42</v>
      </c>
      <c r="G108" s="4" t="str">
        <f>IF(Tabel1[[#This Row],[Model]]="", "",INDEX(Tableau2[Equipment],MATCH(Tabel1[[#This Row],[Model]],Tableau2[Model],0)))</f>
        <v>Cat966H.2</v>
      </c>
      <c r="H108" s="4" t="s">
        <v>171</v>
      </c>
      <c r="I108" s="10" t="s">
        <v>172</v>
      </c>
      <c r="J108" s="35"/>
      <c r="K108" s="4">
        <v>5246410</v>
      </c>
      <c r="L108" s="9">
        <v>0.58333333333333337</v>
      </c>
      <c r="M108" s="9">
        <v>0</v>
      </c>
      <c r="N108" s="9">
        <v>0.66666666666666663</v>
      </c>
      <c r="O1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08" s="21">
        <f>HOUR(Tabel1[[#This Row],[Total Hours]])+MINUTE(Tabel1[[#This Row],[Total Hours]])/60+SECOND(Tabel1[[#This Row],[Total Hours]])/3600</f>
        <v>2</v>
      </c>
      <c r="Q108" s="6">
        <f>Tabel1[[#This Row],[End Time]]+(Tabel1[[#This Row],[End Time]]&lt;Tabel1[[#This Row],[Start time]])</f>
        <v>0.66666666666666663</v>
      </c>
      <c r="R1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8" s="6"/>
      <c r="T108" s="7"/>
    </row>
    <row r="109" spans="1:20" x14ac:dyDescent="0.3">
      <c r="A109" s="4"/>
      <c r="B109" s="4">
        <f t="shared" si="1"/>
        <v>102</v>
      </c>
      <c r="C109" s="4" t="str">
        <f>IFERROR(VLOOKUP(Tabel1[[#This Row],[Model]],Tableau2[[Model]:[Parking Number]],2,FALSE)," ")</f>
        <v>TT19</v>
      </c>
      <c r="D109" s="23">
        <v>45524</v>
      </c>
      <c r="E109" s="4" t="str">
        <f>IF(Tabel1[[#This Row],[Model]]="", "",INDEX(Tableau2[Equipment Type],MATCH(Tabel1[[#This Row],[Model]],Tableau2[Model],0)))</f>
        <v>Tipper Truck</v>
      </c>
      <c r="F109" s="4" t="s">
        <v>54</v>
      </c>
      <c r="G109" s="4" t="str">
        <f>IF(Tabel1[[#This Row],[Model]]="", "",INDEX(Tableau2[Equipment],MATCH(Tabel1[[#This Row],[Model]],Tableau2[Model],0)))</f>
        <v>Tipper Truck 20m3 / F19</v>
      </c>
      <c r="H109" s="4" t="s">
        <v>171</v>
      </c>
      <c r="I109" s="10" t="s">
        <v>172</v>
      </c>
      <c r="J109" s="35"/>
      <c r="K109" s="4">
        <v>5246410</v>
      </c>
      <c r="L109" s="9">
        <v>0.58333333333333337</v>
      </c>
      <c r="M109" s="9">
        <v>0</v>
      </c>
      <c r="N109" s="9">
        <v>0.66666666666666663</v>
      </c>
      <c r="O1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09" s="21">
        <f>HOUR(Tabel1[[#This Row],[Total Hours]])+MINUTE(Tabel1[[#This Row],[Total Hours]])/60+SECOND(Tabel1[[#This Row],[Total Hours]])/3600</f>
        <v>2</v>
      </c>
      <c r="Q109" s="6">
        <f>Tabel1[[#This Row],[End Time]]+(Tabel1[[#This Row],[End Time]]&lt;Tabel1[[#This Row],[Start time]])</f>
        <v>0.66666666666666663</v>
      </c>
      <c r="R1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9" s="6"/>
      <c r="T109" s="7"/>
    </row>
    <row r="110" spans="1:20" x14ac:dyDescent="0.3">
      <c r="A110" s="4"/>
      <c r="B110" s="4">
        <f t="shared" si="1"/>
        <v>103</v>
      </c>
      <c r="C110" s="4" t="str">
        <f>IFERROR(VLOOKUP(Tabel1[[#This Row],[Model]],Tableau2[[Model]:[Parking Number]],2,FALSE)," ")</f>
        <v>TT32</v>
      </c>
      <c r="D110" s="23">
        <v>45524</v>
      </c>
      <c r="E110" s="4" t="str">
        <f>IF(Tabel1[[#This Row],[Model]]="", "",INDEX(Tableau2[Equipment Type],MATCH(Tabel1[[#This Row],[Model]],Tableau2[Model],0)))</f>
        <v>Tipper Truck</v>
      </c>
      <c r="F110" s="4" t="s">
        <v>53</v>
      </c>
      <c r="G110" s="4" t="str">
        <f>IF(Tabel1[[#This Row],[Model]]="", "",INDEX(Tableau2[Equipment],MATCH(Tabel1[[#This Row],[Model]],Tableau2[Model],0)))</f>
        <v>Tipper Truck 20m3 / F32</v>
      </c>
      <c r="H110" s="4" t="s">
        <v>171</v>
      </c>
      <c r="I110" s="10" t="s">
        <v>172</v>
      </c>
      <c r="J110" s="35"/>
      <c r="K110" s="4">
        <v>5246410</v>
      </c>
      <c r="L110" s="9">
        <v>0.33333333333333331</v>
      </c>
      <c r="M110" s="9">
        <v>4.1666666666666664E-2</v>
      </c>
      <c r="N110" s="9">
        <v>0.66666666666666663</v>
      </c>
      <c r="O1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10" s="21">
        <f>HOUR(Tabel1[[#This Row],[Total Hours]])+MINUTE(Tabel1[[#This Row],[Total Hours]])/60+SECOND(Tabel1[[#This Row],[Total Hours]])/3600</f>
        <v>7</v>
      </c>
      <c r="Q110" s="6">
        <f>Tabel1[[#This Row],[End Time]]+(Tabel1[[#This Row],[End Time]]&lt;Tabel1[[#This Row],[Start time]])</f>
        <v>0.66666666666666663</v>
      </c>
      <c r="R1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0" s="6"/>
      <c r="T110" s="7"/>
    </row>
    <row r="111" spans="1:20" x14ac:dyDescent="0.3">
      <c r="A111" s="4"/>
      <c r="B111" s="4">
        <f t="shared" si="1"/>
        <v>104</v>
      </c>
      <c r="C111" s="4" t="str">
        <f>IFERROR(VLOOKUP(Tabel1[[#This Row],[Model]],Tableau2[[Model]:[Parking Number]],2,FALSE)," ")</f>
        <v>TT87</v>
      </c>
      <c r="D111" s="23">
        <v>45524</v>
      </c>
      <c r="E111" s="4" t="str">
        <f>IF(Tabel1[[#This Row],[Model]]="", "",INDEX(Tableau2[Equipment Type],MATCH(Tabel1[[#This Row],[Model]],Tableau2[Model],0)))</f>
        <v>Tipper Truck</v>
      </c>
      <c r="F111" s="4" t="s">
        <v>79</v>
      </c>
      <c r="G111" s="4" t="str">
        <f>IF(Tabel1[[#This Row],[Model]]="", "",INDEX(Tableau2[Equipment],MATCH(Tabel1[[#This Row],[Model]],Tableau2[Model],0)))</f>
        <v>Tipper Truck 20m3 / F87</v>
      </c>
      <c r="H111" s="4" t="s">
        <v>171</v>
      </c>
      <c r="I111" s="10" t="s">
        <v>172</v>
      </c>
      <c r="J111" s="35"/>
      <c r="K111" s="4">
        <v>5246410</v>
      </c>
      <c r="L111" s="9">
        <v>0.58333333333333337</v>
      </c>
      <c r="M111" s="9">
        <v>0</v>
      </c>
      <c r="N111" s="9">
        <v>0.66666666666666663</v>
      </c>
      <c r="O1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11" s="21">
        <f>HOUR(Tabel1[[#This Row],[Total Hours]])+MINUTE(Tabel1[[#This Row],[Total Hours]])/60+SECOND(Tabel1[[#This Row],[Total Hours]])/3600</f>
        <v>2</v>
      </c>
      <c r="Q111" s="6">
        <f>Tabel1[[#This Row],[End Time]]+(Tabel1[[#This Row],[End Time]]&lt;Tabel1[[#This Row],[Start time]])</f>
        <v>0.66666666666666663</v>
      </c>
      <c r="R1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1" s="6"/>
      <c r="T111" s="7"/>
    </row>
    <row r="112" spans="1:20" x14ac:dyDescent="0.3">
      <c r="A112" s="4"/>
      <c r="B112" s="4">
        <f t="shared" si="1"/>
        <v>105</v>
      </c>
      <c r="C112" s="4" t="str">
        <f>IFERROR(VLOOKUP(Tabel1[[#This Row],[Model]],Tableau2[[Model]:[Parking Number]],2,FALSE)," ")</f>
        <v>BL1</v>
      </c>
      <c r="D112" s="23">
        <v>45524</v>
      </c>
      <c r="E112" s="4" t="str">
        <f>IF(Tabel1[[#This Row],[Model]]="", "",INDEX(Tableau2[Equipment Type],MATCH(Tabel1[[#This Row],[Model]],Tableau2[Model],0)))</f>
        <v>Backhoe Loader</v>
      </c>
      <c r="F112" s="4" t="s">
        <v>76</v>
      </c>
      <c r="G112" s="4" t="str">
        <f>IF(Tabel1[[#This Row],[Model]]="", "",INDEX(Tableau2[Equipment],MATCH(Tabel1[[#This Row],[Model]],Tableau2[Model],0)))</f>
        <v>CAT432D</v>
      </c>
      <c r="H112" s="4" t="s">
        <v>171</v>
      </c>
      <c r="I112" s="10" t="s">
        <v>172</v>
      </c>
      <c r="J112" s="35"/>
      <c r="K112" s="4">
        <v>5246410</v>
      </c>
      <c r="L112" s="9">
        <v>0.33333333333333331</v>
      </c>
      <c r="M112" s="9">
        <v>4.1666666666666664E-2</v>
      </c>
      <c r="N112" s="9">
        <v>0.70833333333333337</v>
      </c>
      <c r="O1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2" s="21">
        <f>HOUR(Tabel1[[#This Row],[Total Hours]])+MINUTE(Tabel1[[#This Row],[Total Hours]])/60+SECOND(Tabel1[[#This Row],[Total Hours]])/3600</f>
        <v>8</v>
      </c>
      <c r="Q112" s="6">
        <f>Tabel1[[#This Row],[End Time]]+(Tabel1[[#This Row],[End Time]]&lt;Tabel1[[#This Row],[Start time]])</f>
        <v>0.70833333333333337</v>
      </c>
      <c r="R1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2" s="6"/>
      <c r="T112" s="7"/>
    </row>
    <row r="113" spans="1:20" x14ac:dyDescent="0.3">
      <c r="A113" s="4"/>
      <c r="B113" s="4">
        <f t="shared" si="1"/>
        <v>106</v>
      </c>
      <c r="C113" s="4" t="str">
        <f>IFERROR(VLOOKUP(Tabel1[[#This Row],[Model]],Tableau2[[Model]:[Parking Number]],2,FALSE)," ")</f>
        <v>EX6</v>
      </c>
      <c r="D113" s="23">
        <v>45524</v>
      </c>
      <c r="E113" s="4" t="str">
        <f>IF(Tabel1[[#This Row],[Model]]="", "",INDEX(Tableau2[Equipment Type],MATCH(Tabel1[[#This Row],[Model]],Tableau2[Model],0)))</f>
        <v>Excavator</v>
      </c>
      <c r="F113" s="4" t="s">
        <v>45</v>
      </c>
      <c r="G113" s="4" t="str">
        <f>IF(Tabel1[[#This Row],[Model]]="", "",INDEX(Tableau2[Equipment],MATCH(Tabel1[[#This Row],[Model]],Tableau2[Model],0)))</f>
        <v>CAT329E</v>
      </c>
      <c r="H113" s="4" t="s">
        <v>174</v>
      </c>
      <c r="I113" s="10" t="s">
        <v>184</v>
      </c>
      <c r="J113" s="35"/>
      <c r="K113" s="4">
        <v>5249725</v>
      </c>
      <c r="L113" s="9">
        <v>0.33333333333333331</v>
      </c>
      <c r="M113" s="9">
        <v>4.1666666666666664E-2</v>
      </c>
      <c r="N113" s="9">
        <v>0.70833333333333337</v>
      </c>
      <c r="O1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3" s="21">
        <f>HOUR(Tabel1[[#This Row],[Total Hours]])+MINUTE(Tabel1[[#This Row],[Total Hours]])/60+SECOND(Tabel1[[#This Row],[Total Hours]])/3600</f>
        <v>8</v>
      </c>
      <c r="Q113" s="6">
        <f>Tabel1[[#This Row],[End Time]]+(Tabel1[[#This Row],[End Time]]&lt;Tabel1[[#This Row],[Start time]])</f>
        <v>0.70833333333333337</v>
      </c>
      <c r="R1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3" s="6"/>
      <c r="T113" s="7"/>
    </row>
    <row r="114" spans="1:20" x14ac:dyDescent="0.3">
      <c r="A114" s="4"/>
      <c r="B114" s="4">
        <f t="shared" si="1"/>
        <v>107</v>
      </c>
      <c r="C114" s="4" t="str">
        <f>IFERROR(VLOOKUP(Tabel1[[#This Row],[Model]],Tableau2[[Model]:[Parking Number]],2,FALSE)," ")</f>
        <v>LB1</v>
      </c>
      <c r="D114" s="23">
        <v>45524</v>
      </c>
      <c r="E114" s="4" t="str">
        <f>IF(Tabel1[[#This Row],[Model]]="", "",INDEX(Tableau2[Equipment Type],MATCH(Tabel1[[#This Row],[Model]],Tableau2[Model],0)))</f>
        <v>Lowbed</v>
      </c>
      <c r="F114" s="4" t="s">
        <v>71</v>
      </c>
      <c r="G114" s="4" t="str">
        <f>IF(Tabel1[[#This Row],[Model]]="", "",INDEX(Tableau2[Equipment],MATCH(Tabel1[[#This Row],[Model]],Tableau2[Model],0)))</f>
        <v>LB ACTROS 60T</v>
      </c>
      <c r="H114" s="4" t="s">
        <v>174</v>
      </c>
      <c r="I114" s="10" t="s">
        <v>184</v>
      </c>
      <c r="J114" s="35"/>
      <c r="K114" s="4">
        <v>5249725</v>
      </c>
      <c r="L114" s="9">
        <v>0.29166666666666669</v>
      </c>
      <c r="M114" s="9">
        <v>0</v>
      </c>
      <c r="N114" s="9">
        <v>0.33333333333333331</v>
      </c>
      <c r="O1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P114" s="21">
        <f>HOUR(Tabel1[[#This Row],[Total Hours]])+MINUTE(Tabel1[[#This Row],[Total Hours]])/60+SECOND(Tabel1[[#This Row],[Total Hours]])/3600</f>
        <v>1</v>
      </c>
      <c r="Q114" s="6">
        <f>Tabel1[[#This Row],[End Time]]+(Tabel1[[#This Row],[End Time]]&lt;Tabel1[[#This Row],[Start time]])</f>
        <v>0.33333333333333331</v>
      </c>
      <c r="R1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4" s="6"/>
      <c r="T114" s="7"/>
    </row>
    <row r="115" spans="1:20" x14ac:dyDescent="0.3">
      <c r="A115" s="4"/>
      <c r="B115" s="4">
        <f t="shared" si="1"/>
        <v>108</v>
      </c>
      <c r="C115" s="4" t="str">
        <f>IFERROR(VLOOKUP(Tabel1[[#This Row],[Model]],Tableau2[[Model]:[Parking Number]],2,FALSE)," ")</f>
        <v>WT1</v>
      </c>
      <c r="D115" s="23">
        <v>45525</v>
      </c>
      <c r="E115" s="4" t="str">
        <f>IF(Tabel1[[#This Row],[Model]]="", "",INDEX(Tableau2[Equipment Type],MATCH(Tabel1[[#This Row],[Model]],Tableau2[Model],0)))</f>
        <v>Water Truck</v>
      </c>
      <c r="F115" s="4" t="s">
        <v>47</v>
      </c>
      <c r="G115" s="4" t="str">
        <f>IF(Tabel1[[#This Row],[Model]]="", "",INDEX(Tableau2[Equipment],MATCH(Tabel1[[#This Row],[Model]],Tableau2[Model],0)))</f>
        <v>Water Truck 20T / 1924.1</v>
      </c>
      <c r="H115" s="4" t="s">
        <v>56</v>
      </c>
      <c r="I115" s="10" t="s">
        <v>57</v>
      </c>
      <c r="J115" s="35" t="s">
        <v>153</v>
      </c>
      <c r="K115" s="4">
        <v>5246135</v>
      </c>
      <c r="L115" s="9">
        <v>0.33333333333333331</v>
      </c>
      <c r="M115" s="9">
        <v>4.1666666666666664E-2</v>
      </c>
      <c r="N115" s="9">
        <v>0.70833333333333337</v>
      </c>
      <c r="O1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5" s="21">
        <f>HOUR(Tabel1[[#This Row],[Total Hours]])+MINUTE(Tabel1[[#This Row],[Total Hours]])/60+SECOND(Tabel1[[#This Row],[Total Hours]])/3600</f>
        <v>8</v>
      </c>
      <c r="Q115" s="6">
        <f>Tabel1[[#This Row],[End Time]]+(Tabel1[[#This Row],[End Time]]&lt;Tabel1[[#This Row],[Start time]])</f>
        <v>0.70833333333333337</v>
      </c>
      <c r="R1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5" s="6"/>
      <c r="T115" s="7"/>
    </row>
    <row r="116" spans="1:20" x14ac:dyDescent="0.3">
      <c r="A116" s="4"/>
      <c r="B116" s="4">
        <f t="shared" si="1"/>
        <v>109</v>
      </c>
      <c r="C116" s="4" t="str">
        <f>IFERROR(VLOOKUP(Tabel1[[#This Row],[Model]],Tableau2[[Model]:[Parking Number]],2,FALSE)," ")</f>
        <v>WT2</v>
      </c>
      <c r="D116" s="23">
        <v>45525</v>
      </c>
      <c r="E116" s="4" t="str">
        <f>IF(Tabel1[[#This Row],[Model]]="", "",INDEX(Tableau2[Equipment Type],MATCH(Tabel1[[#This Row],[Model]],Tableau2[Model],0)))</f>
        <v>Water Truck</v>
      </c>
      <c r="F116" s="4" t="s">
        <v>48</v>
      </c>
      <c r="G116" s="4" t="str">
        <f>IF(Tabel1[[#This Row],[Model]]="", "",INDEX(Tableau2[Equipment],MATCH(Tabel1[[#This Row],[Model]],Tableau2[Model],0)))</f>
        <v>Water Truck 20T / 1924.2</v>
      </c>
      <c r="H116" s="4" t="s">
        <v>56</v>
      </c>
      <c r="I116" s="10" t="s">
        <v>57</v>
      </c>
      <c r="J116" s="35" t="s">
        <v>153</v>
      </c>
      <c r="K116" s="4">
        <v>5246135</v>
      </c>
      <c r="L116" s="9">
        <v>0.33333333333333331</v>
      </c>
      <c r="M116" s="9">
        <v>4.1666666666666664E-2</v>
      </c>
      <c r="N116" s="9">
        <v>0.70833333333333337</v>
      </c>
      <c r="O1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6" s="21">
        <f>HOUR(Tabel1[[#This Row],[Total Hours]])+MINUTE(Tabel1[[#This Row],[Total Hours]])/60+SECOND(Tabel1[[#This Row],[Total Hours]])/3600</f>
        <v>8</v>
      </c>
      <c r="Q116" s="6">
        <f>Tabel1[[#This Row],[End Time]]+(Tabel1[[#This Row],[End Time]]&lt;Tabel1[[#This Row],[Start time]])</f>
        <v>0.70833333333333337</v>
      </c>
      <c r="R1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6" s="6"/>
      <c r="T116" s="7"/>
    </row>
    <row r="117" spans="1:20" x14ac:dyDescent="0.3">
      <c r="A117" s="4"/>
      <c r="B117" s="4">
        <f t="shared" si="1"/>
        <v>110</v>
      </c>
      <c r="C117" s="4" t="str">
        <f>IFERROR(VLOOKUP(Tabel1[[#This Row],[Model]],Tableau2[[Model]:[Parking Number]],2,FALSE)," ")</f>
        <v>WT3</v>
      </c>
      <c r="D117" s="23">
        <v>45525</v>
      </c>
      <c r="E117" s="4" t="str">
        <f>IF(Tabel1[[#This Row],[Model]]="", "",INDEX(Tableau2[Equipment Type],MATCH(Tabel1[[#This Row],[Model]],Tableau2[Model],0)))</f>
        <v>Water Truck</v>
      </c>
      <c r="F117" s="4" t="s">
        <v>49</v>
      </c>
      <c r="G117" s="4" t="str">
        <f>IF(Tabel1[[#This Row],[Model]]="", "",INDEX(Tableau2[Equipment],MATCH(Tabel1[[#This Row],[Model]],Tableau2[Model],0)))</f>
        <v>Water Truck 20T / 1924.3</v>
      </c>
      <c r="H117" s="4" t="s">
        <v>56</v>
      </c>
      <c r="I117" s="10" t="s">
        <v>57</v>
      </c>
      <c r="J117" s="35" t="s">
        <v>153</v>
      </c>
      <c r="K117" s="4">
        <v>5246135</v>
      </c>
      <c r="L117" s="9">
        <v>0.33333333333333331</v>
      </c>
      <c r="M117" s="9">
        <v>4.1666666666666664E-2</v>
      </c>
      <c r="N117" s="9">
        <v>0.70833333333333337</v>
      </c>
      <c r="O1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7" s="21">
        <f>HOUR(Tabel1[[#This Row],[Total Hours]])+MINUTE(Tabel1[[#This Row],[Total Hours]])/60+SECOND(Tabel1[[#This Row],[Total Hours]])/3600</f>
        <v>8</v>
      </c>
      <c r="Q117" s="6">
        <f>Tabel1[[#This Row],[End Time]]+(Tabel1[[#This Row],[End Time]]&lt;Tabel1[[#This Row],[Start time]])</f>
        <v>0.70833333333333337</v>
      </c>
      <c r="R1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7" s="6"/>
      <c r="T117" s="7"/>
    </row>
    <row r="118" spans="1:20" x14ac:dyDescent="0.3">
      <c r="A118" s="4"/>
      <c r="B118" s="4">
        <f t="shared" si="1"/>
        <v>111</v>
      </c>
      <c r="C118" s="4" t="str">
        <f>IFERROR(VLOOKUP(Tabel1[[#This Row],[Model]],Tableau2[[Model]:[Parking Number]],2,FALSE)," ")</f>
        <v>WT9</v>
      </c>
      <c r="D118" s="23">
        <v>45525</v>
      </c>
      <c r="E118" s="4" t="str">
        <f>IF(Tabel1[[#This Row],[Model]]="", "",INDEX(Tableau2[Equipment Type],MATCH(Tabel1[[#This Row],[Model]],Tableau2[Model],0)))</f>
        <v>Water Truck</v>
      </c>
      <c r="F118" s="4" t="s">
        <v>50</v>
      </c>
      <c r="G118" s="4" t="str">
        <f>IF(Tabel1[[#This Row],[Model]]="", "",INDEX(Tableau2[Equipment],MATCH(Tabel1[[#This Row],[Model]],Tableau2[Model],0)))</f>
        <v>Water Truck 20T / WT09</v>
      </c>
      <c r="H118" s="4" t="s">
        <v>56</v>
      </c>
      <c r="I118" s="10" t="s">
        <v>57</v>
      </c>
      <c r="J118" s="35" t="s">
        <v>153</v>
      </c>
      <c r="K118" s="4">
        <v>5246135</v>
      </c>
      <c r="L118" s="9">
        <v>0.33333333333333331</v>
      </c>
      <c r="M118" s="9">
        <v>4.1666666666666664E-2</v>
      </c>
      <c r="N118" s="9">
        <v>0.70833333333333337</v>
      </c>
      <c r="O1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8" s="21">
        <f>HOUR(Tabel1[[#This Row],[Total Hours]])+MINUTE(Tabel1[[#This Row],[Total Hours]])/60+SECOND(Tabel1[[#This Row],[Total Hours]])/3600</f>
        <v>8</v>
      </c>
      <c r="Q118" s="6">
        <f>Tabel1[[#This Row],[End Time]]+(Tabel1[[#This Row],[End Time]]&lt;Tabel1[[#This Row],[Start time]])</f>
        <v>0.70833333333333337</v>
      </c>
      <c r="R1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8" s="6"/>
      <c r="T118" s="7"/>
    </row>
    <row r="119" spans="1:20" x14ac:dyDescent="0.3">
      <c r="A119" s="4"/>
      <c r="B119" s="4">
        <f t="shared" si="1"/>
        <v>112</v>
      </c>
      <c r="C119" s="4" t="str">
        <f>IFERROR(VLOOKUP(Tabel1[[#This Row],[Model]],Tableau2[[Model]:[Parking Number]],2,FALSE)," ")</f>
        <v>GR1</v>
      </c>
      <c r="D119" s="23">
        <v>45525</v>
      </c>
      <c r="E119" s="4" t="str">
        <f>IF(Tabel1[[#This Row],[Model]]="", "",INDEX(Tableau2[Equipment Type],MATCH(Tabel1[[#This Row],[Model]],Tableau2[Model],0)))</f>
        <v>Grader</v>
      </c>
      <c r="F119" s="4" t="s">
        <v>63</v>
      </c>
      <c r="G119" s="4" t="str">
        <f>IF(Tabel1[[#This Row],[Model]]="", "",INDEX(Tableau2[Equipment],MATCH(Tabel1[[#This Row],[Model]],Tableau2[Model],0)))</f>
        <v>CAT12K.1</v>
      </c>
      <c r="H119" s="4" t="s">
        <v>56</v>
      </c>
      <c r="I119" s="10" t="s">
        <v>57</v>
      </c>
      <c r="J119" s="35" t="s">
        <v>153</v>
      </c>
      <c r="K119" s="4">
        <v>5246135</v>
      </c>
      <c r="L119" s="9">
        <v>0.33333333333333331</v>
      </c>
      <c r="M119" s="9">
        <v>4.1666666666666664E-2</v>
      </c>
      <c r="N119" s="9">
        <v>0.70833333333333337</v>
      </c>
      <c r="O1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9" s="21">
        <f>HOUR(Tabel1[[#This Row],[Total Hours]])+MINUTE(Tabel1[[#This Row],[Total Hours]])/60+SECOND(Tabel1[[#This Row],[Total Hours]])/3600</f>
        <v>8</v>
      </c>
      <c r="Q119" s="6">
        <f>Tabel1[[#This Row],[End Time]]+(Tabel1[[#This Row],[End Time]]&lt;Tabel1[[#This Row],[Start time]])</f>
        <v>0.70833333333333337</v>
      </c>
      <c r="R1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9" s="6"/>
      <c r="T119" s="7"/>
    </row>
    <row r="120" spans="1:20" x14ac:dyDescent="0.3">
      <c r="A120" s="4"/>
      <c r="B120" s="4">
        <f t="shared" si="1"/>
        <v>113</v>
      </c>
      <c r="C120" s="4" t="str">
        <f>IFERROR(VLOOKUP(Tabel1[[#This Row],[Model]],Tableau2[[Model]:[Parking Number]],2,FALSE)," ")</f>
        <v>GR2</v>
      </c>
      <c r="D120" s="23">
        <v>45525</v>
      </c>
      <c r="E120" s="4" t="str">
        <f>IF(Tabel1[[#This Row],[Model]]="", "",INDEX(Tableau2[Equipment Type],MATCH(Tabel1[[#This Row],[Model]],Tableau2[Model],0)))</f>
        <v>Grader</v>
      </c>
      <c r="F120" s="4" t="s">
        <v>39</v>
      </c>
      <c r="G120" s="4" t="str">
        <f>IF(Tabel1[[#This Row],[Model]]="", "",INDEX(Tableau2[Equipment],MATCH(Tabel1[[#This Row],[Model]],Tableau2[Model],0)))</f>
        <v>CAT12K.2</v>
      </c>
      <c r="H120" s="4" t="s">
        <v>56</v>
      </c>
      <c r="I120" s="10" t="s">
        <v>57</v>
      </c>
      <c r="J120" s="35" t="s">
        <v>153</v>
      </c>
      <c r="K120" s="4">
        <v>5246135</v>
      </c>
      <c r="L120" s="9">
        <v>0.33333333333333331</v>
      </c>
      <c r="M120" s="9">
        <v>4.1666666666666664E-2</v>
      </c>
      <c r="N120" s="9">
        <v>0.70833333333333337</v>
      </c>
      <c r="O1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0" s="21">
        <f>HOUR(Tabel1[[#This Row],[Total Hours]])+MINUTE(Tabel1[[#This Row],[Total Hours]])/60+SECOND(Tabel1[[#This Row],[Total Hours]])/3600</f>
        <v>8</v>
      </c>
      <c r="Q120" s="6">
        <f>Tabel1[[#This Row],[End Time]]+(Tabel1[[#This Row],[End Time]]&lt;Tabel1[[#This Row],[Start time]])</f>
        <v>0.70833333333333337</v>
      </c>
      <c r="R1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0" s="6"/>
      <c r="T120" s="7"/>
    </row>
    <row r="121" spans="1:20" x14ac:dyDescent="0.3">
      <c r="A121" s="4"/>
      <c r="B121" s="4">
        <f t="shared" si="1"/>
        <v>114</v>
      </c>
      <c r="C121" s="4" t="str">
        <f>IFERROR(VLOOKUP(Tabel1[[#This Row],[Model]],Tableau2[[Model]:[Parking Number]],2,FALSE)," ")</f>
        <v>FEL4</v>
      </c>
      <c r="D121" s="23">
        <v>45525</v>
      </c>
      <c r="E121" s="4" t="str">
        <f>IF(Tabel1[[#This Row],[Model]]="", "",INDEX(Tableau2[Equipment Type],MATCH(Tabel1[[#This Row],[Model]],Tableau2[Model],0)))</f>
        <v>Loader</v>
      </c>
      <c r="F121" s="4" t="s">
        <v>40</v>
      </c>
      <c r="G121" s="4" t="str">
        <f>IF(Tabel1[[#This Row],[Model]]="", "",INDEX(Tableau2[Equipment],MATCH(Tabel1[[#This Row],[Model]],Tableau2[Model],0)))</f>
        <v>Cat972G.2</v>
      </c>
      <c r="H121" s="4" t="s">
        <v>56</v>
      </c>
      <c r="I121" s="10" t="s">
        <v>57</v>
      </c>
      <c r="J121" s="35" t="s">
        <v>153</v>
      </c>
      <c r="K121" s="4">
        <v>5246135</v>
      </c>
      <c r="L121" s="9">
        <v>0.33333333333333331</v>
      </c>
      <c r="M121" s="9">
        <v>4.1666666666666664E-2</v>
      </c>
      <c r="N121" s="9">
        <v>0.70833333333333337</v>
      </c>
      <c r="O1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1" s="21">
        <f>HOUR(Tabel1[[#This Row],[Total Hours]])+MINUTE(Tabel1[[#This Row],[Total Hours]])/60+SECOND(Tabel1[[#This Row],[Total Hours]])/3600</f>
        <v>8</v>
      </c>
      <c r="Q121" s="6">
        <f>Tabel1[[#This Row],[End Time]]+(Tabel1[[#This Row],[End Time]]&lt;Tabel1[[#This Row],[Start time]])</f>
        <v>0.70833333333333337</v>
      </c>
      <c r="R1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1" s="6"/>
      <c r="T121" s="7"/>
    </row>
    <row r="122" spans="1:20" x14ac:dyDescent="0.3">
      <c r="A122" s="4"/>
      <c r="B122" s="4">
        <f t="shared" si="1"/>
        <v>115</v>
      </c>
      <c r="C122" s="4" t="str">
        <f>IFERROR(VLOOKUP(Tabel1[[#This Row],[Model]],Tableau2[[Model]:[Parking Number]],2,FALSE)," ")</f>
        <v>TD4</v>
      </c>
      <c r="D122" s="23">
        <v>45525</v>
      </c>
      <c r="E122" s="4" t="str">
        <f>IF(Tabel1[[#This Row],[Model]]="", "",INDEX(Tableau2[Equipment Type],MATCH(Tabel1[[#This Row],[Model]],Tableau2[Model],0)))</f>
        <v>Bulldozer</v>
      </c>
      <c r="F122" s="4" t="s">
        <v>41</v>
      </c>
      <c r="G122" s="4" t="str">
        <f>IF(Tabel1[[#This Row],[Model]]="", "",INDEX(Tableau2[Equipment],MATCH(Tabel1[[#This Row],[Model]],Tableau2[Model],0)))</f>
        <v>CATD8R.3</v>
      </c>
      <c r="H122" s="4" t="s">
        <v>56</v>
      </c>
      <c r="I122" s="10" t="s">
        <v>159</v>
      </c>
      <c r="J122" s="35" t="s">
        <v>153</v>
      </c>
      <c r="K122" s="4">
        <v>5092509</v>
      </c>
      <c r="L122" s="9">
        <v>0.33333333333333331</v>
      </c>
      <c r="M122" s="9">
        <v>4.1666666666666664E-2</v>
      </c>
      <c r="N122" s="9">
        <v>0.70833333333333337</v>
      </c>
      <c r="O1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2" s="21">
        <f>HOUR(Tabel1[[#This Row],[Total Hours]])+MINUTE(Tabel1[[#This Row],[Total Hours]])/60+SECOND(Tabel1[[#This Row],[Total Hours]])/3600</f>
        <v>8</v>
      </c>
      <c r="Q122" s="6">
        <f>Tabel1[[#This Row],[End Time]]+(Tabel1[[#This Row],[End Time]]&lt;Tabel1[[#This Row],[Start time]])</f>
        <v>0.70833333333333337</v>
      </c>
      <c r="R1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2" s="6"/>
      <c r="T122" s="7"/>
    </row>
    <row r="123" spans="1:20" x14ac:dyDescent="0.3">
      <c r="A123" s="4"/>
      <c r="B123" s="4">
        <f t="shared" si="1"/>
        <v>116</v>
      </c>
      <c r="C123" s="4" t="str">
        <f>IFERROR(VLOOKUP(Tabel1[[#This Row],[Model]],Tableau2[[Model]:[Parking Number]],2,FALSE)," ")</f>
        <v>WT8</v>
      </c>
      <c r="D123" s="23">
        <v>45525</v>
      </c>
      <c r="E123" s="4" t="str">
        <f>IF(Tabel1[[#This Row],[Model]]="", "",INDEX(Tableau2[Equipment Type],MATCH(Tabel1[[#This Row],[Model]],Tableau2[Model],0)))</f>
        <v>Water Truck</v>
      </c>
      <c r="F123" s="4" t="s">
        <v>52</v>
      </c>
      <c r="G123" s="4" t="str">
        <f>IF(Tabel1[[#This Row],[Model]]="", "",INDEX(Tableau2[Equipment],MATCH(Tabel1[[#This Row],[Model]],Tableau2[Model],0)))</f>
        <v>Water Truck 20T / WT08</v>
      </c>
      <c r="H123" s="4" t="s">
        <v>161</v>
      </c>
      <c r="I123" s="10" t="s">
        <v>162</v>
      </c>
      <c r="J123" s="35"/>
      <c r="K123" s="4">
        <v>5253778</v>
      </c>
      <c r="L123" s="9">
        <v>0.29166666666666669</v>
      </c>
      <c r="M123" s="9">
        <v>4.1666666666666664E-2</v>
      </c>
      <c r="N123" s="9">
        <v>0.70833333333333337</v>
      </c>
      <c r="O1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23" s="21">
        <f>HOUR(Tabel1[[#This Row],[Total Hours]])+MINUTE(Tabel1[[#This Row],[Total Hours]])/60+SECOND(Tabel1[[#This Row],[Total Hours]])/3600</f>
        <v>9</v>
      </c>
      <c r="Q123" s="6">
        <f>Tabel1[[#This Row],[End Time]]+(Tabel1[[#This Row],[End Time]]&lt;Tabel1[[#This Row],[Start time]])</f>
        <v>0.70833333333333337</v>
      </c>
      <c r="R1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3" s="6"/>
      <c r="T123" s="7"/>
    </row>
    <row r="124" spans="1:20" x14ac:dyDescent="0.3">
      <c r="A124" s="4"/>
      <c r="B124" s="4">
        <f t="shared" si="1"/>
        <v>117</v>
      </c>
      <c r="C124" s="4" t="str">
        <f>IFERROR(VLOOKUP(Tabel1[[#This Row],[Model]],Tableau2[[Model]:[Parking Number]],2,FALSE)," ")</f>
        <v>FEL1</v>
      </c>
      <c r="D124" s="23">
        <v>45525</v>
      </c>
      <c r="E124" s="4" t="str">
        <f>IF(Tabel1[[#This Row],[Model]]="", "",INDEX(Tableau2[Equipment Type],MATCH(Tabel1[[#This Row],[Model]],Tableau2[Model],0)))</f>
        <v>Loader</v>
      </c>
      <c r="F124" s="4" t="s">
        <v>46</v>
      </c>
      <c r="G124" s="4" t="str">
        <f>IF(Tabel1[[#This Row],[Model]]="", "",INDEX(Tableau2[Equipment],MATCH(Tabel1[[#This Row],[Model]],Tableau2[Model],0)))</f>
        <v>Cat966H.1</v>
      </c>
      <c r="H124" s="4" t="s">
        <v>66</v>
      </c>
      <c r="I124" s="10" t="s">
        <v>160</v>
      </c>
      <c r="J124" s="35" t="s">
        <v>234</v>
      </c>
      <c r="K124" s="4">
        <v>5198487</v>
      </c>
      <c r="L124" s="9">
        <v>0.29166666666666669</v>
      </c>
      <c r="M124" s="9">
        <v>4.1666666666666664E-2</v>
      </c>
      <c r="N124" s="9">
        <v>0.79166666666666663</v>
      </c>
      <c r="O1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24" s="21">
        <f>HOUR(Tabel1[[#This Row],[Total Hours]])+MINUTE(Tabel1[[#This Row],[Total Hours]])/60+SECOND(Tabel1[[#This Row],[Total Hours]])/3600</f>
        <v>11</v>
      </c>
      <c r="Q124" s="6">
        <f>Tabel1[[#This Row],[End Time]]+(Tabel1[[#This Row],[End Time]]&lt;Tabel1[[#This Row],[Start time]])</f>
        <v>0.79166666666666663</v>
      </c>
      <c r="R1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4" s="6"/>
      <c r="T124" s="7"/>
    </row>
    <row r="125" spans="1:20" x14ac:dyDescent="0.3">
      <c r="A125" s="4"/>
      <c r="B125" s="4">
        <f t="shared" si="1"/>
        <v>118</v>
      </c>
      <c r="C125" s="4" t="str">
        <f>IFERROR(VLOOKUP(Tabel1[[#This Row],[Model]],Tableau2[[Model]:[Parking Number]],2,FALSE)," ")</f>
        <v>FEL1</v>
      </c>
      <c r="D125" s="23">
        <v>45525</v>
      </c>
      <c r="E125" s="4" t="str">
        <f>IF(Tabel1[[#This Row],[Model]]="", "",INDEX(Tableau2[Equipment Type],MATCH(Tabel1[[#This Row],[Model]],Tableau2[Model],0)))</f>
        <v>Loader</v>
      </c>
      <c r="F125" s="4" t="s">
        <v>46</v>
      </c>
      <c r="G125" s="4" t="str">
        <f>IF(Tabel1[[#This Row],[Model]]="", "",INDEX(Tableau2[Equipment],MATCH(Tabel1[[#This Row],[Model]],Tableau2[Model],0)))</f>
        <v>Cat966H.1</v>
      </c>
      <c r="H125" s="4" t="s">
        <v>66</v>
      </c>
      <c r="I125" s="10" t="s">
        <v>160</v>
      </c>
      <c r="J125" s="35" t="s">
        <v>234</v>
      </c>
      <c r="K125" s="4">
        <v>5198487</v>
      </c>
      <c r="L125" s="9">
        <v>0.79166666666666663</v>
      </c>
      <c r="M125" s="9">
        <v>0</v>
      </c>
      <c r="N125" s="9">
        <v>0.20833333333333334</v>
      </c>
      <c r="O1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25" s="21">
        <f>HOUR(Tabel1[[#This Row],[Total Hours]])+MINUTE(Tabel1[[#This Row],[Total Hours]])/60+SECOND(Tabel1[[#This Row],[Total Hours]])/3600</f>
        <v>10</v>
      </c>
      <c r="Q125" s="6">
        <f>Tabel1[[#This Row],[End Time]]+(Tabel1[[#This Row],[End Time]]&lt;Tabel1[[#This Row],[Start time]])</f>
        <v>1.2083333333333333</v>
      </c>
      <c r="R1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5" s="6"/>
      <c r="T125" s="7"/>
    </row>
    <row r="126" spans="1:20" x14ac:dyDescent="0.3">
      <c r="A126" s="4"/>
      <c r="B126" s="4">
        <f t="shared" si="1"/>
        <v>119</v>
      </c>
      <c r="C126" s="4" t="str">
        <f>IFERROR(VLOOKUP(Tabel1[[#This Row],[Model]],Tableau2[[Model]:[Parking Number]],2,FALSE)," ")</f>
        <v>TT17</v>
      </c>
      <c r="D126" s="23">
        <v>45525</v>
      </c>
      <c r="E126" s="4" t="str">
        <f>IF(Tabel1[[#This Row],[Model]]="", "",INDEX(Tableau2[Equipment Type],MATCH(Tabel1[[#This Row],[Model]],Tableau2[Model],0)))</f>
        <v>Tipper Truck</v>
      </c>
      <c r="F126" s="4" t="s">
        <v>51</v>
      </c>
      <c r="G126" s="4" t="str">
        <f>IF(Tabel1[[#This Row],[Model]]="", "",INDEX(Tableau2[Equipment],MATCH(Tabel1[[#This Row],[Model]],Tableau2[Model],0)))</f>
        <v>Tipper Truck 20m3 / F17</v>
      </c>
      <c r="H126" s="4" t="s">
        <v>66</v>
      </c>
      <c r="I126" s="10" t="s">
        <v>160</v>
      </c>
      <c r="J126" s="35" t="s">
        <v>234</v>
      </c>
      <c r="K126" s="4">
        <v>5198487</v>
      </c>
      <c r="L126" s="9">
        <v>0.29166666666666669</v>
      </c>
      <c r="M126" s="9">
        <v>4.1666666666666664E-2</v>
      </c>
      <c r="N126" s="9">
        <v>0.79166666666666663</v>
      </c>
      <c r="O1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26" s="21">
        <f>HOUR(Tabel1[[#This Row],[Total Hours]])+MINUTE(Tabel1[[#This Row],[Total Hours]])/60+SECOND(Tabel1[[#This Row],[Total Hours]])/3600</f>
        <v>11</v>
      </c>
      <c r="Q126" s="6">
        <f>Tabel1[[#This Row],[End Time]]+(Tabel1[[#This Row],[End Time]]&lt;Tabel1[[#This Row],[Start time]])</f>
        <v>0.79166666666666663</v>
      </c>
      <c r="R1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6" s="6"/>
      <c r="T126" s="7"/>
    </row>
    <row r="127" spans="1:20" x14ac:dyDescent="0.3">
      <c r="A127" s="4"/>
      <c r="B127" s="4">
        <f t="shared" si="1"/>
        <v>120</v>
      </c>
      <c r="C127" s="4" t="str">
        <f>IFERROR(VLOOKUP(Tabel1[[#This Row],[Model]],Tableau2[[Model]:[Parking Number]],2,FALSE)," ")</f>
        <v>EX6</v>
      </c>
      <c r="D127" s="23">
        <v>45525</v>
      </c>
      <c r="E127" s="4" t="str">
        <f>IF(Tabel1[[#This Row],[Model]]="", "",INDEX(Tableau2[Equipment Type],MATCH(Tabel1[[#This Row],[Model]],Tableau2[Model],0)))</f>
        <v>Excavator</v>
      </c>
      <c r="F127" s="4" t="s">
        <v>186</v>
      </c>
      <c r="G127" s="4" t="str">
        <f>IF(Tabel1[[#This Row],[Model]]="", "",INDEX(Tableau2[Equipment],MATCH(Tabel1[[#This Row],[Model]],Tableau2[Model],0)))</f>
        <v>CAT329E</v>
      </c>
      <c r="H127" s="4" t="s">
        <v>174</v>
      </c>
      <c r="I127" s="10" t="s">
        <v>184</v>
      </c>
      <c r="J127" s="35"/>
      <c r="K127" s="4">
        <v>5249725</v>
      </c>
      <c r="L127" s="9">
        <v>0.33333333333333331</v>
      </c>
      <c r="M127" s="9">
        <v>4.1666666666666664E-2</v>
      </c>
      <c r="N127" s="9">
        <v>0.70833333333333337</v>
      </c>
      <c r="O1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7" s="21">
        <f>HOUR(Tabel1[[#This Row],[Total Hours]])+MINUTE(Tabel1[[#This Row],[Total Hours]])/60+SECOND(Tabel1[[#This Row],[Total Hours]])/3600</f>
        <v>8</v>
      </c>
      <c r="Q127" s="6">
        <f>Tabel1[[#This Row],[End Time]]+(Tabel1[[#This Row],[End Time]]&lt;Tabel1[[#This Row],[Start time]])</f>
        <v>0.70833333333333337</v>
      </c>
      <c r="R1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7" s="6"/>
      <c r="T127" s="7"/>
    </row>
    <row r="128" spans="1:20" x14ac:dyDescent="0.3">
      <c r="A128" s="4"/>
      <c r="B128" s="4">
        <f t="shared" si="1"/>
        <v>121</v>
      </c>
      <c r="C128" s="4" t="str">
        <f>IFERROR(VLOOKUP(Tabel1[[#This Row],[Model]],Tableau2[[Model]:[Parking Number]],2,FALSE)," ")</f>
        <v>EX2</v>
      </c>
      <c r="D128" s="23">
        <v>45525</v>
      </c>
      <c r="E128" s="4" t="str">
        <f>IF(Tabel1[[#This Row],[Model]]="", "",INDEX(Tableau2[Equipment Type],MATCH(Tabel1[[#This Row],[Model]],Tableau2[Model],0)))</f>
        <v>Excavator</v>
      </c>
      <c r="F128" s="4" t="s">
        <v>157</v>
      </c>
      <c r="G128" s="4" t="str">
        <f>IF(Tabel1[[#This Row],[Model]]="", "",INDEX(Tableau2[Equipment],MATCH(Tabel1[[#This Row],[Model]],Tableau2[Model],0)))</f>
        <v>CAT320E.2</v>
      </c>
      <c r="H128" s="4" t="s">
        <v>187</v>
      </c>
      <c r="I128" s="10" t="s">
        <v>188</v>
      </c>
      <c r="J128" s="35"/>
      <c r="K128" s="4">
        <v>5246134</v>
      </c>
      <c r="L128" s="9">
        <v>0.375</v>
      </c>
      <c r="M128" s="9">
        <v>4.1666666666666664E-2</v>
      </c>
      <c r="N128" s="9">
        <v>0.70833333333333337</v>
      </c>
      <c r="O1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28" s="21">
        <f>HOUR(Tabel1[[#This Row],[Total Hours]])+MINUTE(Tabel1[[#This Row],[Total Hours]])/60+SECOND(Tabel1[[#This Row],[Total Hours]])/3600</f>
        <v>7</v>
      </c>
      <c r="Q128" s="6">
        <f>Tabel1[[#This Row],[End Time]]+(Tabel1[[#This Row],[End Time]]&lt;Tabel1[[#This Row],[Start time]])</f>
        <v>0.70833333333333337</v>
      </c>
      <c r="R1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8" s="6"/>
      <c r="T128" s="7"/>
    </row>
    <row r="129" spans="1:20" x14ac:dyDescent="0.3">
      <c r="A129" s="4"/>
      <c r="B129" s="4">
        <f t="shared" si="1"/>
        <v>122</v>
      </c>
      <c r="C129" s="4" t="str">
        <f>IFERROR(VLOOKUP(Tabel1[[#This Row],[Model]],Tableau2[[Model]:[Parking Number]],2,FALSE)," ")</f>
        <v>LB1</v>
      </c>
      <c r="D129" s="23">
        <v>45525</v>
      </c>
      <c r="E129" s="4" t="str">
        <f>IF(Tabel1[[#This Row],[Model]]="", "",INDEX(Tableau2[Equipment Type],MATCH(Tabel1[[#This Row],[Model]],Tableau2[Model],0)))</f>
        <v>Lowbed</v>
      </c>
      <c r="F129" s="4" t="s">
        <v>71</v>
      </c>
      <c r="G129" s="4" t="str">
        <f>IF(Tabel1[[#This Row],[Model]]="", "",INDEX(Tableau2[Equipment],MATCH(Tabel1[[#This Row],[Model]],Tableau2[Model],0)))</f>
        <v>LB ACTROS 60T</v>
      </c>
      <c r="H129" s="4" t="s">
        <v>187</v>
      </c>
      <c r="I129" s="10" t="s">
        <v>188</v>
      </c>
      <c r="J129" s="35"/>
      <c r="K129" s="4">
        <v>5246134</v>
      </c>
      <c r="L129" s="9">
        <v>0.33333333333333331</v>
      </c>
      <c r="M129" s="9">
        <v>4.1666666666666664E-2</v>
      </c>
      <c r="N129" s="9">
        <v>0.75</v>
      </c>
      <c r="O1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29" s="21">
        <f>HOUR(Tabel1[[#This Row],[Total Hours]])+MINUTE(Tabel1[[#This Row],[Total Hours]])/60+SECOND(Tabel1[[#This Row],[Total Hours]])/3600</f>
        <v>9</v>
      </c>
      <c r="Q129" s="6">
        <f>Tabel1[[#This Row],[End Time]]+(Tabel1[[#This Row],[End Time]]&lt;Tabel1[[#This Row],[Start time]])</f>
        <v>0.75</v>
      </c>
      <c r="R1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9" s="6"/>
      <c r="T129" s="7"/>
    </row>
    <row r="130" spans="1:20" x14ac:dyDescent="0.3">
      <c r="A130" s="4"/>
      <c r="B130" s="4">
        <f t="shared" si="1"/>
        <v>123</v>
      </c>
      <c r="C130" s="4" t="str">
        <f>IFERROR(VLOOKUP(Tabel1[[#This Row],[Model]],Tableau2[[Model]:[Parking Number]],2,FALSE)," ")</f>
        <v>FEL2</v>
      </c>
      <c r="D130" s="23">
        <v>45525</v>
      </c>
      <c r="E130" s="4" t="str">
        <f>IF(Tabel1[[#This Row],[Model]]="", "",INDEX(Tableau2[Equipment Type],MATCH(Tabel1[[#This Row],[Model]],Tableau2[Model],0)))</f>
        <v>Loader</v>
      </c>
      <c r="F130" s="4" t="s">
        <v>42</v>
      </c>
      <c r="G130" s="4" t="str">
        <f>IF(Tabel1[[#This Row],[Model]]="", "",INDEX(Tableau2[Equipment],MATCH(Tabel1[[#This Row],[Model]],Tableau2[Model],0)))</f>
        <v>Cat966H.2</v>
      </c>
      <c r="H130" s="4" t="s">
        <v>187</v>
      </c>
      <c r="I130" s="10" t="s">
        <v>188</v>
      </c>
      <c r="J130" s="35"/>
      <c r="K130" s="4">
        <v>5246134</v>
      </c>
      <c r="L130" s="9">
        <v>0.625</v>
      </c>
      <c r="M130" s="9">
        <v>0</v>
      </c>
      <c r="N130" s="9">
        <v>0.75</v>
      </c>
      <c r="O1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130" s="21">
        <f>HOUR(Tabel1[[#This Row],[Total Hours]])+MINUTE(Tabel1[[#This Row],[Total Hours]])/60+SECOND(Tabel1[[#This Row],[Total Hours]])/3600</f>
        <v>3</v>
      </c>
      <c r="Q130" s="6">
        <f>Tabel1[[#This Row],[End Time]]+(Tabel1[[#This Row],[End Time]]&lt;Tabel1[[#This Row],[Start time]])</f>
        <v>0.75</v>
      </c>
      <c r="R1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0" s="6"/>
      <c r="T130" s="7"/>
    </row>
    <row r="131" spans="1:20" x14ac:dyDescent="0.3">
      <c r="A131" s="4"/>
      <c r="B131" s="4">
        <f t="shared" si="1"/>
        <v>124</v>
      </c>
      <c r="C131" s="4" t="str">
        <f>IFERROR(VLOOKUP(Tabel1[[#This Row],[Model]],Tableau2[[Model]:[Parking Number]],2,FALSE)," ")</f>
        <v>TT19</v>
      </c>
      <c r="D131" s="23">
        <v>45525</v>
      </c>
      <c r="E131" s="4" t="str">
        <f>IF(Tabel1[[#This Row],[Model]]="", "",INDEX(Tableau2[Equipment Type],MATCH(Tabel1[[#This Row],[Model]],Tableau2[Model],0)))</f>
        <v>Tipper Truck</v>
      </c>
      <c r="F131" s="4" t="s">
        <v>54</v>
      </c>
      <c r="G131" s="4" t="str">
        <f>IF(Tabel1[[#This Row],[Model]]="", "",INDEX(Tableau2[Equipment],MATCH(Tabel1[[#This Row],[Model]],Tableau2[Model],0)))</f>
        <v>Tipper Truck 20m3 / F19</v>
      </c>
      <c r="H131" s="4" t="s">
        <v>187</v>
      </c>
      <c r="I131" s="10" t="s">
        <v>188</v>
      </c>
      <c r="J131" s="35"/>
      <c r="K131" s="4">
        <v>5246134</v>
      </c>
      <c r="L131" s="9">
        <v>0.58333333333333337</v>
      </c>
      <c r="M131" s="9">
        <v>0</v>
      </c>
      <c r="N131" s="9">
        <v>0.66666666666666663</v>
      </c>
      <c r="O1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31" s="21">
        <f>HOUR(Tabel1[[#This Row],[Total Hours]])+MINUTE(Tabel1[[#This Row],[Total Hours]])/60+SECOND(Tabel1[[#This Row],[Total Hours]])/3600</f>
        <v>2</v>
      </c>
      <c r="Q131" s="6">
        <f>Tabel1[[#This Row],[End Time]]+(Tabel1[[#This Row],[End Time]]&lt;Tabel1[[#This Row],[Start time]])</f>
        <v>0.66666666666666663</v>
      </c>
      <c r="R1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1" s="6"/>
      <c r="T131" s="7"/>
    </row>
    <row r="132" spans="1:20" x14ac:dyDescent="0.3">
      <c r="A132" s="4"/>
      <c r="B132" s="4">
        <f t="shared" si="1"/>
        <v>125</v>
      </c>
      <c r="C132" s="4" t="str">
        <f>IFERROR(VLOOKUP(Tabel1[[#This Row],[Model]],Tableau2[[Model]:[Parking Number]],2,FALSE)," ")</f>
        <v>FEL2</v>
      </c>
      <c r="D132" s="23">
        <v>45525</v>
      </c>
      <c r="E132" s="4" t="str">
        <f>IF(Tabel1[[#This Row],[Model]]="", "",INDEX(Tableau2[Equipment Type],MATCH(Tabel1[[#This Row],[Model]],Tableau2[Model],0)))</f>
        <v>Loader</v>
      </c>
      <c r="F132" s="4" t="s">
        <v>42</v>
      </c>
      <c r="G132" s="4" t="str">
        <f>IF(Tabel1[[#This Row],[Model]]="", "",INDEX(Tableau2[Equipment],MATCH(Tabel1[[#This Row],[Model]],Tableau2[Model],0)))</f>
        <v>Cat966H.2</v>
      </c>
      <c r="H132" s="4" t="s">
        <v>189</v>
      </c>
      <c r="I132" s="10" t="s">
        <v>190</v>
      </c>
      <c r="J132" s="35"/>
      <c r="K132" s="4">
        <v>5086336</v>
      </c>
      <c r="L132" s="9">
        <v>0.45833333333333331</v>
      </c>
      <c r="M132" s="9">
        <v>4.1666666666666664E-2</v>
      </c>
      <c r="N132" s="9">
        <v>0.625</v>
      </c>
      <c r="O1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P132" s="21">
        <f>HOUR(Tabel1[[#This Row],[Total Hours]])+MINUTE(Tabel1[[#This Row],[Total Hours]])/60+SECOND(Tabel1[[#This Row],[Total Hours]])/3600</f>
        <v>3</v>
      </c>
      <c r="Q132" s="6">
        <f>Tabel1[[#This Row],[End Time]]+(Tabel1[[#This Row],[End Time]]&lt;Tabel1[[#This Row],[Start time]])</f>
        <v>0.625</v>
      </c>
      <c r="R1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2" s="6"/>
      <c r="T132" s="7"/>
    </row>
    <row r="133" spans="1:20" x14ac:dyDescent="0.3">
      <c r="A133" s="4"/>
      <c r="B133" s="4">
        <f t="shared" si="1"/>
        <v>126</v>
      </c>
      <c r="C133" s="4" t="str">
        <f>IFERROR(VLOOKUP(Tabel1[[#This Row],[Model]],Tableau2[[Model]:[Parking Number]],2,FALSE)," ")</f>
        <v>TT87</v>
      </c>
      <c r="D133" s="23">
        <v>45525</v>
      </c>
      <c r="E133" s="4" t="str">
        <f>IF(Tabel1[[#This Row],[Model]]="", "",INDEX(Tableau2[Equipment Type],MATCH(Tabel1[[#This Row],[Model]],Tableau2[Model],0)))</f>
        <v>Tipper Truck</v>
      </c>
      <c r="F133" s="4" t="s">
        <v>79</v>
      </c>
      <c r="G133" s="4" t="str">
        <f>IF(Tabel1[[#This Row],[Model]]="", "",INDEX(Tableau2[Equipment],MATCH(Tabel1[[#This Row],[Model]],Tableau2[Model],0)))</f>
        <v>Tipper Truck 20m3 / F87</v>
      </c>
      <c r="H133" s="4" t="s">
        <v>189</v>
      </c>
      <c r="I133" s="10" t="s">
        <v>190</v>
      </c>
      <c r="J133" s="35"/>
      <c r="K133" s="4">
        <v>5086336</v>
      </c>
      <c r="L133" s="9">
        <v>0.58333333333333337</v>
      </c>
      <c r="M133" s="9">
        <v>0</v>
      </c>
      <c r="N133" s="9">
        <v>0.625</v>
      </c>
      <c r="O1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P133" s="21">
        <f>HOUR(Tabel1[[#This Row],[Total Hours]])+MINUTE(Tabel1[[#This Row],[Total Hours]])/60+SECOND(Tabel1[[#This Row],[Total Hours]])/3600</f>
        <v>1</v>
      </c>
      <c r="Q133" s="6">
        <f>Tabel1[[#This Row],[End Time]]+(Tabel1[[#This Row],[End Time]]&lt;Tabel1[[#This Row],[Start time]])</f>
        <v>0.625</v>
      </c>
      <c r="R1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3" s="6"/>
      <c r="T133" s="7"/>
    </row>
    <row r="134" spans="1:20" x14ac:dyDescent="0.3">
      <c r="A134" s="4"/>
      <c r="B134" s="4">
        <f t="shared" si="1"/>
        <v>127</v>
      </c>
      <c r="C134" s="4" t="str">
        <f>IFERROR(VLOOKUP(Tabel1[[#This Row],[Model]],Tableau2[[Model]:[Parking Number]],2,FALSE)," ")</f>
        <v>WT1</v>
      </c>
      <c r="D134" s="23">
        <v>45526</v>
      </c>
      <c r="E134" s="4" t="str">
        <f>IF(Tabel1[[#This Row],[Model]]="", "",INDEX(Tableau2[Equipment Type],MATCH(Tabel1[[#This Row],[Model]],Tableau2[Model],0)))</f>
        <v>Water Truck</v>
      </c>
      <c r="F134" s="4" t="s">
        <v>47</v>
      </c>
      <c r="G134" s="4" t="str">
        <f>IF(Tabel1[[#This Row],[Model]]="", "",INDEX(Tableau2[Equipment],MATCH(Tabel1[[#This Row],[Model]],Tableau2[Model],0)))</f>
        <v>Water Truck 20T / 1924.1</v>
      </c>
      <c r="H134" s="4" t="s">
        <v>56</v>
      </c>
      <c r="I134" s="10" t="s">
        <v>57</v>
      </c>
      <c r="J134" s="35" t="s">
        <v>153</v>
      </c>
      <c r="K134" s="4">
        <v>5246135</v>
      </c>
      <c r="L134" s="9">
        <v>0.33333333333333331</v>
      </c>
      <c r="M134" s="9">
        <v>4.1666666666666664E-2</v>
      </c>
      <c r="N134" s="9">
        <v>0.70833333333333337</v>
      </c>
      <c r="O1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4" s="21">
        <f>HOUR(Tabel1[[#This Row],[Total Hours]])+MINUTE(Tabel1[[#This Row],[Total Hours]])/60+SECOND(Tabel1[[#This Row],[Total Hours]])/3600</f>
        <v>8</v>
      </c>
      <c r="Q134" s="6">
        <f>Tabel1[[#This Row],[End Time]]+(Tabel1[[#This Row],[End Time]]&lt;Tabel1[[#This Row],[Start time]])</f>
        <v>0.70833333333333337</v>
      </c>
      <c r="R1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4" s="6"/>
      <c r="T134" s="7"/>
    </row>
    <row r="135" spans="1:20" x14ac:dyDescent="0.3">
      <c r="A135" s="4"/>
      <c r="B135" s="4">
        <f t="shared" si="1"/>
        <v>128</v>
      </c>
      <c r="C135" s="4" t="str">
        <f>IFERROR(VLOOKUP(Tabel1[[#This Row],[Model]],Tableau2[[Model]:[Parking Number]],2,FALSE)," ")</f>
        <v>WT2</v>
      </c>
      <c r="D135" s="23">
        <v>45526</v>
      </c>
      <c r="E135" s="4" t="str">
        <f>IF(Tabel1[[#This Row],[Model]]="", "",INDEX(Tableau2[Equipment Type],MATCH(Tabel1[[#This Row],[Model]],Tableau2[Model],0)))</f>
        <v>Water Truck</v>
      </c>
      <c r="F135" s="4" t="s">
        <v>48</v>
      </c>
      <c r="G135" s="4" t="str">
        <f>IF(Tabel1[[#This Row],[Model]]="", "",INDEX(Tableau2[Equipment],MATCH(Tabel1[[#This Row],[Model]],Tableau2[Model],0)))</f>
        <v>Water Truck 20T / 1924.2</v>
      </c>
      <c r="H135" s="4" t="s">
        <v>56</v>
      </c>
      <c r="I135" s="10" t="s">
        <v>57</v>
      </c>
      <c r="J135" s="35" t="s">
        <v>153</v>
      </c>
      <c r="K135" s="4">
        <v>5246135</v>
      </c>
      <c r="L135" s="9">
        <v>0.33333333333333331</v>
      </c>
      <c r="M135" s="9">
        <v>4.1666666666666664E-2</v>
      </c>
      <c r="N135" s="9">
        <v>0.70833333333333337</v>
      </c>
      <c r="O1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5" s="21">
        <f>HOUR(Tabel1[[#This Row],[Total Hours]])+MINUTE(Tabel1[[#This Row],[Total Hours]])/60+SECOND(Tabel1[[#This Row],[Total Hours]])/3600</f>
        <v>8</v>
      </c>
      <c r="Q135" s="6">
        <f>Tabel1[[#This Row],[End Time]]+(Tabel1[[#This Row],[End Time]]&lt;Tabel1[[#This Row],[Start time]])</f>
        <v>0.70833333333333337</v>
      </c>
      <c r="R1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5" s="6"/>
      <c r="T135" s="7"/>
    </row>
    <row r="136" spans="1:20" x14ac:dyDescent="0.3">
      <c r="A136" s="4"/>
      <c r="B136" s="4">
        <f t="shared" si="1"/>
        <v>129</v>
      </c>
      <c r="C136" s="4" t="str">
        <f>IFERROR(VLOOKUP(Tabel1[[#This Row],[Model]],Tableau2[[Model]:[Parking Number]],2,FALSE)," ")</f>
        <v>WT3</v>
      </c>
      <c r="D136" s="23">
        <v>45526</v>
      </c>
      <c r="E136" s="4" t="str">
        <f>IF(Tabel1[[#This Row],[Model]]="", "",INDEX(Tableau2[Equipment Type],MATCH(Tabel1[[#This Row],[Model]],Tableau2[Model],0)))</f>
        <v>Water Truck</v>
      </c>
      <c r="F136" s="4" t="s">
        <v>49</v>
      </c>
      <c r="G136" s="4" t="str">
        <f>IF(Tabel1[[#This Row],[Model]]="", "",INDEX(Tableau2[Equipment],MATCH(Tabel1[[#This Row],[Model]],Tableau2[Model],0)))</f>
        <v>Water Truck 20T / 1924.3</v>
      </c>
      <c r="H136" s="4" t="s">
        <v>56</v>
      </c>
      <c r="I136" s="10" t="s">
        <v>57</v>
      </c>
      <c r="J136" s="35" t="s">
        <v>153</v>
      </c>
      <c r="K136" s="4">
        <v>5246135</v>
      </c>
      <c r="L136" s="9">
        <v>0.33333333333333331</v>
      </c>
      <c r="M136" s="9">
        <v>4.1666666666666664E-2</v>
      </c>
      <c r="N136" s="9">
        <v>0.70833333333333337</v>
      </c>
      <c r="O1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6" s="21">
        <f>HOUR(Tabel1[[#This Row],[Total Hours]])+MINUTE(Tabel1[[#This Row],[Total Hours]])/60+SECOND(Tabel1[[#This Row],[Total Hours]])/3600</f>
        <v>8</v>
      </c>
      <c r="Q136" s="6">
        <f>Tabel1[[#This Row],[End Time]]+(Tabel1[[#This Row],[End Time]]&lt;Tabel1[[#This Row],[Start time]])</f>
        <v>0.70833333333333337</v>
      </c>
      <c r="R1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6" s="6"/>
      <c r="T136" s="7"/>
    </row>
    <row r="137" spans="1:20" x14ac:dyDescent="0.3">
      <c r="A137" s="4"/>
      <c r="B137" s="4">
        <f t="shared" ref="B137:B200" si="2">B136+1</f>
        <v>130</v>
      </c>
      <c r="C137" s="4" t="str">
        <f>IFERROR(VLOOKUP(Tabel1[[#This Row],[Model]],Tableau2[[Model]:[Parking Number]],2,FALSE)," ")</f>
        <v>WT9</v>
      </c>
      <c r="D137" s="23">
        <v>45526</v>
      </c>
      <c r="E137" s="4" t="str">
        <f>IF(Tabel1[[#This Row],[Model]]="", "",INDEX(Tableau2[Equipment Type],MATCH(Tabel1[[#This Row],[Model]],Tableau2[Model],0)))</f>
        <v>Water Truck</v>
      </c>
      <c r="F137" s="4" t="s">
        <v>50</v>
      </c>
      <c r="G137" s="4" t="str">
        <f>IF(Tabel1[[#This Row],[Model]]="", "",INDEX(Tableau2[Equipment],MATCH(Tabel1[[#This Row],[Model]],Tableau2[Model],0)))</f>
        <v>Water Truck 20T / WT09</v>
      </c>
      <c r="H137" s="4" t="s">
        <v>56</v>
      </c>
      <c r="I137" s="10" t="s">
        <v>57</v>
      </c>
      <c r="J137" s="35" t="s">
        <v>153</v>
      </c>
      <c r="K137" s="4">
        <v>5246135</v>
      </c>
      <c r="L137" s="9">
        <v>0.33333333333333331</v>
      </c>
      <c r="M137" s="9">
        <v>4.1666666666666664E-2</v>
      </c>
      <c r="N137" s="9">
        <v>0.70833333333333337</v>
      </c>
      <c r="O1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7" s="21">
        <f>HOUR(Tabel1[[#This Row],[Total Hours]])+MINUTE(Tabel1[[#This Row],[Total Hours]])/60+SECOND(Tabel1[[#This Row],[Total Hours]])/3600</f>
        <v>8</v>
      </c>
      <c r="Q137" s="6">
        <f>Tabel1[[#This Row],[End Time]]+(Tabel1[[#This Row],[End Time]]&lt;Tabel1[[#This Row],[Start time]])</f>
        <v>0.70833333333333337</v>
      </c>
      <c r="R1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7" s="6"/>
      <c r="T137" s="7"/>
    </row>
    <row r="138" spans="1:20" x14ac:dyDescent="0.3">
      <c r="A138" s="4"/>
      <c r="B138" s="4">
        <f t="shared" si="2"/>
        <v>131</v>
      </c>
      <c r="C138" s="4" t="str">
        <f>IFERROR(VLOOKUP(Tabel1[[#This Row],[Model]],Tableau2[[Model]:[Parking Number]],2,FALSE)," ")</f>
        <v>GR1</v>
      </c>
      <c r="D138" s="23">
        <v>45526</v>
      </c>
      <c r="E138" s="4" t="str">
        <f>IF(Tabel1[[#This Row],[Model]]="", "",INDEX(Tableau2[Equipment Type],MATCH(Tabel1[[#This Row],[Model]],Tableau2[Model],0)))</f>
        <v>Grader</v>
      </c>
      <c r="F138" s="4" t="s">
        <v>63</v>
      </c>
      <c r="G138" s="4" t="str">
        <f>IF(Tabel1[[#This Row],[Model]]="", "",INDEX(Tableau2[Equipment],MATCH(Tabel1[[#This Row],[Model]],Tableau2[Model],0)))</f>
        <v>CAT12K.1</v>
      </c>
      <c r="H138" s="4" t="s">
        <v>56</v>
      </c>
      <c r="I138" s="10" t="s">
        <v>57</v>
      </c>
      <c r="J138" s="35" t="s">
        <v>153</v>
      </c>
      <c r="K138" s="4">
        <v>5246135</v>
      </c>
      <c r="L138" s="9">
        <v>0.33333333333333331</v>
      </c>
      <c r="M138" s="9">
        <v>4.1666666666666664E-2</v>
      </c>
      <c r="N138" s="9">
        <v>0.70833333333333337</v>
      </c>
      <c r="O1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8" s="21">
        <f>HOUR(Tabel1[[#This Row],[Total Hours]])+MINUTE(Tabel1[[#This Row],[Total Hours]])/60+SECOND(Tabel1[[#This Row],[Total Hours]])/3600</f>
        <v>8</v>
      </c>
      <c r="Q138" s="6">
        <f>Tabel1[[#This Row],[End Time]]+(Tabel1[[#This Row],[End Time]]&lt;Tabel1[[#This Row],[Start time]])</f>
        <v>0.70833333333333337</v>
      </c>
      <c r="R1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8" s="6"/>
      <c r="T138" s="7"/>
    </row>
    <row r="139" spans="1:20" x14ac:dyDescent="0.3">
      <c r="A139" s="4"/>
      <c r="B139" s="4">
        <f t="shared" si="2"/>
        <v>132</v>
      </c>
      <c r="C139" s="4" t="str">
        <f>IFERROR(VLOOKUP(Tabel1[[#This Row],[Model]],Tableau2[[Model]:[Parking Number]],2,FALSE)," ")</f>
        <v>GR2</v>
      </c>
      <c r="D139" s="23">
        <v>45526</v>
      </c>
      <c r="E139" s="4" t="str">
        <f>IF(Tabel1[[#This Row],[Model]]="", "",INDEX(Tableau2[Equipment Type],MATCH(Tabel1[[#This Row],[Model]],Tableau2[Model],0)))</f>
        <v>Grader</v>
      </c>
      <c r="F139" s="4" t="s">
        <v>39</v>
      </c>
      <c r="G139" s="4" t="str">
        <f>IF(Tabel1[[#This Row],[Model]]="", "",INDEX(Tableau2[Equipment],MATCH(Tabel1[[#This Row],[Model]],Tableau2[Model],0)))</f>
        <v>CAT12K.2</v>
      </c>
      <c r="H139" s="4" t="s">
        <v>56</v>
      </c>
      <c r="I139" s="10" t="s">
        <v>57</v>
      </c>
      <c r="J139" s="35" t="s">
        <v>153</v>
      </c>
      <c r="K139" s="4">
        <v>5246135</v>
      </c>
      <c r="L139" s="9">
        <v>0.33333333333333331</v>
      </c>
      <c r="M139" s="9">
        <v>0</v>
      </c>
      <c r="N139" s="9">
        <v>0.45833333333333331</v>
      </c>
      <c r="O1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139" s="21">
        <f>HOUR(Tabel1[[#This Row],[Total Hours]])+MINUTE(Tabel1[[#This Row],[Total Hours]])/60+SECOND(Tabel1[[#This Row],[Total Hours]])/3600</f>
        <v>3</v>
      </c>
      <c r="Q139" s="6">
        <f>Tabel1[[#This Row],[End Time]]+(Tabel1[[#This Row],[End Time]]&lt;Tabel1[[#This Row],[Start time]])</f>
        <v>0.45833333333333331</v>
      </c>
      <c r="R1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9" s="6"/>
      <c r="T139" s="7"/>
    </row>
    <row r="140" spans="1:20" x14ac:dyDescent="0.3">
      <c r="A140" s="4"/>
      <c r="B140" s="4">
        <f t="shared" si="2"/>
        <v>133</v>
      </c>
      <c r="C140" s="4" t="str">
        <f>IFERROR(VLOOKUP(Tabel1[[#This Row],[Model]],Tableau2[[Model]:[Parking Number]],2,FALSE)," ")</f>
        <v>FEL4</v>
      </c>
      <c r="D140" s="23">
        <v>45526</v>
      </c>
      <c r="E140" s="4" t="str">
        <f>IF(Tabel1[[#This Row],[Model]]="", "",INDEX(Tableau2[Equipment Type],MATCH(Tabel1[[#This Row],[Model]],Tableau2[Model],0)))</f>
        <v>Loader</v>
      </c>
      <c r="F140" s="4" t="s">
        <v>40</v>
      </c>
      <c r="G140" s="4" t="str">
        <f>IF(Tabel1[[#This Row],[Model]]="", "",INDEX(Tableau2[Equipment],MATCH(Tabel1[[#This Row],[Model]],Tableau2[Model],0)))</f>
        <v>Cat972G.2</v>
      </c>
      <c r="H140" s="4" t="s">
        <v>56</v>
      </c>
      <c r="I140" s="10" t="s">
        <v>57</v>
      </c>
      <c r="J140" s="35" t="s">
        <v>153</v>
      </c>
      <c r="K140" s="4">
        <v>5246135</v>
      </c>
      <c r="L140" s="9">
        <v>0.33333333333333331</v>
      </c>
      <c r="M140" s="9">
        <v>4.1666666666666664E-2</v>
      </c>
      <c r="N140" s="9">
        <v>0.70833333333333337</v>
      </c>
      <c r="O1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40" s="21">
        <f>HOUR(Tabel1[[#This Row],[Total Hours]])+MINUTE(Tabel1[[#This Row],[Total Hours]])/60+SECOND(Tabel1[[#This Row],[Total Hours]])/3600</f>
        <v>8</v>
      </c>
      <c r="Q140" s="6">
        <f>Tabel1[[#This Row],[End Time]]+(Tabel1[[#This Row],[End Time]]&lt;Tabel1[[#This Row],[Start time]])</f>
        <v>0.70833333333333337</v>
      </c>
      <c r="R1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0" s="6"/>
      <c r="T140" s="7"/>
    </row>
    <row r="141" spans="1:20" x14ac:dyDescent="0.3">
      <c r="A141" s="4"/>
      <c r="B141" s="4">
        <f t="shared" si="2"/>
        <v>134</v>
      </c>
      <c r="C141" s="4" t="str">
        <f>IFERROR(VLOOKUP(Tabel1[[#This Row],[Model]],Tableau2[[Model]:[Parking Number]],2,FALSE)," ")</f>
        <v>TD4</v>
      </c>
      <c r="D141" s="23">
        <v>45526</v>
      </c>
      <c r="E141" s="4" t="str">
        <f>IF(Tabel1[[#This Row],[Model]]="", "",INDEX(Tableau2[Equipment Type],MATCH(Tabel1[[#This Row],[Model]],Tableau2[Model],0)))</f>
        <v>Bulldozer</v>
      </c>
      <c r="F141" s="4" t="s">
        <v>41</v>
      </c>
      <c r="G141" s="4" t="str">
        <f>IF(Tabel1[[#This Row],[Model]]="", "",INDEX(Tableau2[Equipment],MATCH(Tabel1[[#This Row],[Model]],Tableau2[Model],0)))</f>
        <v>CATD8R.3</v>
      </c>
      <c r="H141" s="4" t="s">
        <v>56</v>
      </c>
      <c r="I141" s="10" t="s">
        <v>159</v>
      </c>
      <c r="J141" s="35" t="s">
        <v>153</v>
      </c>
      <c r="K141" s="4">
        <v>5092509</v>
      </c>
      <c r="L141" s="9">
        <v>0.33333333333333331</v>
      </c>
      <c r="M141" s="9">
        <v>4.1666666666666664E-2</v>
      </c>
      <c r="N141" s="9">
        <v>0.70833333333333337</v>
      </c>
      <c r="O1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41" s="21">
        <f>HOUR(Tabel1[[#This Row],[Total Hours]])+MINUTE(Tabel1[[#This Row],[Total Hours]])/60+SECOND(Tabel1[[#This Row],[Total Hours]])/3600</f>
        <v>8</v>
      </c>
      <c r="Q141" s="6">
        <f>Tabel1[[#This Row],[End Time]]+(Tabel1[[#This Row],[End Time]]&lt;Tabel1[[#This Row],[Start time]])</f>
        <v>0.70833333333333337</v>
      </c>
      <c r="R1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1" s="6"/>
      <c r="T141" s="7"/>
    </row>
    <row r="142" spans="1:20" x14ac:dyDescent="0.3">
      <c r="A142" s="4"/>
      <c r="B142" s="4">
        <f t="shared" si="2"/>
        <v>135</v>
      </c>
      <c r="C142" s="4" t="str">
        <f>IFERROR(VLOOKUP(Tabel1[[#This Row],[Model]],Tableau2[[Model]:[Parking Number]],2,FALSE)," ")</f>
        <v>WT8</v>
      </c>
      <c r="D142" s="23">
        <v>45526</v>
      </c>
      <c r="E142" s="4" t="str">
        <f>IF(Tabel1[[#This Row],[Model]]="", "",INDEX(Tableau2[Equipment Type],MATCH(Tabel1[[#This Row],[Model]],Tableau2[Model],0)))</f>
        <v>Water Truck</v>
      </c>
      <c r="F142" s="4" t="s">
        <v>52</v>
      </c>
      <c r="G142" s="4" t="str">
        <f>IF(Tabel1[[#This Row],[Model]]="", "",INDEX(Tableau2[Equipment],MATCH(Tabel1[[#This Row],[Model]],Tableau2[Model],0)))</f>
        <v>Water Truck 20T / WT08</v>
      </c>
      <c r="H142" s="4" t="s">
        <v>161</v>
      </c>
      <c r="I142" s="10" t="s">
        <v>162</v>
      </c>
      <c r="J142" s="35"/>
      <c r="K142" s="4">
        <v>5253778</v>
      </c>
      <c r="L142" s="9">
        <v>0.29166666666666669</v>
      </c>
      <c r="M142" s="9">
        <v>4.1666666666666664E-2</v>
      </c>
      <c r="N142" s="9">
        <v>0.70833333333333337</v>
      </c>
      <c r="O1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42" s="21">
        <f>HOUR(Tabel1[[#This Row],[Total Hours]])+MINUTE(Tabel1[[#This Row],[Total Hours]])/60+SECOND(Tabel1[[#This Row],[Total Hours]])/3600</f>
        <v>9</v>
      </c>
      <c r="Q142" s="6">
        <f>Tabel1[[#This Row],[End Time]]+(Tabel1[[#This Row],[End Time]]&lt;Tabel1[[#This Row],[Start time]])</f>
        <v>0.70833333333333337</v>
      </c>
      <c r="R1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2" s="6"/>
      <c r="T142" s="7"/>
    </row>
    <row r="143" spans="1:20" x14ac:dyDescent="0.3">
      <c r="A143" s="4"/>
      <c r="B143" s="4">
        <f t="shared" si="2"/>
        <v>136</v>
      </c>
      <c r="C143" s="4" t="str">
        <f>IFERROR(VLOOKUP(Tabel1[[#This Row],[Model]],Tableau2[[Model]:[Parking Number]],2,FALSE)," ")</f>
        <v>FEL1</v>
      </c>
      <c r="D143" s="23">
        <v>45526</v>
      </c>
      <c r="E143" s="4" t="str">
        <f>IF(Tabel1[[#This Row],[Model]]="", "",INDEX(Tableau2[Equipment Type],MATCH(Tabel1[[#This Row],[Model]],Tableau2[Model],0)))</f>
        <v>Loader</v>
      </c>
      <c r="F143" s="4" t="s">
        <v>46</v>
      </c>
      <c r="G143" s="4" t="str">
        <f>IF(Tabel1[[#This Row],[Model]]="", "",INDEX(Tableau2[Equipment],MATCH(Tabel1[[#This Row],[Model]],Tableau2[Model],0)))</f>
        <v>Cat966H.1</v>
      </c>
      <c r="H143" s="4" t="s">
        <v>66</v>
      </c>
      <c r="I143" s="10" t="s">
        <v>160</v>
      </c>
      <c r="J143" s="35" t="s">
        <v>234</v>
      </c>
      <c r="K143" s="4">
        <v>5198487</v>
      </c>
      <c r="L143" s="9">
        <v>0.29166666666666669</v>
      </c>
      <c r="M143" s="9">
        <v>4.1666666666666664E-2</v>
      </c>
      <c r="N143" s="9">
        <v>0.79166666666666663</v>
      </c>
      <c r="O1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43" s="21">
        <f>HOUR(Tabel1[[#This Row],[Total Hours]])+MINUTE(Tabel1[[#This Row],[Total Hours]])/60+SECOND(Tabel1[[#This Row],[Total Hours]])/3600</f>
        <v>11</v>
      </c>
      <c r="Q143" s="6">
        <f>Tabel1[[#This Row],[End Time]]+(Tabel1[[#This Row],[End Time]]&lt;Tabel1[[#This Row],[Start time]])</f>
        <v>0.79166666666666663</v>
      </c>
      <c r="R1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3" s="6"/>
      <c r="T143" s="7"/>
    </row>
    <row r="144" spans="1:20" x14ac:dyDescent="0.3">
      <c r="A144" s="4"/>
      <c r="B144" s="4">
        <f t="shared" si="2"/>
        <v>137</v>
      </c>
      <c r="C144" s="4" t="str">
        <f>IFERROR(VLOOKUP(Tabel1[[#This Row],[Model]],Tableau2[[Model]:[Parking Number]],2,FALSE)," ")</f>
        <v>FEL1</v>
      </c>
      <c r="D144" s="23">
        <v>45526</v>
      </c>
      <c r="E144" s="4" t="str">
        <f>IF(Tabel1[[#This Row],[Model]]="", "",INDEX(Tableau2[Equipment Type],MATCH(Tabel1[[#This Row],[Model]],Tableau2[Model],0)))</f>
        <v>Loader</v>
      </c>
      <c r="F144" s="4" t="s">
        <v>46</v>
      </c>
      <c r="G144" s="4" t="str">
        <f>IF(Tabel1[[#This Row],[Model]]="", "",INDEX(Tableau2[Equipment],MATCH(Tabel1[[#This Row],[Model]],Tableau2[Model],0)))</f>
        <v>Cat966H.1</v>
      </c>
      <c r="H144" s="4" t="s">
        <v>66</v>
      </c>
      <c r="I144" s="10" t="s">
        <v>160</v>
      </c>
      <c r="J144" s="35" t="s">
        <v>234</v>
      </c>
      <c r="K144" s="4">
        <v>5198487</v>
      </c>
      <c r="L144" s="9">
        <v>0.79166666666666663</v>
      </c>
      <c r="M144" s="9">
        <v>0</v>
      </c>
      <c r="N144" s="9">
        <v>0.20833333333333334</v>
      </c>
      <c r="O1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44" s="21">
        <f>HOUR(Tabel1[[#This Row],[Total Hours]])+MINUTE(Tabel1[[#This Row],[Total Hours]])/60+SECOND(Tabel1[[#This Row],[Total Hours]])/3600</f>
        <v>10</v>
      </c>
      <c r="Q144" s="6">
        <f>Tabel1[[#This Row],[End Time]]+(Tabel1[[#This Row],[End Time]]&lt;Tabel1[[#This Row],[Start time]])</f>
        <v>1.2083333333333333</v>
      </c>
      <c r="R1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4" s="6"/>
      <c r="T144" s="7"/>
    </row>
    <row r="145" spans="1:20" x14ac:dyDescent="0.3">
      <c r="A145" s="4"/>
      <c r="B145" s="4">
        <f t="shared" si="2"/>
        <v>138</v>
      </c>
      <c r="C145" s="4" t="str">
        <f>IFERROR(VLOOKUP(Tabel1[[#This Row],[Model]],Tableau2[[Model]:[Parking Number]],2,FALSE)," ")</f>
        <v>TT17</v>
      </c>
      <c r="D145" s="23">
        <v>45526</v>
      </c>
      <c r="E145" s="4" t="str">
        <f>IF(Tabel1[[#This Row],[Model]]="", "",INDEX(Tableau2[Equipment Type],MATCH(Tabel1[[#This Row],[Model]],Tableau2[Model],0)))</f>
        <v>Tipper Truck</v>
      </c>
      <c r="F145" s="4" t="s">
        <v>51</v>
      </c>
      <c r="G145" s="4" t="str">
        <f>IF(Tabel1[[#This Row],[Model]]="", "",INDEX(Tableau2[Equipment],MATCH(Tabel1[[#This Row],[Model]],Tableau2[Model],0)))</f>
        <v>Tipper Truck 20m3 / F17</v>
      </c>
      <c r="H145" s="4" t="s">
        <v>66</v>
      </c>
      <c r="I145" s="10" t="s">
        <v>160</v>
      </c>
      <c r="J145" s="35" t="s">
        <v>234</v>
      </c>
      <c r="K145" s="4">
        <v>5198487</v>
      </c>
      <c r="L145" s="9">
        <v>0.29166666666666669</v>
      </c>
      <c r="M145" s="9">
        <v>4.1666666666666664E-2</v>
      </c>
      <c r="N145" s="9">
        <v>0.79166666666666663</v>
      </c>
      <c r="O1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45" s="21">
        <f>HOUR(Tabel1[[#This Row],[Total Hours]])+MINUTE(Tabel1[[#This Row],[Total Hours]])/60+SECOND(Tabel1[[#This Row],[Total Hours]])/3600</f>
        <v>11</v>
      </c>
      <c r="Q145" s="6">
        <f>Tabel1[[#This Row],[End Time]]+(Tabel1[[#This Row],[End Time]]&lt;Tabel1[[#This Row],[Start time]])</f>
        <v>0.79166666666666663</v>
      </c>
      <c r="R1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5" s="6"/>
      <c r="T145" s="7"/>
    </row>
    <row r="146" spans="1:20" x14ac:dyDescent="0.3">
      <c r="A146" s="4"/>
      <c r="B146" s="4">
        <f t="shared" si="2"/>
        <v>139</v>
      </c>
      <c r="C146" s="4" t="str">
        <f>IFERROR(VLOOKUP(Tabel1[[#This Row],[Model]],Tableau2[[Model]:[Parking Number]],2,FALSE)," ")</f>
        <v>FEL2</v>
      </c>
      <c r="D146" s="23">
        <v>45526</v>
      </c>
      <c r="E146" s="4" t="str">
        <f>IF(Tabel1[[#This Row],[Model]]="", "",INDEX(Tableau2[Equipment Type],MATCH(Tabel1[[#This Row],[Model]],Tableau2[Model],0)))</f>
        <v>Loader</v>
      </c>
      <c r="F146" s="4" t="s">
        <v>42</v>
      </c>
      <c r="G146" s="4" t="str">
        <f>IF(Tabel1[[#This Row],[Model]]="", "",INDEX(Tableau2[Equipment],MATCH(Tabel1[[#This Row],[Model]],Tableau2[Model],0)))</f>
        <v>Cat966H.2</v>
      </c>
      <c r="H146" s="4" t="s">
        <v>171</v>
      </c>
      <c r="I146" s="10" t="s">
        <v>172</v>
      </c>
      <c r="J146" s="35"/>
      <c r="K146" s="4">
        <v>5246410</v>
      </c>
      <c r="L146" s="9">
        <v>0.41666666666666669</v>
      </c>
      <c r="M146" s="9">
        <v>0</v>
      </c>
      <c r="N146" s="9">
        <v>0.5</v>
      </c>
      <c r="O1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46" s="21">
        <f>HOUR(Tabel1[[#This Row],[Total Hours]])+MINUTE(Tabel1[[#This Row],[Total Hours]])/60+SECOND(Tabel1[[#This Row],[Total Hours]])/3600</f>
        <v>2</v>
      </c>
      <c r="Q146" s="6">
        <f>Tabel1[[#This Row],[End Time]]+(Tabel1[[#This Row],[End Time]]&lt;Tabel1[[#This Row],[Start time]])</f>
        <v>0.5</v>
      </c>
      <c r="R1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6" s="6"/>
      <c r="T146" s="7"/>
    </row>
    <row r="147" spans="1:20" x14ac:dyDescent="0.3">
      <c r="A147" s="4"/>
      <c r="B147" s="4">
        <f t="shared" si="2"/>
        <v>140</v>
      </c>
      <c r="C147" s="4" t="str">
        <f>IFERROR(VLOOKUP(Tabel1[[#This Row],[Model]],Tableau2[[Model]:[Parking Number]],2,FALSE)," ")</f>
        <v>TT19</v>
      </c>
      <c r="D147" s="23">
        <v>45526</v>
      </c>
      <c r="E147" s="4" t="str">
        <f>IF(Tabel1[[#This Row],[Model]]="", "",INDEX(Tableau2[Equipment Type],MATCH(Tabel1[[#This Row],[Model]],Tableau2[Model],0)))</f>
        <v>Tipper Truck</v>
      </c>
      <c r="F147" s="4" t="s">
        <v>54</v>
      </c>
      <c r="G147" s="4" t="str">
        <f>IF(Tabel1[[#This Row],[Model]]="", "",INDEX(Tableau2[Equipment],MATCH(Tabel1[[#This Row],[Model]],Tableau2[Model],0)))</f>
        <v>Tipper Truck 20m3 / F19</v>
      </c>
      <c r="H147" s="4" t="s">
        <v>171</v>
      </c>
      <c r="I147" s="10" t="s">
        <v>172</v>
      </c>
      <c r="J147" s="35"/>
      <c r="K147" s="4">
        <v>5246410</v>
      </c>
      <c r="L147" s="9">
        <v>0.41666666666666669</v>
      </c>
      <c r="M147" s="9">
        <v>0</v>
      </c>
      <c r="N147" s="9">
        <v>0.5</v>
      </c>
      <c r="O1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47" s="21">
        <f>HOUR(Tabel1[[#This Row],[Total Hours]])+MINUTE(Tabel1[[#This Row],[Total Hours]])/60+SECOND(Tabel1[[#This Row],[Total Hours]])/3600</f>
        <v>2</v>
      </c>
      <c r="Q147" s="6">
        <f>Tabel1[[#This Row],[End Time]]+(Tabel1[[#This Row],[End Time]]&lt;Tabel1[[#This Row],[Start time]])</f>
        <v>0.5</v>
      </c>
      <c r="R1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7" s="6"/>
      <c r="T147" s="7"/>
    </row>
    <row r="148" spans="1:20" x14ac:dyDescent="0.3">
      <c r="A148" s="4"/>
      <c r="B148" s="4">
        <f t="shared" si="2"/>
        <v>141</v>
      </c>
      <c r="C148" s="4" t="str">
        <f>IFERROR(VLOOKUP(Tabel1[[#This Row],[Model]],Tableau2[[Model]:[Parking Number]],2,FALSE)," ")</f>
        <v>TT87</v>
      </c>
      <c r="D148" s="23">
        <v>45526</v>
      </c>
      <c r="E148" s="4" t="str">
        <f>IF(Tabel1[[#This Row],[Model]]="", "",INDEX(Tableau2[Equipment Type],MATCH(Tabel1[[#This Row],[Model]],Tableau2[Model],0)))</f>
        <v>Tipper Truck</v>
      </c>
      <c r="F148" s="4" t="s">
        <v>79</v>
      </c>
      <c r="G148" s="4" t="str">
        <f>IF(Tabel1[[#This Row],[Model]]="", "",INDEX(Tableau2[Equipment],MATCH(Tabel1[[#This Row],[Model]],Tableau2[Model],0)))</f>
        <v>Tipper Truck 20m3 / F87</v>
      </c>
      <c r="H148" s="4" t="s">
        <v>171</v>
      </c>
      <c r="I148" s="10" t="s">
        <v>172</v>
      </c>
      <c r="J148" s="35"/>
      <c r="K148" s="4">
        <v>5246410</v>
      </c>
      <c r="L148" s="9">
        <v>0.41666666666666669</v>
      </c>
      <c r="M148" s="9">
        <v>0</v>
      </c>
      <c r="N148" s="9">
        <v>0.5</v>
      </c>
      <c r="O1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48" s="21">
        <f>HOUR(Tabel1[[#This Row],[Total Hours]])+MINUTE(Tabel1[[#This Row],[Total Hours]])/60+SECOND(Tabel1[[#This Row],[Total Hours]])/3600</f>
        <v>2</v>
      </c>
      <c r="Q148" s="6">
        <f>Tabel1[[#This Row],[End Time]]+(Tabel1[[#This Row],[End Time]]&lt;Tabel1[[#This Row],[Start time]])</f>
        <v>0.5</v>
      </c>
      <c r="R1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8" s="6"/>
      <c r="T148" s="7"/>
    </row>
    <row r="149" spans="1:20" x14ac:dyDescent="0.3">
      <c r="A149" s="4"/>
      <c r="B149" s="4">
        <f t="shared" si="2"/>
        <v>142</v>
      </c>
      <c r="C149" s="4" t="str">
        <f>IFERROR(VLOOKUP(Tabel1[[#This Row],[Model]],Tableau2[[Model]:[Parking Number]],2,FALSE)," ")</f>
        <v>FEL2</v>
      </c>
      <c r="D149" s="23">
        <v>45526</v>
      </c>
      <c r="E149" s="4" t="str">
        <f>IF(Tabel1[[#This Row],[Model]]="", "",INDEX(Tableau2[Equipment Type],MATCH(Tabel1[[#This Row],[Model]],Tableau2[Model],0)))</f>
        <v>Loader</v>
      </c>
      <c r="F149" s="4" t="s">
        <v>42</v>
      </c>
      <c r="G149" s="4" t="str">
        <f>IF(Tabel1[[#This Row],[Model]]="", "",INDEX(Tableau2[Equipment],MATCH(Tabel1[[#This Row],[Model]],Tableau2[Model],0)))</f>
        <v>Cat966H.2</v>
      </c>
      <c r="H149" s="4" t="s">
        <v>191</v>
      </c>
      <c r="I149" s="10" t="s">
        <v>192</v>
      </c>
      <c r="J149" s="35"/>
      <c r="K149" s="4">
        <v>5257354</v>
      </c>
      <c r="L149" s="9">
        <v>0.58333333333333337</v>
      </c>
      <c r="M149" s="9">
        <v>0</v>
      </c>
      <c r="N149" s="9">
        <v>0.75</v>
      </c>
      <c r="O1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P149" s="21">
        <f>HOUR(Tabel1[[#This Row],[Total Hours]])+MINUTE(Tabel1[[#This Row],[Total Hours]])/60+SECOND(Tabel1[[#This Row],[Total Hours]])/3600</f>
        <v>4</v>
      </c>
      <c r="Q149" s="6">
        <f>Tabel1[[#This Row],[End Time]]+(Tabel1[[#This Row],[End Time]]&lt;Tabel1[[#This Row],[Start time]])</f>
        <v>0.75</v>
      </c>
      <c r="R1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9" s="6"/>
      <c r="T149" s="7"/>
    </row>
    <row r="150" spans="1:20" x14ac:dyDescent="0.3">
      <c r="A150" s="4"/>
      <c r="B150" s="4">
        <f t="shared" si="2"/>
        <v>143</v>
      </c>
      <c r="C150" s="4" t="str">
        <f>IFERROR(VLOOKUP(Tabel1[[#This Row],[Model]],Tableau2[[Model]:[Parking Number]],2,FALSE)," ")</f>
        <v>GR2</v>
      </c>
      <c r="D150" s="23">
        <v>45526</v>
      </c>
      <c r="E150" s="4" t="str">
        <f>IF(Tabel1[[#This Row],[Model]]="", "",INDEX(Tableau2[Equipment Type],MATCH(Tabel1[[#This Row],[Model]],Tableau2[Model],0)))</f>
        <v>Grader</v>
      </c>
      <c r="F150" s="4" t="s">
        <v>39</v>
      </c>
      <c r="G150" s="4" t="str">
        <f>IF(Tabel1[[#This Row],[Model]]="", "",INDEX(Tableau2[Equipment],MATCH(Tabel1[[#This Row],[Model]],Tableau2[Model],0)))</f>
        <v>CAT12K.2</v>
      </c>
      <c r="H150" s="4" t="s">
        <v>187</v>
      </c>
      <c r="I150" s="10" t="s">
        <v>193</v>
      </c>
      <c r="J150" s="35"/>
      <c r="K150" s="4">
        <v>5257366</v>
      </c>
      <c r="L150" s="9">
        <v>0.5</v>
      </c>
      <c r="M150" s="9">
        <v>4.1666666666666664E-2</v>
      </c>
      <c r="N150" s="9">
        <v>0.91666666666666663</v>
      </c>
      <c r="O1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0.37499999999999994</v>
      </c>
      <c r="P150" s="21">
        <f>HOUR(Tabel1[[#This Row],[Total Hours]])+MINUTE(Tabel1[[#This Row],[Total Hours]])/60+SECOND(Tabel1[[#This Row],[Total Hours]])/3600</f>
        <v>9</v>
      </c>
      <c r="Q150" s="6">
        <f>Tabel1[[#This Row],[End Time]]+(Tabel1[[#This Row],[End Time]]&lt;Tabel1[[#This Row],[Start time]])</f>
        <v>0.91666666666666663</v>
      </c>
      <c r="R1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0" s="6"/>
      <c r="T150" s="7"/>
    </row>
    <row r="151" spans="1:20" x14ac:dyDescent="0.3">
      <c r="A151" s="4"/>
      <c r="B151" s="4">
        <f t="shared" si="2"/>
        <v>144</v>
      </c>
      <c r="C151" s="4" t="str">
        <f>IFERROR(VLOOKUP(Tabel1[[#This Row],[Model]],Tableau2[[Model]:[Parking Number]],2,FALSE)," ")</f>
        <v>TT32</v>
      </c>
      <c r="D151" s="23">
        <v>45526</v>
      </c>
      <c r="E151" s="4" t="str">
        <f>IF(Tabel1[[#This Row],[Model]]="", "",INDEX(Tableau2[Equipment Type],MATCH(Tabel1[[#This Row],[Model]],Tableau2[Model],0)))</f>
        <v>Tipper Truck</v>
      </c>
      <c r="F151" s="4" t="s">
        <v>53</v>
      </c>
      <c r="G151" s="4" t="str">
        <f>IF(Tabel1[[#This Row],[Model]]="", "",INDEX(Tableau2[Equipment],MATCH(Tabel1[[#This Row],[Model]],Tableau2[Model],0)))</f>
        <v>Tipper Truck 20m3 / F32</v>
      </c>
      <c r="H151" s="4" t="s">
        <v>187</v>
      </c>
      <c r="I151" s="10" t="s">
        <v>193</v>
      </c>
      <c r="J151" s="35"/>
      <c r="K151" s="4">
        <v>5257366</v>
      </c>
      <c r="L151" s="9">
        <v>0.5</v>
      </c>
      <c r="M151" s="9">
        <v>4.1666666666666664E-2</v>
      </c>
      <c r="N151" s="9">
        <v>0.83333333333333337</v>
      </c>
      <c r="O1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51" s="21">
        <f>HOUR(Tabel1[[#This Row],[Total Hours]])+MINUTE(Tabel1[[#This Row],[Total Hours]])/60+SECOND(Tabel1[[#This Row],[Total Hours]])/3600</f>
        <v>7</v>
      </c>
      <c r="Q151" s="6">
        <f>Tabel1[[#This Row],[End Time]]+(Tabel1[[#This Row],[End Time]]&lt;Tabel1[[#This Row],[Start time]])</f>
        <v>0.83333333333333337</v>
      </c>
      <c r="R1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1" s="6"/>
      <c r="T151" s="7"/>
    </row>
    <row r="152" spans="1:20" x14ac:dyDescent="0.3">
      <c r="A152" s="4"/>
      <c r="B152" s="4">
        <f t="shared" si="2"/>
        <v>145</v>
      </c>
      <c r="C152" s="4" t="str">
        <f>IFERROR(VLOOKUP(Tabel1[[#This Row],[Model]],Tableau2[[Model]:[Parking Number]],2,FALSE)," ")</f>
        <v>TT30</v>
      </c>
      <c r="D152" s="23">
        <v>45526</v>
      </c>
      <c r="E152" s="4" t="str">
        <f>IF(Tabel1[[#This Row],[Model]]="", "",INDEX(Tableau2[Equipment Type],MATCH(Tabel1[[#This Row],[Model]],Tableau2[Model],0)))</f>
        <v>Tipper Truck</v>
      </c>
      <c r="F152" s="4" t="s">
        <v>83</v>
      </c>
      <c r="G152" s="4" t="str">
        <f>IF(Tabel1[[#This Row],[Model]]="", "",INDEX(Tableau2[Equipment],MATCH(Tabel1[[#This Row],[Model]],Tableau2[Model],0)))</f>
        <v>Tipper Truck 20m3 / F30</v>
      </c>
      <c r="H152" s="4" t="s">
        <v>187</v>
      </c>
      <c r="I152" s="10" t="s">
        <v>193</v>
      </c>
      <c r="J152" s="35"/>
      <c r="K152" s="4">
        <v>5257366</v>
      </c>
      <c r="L152" s="9">
        <v>0.5</v>
      </c>
      <c r="M152" s="9">
        <v>4.1666666666666664E-2</v>
      </c>
      <c r="N152" s="9">
        <v>0.83333333333333337</v>
      </c>
      <c r="O1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52" s="21">
        <f>HOUR(Tabel1[[#This Row],[Total Hours]])+MINUTE(Tabel1[[#This Row],[Total Hours]])/60+SECOND(Tabel1[[#This Row],[Total Hours]])/3600</f>
        <v>7</v>
      </c>
      <c r="Q152" s="6">
        <f>Tabel1[[#This Row],[End Time]]+(Tabel1[[#This Row],[End Time]]&lt;Tabel1[[#This Row],[Start time]])</f>
        <v>0.83333333333333337</v>
      </c>
      <c r="R1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2" s="6"/>
      <c r="T152" s="7"/>
    </row>
    <row r="153" spans="1:20" x14ac:dyDescent="0.3">
      <c r="A153" s="4"/>
      <c r="B153" s="4">
        <f t="shared" si="2"/>
        <v>146</v>
      </c>
      <c r="C153" s="4" t="str">
        <f>IFERROR(VLOOKUP(Tabel1[[#This Row],[Model]],Tableau2[[Model]:[Parking Number]],2,FALSE)," ")</f>
        <v>TT87</v>
      </c>
      <c r="D153" s="23">
        <v>45526</v>
      </c>
      <c r="E153" s="4" t="str">
        <f>IF(Tabel1[[#This Row],[Model]]="", "",INDEX(Tableau2[Equipment Type],MATCH(Tabel1[[#This Row],[Model]],Tableau2[Model],0)))</f>
        <v>Tipper Truck</v>
      </c>
      <c r="F153" s="4" t="s">
        <v>79</v>
      </c>
      <c r="G153" s="4" t="str">
        <f>IF(Tabel1[[#This Row],[Model]]="", "",INDEX(Tableau2[Equipment],MATCH(Tabel1[[#This Row],[Model]],Tableau2[Model],0)))</f>
        <v>Tipper Truck 20m3 / F87</v>
      </c>
      <c r="H153" s="4" t="s">
        <v>187</v>
      </c>
      <c r="I153" s="10" t="s">
        <v>193</v>
      </c>
      <c r="J153" s="35"/>
      <c r="K153" s="4">
        <v>5257366</v>
      </c>
      <c r="L153" s="9">
        <v>0.5</v>
      </c>
      <c r="M153" s="9">
        <v>4.1666666666666664E-2</v>
      </c>
      <c r="N153" s="9">
        <v>0.83333333333333337</v>
      </c>
      <c r="O1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53" s="21">
        <f>HOUR(Tabel1[[#This Row],[Total Hours]])+MINUTE(Tabel1[[#This Row],[Total Hours]])/60+SECOND(Tabel1[[#This Row],[Total Hours]])/3600</f>
        <v>7</v>
      </c>
      <c r="Q153" s="6">
        <f>Tabel1[[#This Row],[End Time]]+(Tabel1[[#This Row],[End Time]]&lt;Tabel1[[#This Row],[Start time]])</f>
        <v>0.83333333333333337</v>
      </c>
      <c r="R1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3" s="6"/>
      <c r="T153" s="7"/>
    </row>
    <row r="154" spans="1:20" x14ac:dyDescent="0.3">
      <c r="A154" s="4"/>
      <c r="B154" s="4">
        <f t="shared" si="2"/>
        <v>147</v>
      </c>
      <c r="C154" s="4" t="str">
        <f>IFERROR(VLOOKUP(Tabel1[[#This Row],[Model]],Tableau2[[Model]:[Parking Number]],2,FALSE)," ")</f>
        <v>CP1</v>
      </c>
      <c r="D154" s="23">
        <v>45526</v>
      </c>
      <c r="E154" s="4" t="str">
        <f>IF(Tabel1[[#This Row],[Model]]="", "",INDEX(Tableau2[Equipment Type],MATCH(Tabel1[[#This Row],[Model]],Tableau2[Model],0)))</f>
        <v>Compactor</v>
      </c>
      <c r="F154" s="4" t="s">
        <v>132</v>
      </c>
      <c r="G154" s="4" t="str">
        <f>IF(Tabel1[[#This Row],[Model]]="", "",INDEX(Tableau2[Equipment],MATCH(Tabel1[[#This Row],[Model]],Tableau2[Model],0)))</f>
        <v xml:space="preserve"> CATCS-563E</v>
      </c>
      <c r="H154" s="4" t="s">
        <v>187</v>
      </c>
      <c r="I154" s="10" t="s">
        <v>193</v>
      </c>
      <c r="J154" s="35"/>
      <c r="K154" s="4">
        <v>5257366</v>
      </c>
      <c r="L154" s="9">
        <v>0.66666666666666663</v>
      </c>
      <c r="M154" s="9">
        <v>0</v>
      </c>
      <c r="N154" s="9">
        <v>0.75</v>
      </c>
      <c r="O1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154" s="21">
        <f>HOUR(Tabel1[[#This Row],[Total Hours]])+MINUTE(Tabel1[[#This Row],[Total Hours]])/60+SECOND(Tabel1[[#This Row],[Total Hours]])/3600</f>
        <v>2</v>
      </c>
      <c r="Q154" s="6">
        <f>Tabel1[[#This Row],[End Time]]+(Tabel1[[#This Row],[End Time]]&lt;Tabel1[[#This Row],[Start time]])</f>
        <v>0.75</v>
      </c>
      <c r="R1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4" s="6"/>
      <c r="T154" s="7"/>
    </row>
    <row r="155" spans="1:20" x14ac:dyDescent="0.3">
      <c r="A155" s="4"/>
      <c r="B155" s="4">
        <f t="shared" si="2"/>
        <v>148</v>
      </c>
      <c r="C155" s="4" t="str">
        <f>IFERROR(VLOOKUP(Tabel1[[#This Row],[Model]],Tableau2[[Model]:[Parking Number]],2,FALSE)," ")</f>
        <v>BL1</v>
      </c>
      <c r="D155" s="23">
        <v>45526</v>
      </c>
      <c r="E155" s="4" t="str">
        <f>IF(Tabel1[[#This Row],[Model]]="", "",INDEX(Tableau2[Equipment Type],MATCH(Tabel1[[#This Row],[Model]],Tableau2[Model],0)))</f>
        <v>Backhoe Loader</v>
      </c>
      <c r="F155" s="4" t="s">
        <v>76</v>
      </c>
      <c r="G155" s="4" t="str">
        <f>IF(Tabel1[[#This Row],[Model]]="", "",INDEX(Tableau2[Equipment],MATCH(Tabel1[[#This Row],[Model]],Tableau2[Model],0)))</f>
        <v>CAT432D</v>
      </c>
      <c r="H155" s="4" t="s">
        <v>187</v>
      </c>
      <c r="I155" s="10" t="s">
        <v>193</v>
      </c>
      <c r="J155" s="35"/>
      <c r="K155" s="4">
        <v>5257366</v>
      </c>
      <c r="L155" s="9">
        <v>0.33333333333333331</v>
      </c>
      <c r="M155" s="9">
        <v>4.1666666666666664E-2</v>
      </c>
      <c r="N155" s="9">
        <v>0.66666666666666663</v>
      </c>
      <c r="O1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55" s="21">
        <f>HOUR(Tabel1[[#This Row],[Total Hours]])+MINUTE(Tabel1[[#This Row],[Total Hours]])/60+SECOND(Tabel1[[#This Row],[Total Hours]])/3600</f>
        <v>7</v>
      </c>
      <c r="Q155" s="6">
        <f>Tabel1[[#This Row],[End Time]]+(Tabel1[[#This Row],[End Time]]&lt;Tabel1[[#This Row],[Start time]])</f>
        <v>0.66666666666666663</v>
      </c>
      <c r="R1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5" s="6"/>
      <c r="T155" s="7"/>
    </row>
    <row r="156" spans="1:20" x14ac:dyDescent="0.3">
      <c r="A156" s="4"/>
      <c r="B156" s="4">
        <f t="shared" si="2"/>
        <v>149</v>
      </c>
      <c r="C156" s="4" t="str">
        <f>IFERROR(VLOOKUP(Tabel1[[#This Row],[Model]],Tableau2[[Model]:[Parking Number]],2,FALSE)," ")</f>
        <v>WT1</v>
      </c>
      <c r="D156" s="23">
        <v>45527</v>
      </c>
      <c r="E156" s="4" t="str">
        <f>IF(Tabel1[[#This Row],[Model]]="", "",INDEX(Tableau2[Equipment Type],MATCH(Tabel1[[#This Row],[Model]],Tableau2[Model],0)))</f>
        <v>Water Truck</v>
      </c>
      <c r="F156" s="4" t="s">
        <v>47</v>
      </c>
      <c r="G156" s="4" t="str">
        <f>IF(Tabel1[[#This Row],[Model]]="", "",INDEX(Tableau2[Equipment],MATCH(Tabel1[[#This Row],[Model]],Tableau2[Model],0)))</f>
        <v>Water Truck 20T / 1924.1</v>
      </c>
      <c r="H156" s="4" t="s">
        <v>56</v>
      </c>
      <c r="I156" s="10" t="s">
        <v>57</v>
      </c>
      <c r="J156" s="35" t="s">
        <v>153</v>
      </c>
      <c r="K156" s="4">
        <v>5246135</v>
      </c>
      <c r="L156" s="9">
        <v>0.33333333333333331</v>
      </c>
      <c r="M156" s="9">
        <v>0</v>
      </c>
      <c r="N156" s="9">
        <v>0.54166666666666663</v>
      </c>
      <c r="O1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6" s="21">
        <f>HOUR(Tabel1[[#This Row],[Total Hours]])+MINUTE(Tabel1[[#This Row],[Total Hours]])/60+SECOND(Tabel1[[#This Row],[Total Hours]])/3600</f>
        <v>5</v>
      </c>
      <c r="Q156" s="6">
        <f>Tabel1[[#This Row],[End Time]]+(Tabel1[[#This Row],[End Time]]&lt;Tabel1[[#This Row],[Start time]])</f>
        <v>0.54166666666666663</v>
      </c>
      <c r="R1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6" s="6"/>
      <c r="T156" s="7"/>
    </row>
    <row r="157" spans="1:20" x14ac:dyDescent="0.3">
      <c r="A157" s="4"/>
      <c r="B157" s="4">
        <f t="shared" si="2"/>
        <v>150</v>
      </c>
      <c r="C157" s="4" t="str">
        <f>IFERROR(VLOOKUP(Tabel1[[#This Row],[Model]],Tableau2[[Model]:[Parking Number]],2,FALSE)," ")</f>
        <v>WT2</v>
      </c>
      <c r="D157" s="23">
        <v>45527</v>
      </c>
      <c r="E157" s="4" t="str">
        <f>IF(Tabel1[[#This Row],[Model]]="", "",INDEX(Tableau2[Equipment Type],MATCH(Tabel1[[#This Row],[Model]],Tableau2[Model],0)))</f>
        <v>Water Truck</v>
      </c>
      <c r="F157" s="4" t="s">
        <v>48</v>
      </c>
      <c r="G157" s="4" t="str">
        <f>IF(Tabel1[[#This Row],[Model]]="", "",INDEX(Tableau2[Equipment],MATCH(Tabel1[[#This Row],[Model]],Tableau2[Model],0)))</f>
        <v>Water Truck 20T / 1924.2</v>
      </c>
      <c r="H157" s="4" t="s">
        <v>56</v>
      </c>
      <c r="I157" s="10" t="s">
        <v>57</v>
      </c>
      <c r="J157" s="35" t="s">
        <v>153</v>
      </c>
      <c r="K157" s="4">
        <v>5246135</v>
      </c>
      <c r="L157" s="9">
        <v>0.33333333333333331</v>
      </c>
      <c r="M157" s="9">
        <v>0</v>
      </c>
      <c r="N157" s="9">
        <v>0.54166666666666663</v>
      </c>
      <c r="O1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7" s="21">
        <f>HOUR(Tabel1[[#This Row],[Total Hours]])+MINUTE(Tabel1[[#This Row],[Total Hours]])/60+SECOND(Tabel1[[#This Row],[Total Hours]])/3600</f>
        <v>5</v>
      </c>
      <c r="Q157" s="6">
        <f>Tabel1[[#This Row],[End Time]]+(Tabel1[[#This Row],[End Time]]&lt;Tabel1[[#This Row],[Start time]])</f>
        <v>0.54166666666666663</v>
      </c>
      <c r="R1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7" s="6"/>
      <c r="T157" s="7"/>
    </row>
    <row r="158" spans="1:20" x14ac:dyDescent="0.3">
      <c r="A158" s="4"/>
      <c r="B158" s="4">
        <f t="shared" si="2"/>
        <v>151</v>
      </c>
      <c r="C158" s="4" t="str">
        <f>IFERROR(VLOOKUP(Tabel1[[#This Row],[Model]],Tableau2[[Model]:[Parking Number]],2,FALSE)," ")</f>
        <v>WT3</v>
      </c>
      <c r="D158" s="23">
        <v>45527</v>
      </c>
      <c r="E158" s="4" t="str">
        <f>IF(Tabel1[[#This Row],[Model]]="", "",INDEX(Tableau2[Equipment Type],MATCH(Tabel1[[#This Row],[Model]],Tableau2[Model],0)))</f>
        <v>Water Truck</v>
      </c>
      <c r="F158" s="4" t="s">
        <v>49</v>
      </c>
      <c r="G158" s="4" t="str">
        <f>IF(Tabel1[[#This Row],[Model]]="", "",INDEX(Tableau2[Equipment],MATCH(Tabel1[[#This Row],[Model]],Tableau2[Model],0)))</f>
        <v>Water Truck 20T / 1924.3</v>
      </c>
      <c r="H158" s="4" t="s">
        <v>56</v>
      </c>
      <c r="I158" s="10" t="s">
        <v>57</v>
      </c>
      <c r="J158" s="35" t="s">
        <v>153</v>
      </c>
      <c r="K158" s="4">
        <v>5246135</v>
      </c>
      <c r="L158" s="9">
        <v>0.33333333333333331</v>
      </c>
      <c r="M158" s="9">
        <v>0</v>
      </c>
      <c r="N158" s="9">
        <v>0.54166666666666663</v>
      </c>
      <c r="O1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8" s="21">
        <f>HOUR(Tabel1[[#This Row],[Total Hours]])+MINUTE(Tabel1[[#This Row],[Total Hours]])/60+SECOND(Tabel1[[#This Row],[Total Hours]])/3600</f>
        <v>5</v>
      </c>
      <c r="Q158" s="6">
        <f>Tabel1[[#This Row],[End Time]]+(Tabel1[[#This Row],[End Time]]&lt;Tabel1[[#This Row],[Start time]])</f>
        <v>0.54166666666666663</v>
      </c>
      <c r="R1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8" s="6"/>
      <c r="T158" s="7"/>
    </row>
    <row r="159" spans="1:20" x14ac:dyDescent="0.3">
      <c r="A159" s="4"/>
      <c r="B159" s="4">
        <f t="shared" si="2"/>
        <v>152</v>
      </c>
      <c r="C159" s="4" t="str">
        <f>IFERROR(VLOOKUP(Tabel1[[#This Row],[Model]],Tableau2[[Model]:[Parking Number]],2,FALSE)," ")</f>
        <v>WT9</v>
      </c>
      <c r="D159" s="23">
        <v>45527</v>
      </c>
      <c r="E159" s="4" t="str">
        <f>IF(Tabel1[[#This Row],[Model]]="", "",INDEX(Tableau2[Equipment Type],MATCH(Tabel1[[#This Row],[Model]],Tableau2[Model],0)))</f>
        <v>Water Truck</v>
      </c>
      <c r="F159" s="4" t="s">
        <v>50</v>
      </c>
      <c r="G159" s="4" t="str">
        <f>IF(Tabel1[[#This Row],[Model]]="", "",INDEX(Tableau2[Equipment],MATCH(Tabel1[[#This Row],[Model]],Tableau2[Model],0)))</f>
        <v>Water Truck 20T / WT09</v>
      </c>
      <c r="H159" s="4" t="s">
        <v>56</v>
      </c>
      <c r="I159" s="10" t="s">
        <v>57</v>
      </c>
      <c r="J159" s="35" t="s">
        <v>153</v>
      </c>
      <c r="K159" s="4">
        <v>5246135</v>
      </c>
      <c r="L159" s="9">
        <v>0.33333333333333331</v>
      </c>
      <c r="M159" s="9">
        <v>0</v>
      </c>
      <c r="N159" s="9">
        <v>0.54166666666666663</v>
      </c>
      <c r="O1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9" s="21">
        <f>HOUR(Tabel1[[#This Row],[Total Hours]])+MINUTE(Tabel1[[#This Row],[Total Hours]])/60+SECOND(Tabel1[[#This Row],[Total Hours]])/3600</f>
        <v>5</v>
      </c>
      <c r="Q159" s="6">
        <f>Tabel1[[#This Row],[End Time]]+(Tabel1[[#This Row],[End Time]]&lt;Tabel1[[#This Row],[Start time]])</f>
        <v>0.54166666666666663</v>
      </c>
      <c r="R1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9" s="6"/>
      <c r="T159" s="7"/>
    </row>
    <row r="160" spans="1:20" x14ac:dyDescent="0.3">
      <c r="A160" s="4"/>
      <c r="B160" s="4">
        <f t="shared" si="2"/>
        <v>153</v>
      </c>
      <c r="C160" s="4" t="str">
        <f>IFERROR(VLOOKUP(Tabel1[[#This Row],[Model]],Tableau2[[Model]:[Parking Number]],2,FALSE)," ")</f>
        <v>GR1</v>
      </c>
      <c r="D160" s="23">
        <v>45527</v>
      </c>
      <c r="E160" s="4" t="str">
        <f>IF(Tabel1[[#This Row],[Model]]="", "",INDEX(Tableau2[Equipment Type],MATCH(Tabel1[[#This Row],[Model]],Tableau2[Model],0)))</f>
        <v>Grader</v>
      </c>
      <c r="F160" s="4" t="s">
        <v>63</v>
      </c>
      <c r="G160" s="4" t="str">
        <f>IF(Tabel1[[#This Row],[Model]]="", "",INDEX(Tableau2[Equipment],MATCH(Tabel1[[#This Row],[Model]],Tableau2[Model],0)))</f>
        <v>CAT12K.1</v>
      </c>
      <c r="H160" s="4" t="s">
        <v>56</v>
      </c>
      <c r="I160" s="10" t="s">
        <v>57</v>
      </c>
      <c r="J160" s="35" t="s">
        <v>153</v>
      </c>
      <c r="K160" s="4">
        <v>5246135</v>
      </c>
      <c r="L160" s="9">
        <v>0.33333333333333331</v>
      </c>
      <c r="M160" s="9">
        <v>0</v>
      </c>
      <c r="N160" s="9">
        <v>0.54166666666666663</v>
      </c>
      <c r="O1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60" s="21">
        <f>HOUR(Tabel1[[#This Row],[Total Hours]])+MINUTE(Tabel1[[#This Row],[Total Hours]])/60+SECOND(Tabel1[[#This Row],[Total Hours]])/3600</f>
        <v>5</v>
      </c>
      <c r="Q160" s="6">
        <f>Tabel1[[#This Row],[End Time]]+(Tabel1[[#This Row],[End Time]]&lt;Tabel1[[#This Row],[Start time]])</f>
        <v>0.54166666666666663</v>
      </c>
      <c r="R1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0" s="6"/>
      <c r="T160" s="7"/>
    </row>
    <row r="161" spans="1:20" x14ac:dyDescent="0.3">
      <c r="A161" s="4"/>
      <c r="B161" s="4">
        <f t="shared" si="2"/>
        <v>154</v>
      </c>
      <c r="C161" s="4" t="str">
        <f>IFERROR(VLOOKUP(Tabel1[[#This Row],[Model]],Tableau2[[Model]:[Parking Number]],2,FALSE)," ")</f>
        <v>FEL4</v>
      </c>
      <c r="D161" s="23">
        <v>45527</v>
      </c>
      <c r="E161" s="4" t="str">
        <f>IF(Tabel1[[#This Row],[Model]]="", "",INDEX(Tableau2[Equipment Type],MATCH(Tabel1[[#This Row],[Model]],Tableau2[Model],0)))</f>
        <v>Loader</v>
      </c>
      <c r="F161" s="4" t="s">
        <v>40</v>
      </c>
      <c r="G161" s="4" t="str">
        <f>IF(Tabel1[[#This Row],[Model]]="", "",INDEX(Tableau2[Equipment],MATCH(Tabel1[[#This Row],[Model]],Tableau2[Model],0)))</f>
        <v>Cat972G.2</v>
      </c>
      <c r="H161" s="4" t="s">
        <v>56</v>
      </c>
      <c r="I161" s="10" t="s">
        <v>57</v>
      </c>
      <c r="J161" s="35" t="s">
        <v>153</v>
      </c>
      <c r="K161" s="4">
        <v>5246135</v>
      </c>
      <c r="L161" s="9">
        <v>0.33333333333333331</v>
      </c>
      <c r="M161" s="9">
        <v>0</v>
      </c>
      <c r="N161" s="9">
        <v>0.54166666666666663</v>
      </c>
      <c r="O1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61" s="21">
        <f>HOUR(Tabel1[[#This Row],[Total Hours]])+MINUTE(Tabel1[[#This Row],[Total Hours]])/60+SECOND(Tabel1[[#This Row],[Total Hours]])/3600</f>
        <v>5</v>
      </c>
      <c r="Q161" s="6">
        <f>Tabel1[[#This Row],[End Time]]+(Tabel1[[#This Row],[End Time]]&lt;Tabel1[[#This Row],[Start time]])</f>
        <v>0.54166666666666663</v>
      </c>
      <c r="R1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1" s="6"/>
      <c r="T161" s="7"/>
    </row>
    <row r="162" spans="1:20" x14ac:dyDescent="0.3">
      <c r="A162" s="4"/>
      <c r="B162" s="4">
        <f t="shared" si="2"/>
        <v>155</v>
      </c>
      <c r="C162" s="4" t="str">
        <f>IFERROR(VLOOKUP(Tabel1[[#This Row],[Model]],Tableau2[[Model]:[Parking Number]],2,FALSE)," ")</f>
        <v>TD4</v>
      </c>
      <c r="D162" s="23">
        <v>45527</v>
      </c>
      <c r="E162" s="4" t="str">
        <f>IF(Tabel1[[#This Row],[Model]]="", "",INDEX(Tableau2[Equipment Type],MATCH(Tabel1[[#This Row],[Model]],Tableau2[Model],0)))</f>
        <v>Bulldozer</v>
      </c>
      <c r="F162" s="4" t="s">
        <v>41</v>
      </c>
      <c r="G162" s="4" t="str">
        <f>IF(Tabel1[[#This Row],[Model]]="", "",INDEX(Tableau2[Equipment],MATCH(Tabel1[[#This Row],[Model]],Tableau2[Model],0)))</f>
        <v>CATD8R.3</v>
      </c>
      <c r="H162" s="4" t="s">
        <v>56</v>
      </c>
      <c r="I162" s="10" t="s">
        <v>159</v>
      </c>
      <c r="J162" s="35" t="s">
        <v>153</v>
      </c>
      <c r="K162" s="4">
        <v>5092509</v>
      </c>
      <c r="L162" s="9">
        <v>0.33333333333333331</v>
      </c>
      <c r="M162" s="9">
        <v>0</v>
      </c>
      <c r="N162" s="9">
        <v>0.54166666666666663</v>
      </c>
      <c r="O1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62" s="21">
        <f>HOUR(Tabel1[[#This Row],[Total Hours]])+MINUTE(Tabel1[[#This Row],[Total Hours]])/60+SECOND(Tabel1[[#This Row],[Total Hours]])/3600</f>
        <v>5</v>
      </c>
      <c r="Q162" s="6">
        <f>Tabel1[[#This Row],[End Time]]+(Tabel1[[#This Row],[End Time]]&lt;Tabel1[[#This Row],[Start time]])</f>
        <v>0.54166666666666663</v>
      </c>
      <c r="R1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2" s="6"/>
      <c r="T162" s="7"/>
    </row>
    <row r="163" spans="1:20" x14ac:dyDescent="0.3">
      <c r="A163" s="4"/>
      <c r="B163" s="4">
        <f t="shared" si="2"/>
        <v>156</v>
      </c>
      <c r="C163" s="4" t="str">
        <f>IFERROR(VLOOKUP(Tabel1[[#This Row],[Model]],Tableau2[[Model]:[Parking Number]],2,FALSE)," ")</f>
        <v>WT8</v>
      </c>
      <c r="D163" s="23">
        <v>45527</v>
      </c>
      <c r="E163" s="4" t="str">
        <f>IF(Tabel1[[#This Row],[Model]]="", "",INDEX(Tableau2[Equipment Type],MATCH(Tabel1[[#This Row],[Model]],Tableau2[Model],0)))</f>
        <v>Water Truck</v>
      </c>
      <c r="F163" s="4" t="s">
        <v>52</v>
      </c>
      <c r="G163" s="4" t="str">
        <f>IF(Tabel1[[#This Row],[Model]]="", "",INDEX(Tableau2[Equipment],MATCH(Tabel1[[#This Row],[Model]],Tableau2[Model],0)))</f>
        <v>Water Truck 20T / WT08</v>
      </c>
      <c r="H163" s="4" t="s">
        <v>161</v>
      </c>
      <c r="I163" s="10" t="s">
        <v>162</v>
      </c>
      <c r="J163" s="35"/>
      <c r="K163" s="4">
        <v>5253778</v>
      </c>
      <c r="L163" s="9">
        <v>0.29166666666666669</v>
      </c>
      <c r="M163" s="9">
        <v>8.3333333333333329E-2</v>
      </c>
      <c r="N163" s="9">
        <v>0.75</v>
      </c>
      <c r="O1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63" s="21">
        <f>HOUR(Tabel1[[#This Row],[Total Hours]])+MINUTE(Tabel1[[#This Row],[Total Hours]])/60+SECOND(Tabel1[[#This Row],[Total Hours]])/3600</f>
        <v>9</v>
      </c>
      <c r="Q163" s="6">
        <f>Tabel1[[#This Row],[End Time]]+(Tabel1[[#This Row],[End Time]]&lt;Tabel1[[#This Row],[Start time]])</f>
        <v>0.75</v>
      </c>
      <c r="R1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3" s="6"/>
      <c r="T163" s="7"/>
    </row>
    <row r="164" spans="1:20" x14ac:dyDescent="0.3">
      <c r="A164" s="4"/>
      <c r="B164" s="4">
        <f t="shared" si="2"/>
        <v>157</v>
      </c>
      <c r="C164" s="4" t="str">
        <f>IFERROR(VLOOKUP(Tabel1[[#This Row],[Model]],Tableau2[[Model]:[Parking Number]],2,FALSE)," ")</f>
        <v>FEL1</v>
      </c>
      <c r="D164" s="23">
        <v>45527</v>
      </c>
      <c r="E164" s="4" t="str">
        <f>IF(Tabel1[[#This Row],[Model]]="", "",INDEX(Tableau2[Equipment Type],MATCH(Tabel1[[#This Row],[Model]],Tableau2[Model],0)))</f>
        <v>Loader</v>
      </c>
      <c r="F164" s="4" t="s">
        <v>46</v>
      </c>
      <c r="G164" s="4" t="str">
        <f>IF(Tabel1[[#This Row],[Model]]="", "",INDEX(Tableau2[Equipment],MATCH(Tabel1[[#This Row],[Model]],Tableau2[Model],0)))</f>
        <v>Cat966H.1</v>
      </c>
      <c r="H164" s="4" t="s">
        <v>66</v>
      </c>
      <c r="I164" s="10" t="s">
        <v>160</v>
      </c>
      <c r="J164" s="35" t="s">
        <v>234</v>
      </c>
      <c r="K164" s="4">
        <v>5198487</v>
      </c>
      <c r="L164" s="9">
        <v>0.29166666666666669</v>
      </c>
      <c r="M164" s="9">
        <v>4.1666666666666664E-2</v>
      </c>
      <c r="N164" s="9">
        <v>0.79166666666666663</v>
      </c>
      <c r="O1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64" s="21">
        <f>HOUR(Tabel1[[#This Row],[Total Hours]])+MINUTE(Tabel1[[#This Row],[Total Hours]])/60+SECOND(Tabel1[[#This Row],[Total Hours]])/3600</f>
        <v>11</v>
      </c>
      <c r="Q164" s="6">
        <f>Tabel1[[#This Row],[End Time]]+(Tabel1[[#This Row],[End Time]]&lt;Tabel1[[#This Row],[Start time]])</f>
        <v>0.79166666666666663</v>
      </c>
      <c r="R1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4" s="6"/>
      <c r="T164" s="7"/>
    </row>
    <row r="165" spans="1:20" x14ac:dyDescent="0.3">
      <c r="A165" s="4"/>
      <c r="B165" s="4">
        <f t="shared" si="2"/>
        <v>158</v>
      </c>
      <c r="C165" s="4" t="str">
        <f>IFERROR(VLOOKUP(Tabel1[[#This Row],[Model]],Tableau2[[Model]:[Parking Number]],2,FALSE)," ")</f>
        <v>FEL1</v>
      </c>
      <c r="D165" s="23">
        <v>45527</v>
      </c>
      <c r="E165" s="4" t="str">
        <f>IF(Tabel1[[#This Row],[Model]]="", "",INDEX(Tableau2[Equipment Type],MATCH(Tabel1[[#This Row],[Model]],Tableau2[Model],0)))</f>
        <v>Loader</v>
      </c>
      <c r="F165" s="4" t="s">
        <v>46</v>
      </c>
      <c r="G165" s="4" t="str">
        <f>IF(Tabel1[[#This Row],[Model]]="", "",INDEX(Tableau2[Equipment],MATCH(Tabel1[[#This Row],[Model]],Tableau2[Model],0)))</f>
        <v>Cat966H.1</v>
      </c>
      <c r="H165" s="4" t="s">
        <v>66</v>
      </c>
      <c r="I165" s="10" t="s">
        <v>160</v>
      </c>
      <c r="J165" s="35" t="s">
        <v>234</v>
      </c>
      <c r="K165" s="4">
        <v>5198487</v>
      </c>
      <c r="L165" s="9">
        <v>0.79166666666666663</v>
      </c>
      <c r="M165" s="9">
        <v>0</v>
      </c>
      <c r="N165" s="9">
        <v>0.20833333333333334</v>
      </c>
      <c r="O1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65" s="21">
        <f>HOUR(Tabel1[[#This Row],[Total Hours]])+MINUTE(Tabel1[[#This Row],[Total Hours]])/60+SECOND(Tabel1[[#This Row],[Total Hours]])/3600</f>
        <v>10</v>
      </c>
      <c r="Q165" s="6">
        <f>Tabel1[[#This Row],[End Time]]+(Tabel1[[#This Row],[End Time]]&lt;Tabel1[[#This Row],[Start time]])</f>
        <v>1.2083333333333333</v>
      </c>
      <c r="R1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5" s="6"/>
      <c r="T165" s="7"/>
    </row>
    <row r="166" spans="1:20" x14ac:dyDescent="0.3">
      <c r="A166" s="4"/>
      <c r="B166" s="4">
        <f t="shared" si="2"/>
        <v>159</v>
      </c>
      <c r="C166" s="4" t="str">
        <f>IFERROR(VLOOKUP(Tabel1[[#This Row],[Model]],Tableau2[[Model]:[Parking Number]],2,FALSE)," ")</f>
        <v>TT17</v>
      </c>
      <c r="D166" s="23">
        <v>45527</v>
      </c>
      <c r="E166" s="4" t="str">
        <f>IF(Tabel1[[#This Row],[Model]]="", "",INDEX(Tableau2[Equipment Type],MATCH(Tabel1[[#This Row],[Model]],Tableau2[Model],0)))</f>
        <v>Tipper Truck</v>
      </c>
      <c r="F166" s="4" t="s">
        <v>51</v>
      </c>
      <c r="G166" s="4" t="str">
        <f>IF(Tabel1[[#This Row],[Model]]="", "",INDEX(Tableau2[Equipment],MATCH(Tabel1[[#This Row],[Model]],Tableau2[Model],0)))</f>
        <v>Tipper Truck 20m3 / F17</v>
      </c>
      <c r="H166" s="4" t="s">
        <v>66</v>
      </c>
      <c r="I166" s="10" t="s">
        <v>160</v>
      </c>
      <c r="J166" s="35" t="s">
        <v>234</v>
      </c>
      <c r="K166" s="4">
        <v>5198487</v>
      </c>
      <c r="L166" s="9">
        <v>0.29166666666666669</v>
      </c>
      <c r="M166" s="9">
        <v>4.1666666666666664E-2</v>
      </c>
      <c r="N166" s="9">
        <v>0.79166666666666663</v>
      </c>
      <c r="O1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66" s="21">
        <f>HOUR(Tabel1[[#This Row],[Total Hours]])+MINUTE(Tabel1[[#This Row],[Total Hours]])/60+SECOND(Tabel1[[#This Row],[Total Hours]])/3600</f>
        <v>11</v>
      </c>
      <c r="Q166" s="6">
        <f>Tabel1[[#This Row],[End Time]]+(Tabel1[[#This Row],[End Time]]&lt;Tabel1[[#This Row],[Start time]])</f>
        <v>0.79166666666666663</v>
      </c>
      <c r="R1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6" s="6"/>
      <c r="T166" s="7"/>
    </row>
    <row r="167" spans="1:20" x14ac:dyDescent="0.3">
      <c r="A167" s="4"/>
      <c r="B167" s="4">
        <f t="shared" si="2"/>
        <v>160</v>
      </c>
      <c r="C167" s="4" t="str">
        <f>IFERROR(VLOOKUP(Tabel1[[#This Row],[Model]],Tableau2[[Model]:[Parking Number]],2,FALSE)," ")</f>
        <v>LB1</v>
      </c>
      <c r="D167" s="23">
        <v>45527</v>
      </c>
      <c r="E167" s="4" t="str">
        <f>IF(Tabel1[[#This Row],[Model]]="", "",INDEX(Tableau2[Equipment Type],MATCH(Tabel1[[#This Row],[Model]],Tableau2[Model],0)))</f>
        <v>Lowbed</v>
      </c>
      <c r="F167" s="4" t="s">
        <v>71</v>
      </c>
      <c r="G167" s="4" t="str">
        <f>IF(Tabel1[[#This Row],[Model]]="", "",INDEX(Tableau2[Equipment],MATCH(Tabel1[[#This Row],[Model]],Tableau2[Model],0)))</f>
        <v>LB ACTROS 60T</v>
      </c>
      <c r="H167" s="4" t="s">
        <v>194</v>
      </c>
      <c r="I167" s="10" t="s">
        <v>195</v>
      </c>
      <c r="J167" s="35"/>
      <c r="K167" s="4">
        <v>5257918</v>
      </c>
      <c r="L167" s="9">
        <v>0.45833333333333331</v>
      </c>
      <c r="M167" s="9">
        <v>0</v>
      </c>
      <c r="N167" s="9">
        <v>0.75</v>
      </c>
      <c r="O1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67" s="21">
        <f>HOUR(Tabel1[[#This Row],[Total Hours]])+MINUTE(Tabel1[[#This Row],[Total Hours]])/60+SECOND(Tabel1[[#This Row],[Total Hours]])/3600</f>
        <v>7</v>
      </c>
      <c r="Q167" s="6">
        <f>Tabel1[[#This Row],[End Time]]+(Tabel1[[#This Row],[End Time]]&lt;Tabel1[[#This Row],[Start time]])</f>
        <v>0.75</v>
      </c>
      <c r="R1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7" s="6"/>
      <c r="T167" s="7"/>
    </row>
    <row r="168" spans="1:20" x14ac:dyDescent="0.3">
      <c r="A168" s="4"/>
      <c r="B168" s="4">
        <f t="shared" si="2"/>
        <v>161</v>
      </c>
      <c r="C168" s="4" t="str">
        <f>IFERROR(VLOOKUP(Tabel1[[#This Row],[Model]],Tableau2[[Model]:[Parking Number]],2,FALSE)," ")</f>
        <v>EX3</v>
      </c>
      <c r="D168" s="23">
        <v>45527</v>
      </c>
      <c r="E168" s="4" t="str">
        <f>IF(Tabel1[[#This Row],[Model]]="", "",INDEX(Tableau2[Equipment Type],MATCH(Tabel1[[#This Row],[Model]],Tableau2[Model],0)))</f>
        <v>Excavator</v>
      </c>
      <c r="F168" s="4" t="s">
        <v>86</v>
      </c>
      <c r="G168" s="4" t="str">
        <f>IF(Tabel1[[#This Row],[Model]]="", "",INDEX(Tableau2[Equipment],MATCH(Tabel1[[#This Row],[Model]],Tableau2[Model],0)))</f>
        <v>CAT323D.1</v>
      </c>
      <c r="H168" s="4" t="s">
        <v>194</v>
      </c>
      <c r="I168" s="10" t="s">
        <v>195</v>
      </c>
      <c r="J168" s="35"/>
      <c r="K168" s="4">
        <v>5257918</v>
      </c>
      <c r="L168" s="9">
        <v>0.5</v>
      </c>
      <c r="M168" s="9">
        <v>0</v>
      </c>
      <c r="N168" s="9">
        <v>0.70833333333333337</v>
      </c>
      <c r="O1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P168" s="21">
        <f>HOUR(Tabel1[[#This Row],[Total Hours]])+MINUTE(Tabel1[[#This Row],[Total Hours]])/60+SECOND(Tabel1[[#This Row],[Total Hours]])/3600</f>
        <v>5</v>
      </c>
      <c r="Q168" s="6">
        <f>Tabel1[[#This Row],[End Time]]+(Tabel1[[#This Row],[End Time]]&lt;Tabel1[[#This Row],[Start time]])</f>
        <v>0.70833333333333337</v>
      </c>
      <c r="R1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8" s="6"/>
      <c r="T168" s="7"/>
    </row>
    <row r="169" spans="1:20" x14ac:dyDescent="0.3">
      <c r="A169" s="4"/>
      <c r="B169" s="4">
        <f t="shared" si="2"/>
        <v>162</v>
      </c>
      <c r="C169" s="4" t="str">
        <f>IFERROR(VLOOKUP(Tabel1[[#This Row],[Model]],Tableau2[[Model]:[Parking Number]],2,FALSE)," ")</f>
        <v>EX6</v>
      </c>
      <c r="D169" s="23">
        <v>45527</v>
      </c>
      <c r="E169" s="4" t="str">
        <f>IF(Tabel1[[#This Row],[Model]]="", "",INDEX(Tableau2[Equipment Type],MATCH(Tabel1[[#This Row],[Model]],Tableau2[Model],0)))</f>
        <v>Excavator</v>
      </c>
      <c r="F169" s="4" t="s">
        <v>186</v>
      </c>
      <c r="G169" s="4" t="str">
        <f>IF(Tabel1[[#This Row],[Model]]="", "",INDEX(Tableau2[Equipment],MATCH(Tabel1[[#This Row],[Model]],Tableau2[Model],0)))</f>
        <v>CAT329E</v>
      </c>
      <c r="H169" s="4" t="s">
        <v>174</v>
      </c>
      <c r="I169" s="10" t="s">
        <v>184</v>
      </c>
      <c r="J169" s="35"/>
      <c r="K169" s="4">
        <v>5249725</v>
      </c>
      <c r="L169" s="9">
        <v>0.41666666666666669</v>
      </c>
      <c r="M169" s="9">
        <v>0</v>
      </c>
      <c r="N169" s="9">
        <v>0.58333333333333337</v>
      </c>
      <c r="O1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69" s="21">
        <f>HOUR(Tabel1[[#This Row],[Total Hours]])+MINUTE(Tabel1[[#This Row],[Total Hours]])/60+SECOND(Tabel1[[#This Row],[Total Hours]])/3600</f>
        <v>4</v>
      </c>
      <c r="Q169" s="6">
        <f>Tabel1[[#This Row],[End Time]]+(Tabel1[[#This Row],[End Time]]&lt;Tabel1[[#This Row],[Start time]])</f>
        <v>0.58333333333333337</v>
      </c>
      <c r="R1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9" s="6"/>
      <c r="T169" s="7"/>
    </row>
    <row r="170" spans="1:20" x14ac:dyDescent="0.3">
      <c r="A170" s="4"/>
      <c r="B170" s="4">
        <f t="shared" si="2"/>
        <v>163</v>
      </c>
      <c r="C170" s="4" t="str">
        <f>IFERROR(VLOOKUP(Tabel1[[#This Row],[Model]],Tableau2[[Model]:[Parking Number]],2,FALSE)," ")</f>
        <v>GR2</v>
      </c>
      <c r="D170" s="23">
        <v>45527</v>
      </c>
      <c r="E170" s="4" t="str">
        <f>IF(Tabel1[[#This Row],[Model]]="", "",INDEX(Tableau2[Equipment Type],MATCH(Tabel1[[#This Row],[Model]],Tableau2[Model],0)))</f>
        <v>Grader</v>
      </c>
      <c r="F170" s="4" t="s">
        <v>39</v>
      </c>
      <c r="G170" s="4" t="str">
        <f>IF(Tabel1[[#This Row],[Model]]="", "",INDEX(Tableau2[Equipment],MATCH(Tabel1[[#This Row],[Model]],Tableau2[Model],0)))</f>
        <v>CAT12K.2</v>
      </c>
      <c r="H170" s="4" t="s">
        <v>187</v>
      </c>
      <c r="I170" s="10" t="s">
        <v>193</v>
      </c>
      <c r="J170" s="35"/>
      <c r="K170" s="4">
        <v>5257366</v>
      </c>
      <c r="L170" s="9">
        <v>0.41666666666666669</v>
      </c>
      <c r="M170" s="9">
        <v>0</v>
      </c>
      <c r="N170" s="9">
        <v>0.58333333333333337</v>
      </c>
      <c r="O1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70" s="21">
        <f>HOUR(Tabel1[[#This Row],[Total Hours]])+MINUTE(Tabel1[[#This Row],[Total Hours]])/60+SECOND(Tabel1[[#This Row],[Total Hours]])/3600</f>
        <v>4</v>
      </c>
      <c r="Q170" s="6">
        <f>Tabel1[[#This Row],[End Time]]+(Tabel1[[#This Row],[End Time]]&lt;Tabel1[[#This Row],[Start time]])</f>
        <v>0.58333333333333337</v>
      </c>
      <c r="R1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0" s="6"/>
      <c r="T170" s="7"/>
    </row>
    <row r="171" spans="1:20" x14ac:dyDescent="0.3">
      <c r="A171" s="4"/>
      <c r="B171" s="4">
        <f t="shared" si="2"/>
        <v>164</v>
      </c>
      <c r="C171" s="4" t="str">
        <f>IFERROR(VLOOKUP(Tabel1[[#This Row],[Model]],Tableau2[[Model]:[Parking Number]],2,FALSE)," ")</f>
        <v>TT32</v>
      </c>
      <c r="D171" s="23">
        <v>45527</v>
      </c>
      <c r="E171" s="4" t="str">
        <f>IF(Tabel1[[#This Row],[Model]]="", "",INDEX(Tableau2[Equipment Type],MATCH(Tabel1[[#This Row],[Model]],Tableau2[Model],0)))</f>
        <v>Tipper Truck</v>
      </c>
      <c r="F171" s="4" t="s">
        <v>53</v>
      </c>
      <c r="G171" s="4" t="str">
        <f>IF(Tabel1[[#This Row],[Model]]="", "",INDEX(Tableau2[Equipment],MATCH(Tabel1[[#This Row],[Model]],Tableau2[Model],0)))</f>
        <v>Tipper Truck 20m3 / F32</v>
      </c>
      <c r="H171" s="4" t="s">
        <v>187</v>
      </c>
      <c r="I171" s="10" t="s">
        <v>193</v>
      </c>
      <c r="J171" s="35"/>
      <c r="K171" s="4">
        <v>5257366</v>
      </c>
      <c r="L171" s="9">
        <v>0.29166666666666669</v>
      </c>
      <c r="M171" s="9">
        <v>0</v>
      </c>
      <c r="N171" s="9">
        <v>0.54166666666666663</v>
      </c>
      <c r="O1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171" s="21">
        <f>HOUR(Tabel1[[#This Row],[Total Hours]])+MINUTE(Tabel1[[#This Row],[Total Hours]])/60+SECOND(Tabel1[[#This Row],[Total Hours]])/3600</f>
        <v>6</v>
      </c>
      <c r="Q171" s="6">
        <f>Tabel1[[#This Row],[End Time]]+(Tabel1[[#This Row],[End Time]]&lt;Tabel1[[#This Row],[Start time]])</f>
        <v>0.54166666666666663</v>
      </c>
      <c r="R1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1" s="6"/>
      <c r="T171" s="7"/>
    </row>
    <row r="172" spans="1:20" x14ac:dyDescent="0.3">
      <c r="A172" s="4"/>
      <c r="B172" s="4">
        <f t="shared" si="2"/>
        <v>165</v>
      </c>
      <c r="C172" s="4" t="str">
        <f>IFERROR(VLOOKUP(Tabel1[[#This Row],[Model]],Tableau2[[Model]:[Parking Number]],2,FALSE)," ")</f>
        <v>TT30</v>
      </c>
      <c r="D172" s="23">
        <v>45527</v>
      </c>
      <c r="E172" s="4" t="str">
        <f>IF(Tabel1[[#This Row],[Model]]="", "",INDEX(Tableau2[Equipment Type],MATCH(Tabel1[[#This Row],[Model]],Tableau2[Model],0)))</f>
        <v>Tipper Truck</v>
      </c>
      <c r="F172" s="4" t="s">
        <v>83</v>
      </c>
      <c r="G172" s="4" t="str">
        <f>IF(Tabel1[[#This Row],[Model]]="", "",INDEX(Tableau2[Equipment],MATCH(Tabel1[[#This Row],[Model]],Tableau2[Model],0)))</f>
        <v>Tipper Truck 20m3 / F30</v>
      </c>
      <c r="H172" s="4" t="s">
        <v>187</v>
      </c>
      <c r="I172" s="10" t="s">
        <v>193</v>
      </c>
      <c r="J172" s="35"/>
      <c r="K172" s="4">
        <v>5257366</v>
      </c>
      <c r="L172" s="9">
        <v>0.29166666666666669</v>
      </c>
      <c r="M172" s="9">
        <v>0</v>
      </c>
      <c r="N172" s="9">
        <v>0.54166666666666663</v>
      </c>
      <c r="O1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172" s="21">
        <f>HOUR(Tabel1[[#This Row],[Total Hours]])+MINUTE(Tabel1[[#This Row],[Total Hours]])/60+SECOND(Tabel1[[#This Row],[Total Hours]])/3600</f>
        <v>6</v>
      </c>
      <c r="Q172" s="6">
        <f>Tabel1[[#This Row],[End Time]]+(Tabel1[[#This Row],[End Time]]&lt;Tabel1[[#This Row],[Start time]])</f>
        <v>0.54166666666666663</v>
      </c>
      <c r="R1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2" s="6"/>
      <c r="T172" s="7"/>
    </row>
    <row r="173" spans="1:20" x14ac:dyDescent="0.3">
      <c r="A173" s="4"/>
      <c r="B173" s="4">
        <f t="shared" si="2"/>
        <v>166</v>
      </c>
      <c r="C173" s="4" t="str">
        <f>IFERROR(VLOOKUP(Tabel1[[#This Row],[Model]],Tableau2[[Model]:[Parking Number]],2,FALSE)," ")</f>
        <v>TT87</v>
      </c>
      <c r="D173" s="23">
        <v>45527</v>
      </c>
      <c r="E173" s="4" t="str">
        <f>IF(Tabel1[[#This Row],[Model]]="", "",INDEX(Tableau2[Equipment Type],MATCH(Tabel1[[#This Row],[Model]],Tableau2[Model],0)))</f>
        <v>Tipper Truck</v>
      </c>
      <c r="F173" s="4" t="s">
        <v>79</v>
      </c>
      <c r="G173" s="4" t="str">
        <f>IF(Tabel1[[#This Row],[Model]]="", "",INDEX(Tableau2[Equipment],MATCH(Tabel1[[#This Row],[Model]],Tableau2[Model],0)))</f>
        <v>Tipper Truck 20m3 / F87</v>
      </c>
      <c r="H173" s="4" t="s">
        <v>187</v>
      </c>
      <c r="I173" s="10" t="s">
        <v>193</v>
      </c>
      <c r="J173" s="35"/>
      <c r="K173" s="4">
        <v>5257366</v>
      </c>
      <c r="L173" s="9">
        <v>0.29166666666666669</v>
      </c>
      <c r="M173" s="9">
        <v>0</v>
      </c>
      <c r="N173" s="9">
        <v>0.54166666666666663</v>
      </c>
      <c r="O1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173" s="21">
        <f>HOUR(Tabel1[[#This Row],[Total Hours]])+MINUTE(Tabel1[[#This Row],[Total Hours]])/60+SECOND(Tabel1[[#This Row],[Total Hours]])/3600</f>
        <v>6</v>
      </c>
      <c r="Q173" s="6">
        <f>Tabel1[[#This Row],[End Time]]+(Tabel1[[#This Row],[End Time]]&lt;Tabel1[[#This Row],[Start time]])</f>
        <v>0.54166666666666663</v>
      </c>
      <c r="R1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3" s="6"/>
      <c r="T173" s="7"/>
    </row>
    <row r="174" spans="1:20" x14ac:dyDescent="0.3">
      <c r="A174" s="4"/>
      <c r="B174" s="4">
        <f t="shared" si="2"/>
        <v>167</v>
      </c>
      <c r="C174" s="4" t="str">
        <f>IFERROR(VLOOKUP(Tabel1[[#This Row],[Model]],Tableau2[[Model]:[Parking Number]],2,FALSE)," ")</f>
        <v>BL1</v>
      </c>
      <c r="D174" s="23">
        <v>45527</v>
      </c>
      <c r="E174" s="4" t="str">
        <f>IF(Tabel1[[#This Row],[Model]]="", "",INDEX(Tableau2[Equipment Type],MATCH(Tabel1[[#This Row],[Model]],Tableau2[Model],0)))</f>
        <v>Backhoe Loader</v>
      </c>
      <c r="F174" s="4" t="s">
        <v>76</v>
      </c>
      <c r="G174" s="4" t="str">
        <f>IF(Tabel1[[#This Row],[Model]]="", "",INDEX(Tableau2[Equipment],MATCH(Tabel1[[#This Row],[Model]],Tableau2[Model],0)))</f>
        <v>CAT432D</v>
      </c>
      <c r="H174" s="4" t="s">
        <v>187</v>
      </c>
      <c r="I174" s="10" t="s">
        <v>193</v>
      </c>
      <c r="J174" s="35"/>
      <c r="K174" s="4">
        <v>5257366</v>
      </c>
      <c r="L174" s="9">
        <v>0.375</v>
      </c>
      <c r="M174" s="9">
        <v>0</v>
      </c>
      <c r="N174" s="9">
        <v>0.45833333333333331</v>
      </c>
      <c r="O1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74" s="21">
        <f>HOUR(Tabel1[[#This Row],[Total Hours]])+MINUTE(Tabel1[[#This Row],[Total Hours]])/60+SECOND(Tabel1[[#This Row],[Total Hours]])/3600</f>
        <v>2</v>
      </c>
      <c r="Q174" s="6">
        <f>Tabel1[[#This Row],[End Time]]+(Tabel1[[#This Row],[End Time]]&lt;Tabel1[[#This Row],[Start time]])</f>
        <v>0.45833333333333331</v>
      </c>
      <c r="R1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4" s="6"/>
      <c r="T174" s="7"/>
    </row>
    <row r="175" spans="1:20" x14ac:dyDescent="0.3">
      <c r="A175" s="4"/>
      <c r="B175" s="4">
        <f t="shared" si="2"/>
        <v>168</v>
      </c>
      <c r="C175" s="4" t="str">
        <f>IFERROR(VLOOKUP(Tabel1[[#This Row],[Model]],Tableau2[[Model]:[Parking Number]],2,FALSE)," ")</f>
        <v>WT1</v>
      </c>
      <c r="D175" s="23">
        <v>45528</v>
      </c>
      <c r="E175" s="4" t="str">
        <f>IF(Tabel1[[#This Row],[Model]]="", "",INDEX(Tableau2[Equipment Type],MATCH(Tabel1[[#This Row],[Model]],Tableau2[Model],0)))</f>
        <v>Water Truck</v>
      </c>
      <c r="F175" s="4" t="s">
        <v>47</v>
      </c>
      <c r="G175" s="4" t="str">
        <f>IF(Tabel1[[#This Row],[Model]]="", "",INDEX(Tableau2[Equipment],MATCH(Tabel1[[#This Row],[Model]],Tableau2[Model],0)))</f>
        <v>Water Truck 20T / 1924.1</v>
      </c>
      <c r="H175" s="4" t="s">
        <v>56</v>
      </c>
      <c r="I175" s="10" t="s">
        <v>57</v>
      </c>
      <c r="J175" s="35" t="s">
        <v>153</v>
      </c>
      <c r="K175" s="4">
        <v>5252183</v>
      </c>
      <c r="L175" s="9">
        <v>0.33333333333333331</v>
      </c>
      <c r="M175" s="9">
        <v>4.1666666666666664E-2</v>
      </c>
      <c r="N175" s="9">
        <v>0.70833333333333337</v>
      </c>
      <c r="O1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5" s="21">
        <f>HOUR(Tabel1[[#This Row],[Total Hours]])+MINUTE(Tabel1[[#This Row],[Total Hours]])/60+SECOND(Tabel1[[#This Row],[Total Hours]])/3600</f>
        <v>8</v>
      </c>
      <c r="Q175" s="6">
        <f>Tabel1[[#This Row],[End Time]]+(Tabel1[[#This Row],[End Time]]&lt;Tabel1[[#This Row],[Start time]])</f>
        <v>0.70833333333333337</v>
      </c>
      <c r="R1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5" s="6"/>
      <c r="T175" s="7"/>
    </row>
    <row r="176" spans="1:20" x14ac:dyDescent="0.3">
      <c r="A176" s="4"/>
      <c r="B176" s="4">
        <f t="shared" si="2"/>
        <v>169</v>
      </c>
      <c r="C176" s="4" t="str">
        <f>IFERROR(VLOOKUP(Tabel1[[#This Row],[Model]],Tableau2[[Model]:[Parking Number]],2,FALSE)," ")</f>
        <v>WT2</v>
      </c>
      <c r="D176" s="23">
        <v>45528</v>
      </c>
      <c r="E176" s="4" t="str">
        <f>IF(Tabel1[[#This Row],[Model]]="", "",INDEX(Tableau2[Equipment Type],MATCH(Tabel1[[#This Row],[Model]],Tableau2[Model],0)))</f>
        <v>Water Truck</v>
      </c>
      <c r="F176" s="4" t="s">
        <v>48</v>
      </c>
      <c r="G176" s="4" t="str">
        <f>IF(Tabel1[[#This Row],[Model]]="", "",INDEX(Tableau2[Equipment],MATCH(Tabel1[[#This Row],[Model]],Tableau2[Model],0)))</f>
        <v>Water Truck 20T / 1924.2</v>
      </c>
      <c r="H176" s="4" t="s">
        <v>56</v>
      </c>
      <c r="I176" s="10" t="s">
        <v>57</v>
      </c>
      <c r="J176" s="35" t="s">
        <v>153</v>
      </c>
      <c r="K176" s="4">
        <v>5252183</v>
      </c>
      <c r="L176" s="9">
        <v>0.33333333333333331</v>
      </c>
      <c r="M176" s="9">
        <v>4.1666666666666664E-2</v>
      </c>
      <c r="N176" s="9">
        <v>0.70833333333333337</v>
      </c>
      <c r="O1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6" s="21">
        <f>HOUR(Tabel1[[#This Row],[Total Hours]])+MINUTE(Tabel1[[#This Row],[Total Hours]])/60+SECOND(Tabel1[[#This Row],[Total Hours]])/3600</f>
        <v>8</v>
      </c>
      <c r="Q176" s="6">
        <f>Tabel1[[#This Row],[End Time]]+(Tabel1[[#This Row],[End Time]]&lt;Tabel1[[#This Row],[Start time]])</f>
        <v>0.70833333333333337</v>
      </c>
      <c r="R1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6" s="6"/>
      <c r="T176" s="7"/>
    </row>
    <row r="177" spans="1:20" x14ac:dyDescent="0.3">
      <c r="A177" s="4"/>
      <c r="B177" s="4">
        <f t="shared" si="2"/>
        <v>170</v>
      </c>
      <c r="C177" s="4" t="str">
        <f>IFERROR(VLOOKUP(Tabel1[[#This Row],[Model]],Tableau2[[Model]:[Parking Number]],2,FALSE)," ")</f>
        <v>WT3</v>
      </c>
      <c r="D177" s="23">
        <v>45528</v>
      </c>
      <c r="E177" s="4" t="str">
        <f>IF(Tabel1[[#This Row],[Model]]="", "",INDEX(Tableau2[Equipment Type],MATCH(Tabel1[[#This Row],[Model]],Tableau2[Model],0)))</f>
        <v>Water Truck</v>
      </c>
      <c r="F177" s="4" t="s">
        <v>49</v>
      </c>
      <c r="G177" s="4" t="str">
        <f>IF(Tabel1[[#This Row],[Model]]="", "",INDEX(Tableau2[Equipment],MATCH(Tabel1[[#This Row],[Model]],Tableau2[Model],0)))</f>
        <v>Water Truck 20T / 1924.3</v>
      </c>
      <c r="H177" s="4" t="s">
        <v>56</v>
      </c>
      <c r="I177" s="10" t="s">
        <v>57</v>
      </c>
      <c r="J177" s="35" t="s">
        <v>153</v>
      </c>
      <c r="K177" s="4">
        <v>5252183</v>
      </c>
      <c r="L177" s="9">
        <v>0.33333333333333331</v>
      </c>
      <c r="M177" s="9">
        <v>4.1666666666666664E-2</v>
      </c>
      <c r="N177" s="9">
        <v>0.70833333333333337</v>
      </c>
      <c r="O1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7" s="21">
        <f>HOUR(Tabel1[[#This Row],[Total Hours]])+MINUTE(Tabel1[[#This Row],[Total Hours]])/60+SECOND(Tabel1[[#This Row],[Total Hours]])/3600</f>
        <v>8</v>
      </c>
      <c r="Q177" s="6">
        <f>Tabel1[[#This Row],[End Time]]+(Tabel1[[#This Row],[End Time]]&lt;Tabel1[[#This Row],[Start time]])</f>
        <v>0.70833333333333337</v>
      </c>
      <c r="R1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7" s="6"/>
      <c r="T177" s="7"/>
    </row>
    <row r="178" spans="1:20" x14ac:dyDescent="0.3">
      <c r="A178" s="4"/>
      <c r="B178" s="4">
        <f t="shared" si="2"/>
        <v>171</v>
      </c>
      <c r="C178" s="4" t="str">
        <f>IFERROR(VLOOKUP(Tabel1[[#This Row],[Model]],Tableau2[[Model]:[Parking Number]],2,FALSE)," ")</f>
        <v>WT9</v>
      </c>
      <c r="D178" s="23">
        <v>45528</v>
      </c>
      <c r="E178" s="4" t="str">
        <f>IF(Tabel1[[#This Row],[Model]]="", "",INDEX(Tableau2[Equipment Type],MATCH(Tabel1[[#This Row],[Model]],Tableau2[Model],0)))</f>
        <v>Water Truck</v>
      </c>
      <c r="F178" s="4" t="s">
        <v>50</v>
      </c>
      <c r="G178" s="4" t="str">
        <f>IF(Tabel1[[#This Row],[Model]]="", "",INDEX(Tableau2[Equipment],MATCH(Tabel1[[#This Row],[Model]],Tableau2[Model],0)))</f>
        <v>Water Truck 20T / WT09</v>
      </c>
      <c r="H178" s="4" t="s">
        <v>56</v>
      </c>
      <c r="I178" s="10" t="s">
        <v>57</v>
      </c>
      <c r="J178" s="35" t="s">
        <v>153</v>
      </c>
      <c r="K178" s="4">
        <v>5252183</v>
      </c>
      <c r="L178" s="9">
        <v>0.33333333333333331</v>
      </c>
      <c r="M178" s="9">
        <v>0</v>
      </c>
      <c r="N178" s="9">
        <v>0.41666666666666669</v>
      </c>
      <c r="O1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178" s="21">
        <f>HOUR(Tabel1[[#This Row],[Total Hours]])+MINUTE(Tabel1[[#This Row],[Total Hours]])/60+SECOND(Tabel1[[#This Row],[Total Hours]])/3600</f>
        <v>2</v>
      </c>
      <c r="Q178" s="6">
        <f>Tabel1[[#This Row],[End Time]]+(Tabel1[[#This Row],[End Time]]&lt;Tabel1[[#This Row],[Start time]])</f>
        <v>0.41666666666666669</v>
      </c>
      <c r="R1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8" s="6"/>
      <c r="T178" s="7"/>
    </row>
    <row r="179" spans="1:20" x14ac:dyDescent="0.3">
      <c r="A179" s="4"/>
      <c r="B179" s="4">
        <f t="shared" si="2"/>
        <v>172</v>
      </c>
      <c r="C179" s="4" t="str">
        <f>IFERROR(VLOOKUP(Tabel1[[#This Row],[Model]],Tableau2[[Model]:[Parking Number]],2,FALSE)," ")</f>
        <v>GR1</v>
      </c>
      <c r="D179" s="23">
        <v>45528</v>
      </c>
      <c r="E179" s="4" t="str">
        <f>IF(Tabel1[[#This Row],[Model]]="", "",INDEX(Tableau2[Equipment Type],MATCH(Tabel1[[#This Row],[Model]],Tableau2[Model],0)))</f>
        <v>Grader</v>
      </c>
      <c r="F179" s="4" t="s">
        <v>63</v>
      </c>
      <c r="G179" s="4" t="str">
        <f>IF(Tabel1[[#This Row],[Model]]="", "",INDEX(Tableau2[Equipment],MATCH(Tabel1[[#This Row],[Model]],Tableau2[Model],0)))</f>
        <v>CAT12K.1</v>
      </c>
      <c r="H179" s="4" t="s">
        <v>56</v>
      </c>
      <c r="I179" s="10" t="s">
        <v>57</v>
      </c>
      <c r="J179" s="35" t="s">
        <v>153</v>
      </c>
      <c r="K179" s="4">
        <v>5252183</v>
      </c>
      <c r="L179" s="9">
        <v>0.33333333333333331</v>
      </c>
      <c r="M179" s="9">
        <v>4.1666666666666664E-2</v>
      </c>
      <c r="N179" s="9">
        <v>0.70833333333333337</v>
      </c>
      <c r="O1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9" s="21">
        <f>HOUR(Tabel1[[#This Row],[Total Hours]])+MINUTE(Tabel1[[#This Row],[Total Hours]])/60+SECOND(Tabel1[[#This Row],[Total Hours]])/3600</f>
        <v>8</v>
      </c>
      <c r="Q179" s="6">
        <f>Tabel1[[#This Row],[End Time]]+(Tabel1[[#This Row],[End Time]]&lt;Tabel1[[#This Row],[Start time]])</f>
        <v>0.70833333333333337</v>
      </c>
      <c r="R1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9" s="6"/>
      <c r="T179" s="7"/>
    </row>
    <row r="180" spans="1:20" x14ac:dyDescent="0.3">
      <c r="A180" s="4"/>
      <c r="B180" s="4">
        <f t="shared" si="2"/>
        <v>173</v>
      </c>
      <c r="C180" s="4" t="str">
        <f>IFERROR(VLOOKUP(Tabel1[[#This Row],[Model]],Tableau2[[Model]:[Parking Number]],2,FALSE)," ")</f>
        <v>FEL4</v>
      </c>
      <c r="D180" s="23">
        <v>45528</v>
      </c>
      <c r="E180" s="4" t="str">
        <f>IF(Tabel1[[#This Row],[Model]]="", "",INDEX(Tableau2[Equipment Type],MATCH(Tabel1[[#This Row],[Model]],Tableau2[Model],0)))</f>
        <v>Loader</v>
      </c>
      <c r="F180" s="4" t="s">
        <v>40</v>
      </c>
      <c r="G180" s="4" t="str">
        <f>IF(Tabel1[[#This Row],[Model]]="", "",INDEX(Tableau2[Equipment],MATCH(Tabel1[[#This Row],[Model]],Tableau2[Model],0)))</f>
        <v>Cat972G.2</v>
      </c>
      <c r="H180" s="4" t="s">
        <v>56</v>
      </c>
      <c r="I180" s="10" t="s">
        <v>57</v>
      </c>
      <c r="J180" s="35" t="s">
        <v>153</v>
      </c>
      <c r="K180" s="4">
        <v>5252183</v>
      </c>
      <c r="L180" s="9">
        <v>0.33333333333333331</v>
      </c>
      <c r="M180" s="9">
        <v>4.1666666666666664E-2</v>
      </c>
      <c r="N180" s="9">
        <v>0.70833333333333337</v>
      </c>
      <c r="O1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80" s="21">
        <f>HOUR(Tabel1[[#This Row],[Total Hours]])+MINUTE(Tabel1[[#This Row],[Total Hours]])/60+SECOND(Tabel1[[#This Row],[Total Hours]])/3600</f>
        <v>8</v>
      </c>
      <c r="Q180" s="6">
        <f>Tabel1[[#This Row],[End Time]]+(Tabel1[[#This Row],[End Time]]&lt;Tabel1[[#This Row],[Start time]])</f>
        <v>0.70833333333333337</v>
      </c>
      <c r="R1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0" s="6"/>
      <c r="T180" s="7"/>
    </row>
    <row r="181" spans="1:20" x14ac:dyDescent="0.3">
      <c r="A181" s="4"/>
      <c r="B181" s="4">
        <f t="shared" si="2"/>
        <v>174</v>
      </c>
      <c r="C181" s="4" t="str">
        <f>IFERROR(VLOOKUP(Tabel1[[#This Row],[Model]],Tableau2[[Model]:[Parking Number]],2,FALSE)," ")</f>
        <v>TD4</v>
      </c>
      <c r="D181" s="23">
        <v>45528</v>
      </c>
      <c r="E181" s="4" t="str">
        <f>IF(Tabel1[[#This Row],[Model]]="", "",INDEX(Tableau2[Equipment Type],MATCH(Tabel1[[#This Row],[Model]],Tableau2[Model],0)))</f>
        <v>Bulldozer</v>
      </c>
      <c r="F181" s="4" t="s">
        <v>41</v>
      </c>
      <c r="G181" s="4" t="str">
        <f>IF(Tabel1[[#This Row],[Model]]="", "",INDEX(Tableau2[Equipment],MATCH(Tabel1[[#This Row],[Model]],Tableau2[Model],0)))</f>
        <v>CATD8R.3</v>
      </c>
      <c r="H181" s="4" t="s">
        <v>56</v>
      </c>
      <c r="I181" s="10" t="s">
        <v>159</v>
      </c>
      <c r="J181" s="35" t="s">
        <v>153</v>
      </c>
      <c r="K181" s="4">
        <v>5092509</v>
      </c>
      <c r="L181" s="9">
        <v>0.33333333333333331</v>
      </c>
      <c r="M181" s="9">
        <v>4.1666666666666664E-2</v>
      </c>
      <c r="N181" s="9">
        <v>0.625</v>
      </c>
      <c r="O1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181" s="21">
        <f>HOUR(Tabel1[[#This Row],[Total Hours]])+MINUTE(Tabel1[[#This Row],[Total Hours]])/60+SECOND(Tabel1[[#This Row],[Total Hours]])/3600</f>
        <v>6</v>
      </c>
      <c r="Q181" s="6">
        <f>Tabel1[[#This Row],[End Time]]+(Tabel1[[#This Row],[End Time]]&lt;Tabel1[[#This Row],[Start time]])</f>
        <v>0.625</v>
      </c>
      <c r="R1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1" s="6"/>
      <c r="T181" s="7"/>
    </row>
    <row r="182" spans="1:20" x14ac:dyDescent="0.3">
      <c r="A182" s="4"/>
      <c r="B182" s="4">
        <f t="shared" si="2"/>
        <v>175</v>
      </c>
      <c r="C182" s="4" t="str">
        <f>IFERROR(VLOOKUP(Tabel1[[#This Row],[Model]],Tableau2[[Model]:[Parking Number]],2,FALSE)," ")</f>
        <v>TD4</v>
      </c>
      <c r="D182" s="23">
        <v>45528</v>
      </c>
      <c r="E182" s="4" t="str">
        <f>IF(Tabel1[[#This Row],[Model]]="", "",INDEX(Tableau2[Equipment Type],MATCH(Tabel1[[#This Row],[Model]],Tableau2[Model],0)))</f>
        <v>Bulldozer</v>
      </c>
      <c r="F182" s="4" t="s">
        <v>41</v>
      </c>
      <c r="G182" s="4" t="str">
        <f>IF(Tabel1[[#This Row],[Model]]="", "",INDEX(Tableau2[Equipment],MATCH(Tabel1[[#This Row],[Model]],Tableau2[Model],0)))</f>
        <v>CATD8R.3</v>
      </c>
      <c r="H182" s="4" t="s">
        <v>56</v>
      </c>
      <c r="I182" s="10" t="s">
        <v>159</v>
      </c>
      <c r="J182" s="35" t="s">
        <v>153</v>
      </c>
      <c r="K182" s="4">
        <v>5092509</v>
      </c>
      <c r="L182" s="9">
        <v>0.66666666666666663</v>
      </c>
      <c r="M182" s="9">
        <v>0</v>
      </c>
      <c r="N182" s="9">
        <v>0.70833333333333337</v>
      </c>
      <c r="O1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4.1666666666666741E-2</v>
      </c>
      <c r="P182" s="21">
        <f>HOUR(Tabel1[[#This Row],[Total Hours]])+MINUTE(Tabel1[[#This Row],[Total Hours]])/60+SECOND(Tabel1[[#This Row],[Total Hours]])/3600</f>
        <v>1</v>
      </c>
      <c r="Q182" s="6">
        <f>Tabel1[[#This Row],[End Time]]+(Tabel1[[#This Row],[End Time]]&lt;Tabel1[[#This Row],[Start time]])</f>
        <v>0.70833333333333337</v>
      </c>
      <c r="R1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2" s="6"/>
      <c r="T182" s="7"/>
    </row>
    <row r="183" spans="1:20" x14ac:dyDescent="0.3">
      <c r="A183" s="4"/>
      <c r="B183" s="4">
        <f t="shared" si="2"/>
        <v>176</v>
      </c>
      <c r="C183" s="4" t="str">
        <f>IFERROR(VLOOKUP(Tabel1[[#This Row],[Model]],Tableau2[[Model]:[Parking Number]],2,FALSE)," ")</f>
        <v>LB1</v>
      </c>
      <c r="D183" s="23">
        <v>45528</v>
      </c>
      <c r="E183" s="4" t="str">
        <f>IF(Tabel1[[#This Row],[Model]]="", "",INDEX(Tableau2[Equipment Type],MATCH(Tabel1[[#This Row],[Model]],Tableau2[Model],0)))</f>
        <v>Lowbed</v>
      </c>
      <c r="F183" s="4" t="s">
        <v>71</v>
      </c>
      <c r="G183" s="4" t="str">
        <f>IF(Tabel1[[#This Row],[Model]]="", "",INDEX(Tableau2[Equipment],MATCH(Tabel1[[#This Row],[Model]],Tableau2[Model],0)))</f>
        <v>LB ACTROS 60T</v>
      </c>
      <c r="H183" s="4" t="s">
        <v>56</v>
      </c>
      <c r="I183" s="10" t="s">
        <v>159</v>
      </c>
      <c r="J183" s="35" t="s">
        <v>153</v>
      </c>
      <c r="K183" s="4">
        <v>5092509</v>
      </c>
      <c r="L183" s="9">
        <v>0.58333333333333337</v>
      </c>
      <c r="M183" s="9">
        <v>0</v>
      </c>
      <c r="N183" s="9">
        <v>0.75</v>
      </c>
      <c r="O1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P183" s="21">
        <f>HOUR(Tabel1[[#This Row],[Total Hours]])+MINUTE(Tabel1[[#This Row],[Total Hours]])/60+SECOND(Tabel1[[#This Row],[Total Hours]])/3600</f>
        <v>4</v>
      </c>
      <c r="Q183" s="6">
        <f>Tabel1[[#This Row],[End Time]]+(Tabel1[[#This Row],[End Time]]&lt;Tabel1[[#This Row],[Start time]])</f>
        <v>0.75</v>
      </c>
      <c r="R1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3" s="6"/>
      <c r="T183" s="7"/>
    </row>
    <row r="184" spans="1:20" x14ac:dyDescent="0.3">
      <c r="A184" s="4"/>
      <c r="B184" s="4">
        <f t="shared" si="2"/>
        <v>177</v>
      </c>
      <c r="C184" s="4" t="str">
        <f>IFERROR(VLOOKUP(Tabel1[[#This Row],[Model]],Tableau2[[Model]:[Parking Number]],2,FALSE)," ")</f>
        <v>WT8</v>
      </c>
      <c r="D184" s="23">
        <v>45528</v>
      </c>
      <c r="E184" s="4" t="str">
        <f>IF(Tabel1[[#This Row],[Model]]="", "",INDEX(Tableau2[Equipment Type],MATCH(Tabel1[[#This Row],[Model]],Tableau2[Model],0)))</f>
        <v>Water Truck</v>
      </c>
      <c r="F184" s="4" t="s">
        <v>52</v>
      </c>
      <c r="G184" s="4" t="str">
        <f>IF(Tabel1[[#This Row],[Model]]="", "",INDEX(Tableau2[Equipment],MATCH(Tabel1[[#This Row],[Model]],Tableau2[Model],0)))</f>
        <v>Water Truck 20T / WT08</v>
      </c>
      <c r="H184" s="4" t="s">
        <v>161</v>
      </c>
      <c r="I184" s="10" t="s">
        <v>162</v>
      </c>
      <c r="J184" s="35"/>
      <c r="K184" s="4">
        <v>5253778</v>
      </c>
      <c r="L184" s="9">
        <v>0.29166666666666669</v>
      </c>
      <c r="M184" s="9">
        <v>4.1666666666666664E-2</v>
      </c>
      <c r="N184" s="9">
        <v>0.75</v>
      </c>
      <c r="O1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P184" s="21">
        <f>HOUR(Tabel1[[#This Row],[Total Hours]])+MINUTE(Tabel1[[#This Row],[Total Hours]])/60+SECOND(Tabel1[[#This Row],[Total Hours]])/3600</f>
        <v>10</v>
      </c>
      <c r="Q184" s="6">
        <f>Tabel1[[#This Row],[End Time]]+(Tabel1[[#This Row],[End Time]]&lt;Tabel1[[#This Row],[Start time]])</f>
        <v>0.75</v>
      </c>
      <c r="R1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4" s="6"/>
      <c r="T184" s="7"/>
    </row>
    <row r="185" spans="1:20" x14ac:dyDescent="0.3">
      <c r="A185" s="4"/>
      <c r="B185" s="4">
        <f t="shared" si="2"/>
        <v>178</v>
      </c>
      <c r="C185" s="4" t="str">
        <f>IFERROR(VLOOKUP(Tabel1[[#This Row],[Model]],Tableau2[[Model]:[Parking Number]],2,FALSE)," ")</f>
        <v>FEL1</v>
      </c>
      <c r="D185" s="23">
        <v>45528</v>
      </c>
      <c r="E185" s="4" t="str">
        <f>IF(Tabel1[[#This Row],[Model]]="", "",INDEX(Tableau2[Equipment Type],MATCH(Tabel1[[#This Row],[Model]],Tableau2[Model],0)))</f>
        <v>Loader</v>
      </c>
      <c r="F185" s="4" t="s">
        <v>46</v>
      </c>
      <c r="G185" s="4" t="str">
        <f>IF(Tabel1[[#This Row],[Model]]="", "",INDEX(Tableau2[Equipment],MATCH(Tabel1[[#This Row],[Model]],Tableau2[Model],0)))</f>
        <v>Cat966H.1</v>
      </c>
      <c r="H185" s="4" t="s">
        <v>66</v>
      </c>
      <c r="I185" s="10" t="s">
        <v>160</v>
      </c>
      <c r="J185" s="35" t="s">
        <v>234</v>
      </c>
      <c r="K185" s="4">
        <v>5198487</v>
      </c>
      <c r="L185" s="9">
        <v>0.29166666666666669</v>
      </c>
      <c r="M185" s="9">
        <v>4.1666666666666664E-2</v>
      </c>
      <c r="N185" s="9">
        <v>0.79166666666666663</v>
      </c>
      <c r="O1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85" s="21">
        <f>HOUR(Tabel1[[#This Row],[Total Hours]])+MINUTE(Tabel1[[#This Row],[Total Hours]])/60+SECOND(Tabel1[[#This Row],[Total Hours]])/3600</f>
        <v>11</v>
      </c>
      <c r="Q185" s="6">
        <f>Tabel1[[#This Row],[End Time]]+(Tabel1[[#This Row],[End Time]]&lt;Tabel1[[#This Row],[Start time]])</f>
        <v>0.79166666666666663</v>
      </c>
      <c r="R1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5" s="6"/>
      <c r="T185" s="7"/>
    </row>
    <row r="186" spans="1:20" x14ac:dyDescent="0.3">
      <c r="A186" s="4"/>
      <c r="B186" s="4">
        <f t="shared" si="2"/>
        <v>179</v>
      </c>
      <c r="C186" s="4" t="str">
        <f>IFERROR(VLOOKUP(Tabel1[[#This Row],[Model]],Tableau2[[Model]:[Parking Number]],2,FALSE)," ")</f>
        <v>FEL1</v>
      </c>
      <c r="D186" s="23">
        <v>45528</v>
      </c>
      <c r="E186" s="4" t="str">
        <f>IF(Tabel1[[#This Row],[Model]]="", "",INDEX(Tableau2[Equipment Type],MATCH(Tabel1[[#This Row],[Model]],Tableau2[Model],0)))</f>
        <v>Loader</v>
      </c>
      <c r="F186" s="4" t="s">
        <v>46</v>
      </c>
      <c r="G186" s="4" t="str">
        <f>IF(Tabel1[[#This Row],[Model]]="", "",INDEX(Tableau2[Equipment],MATCH(Tabel1[[#This Row],[Model]],Tableau2[Model],0)))</f>
        <v>Cat966H.1</v>
      </c>
      <c r="H186" s="4" t="s">
        <v>66</v>
      </c>
      <c r="I186" s="10" t="s">
        <v>160</v>
      </c>
      <c r="J186" s="35" t="s">
        <v>234</v>
      </c>
      <c r="K186" s="4">
        <v>5198487</v>
      </c>
      <c r="L186" s="9">
        <v>0.79166666666666663</v>
      </c>
      <c r="M186" s="9">
        <v>0</v>
      </c>
      <c r="N186" s="9">
        <v>0.20833333333333334</v>
      </c>
      <c r="O1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86" s="21">
        <f>HOUR(Tabel1[[#This Row],[Total Hours]])+MINUTE(Tabel1[[#This Row],[Total Hours]])/60+SECOND(Tabel1[[#This Row],[Total Hours]])/3600</f>
        <v>10</v>
      </c>
      <c r="Q186" s="6">
        <f>Tabel1[[#This Row],[End Time]]+(Tabel1[[#This Row],[End Time]]&lt;Tabel1[[#This Row],[Start time]])</f>
        <v>1.2083333333333333</v>
      </c>
      <c r="R1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6" s="6"/>
      <c r="T186" s="7"/>
    </row>
    <row r="187" spans="1:20" x14ac:dyDescent="0.3">
      <c r="A187" s="4"/>
      <c r="B187" s="4">
        <f t="shared" si="2"/>
        <v>180</v>
      </c>
      <c r="C187" s="4" t="str">
        <f>IFERROR(VLOOKUP(Tabel1[[#This Row],[Model]],Tableau2[[Model]:[Parking Number]],2,FALSE)," ")</f>
        <v>TT17</v>
      </c>
      <c r="D187" s="23">
        <v>45528</v>
      </c>
      <c r="E187" s="4" t="str">
        <f>IF(Tabel1[[#This Row],[Model]]="", "",INDEX(Tableau2[Equipment Type],MATCH(Tabel1[[#This Row],[Model]],Tableau2[Model],0)))</f>
        <v>Tipper Truck</v>
      </c>
      <c r="F187" s="4" t="s">
        <v>51</v>
      </c>
      <c r="G187" s="4" t="str">
        <f>IF(Tabel1[[#This Row],[Model]]="", "",INDEX(Tableau2[Equipment],MATCH(Tabel1[[#This Row],[Model]],Tableau2[Model],0)))</f>
        <v>Tipper Truck 20m3 / F17</v>
      </c>
      <c r="H187" s="4" t="s">
        <v>66</v>
      </c>
      <c r="I187" s="10" t="s">
        <v>160</v>
      </c>
      <c r="J187" s="35" t="s">
        <v>234</v>
      </c>
      <c r="K187" s="4">
        <v>5198487</v>
      </c>
      <c r="L187" s="9">
        <v>0.29166666666666669</v>
      </c>
      <c r="M187" s="9">
        <v>4.1666666666666664E-2</v>
      </c>
      <c r="N187" s="9">
        <v>0.79166666666666663</v>
      </c>
      <c r="O1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87" s="21">
        <f>HOUR(Tabel1[[#This Row],[Total Hours]])+MINUTE(Tabel1[[#This Row],[Total Hours]])/60+SECOND(Tabel1[[#This Row],[Total Hours]])/3600</f>
        <v>11</v>
      </c>
      <c r="Q187" s="6">
        <f>Tabel1[[#This Row],[End Time]]+(Tabel1[[#This Row],[End Time]]&lt;Tabel1[[#This Row],[Start time]])</f>
        <v>0.79166666666666663</v>
      </c>
      <c r="R1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7" s="6"/>
      <c r="T187" s="7"/>
    </row>
    <row r="188" spans="1:20" x14ac:dyDescent="0.3">
      <c r="A188" s="4"/>
      <c r="B188" s="4">
        <f t="shared" si="2"/>
        <v>181</v>
      </c>
      <c r="C188" s="4" t="str">
        <f>IFERROR(VLOOKUP(Tabel1[[#This Row],[Model]],Tableau2[[Model]:[Parking Number]],2,FALSE)," ")</f>
        <v>GR2</v>
      </c>
      <c r="D188" s="23">
        <v>45528</v>
      </c>
      <c r="E188" s="4" t="str">
        <f>IF(Tabel1[[#This Row],[Model]]="", "",INDEX(Tableau2[Equipment Type],MATCH(Tabel1[[#This Row],[Model]],Tableau2[Model],0)))</f>
        <v>Grader</v>
      </c>
      <c r="F188" s="4" t="s">
        <v>39</v>
      </c>
      <c r="G188" s="4" t="str">
        <f>IF(Tabel1[[#This Row],[Model]]="", "",INDEX(Tableau2[Equipment],MATCH(Tabel1[[#This Row],[Model]],Tableau2[Model],0)))</f>
        <v>CAT12K.2</v>
      </c>
      <c r="H188" s="4" t="s">
        <v>187</v>
      </c>
      <c r="I188" s="10" t="s">
        <v>193</v>
      </c>
      <c r="J188" s="35"/>
      <c r="K188" s="4">
        <v>5257366</v>
      </c>
      <c r="L188" s="9">
        <v>0.33333333333333331</v>
      </c>
      <c r="M188" s="9">
        <v>4.1666666666666664E-2</v>
      </c>
      <c r="N188" s="9">
        <v>0.75</v>
      </c>
      <c r="O1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88" s="21">
        <f>HOUR(Tabel1[[#This Row],[Total Hours]])+MINUTE(Tabel1[[#This Row],[Total Hours]])/60+SECOND(Tabel1[[#This Row],[Total Hours]])/3600</f>
        <v>9</v>
      </c>
      <c r="Q188" s="6">
        <f>Tabel1[[#This Row],[End Time]]+(Tabel1[[#This Row],[End Time]]&lt;Tabel1[[#This Row],[Start time]])</f>
        <v>0.75</v>
      </c>
      <c r="R1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8" s="6"/>
      <c r="T188" s="7"/>
    </row>
    <row r="189" spans="1:20" x14ac:dyDescent="0.3">
      <c r="A189" s="4"/>
      <c r="B189" s="4">
        <f t="shared" si="2"/>
        <v>182</v>
      </c>
      <c r="C189" s="4" t="str">
        <f>IFERROR(VLOOKUP(Tabel1[[#This Row],[Model]],Tableau2[[Model]:[Parking Number]],2,FALSE)," ")</f>
        <v>FEL2</v>
      </c>
      <c r="D189" s="23">
        <v>45528</v>
      </c>
      <c r="E189" s="4" t="str">
        <f>IF(Tabel1[[#This Row],[Model]]="", "",INDEX(Tableau2[Equipment Type],MATCH(Tabel1[[#This Row],[Model]],Tableau2[Model],0)))</f>
        <v>Loader</v>
      </c>
      <c r="F189" s="4" t="s">
        <v>42</v>
      </c>
      <c r="G189" s="4" t="str">
        <f>IF(Tabel1[[#This Row],[Model]]="", "",INDEX(Tableau2[Equipment],MATCH(Tabel1[[#This Row],[Model]],Tableau2[Model],0)))</f>
        <v>Cat966H.2</v>
      </c>
      <c r="H189" s="4" t="s">
        <v>187</v>
      </c>
      <c r="I189" s="10" t="s">
        <v>193</v>
      </c>
      <c r="J189" s="35"/>
      <c r="K189" s="4">
        <v>5257366</v>
      </c>
      <c r="L189" s="9">
        <v>0.33333333333333331</v>
      </c>
      <c r="M189" s="9">
        <v>0</v>
      </c>
      <c r="N189" s="9">
        <v>0.5</v>
      </c>
      <c r="O1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89" s="21">
        <f>HOUR(Tabel1[[#This Row],[Total Hours]])+MINUTE(Tabel1[[#This Row],[Total Hours]])/60+SECOND(Tabel1[[#This Row],[Total Hours]])/3600</f>
        <v>4</v>
      </c>
      <c r="Q189" s="6">
        <f>Tabel1[[#This Row],[End Time]]+(Tabel1[[#This Row],[End Time]]&lt;Tabel1[[#This Row],[Start time]])</f>
        <v>0.5</v>
      </c>
      <c r="R1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9" s="6"/>
      <c r="T189" s="7"/>
    </row>
    <row r="190" spans="1:20" x14ac:dyDescent="0.3">
      <c r="A190" s="4"/>
      <c r="B190" s="4">
        <f t="shared" si="2"/>
        <v>183</v>
      </c>
      <c r="C190" s="4" t="str">
        <f>IFERROR(VLOOKUP(Tabel1[[#This Row],[Model]],Tableau2[[Model]:[Parking Number]],2,FALSE)," ")</f>
        <v>TT29</v>
      </c>
      <c r="D190" s="23">
        <v>45528</v>
      </c>
      <c r="E190" s="4" t="str">
        <f>IF(Tabel1[[#This Row],[Model]]="", "",INDEX(Tableau2[Equipment Type],MATCH(Tabel1[[#This Row],[Model]],Tableau2[Model],0)))</f>
        <v>Tipper Truck</v>
      </c>
      <c r="F190" s="4" t="s">
        <v>72</v>
      </c>
      <c r="G190" s="4" t="str">
        <f>IF(Tabel1[[#This Row],[Model]]="", "",INDEX(Tableau2[Equipment],MATCH(Tabel1[[#This Row],[Model]],Tableau2[Model],0)))</f>
        <v>Tipper Truck 20m3 / F29</v>
      </c>
      <c r="H190" s="4" t="s">
        <v>187</v>
      </c>
      <c r="I190" s="10" t="s">
        <v>193</v>
      </c>
      <c r="J190" s="35"/>
      <c r="K190" s="4">
        <v>5257366</v>
      </c>
      <c r="L190" s="9">
        <v>0.41666666666666669</v>
      </c>
      <c r="M190" s="9">
        <v>4.1666666666666664E-2</v>
      </c>
      <c r="N190" s="9">
        <v>0.75</v>
      </c>
      <c r="O1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90" s="21">
        <f>HOUR(Tabel1[[#This Row],[Total Hours]])+MINUTE(Tabel1[[#This Row],[Total Hours]])/60+SECOND(Tabel1[[#This Row],[Total Hours]])/3600</f>
        <v>7</v>
      </c>
      <c r="Q190" s="6">
        <f>Tabel1[[#This Row],[End Time]]+(Tabel1[[#This Row],[End Time]]&lt;Tabel1[[#This Row],[Start time]])</f>
        <v>0.75</v>
      </c>
      <c r="R1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0" s="6"/>
      <c r="T190" s="7"/>
    </row>
    <row r="191" spans="1:20" x14ac:dyDescent="0.3">
      <c r="A191" s="4"/>
      <c r="B191" s="4">
        <f t="shared" si="2"/>
        <v>184</v>
      </c>
      <c r="C191" s="4" t="str">
        <f>IFERROR(VLOOKUP(Tabel1[[#This Row],[Model]],Tableau2[[Model]:[Parking Number]],2,FALSE)," ")</f>
        <v>TT30</v>
      </c>
      <c r="D191" s="23">
        <v>45528</v>
      </c>
      <c r="E191" s="4" t="str">
        <f>IF(Tabel1[[#This Row],[Model]]="", "",INDEX(Tableau2[Equipment Type],MATCH(Tabel1[[#This Row],[Model]],Tableau2[Model],0)))</f>
        <v>Tipper Truck</v>
      </c>
      <c r="F191" s="4" t="s">
        <v>83</v>
      </c>
      <c r="G191" s="4" t="str">
        <f>IF(Tabel1[[#This Row],[Model]]="", "",INDEX(Tableau2[Equipment],MATCH(Tabel1[[#This Row],[Model]],Tableau2[Model],0)))</f>
        <v>Tipper Truck 20m3 / F30</v>
      </c>
      <c r="H191" s="4" t="s">
        <v>187</v>
      </c>
      <c r="I191" s="10" t="s">
        <v>193</v>
      </c>
      <c r="J191" s="35"/>
      <c r="K191" s="4">
        <v>5257366</v>
      </c>
      <c r="L191" s="9">
        <v>0.33333333333333331</v>
      </c>
      <c r="M191" s="9">
        <v>4.1666666666666664E-2</v>
      </c>
      <c r="N191" s="9">
        <v>0.66666666666666663</v>
      </c>
      <c r="O1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91" s="21">
        <f>HOUR(Tabel1[[#This Row],[Total Hours]])+MINUTE(Tabel1[[#This Row],[Total Hours]])/60+SECOND(Tabel1[[#This Row],[Total Hours]])/3600</f>
        <v>7</v>
      </c>
      <c r="Q191" s="6">
        <f>Tabel1[[#This Row],[End Time]]+(Tabel1[[#This Row],[End Time]]&lt;Tabel1[[#This Row],[Start time]])</f>
        <v>0.66666666666666663</v>
      </c>
      <c r="R1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1" s="6"/>
      <c r="T191" s="7"/>
    </row>
    <row r="192" spans="1:20" x14ac:dyDescent="0.3">
      <c r="A192" s="4"/>
      <c r="B192" s="4">
        <f t="shared" si="2"/>
        <v>185</v>
      </c>
      <c r="C192" s="4" t="str">
        <f>IFERROR(VLOOKUP(Tabel1[[#This Row],[Model]],Tableau2[[Model]:[Parking Number]],2,FALSE)," ")</f>
        <v>TT32</v>
      </c>
      <c r="D192" s="23">
        <v>45528</v>
      </c>
      <c r="E192" s="4" t="str">
        <f>IF(Tabel1[[#This Row],[Model]]="", "",INDEX(Tableau2[Equipment Type],MATCH(Tabel1[[#This Row],[Model]],Tableau2[Model],0)))</f>
        <v>Tipper Truck</v>
      </c>
      <c r="F192" s="4" t="s">
        <v>53</v>
      </c>
      <c r="G192" s="4" t="str">
        <f>IF(Tabel1[[#This Row],[Model]]="", "",INDEX(Tableau2[Equipment],MATCH(Tabel1[[#This Row],[Model]],Tableau2[Model],0)))</f>
        <v>Tipper Truck 20m3 / F32</v>
      </c>
      <c r="H192" s="4" t="s">
        <v>187</v>
      </c>
      <c r="I192" s="10" t="s">
        <v>193</v>
      </c>
      <c r="J192" s="35"/>
      <c r="K192" s="4">
        <v>5257366</v>
      </c>
      <c r="L192" s="9">
        <v>0.33333333333333331</v>
      </c>
      <c r="M192" s="9">
        <v>4.1666666666666664E-2</v>
      </c>
      <c r="N192" s="9">
        <v>0.70833333333333337</v>
      </c>
      <c r="O1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2" s="21">
        <f>HOUR(Tabel1[[#This Row],[Total Hours]])+MINUTE(Tabel1[[#This Row],[Total Hours]])/60+SECOND(Tabel1[[#This Row],[Total Hours]])/3600</f>
        <v>8</v>
      </c>
      <c r="Q192" s="6">
        <f>Tabel1[[#This Row],[End Time]]+(Tabel1[[#This Row],[End Time]]&lt;Tabel1[[#This Row],[Start time]])</f>
        <v>0.70833333333333337</v>
      </c>
      <c r="R1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2" s="6"/>
      <c r="T192" s="7"/>
    </row>
    <row r="193" spans="1:20" x14ac:dyDescent="0.3">
      <c r="A193" s="4"/>
      <c r="B193" s="4">
        <f t="shared" si="2"/>
        <v>186</v>
      </c>
      <c r="C193" s="4" t="str">
        <f>IFERROR(VLOOKUP(Tabel1[[#This Row],[Model]],Tableau2[[Model]:[Parking Number]],2,FALSE)," ")</f>
        <v>TT87</v>
      </c>
      <c r="D193" s="23">
        <v>45528</v>
      </c>
      <c r="E193" s="4" t="str">
        <f>IF(Tabel1[[#This Row],[Model]]="", "",INDEX(Tableau2[Equipment Type],MATCH(Tabel1[[#This Row],[Model]],Tableau2[Model],0)))</f>
        <v>Tipper Truck</v>
      </c>
      <c r="F193" s="4" t="s">
        <v>79</v>
      </c>
      <c r="G193" s="4" t="str">
        <f>IF(Tabel1[[#This Row],[Model]]="", "",INDEX(Tableau2[Equipment],MATCH(Tabel1[[#This Row],[Model]],Tableau2[Model],0)))</f>
        <v>Tipper Truck 20m3 / F87</v>
      </c>
      <c r="H193" s="4" t="s">
        <v>187</v>
      </c>
      <c r="I193" s="10" t="s">
        <v>193</v>
      </c>
      <c r="J193" s="35"/>
      <c r="K193" s="4">
        <v>5257366</v>
      </c>
      <c r="L193" s="9">
        <v>0.33333333333333331</v>
      </c>
      <c r="M193" s="9">
        <v>4.1666666666666664E-2</v>
      </c>
      <c r="N193" s="9">
        <v>0.70833333333333337</v>
      </c>
      <c r="O1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3" s="21">
        <f>HOUR(Tabel1[[#This Row],[Total Hours]])+MINUTE(Tabel1[[#This Row],[Total Hours]])/60+SECOND(Tabel1[[#This Row],[Total Hours]])/3600</f>
        <v>8</v>
      </c>
      <c r="Q193" s="6">
        <f>Tabel1[[#This Row],[End Time]]+(Tabel1[[#This Row],[End Time]]&lt;Tabel1[[#This Row],[Start time]])</f>
        <v>0.70833333333333337</v>
      </c>
      <c r="R1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3" s="6"/>
      <c r="T193" s="7"/>
    </row>
    <row r="194" spans="1:20" x14ac:dyDescent="0.3">
      <c r="A194" s="4"/>
      <c r="B194" s="4">
        <f t="shared" si="2"/>
        <v>187</v>
      </c>
      <c r="C194" s="4" t="str">
        <f>IFERROR(VLOOKUP(Tabel1[[#This Row],[Model]],Tableau2[[Model]:[Parking Number]],2,FALSE)," ")</f>
        <v>FEL5</v>
      </c>
      <c r="D194" s="23">
        <v>45528</v>
      </c>
      <c r="E194" s="4" t="str">
        <f>IF(Tabel1[[#This Row],[Model]]="", "",INDEX(Tableau2[Equipment Type],MATCH(Tabel1[[#This Row],[Model]],Tableau2[Model],0)))</f>
        <v>Loader</v>
      </c>
      <c r="F194" s="4" t="s">
        <v>113</v>
      </c>
      <c r="G194" s="4" t="str">
        <f>IF(Tabel1[[#This Row],[Model]]="", "",INDEX(Tableau2[Equipment],MATCH(Tabel1[[#This Row],[Model]],Tableau2[Model],0)))</f>
        <v>CAT980G</v>
      </c>
      <c r="H194" s="4" t="s">
        <v>230</v>
      </c>
      <c r="I194" s="10" t="s">
        <v>231</v>
      </c>
      <c r="J194" s="35"/>
      <c r="K194" s="4">
        <v>5248839</v>
      </c>
      <c r="L194" s="9">
        <v>0.58333333333333337</v>
      </c>
      <c r="M194" s="9">
        <v>0</v>
      </c>
      <c r="N194" s="9">
        <v>0.66666666666666663</v>
      </c>
      <c r="O1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94" s="21">
        <f>HOUR(Tabel1[[#This Row],[Total Hours]])+MINUTE(Tabel1[[#This Row],[Total Hours]])/60+SECOND(Tabel1[[#This Row],[Total Hours]])/3600</f>
        <v>2</v>
      </c>
      <c r="Q194" s="6">
        <f>Tabel1[[#This Row],[End Time]]+(Tabel1[[#This Row],[End Time]]&lt;Tabel1[[#This Row],[Start time]])</f>
        <v>0.66666666666666663</v>
      </c>
      <c r="R1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4" s="6"/>
      <c r="T194" s="7"/>
    </row>
    <row r="195" spans="1:20" x14ac:dyDescent="0.3">
      <c r="A195" s="4"/>
      <c r="B195" s="4">
        <f t="shared" si="2"/>
        <v>188</v>
      </c>
      <c r="C195" s="4" t="str">
        <f>IFERROR(VLOOKUP(Tabel1[[#This Row],[Model]],Tableau2[[Model]:[Parking Number]],2,FALSE)," ")</f>
        <v>WT9</v>
      </c>
      <c r="D195" s="23">
        <v>45528</v>
      </c>
      <c r="E195" s="4" t="str">
        <f>IF(Tabel1[[#This Row],[Model]]="", "",INDEX(Tableau2[Equipment Type],MATCH(Tabel1[[#This Row],[Model]],Tableau2[Model],0)))</f>
        <v>Water Truck</v>
      </c>
      <c r="F195" s="4" t="s">
        <v>50</v>
      </c>
      <c r="G195" s="4" t="str">
        <f>IF(Tabel1[[#This Row],[Model]]="", "",INDEX(Tableau2[Equipment],MATCH(Tabel1[[#This Row],[Model]],Tableau2[Model],0)))</f>
        <v>Water Truck 20T / WT09</v>
      </c>
      <c r="H195" s="4" t="s">
        <v>228</v>
      </c>
      <c r="I195" s="10" t="s">
        <v>229</v>
      </c>
      <c r="J195" s="35"/>
      <c r="K195" s="4">
        <v>5252184</v>
      </c>
      <c r="L195" s="9">
        <v>0.45833333333333331</v>
      </c>
      <c r="M195" s="9">
        <v>4.1666666666666664E-2</v>
      </c>
      <c r="N195" s="9">
        <v>0.66666666666666663</v>
      </c>
      <c r="O1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P195" s="21">
        <f>HOUR(Tabel1[[#This Row],[Total Hours]])+MINUTE(Tabel1[[#This Row],[Total Hours]])/60+SECOND(Tabel1[[#This Row],[Total Hours]])/3600</f>
        <v>4</v>
      </c>
      <c r="Q195" s="6">
        <f>Tabel1[[#This Row],[End Time]]+(Tabel1[[#This Row],[End Time]]&lt;Tabel1[[#This Row],[Start time]])</f>
        <v>0.66666666666666663</v>
      </c>
      <c r="R1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5" s="6"/>
      <c r="T195" s="7"/>
    </row>
    <row r="196" spans="1:20" x14ac:dyDescent="0.3">
      <c r="A196" s="4"/>
      <c r="B196" s="4">
        <f t="shared" si="2"/>
        <v>189</v>
      </c>
      <c r="C196" s="4" t="str">
        <f>IFERROR(VLOOKUP(Tabel1[[#This Row],[Model]],Tableau2[[Model]:[Parking Number]],2,FALSE)," ")</f>
        <v>WT1</v>
      </c>
      <c r="D196" s="23">
        <v>45529</v>
      </c>
      <c r="E196" s="4" t="str">
        <f>IF(Tabel1[[#This Row],[Model]]="", "",INDEX(Tableau2[Equipment Type],MATCH(Tabel1[[#This Row],[Model]],Tableau2[Model],0)))</f>
        <v>Water Truck</v>
      </c>
      <c r="F196" s="4" t="s">
        <v>47</v>
      </c>
      <c r="G196" s="4" t="str">
        <f>IF(Tabel1[[#This Row],[Model]]="", "",INDEX(Tableau2[Equipment],MATCH(Tabel1[[#This Row],[Model]],Tableau2[Model],0)))</f>
        <v>Water Truck 20T / 1924.1</v>
      </c>
      <c r="H196" s="4" t="s">
        <v>56</v>
      </c>
      <c r="I196" s="10" t="s">
        <v>57</v>
      </c>
      <c r="J196" s="35" t="s">
        <v>153</v>
      </c>
      <c r="K196" s="4">
        <v>5252183</v>
      </c>
      <c r="L196" s="9">
        <v>0.33333333333333331</v>
      </c>
      <c r="M196" s="9">
        <v>4.1666666666666664E-2</v>
      </c>
      <c r="N196" s="9">
        <v>0.70833333333333337</v>
      </c>
      <c r="O1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6" s="21">
        <f>HOUR(Tabel1[[#This Row],[Total Hours]])+MINUTE(Tabel1[[#This Row],[Total Hours]])/60+SECOND(Tabel1[[#This Row],[Total Hours]])/3600</f>
        <v>8</v>
      </c>
      <c r="Q196" s="6">
        <f>Tabel1[[#This Row],[End Time]]+(Tabel1[[#This Row],[End Time]]&lt;Tabel1[[#This Row],[Start time]])</f>
        <v>0.70833333333333337</v>
      </c>
      <c r="R1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6" s="6"/>
      <c r="T196" s="7"/>
    </row>
    <row r="197" spans="1:20" x14ac:dyDescent="0.3">
      <c r="A197" s="4"/>
      <c r="B197" s="4">
        <f t="shared" si="2"/>
        <v>190</v>
      </c>
      <c r="C197" s="4" t="str">
        <f>IFERROR(VLOOKUP(Tabel1[[#This Row],[Model]],Tableau2[[Model]:[Parking Number]],2,FALSE)," ")</f>
        <v>WT2</v>
      </c>
      <c r="D197" s="23">
        <v>45529</v>
      </c>
      <c r="E197" s="4" t="str">
        <f>IF(Tabel1[[#This Row],[Model]]="", "",INDEX(Tableau2[Equipment Type],MATCH(Tabel1[[#This Row],[Model]],Tableau2[Model],0)))</f>
        <v>Water Truck</v>
      </c>
      <c r="F197" s="4" t="s">
        <v>48</v>
      </c>
      <c r="G197" s="4" t="str">
        <f>IF(Tabel1[[#This Row],[Model]]="", "",INDEX(Tableau2[Equipment],MATCH(Tabel1[[#This Row],[Model]],Tableau2[Model],0)))</f>
        <v>Water Truck 20T / 1924.2</v>
      </c>
      <c r="H197" s="4" t="s">
        <v>56</v>
      </c>
      <c r="I197" s="10" t="s">
        <v>57</v>
      </c>
      <c r="J197" s="35" t="s">
        <v>153</v>
      </c>
      <c r="K197" s="4">
        <v>5252183</v>
      </c>
      <c r="L197" s="9">
        <v>0.33333333333333331</v>
      </c>
      <c r="M197" s="9">
        <v>4.1666666666666664E-2</v>
      </c>
      <c r="N197" s="9">
        <v>0.70833333333333337</v>
      </c>
      <c r="O1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7" s="21">
        <f>HOUR(Tabel1[[#This Row],[Total Hours]])+MINUTE(Tabel1[[#This Row],[Total Hours]])/60+SECOND(Tabel1[[#This Row],[Total Hours]])/3600</f>
        <v>8</v>
      </c>
      <c r="Q197" s="6">
        <f>Tabel1[[#This Row],[End Time]]+(Tabel1[[#This Row],[End Time]]&lt;Tabel1[[#This Row],[Start time]])</f>
        <v>0.70833333333333337</v>
      </c>
      <c r="R1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7" s="6"/>
      <c r="T197" s="7"/>
    </row>
    <row r="198" spans="1:20" x14ac:dyDescent="0.3">
      <c r="A198" s="4"/>
      <c r="B198" s="4">
        <f t="shared" si="2"/>
        <v>191</v>
      </c>
      <c r="C198" s="4" t="str">
        <f>IFERROR(VLOOKUP(Tabel1[[#This Row],[Model]],Tableau2[[Model]:[Parking Number]],2,FALSE)," ")</f>
        <v>WT3</v>
      </c>
      <c r="D198" s="23">
        <v>45529</v>
      </c>
      <c r="E198" s="4" t="str">
        <f>IF(Tabel1[[#This Row],[Model]]="", "",INDEX(Tableau2[Equipment Type],MATCH(Tabel1[[#This Row],[Model]],Tableau2[Model],0)))</f>
        <v>Water Truck</v>
      </c>
      <c r="F198" s="4" t="s">
        <v>49</v>
      </c>
      <c r="G198" s="4" t="str">
        <f>IF(Tabel1[[#This Row],[Model]]="", "",INDEX(Tableau2[Equipment],MATCH(Tabel1[[#This Row],[Model]],Tableau2[Model],0)))</f>
        <v>Water Truck 20T / 1924.3</v>
      </c>
      <c r="H198" s="4" t="s">
        <v>56</v>
      </c>
      <c r="I198" s="10" t="s">
        <v>57</v>
      </c>
      <c r="J198" s="35" t="s">
        <v>153</v>
      </c>
      <c r="K198" s="4">
        <v>5252183</v>
      </c>
      <c r="L198" s="9">
        <v>0.33333333333333331</v>
      </c>
      <c r="M198" s="9">
        <v>4.1666666666666664E-2</v>
      </c>
      <c r="N198" s="9">
        <v>0.70833333333333337</v>
      </c>
      <c r="O1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8" s="21">
        <f>HOUR(Tabel1[[#This Row],[Total Hours]])+MINUTE(Tabel1[[#This Row],[Total Hours]])/60+SECOND(Tabel1[[#This Row],[Total Hours]])/3600</f>
        <v>8</v>
      </c>
      <c r="Q198" s="6">
        <f>Tabel1[[#This Row],[End Time]]+(Tabel1[[#This Row],[End Time]]&lt;Tabel1[[#This Row],[Start time]])</f>
        <v>0.70833333333333337</v>
      </c>
      <c r="R1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8" s="6"/>
      <c r="T198" s="7"/>
    </row>
    <row r="199" spans="1:20" x14ac:dyDescent="0.3">
      <c r="A199" s="4"/>
      <c r="B199" s="4">
        <f t="shared" si="2"/>
        <v>192</v>
      </c>
      <c r="C199" s="4" t="str">
        <f>IFERROR(VLOOKUP(Tabel1[[#This Row],[Model]],Tableau2[[Model]:[Parking Number]],2,FALSE)," ")</f>
        <v>GR1</v>
      </c>
      <c r="D199" s="23">
        <v>45529</v>
      </c>
      <c r="E199" s="4" t="str">
        <f>IF(Tabel1[[#This Row],[Model]]="", "",INDEX(Tableau2[Equipment Type],MATCH(Tabel1[[#This Row],[Model]],Tableau2[Model],0)))</f>
        <v>Grader</v>
      </c>
      <c r="F199" s="4" t="s">
        <v>63</v>
      </c>
      <c r="G199" s="4" t="str">
        <f>IF(Tabel1[[#This Row],[Model]]="", "",INDEX(Tableau2[Equipment],MATCH(Tabel1[[#This Row],[Model]],Tableau2[Model],0)))</f>
        <v>CAT12K.1</v>
      </c>
      <c r="H199" s="4" t="s">
        <v>56</v>
      </c>
      <c r="I199" s="10" t="s">
        <v>57</v>
      </c>
      <c r="J199" s="35" t="s">
        <v>153</v>
      </c>
      <c r="K199" s="4">
        <v>5252183</v>
      </c>
      <c r="L199" s="9">
        <v>0.33333333333333331</v>
      </c>
      <c r="M199" s="9">
        <v>4.1666666666666664E-2</v>
      </c>
      <c r="N199" s="9">
        <v>0.70833333333333337</v>
      </c>
      <c r="O1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9" s="21">
        <f>HOUR(Tabel1[[#This Row],[Total Hours]])+MINUTE(Tabel1[[#This Row],[Total Hours]])/60+SECOND(Tabel1[[#This Row],[Total Hours]])/3600</f>
        <v>8</v>
      </c>
      <c r="Q199" s="6">
        <f>Tabel1[[#This Row],[End Time]]+(Tabel1[[#This Row],[End Time]]&lt;Tabel1[[#This Row],[Start time]])</f>
        <v>0.70833333333333337</v>
      </c>
      <c r="R1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9" s="6"/>
      <c r="T199" s="7"/>
    </row>
    <row r="200" spans="1:20" x14ac:dyDescent="0.3">
      <c r="A200" s="4"/>
      <c r="B200" s="4">
        <f t="shared" si="2"/>
        <v>193</v>
      </c>
      <c r="C200" s="4" t="str">
        <f>IFERROR(VLOOKUP(Tabel1[[#This Row],[Model]],Tableau2[[Model]:[Parking Number]],2,FALSE)," ")</f>
        <v>FEL4</v>
      </c>
      <c r="D200" s="23">
        <v>45529</v>
      </c>
      <c r="E200" s="4" t="str">
        <f>IF(Tabel1[[#This Row],[Model]]="", "",INDEX(Tableau2[Equipment Type],MATCH(Tabel1[[#This Row],[Model]],Tableau2[Model],0)))</f>
        <v>Loader</v>
      </c>
      <c r="F200" s="4" t="s">
        <v>40</v>
      </c>
      <c r="G200" s="4" t="str">
        <f>IF(Tabel1[[#This Row],[Model]]="", "",INDEX(Tableau2[Equipment],MATCH(Tabel1[[#This Row],[Model]],Tableau2[Model],0)))</f>
        <v>Cat972G.2</v>
      </c>
      <c r="H200" s="4" t="s">
        <v>56</v>
      </c>
      <c r="I200" s="10" t="s">
        <v>57</v>
      </c>
      <c r="J200" s="35" t="s">
        <v>153</v>
      </c>
      <c r="K200" s="4">
        <v>5252183</v>
      </c>
      <c r="L200" s="9">
        <v>0.33333333333333331</v>
      </c>
      <c r="M200" s="9">
        <v>4.1666666666666664E-2</v>
      </c>
      <c r="N200" s="9">
        <v>0.70833333333333337</v>
      </c>
      <c r="O2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0" s="21">
        <f>HOUR(Tabel1[[#This Row],[Total Hours]])+MINUTE(Tabel1[[#This Row],[Total Hours]])/60+SECOND(Tabel1[[#This Row],[Total Hours]])/3600</f>
        <v>8</v>
      </c>
      <c r="Q200" s="6">
        <f>Tabel1[[#This Row],[End Time]]+(Tabel1[[#This Row],[End Time]]&lt;Tabel1[[#This Row],[Start time]])</f>
        <v>0.70833333333333337</v>
      </c>
      <c r="R2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0" s="6"/>
      <c r="T200" s="7"/>
    </row>
    <row r="201" spans="1:20" x14ac:dyDescent="0.3">
      <c r="A201" s="4"/>
      <c r="B201" s="4">
        <f t="shared" ref="B201:B264" si="3">B200+1</f>
        <v>194</v>
      </c>
      <c r="C201" s="4" t="str">
        <f>IFERROR(VLOOKUP(Tabel1[[#This Row],[Model]],Tableau2[[Model]:[Parking Number]],2,FALSE)," ")</f>
        <v>TD4</v>
      </c>
      <c r="D201" s="23">
        <v>45529</v>
      </c>
      <c r="E201" s="4" t="str">
        <f>IF(Tabel1[[#This Row],[Model]]="", "",INDEX(Tableau2[Equipment Type],MATCH(Tabel1[[#This Row],[Model]],Tableau2[Model],0)))</f>
        <v>Bulldozer</v>
      </c>
      <c r="F201" s="4" t="s">
        <v>41</v>
      </c>
      <c r="G201" s="4" t="str">
        <f>IF(Tabel1[[#This Row],[Model]]="", "",INDEX(Tableau2[Equipment],MATCH(Tabel1[[#This Row],[Model]],Tableau2[Model],0)))</f>
        <v>CATD8R.3</v>
      </c>
      <c r="H201" s="4" t="s">
        <v>56</v>
      </c>
      <c r="I201" s="10" t="s">
        <v>159</v>
      </c>
      <c r="J201" s="35" t="s">
        <v>153</v>
      </c>
      <c r="K201" s="4">
        <v>5092509</v>
      </c>
      <c r="L201" s="9">
        <v>0.33333333333333331</v>
      </c>
      <c r="M201" s="9">
        <v>4.1666666666666664E-2</v>
      </c>
      <c r="N201" s="9">
        <v>0.70833333333333337</v>
      </c>
      <c r="O2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1" s="21">
        <f>HOUR(Tabel1[[#This Row],[Total Hours]])+MINUTE(Tabel1[[#This Row],[Total Hours]])/60+SECOND(Tabel1[[#This Row],[Total Hours]])/3600</f>
        <v>8</v>
      </c>
      <c r="Q201" s="6">
        <f>Tabel1[[#This Row],[End Time]]+(Tabel1[[#This Row],[End Time]]&lt;Tabel1[[#This Row],[Start time]])</f>
        <v>0.70833333333333337</v>
      </c>
      <c r="R2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1" s="6"/>
      <c r="T201" s="7"/>
    </row>
    <row r="202" spans="1:20" x14ac:dyDescent="0.3">
      <c r="A202" s="4"/>
      <c r="B202" s="4">
        <f t="shared" si="3"/>
        <v>195</v>
      </c>
      <c r="C202" s="4" t="str">
        <f>IFERROR(VLOOKUP(Tabel1[[#This Row],[Model]],Tableau2[[Model]:[Parking Number]],2,FALSE)," ")</f>
        <v>WT8</v>
      </c>
      <c r="D202" s="23">
        <v>45529</v>
      </c>
      <c r="E202" s="4" t="str">
        <f>IF(Tabel1[[#This Row],[Model]]="", "",INDEX(Tableau2[Equipment Type],MATCH(Tabel1[[#This Row],[Model]],Tableau2[Model],0)))</f>
        <v>Water Truck</v>
      </c>
      <c r="F202" s="4" t="s">
        <v>52</v>
      </c>
      <c r="G202" s="4" t="str">
        <f>IF(Tabel1[[#This Row],[Model]]="", "",INDEX(Tableau2[Equipment],MATCH(Tabel1[[#This Row],[Model]],Tableau2[Model],0)))</f>
        <v>Water Truck 20T / WT08</v>
      </c>
      <c r="H202" s="4" t="s">
        <v>161</v>
      </c>
      <c r="I202" s="10" t="s">
        <v>162</v>
      </c>
      <c r="J202" s="35"/>
      <c r="K202" s="4">
        <v>5253778</v>
      </c>
      <c r="L202" s="9">
        <v>0.29166666666666669</v>
      </c>
      <c r="M202" s="9">
        <v>4.1666666666666664E-2</v>
      </c>
      <c r="N202" s="9">
        <v>0.70833333333333337</v>
      </c>
      <c r="O2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202" s="21">
        <f>HOUR(Tabel1[[#This Row],[Total Hours]])+MINUTE(Tabel1[[#This Row],[Total Hours]])/60+SECOND(Tabel1[[#This Row],[Total Hours]])/3600</f>
        <v>9</v>
      </c>
      <c r="Q202" s="6">
        <f>Tabel1[[#This Row],[End Time]]+(Tabel1[[#This Row],[End Time]]&lt;Tabel1[[#This Row],[Start time]])</f>
        <v>0.70833333333333337</v>
      </c>
      <c r="R2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2" s="6"/>
      <c r="T202" s="7"/>
    </row>
    <row r="203" spans="1:20" x14ac:dyDescent="0.3">
      <c r="A203" s="4"/>
      <c r="B203" s="4">
        <f t="shared" si="3"/>
        <v>196</v>
      </c>
      <c r="C203" s="4" t="str">
        <f>IFERROR(VLOOKUP(Tabel1[[#This Row],[Model]],Tableau2[[Model]:[Parking Number]],2,FALSE)," ")</f>
        <v>FEL1</v>
      </c>
      <c r="D203" s="23">
        <v>45529</v>
      </c>
      <c r="E203" s="4" t="str">
        <f>IF(Tabel1[[#This Row],[Model]]="", "",INDEX(Tableau2[Equipment Type],MATCH(Tabel1[[#This Row],[Model]],Tableau2[Model],0)))</f>
        <v>Loader</v>
      </c>
      <c r="F203" s="4" t="s">
        <v>46</v>
      </c>
      <c r="G203" s="4" t="str">
        <f>IF(Tabel1[[#This Row],[Model]]="", "",INDEX(Tableau2[Equipment],MATCH(Tabel1[[#This Row],[Model]],Tableau2[Model],0)))</f>
        <v>Cat966H.1</v>
      </c>
      <c r="H203" s="4" t="s">
        <v>66</v>
      </c>
      <c r="I203" s="10" t="s">
        <v>160</v>
      </c>
      <c r="J203" s="35" t="s">
        <v>234</v>
      </c>
      <c r="K203" s="4">
        <v>5198487</v>
      </c>
      <c r="L203" s="9">
        <v>0.29166666666666669</v>
      </c>
      <c r="M203" s="9">
        <v>4.1666666666666664E-2</v>
      </c>
      <c r="N203" s="9">
        <v>0.79166666666666663</v>
      </c>
      <c r="O2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203" s="21">
        <f>HOUR(Tabel1[[#This Row],[Total Hours]])+MINUTE(Tabel1[[#This Row],[Total Hours]])/60+SECOND(Tabel1[[#This Row],[Total Hours]])/3600</f>
        <v>11</v>
      </c>
      <c r="Q203" s="6">
        <f>Tabel1[[#This Row],[End Time]]+(Tabel1[[#This Row],[End Time]]&lt;Tabel1[[#This Row],[Start time]])</f>
        <v>0.79166666666666663</v>
      </c>
      <c r="R2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3" s="6"/>
      <c r="T203" s="7"/>
    </row>
    <row r="204" spans="1:20" x14ac:dyDescent="0.3">
      <c r="A204" s="4"/>
      <c r="B204" s="4">
        <f t="shared" si="3"/>
        <v>197</v>
      </c>
      <c r="C204" s="4" t="str">
        <f>IFERROR(VLOOKUP(Tabel1[[#This Row],[Model]],Tableau2[[Model]:[Parking Number]],2,FALSE)," ")</f>
        <v>FEL1</v>
      </c>
      <c r="D204" s="23">
        <v>45529</v>
      </c>
      <c r="E204" s="4" t="str">
        <f>IF(Tabel1[[#This Row],[Model]]="", "",INDEX(Tableau2[Equipment Type],MATCH(Tabel1[[#This Row],[Model]],Tableau2[Model],0)))</f>
        <v>Loader</v>
      </c>
      <c r="F204" s="4" t="s">
        <v>46</v>
      </c>
      <c r="G204" s="4" t="str">
        <f>IF(Tabel1[[#This Row],[Model]]="", "",INDEX(Tableau2[Equipment],MATCH(Tabel1[[#This Row],[Model]],Tableau2[Model],0)))</f>
        <v>Cat966H.1</v>
      </c>
      <c r="H204" s="4" t="s">
        <v>66</v>
      </c>
      <c r="I204" s="10" t="s">
        <v>160</v>
      </c>
      <c r="J204" s="35" t="s">
        <v>234</v>
      </c>
      <c r="K204" s="4">
        <v>5198487</v>
      </c>
      <c r="L204" s="9">
        <v>0.79166666666666663</v>
      </c>
      <c r="M204" s="9">
        <v>0</v>
      </c>
      <c r="N204" s="9">
        <v>0.20833333333333334</v>
      </c>
      <c r="O2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204" s="21">
        <f>HOUR(Tabel1[[#This Row],[Total Hours]])+MINUTE(Tabel1[[#This Row],[Total Hours]])/60+SECOND(Tabel1[[#This Row],[Total Hours]])/3600</f>
        <v>10</v>
      </c>
      <c r="Q204" s="6">
        <f>Tabel1[[#This Row],[End Time]]+(Tabel1[[#This Row],[End Time]]&lt;Tabel1[[#This Row],[Start time]])</f>
        <v>1.2083333333333333</v>
      </c>
      <c r="R2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4" s="6"/>
      <c r="T204" s="7"/>
    </row>
    <row r="205" spans="1:20" x14ac:dyDescent="0.3">
      <c r="A205" s="4"/>
      <c r="B205" s="4">
        <f t="shared" si="3"/>
        <v>198</v>
      </c>
      <c r="C205" s="4" t="str">
        <f>IFERROR(VLOOKUP(Tabel1[[#This Row],[Model]],Tableau2[[Model]:[Parking Number]],2,FALSE)," ")</f>
        <v>TT17</v>
      </c>
      <c r="D205" s="23">
        <v>45529</v>
      </c>
      <c r="E205" s="4" t="str">
        <f>IF(Tabel1[[#This Row],[Model]]="", "",INDEX(Tableau2[Equipment Type],MATCH(Tabel1[[#This Row],[Model]],Tableau2[Model],0)))</f>
        <v>Tipper Truck</v>
      </c>
      <c r="F205" s="4" t="s">
        <v>51</v>
      </c>
      <c r="G205" s="4" t="str">
        <f>IF(Tabel1[[#This Row],[Model]]="", "",INDEX(Tableau2[Equipment],MATCH(Tabel1[[#This Row],[Model]],Tableau2[Model],0)))</f>
        <v>Tipper Truck 20m3 / F17</v>
      </c>
      <c r="H205" s="4" t="s">
        <v>66</v>
      </c>
      <c r="I205" s="10" t="s">
        <v>160</v>
      </c>
      <c r="J205" s="35" t="s">
        <v>234</v>
      </c>
      <c r="K205" s="4">
        <v>5198487</v>
      </c>
      <c r="L205" s="9">
        <v>0.29166666666666669</v>
      </c>
      <c r="M205" s="9">
        <v>4.1666666666666664E-2</v>
      </c>
      <c r="N205" s="9">
        <v>0.79166666666666663</v>
      </c>
      <c r="O2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205" s="21">
        <f>HOUR(Tabel1[[#This Row],[Total Hours]])+MINUTE(Tabel1[[#This Row],[Total Hours]])/60+SECOND(Tabel1[[#This Row],[Total Hours]])/3600</f>
        <v>11</v>
      </c>
      <c r="Q205" s="6">
        <f>Tabel1[[#This Row],[End Time]]+(Tabel1[[#This Row],[End Time]]&lt;Tabel1[[#This Row],[Start time]])</f>
        <v>0.79166666666666663</v>
      </c>
      <c r="R2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5" s="6"/>
      <c r="T205" s="7"/>
    </row>
    <row r="206" spans="1:20" x14ac:dyDescent="0.3">
      <c r="A206" s="4"/>
      <c r="B206" s="4">
        <f t="shared" si="3"/>
        <v>199</v>
      </c>
      <c r="C206" s="4" t="str">
        <f>IFERROR(VLOOKUP(Tabel1[[#This Row],[Model]],Tableau2[[Model]:[Parking Number]],2,FALSE)," ")</f>
        <v>GR2</v>
      </c>
      <c r="D206" s="23">
        <v>45529</v>
      </c>
      <c r="E206" s="4" t="str">
        <f>IF(Tabel1[[#This Row],[Model]]="", "",INDEX(Tableau2[Equipment Type],MATCH(Tabel1[[#This Row],[Model]],Tableau2[Model],0)))</f>
        <v>Grader</v>
      </c>
      <c r="F206" s="4" t="s">
        <v>39</v>
      </c>
      <c r="G206" s="4" t="str">
        <f>IF(Tabel1[[#This Row],[Model]]="", "",INDEX(Tableau2[Equipment],MATCH(Tabel1[[#This Row],[Model]],Tableau2[Model],0)))</f>
        <v>CAT12K.2</v>
      </c>
      <c r="H206" s="4" t="s">
        <v>187</v>
      </c>
      <c r="I206" s="10" t="s">
        <v>193</v>
      </c>
      <c r="J206" s="35"/>
      <c r="K206" s="4">
        <v>5257366</v>
      </c>
      <c r="L206" s="9">
        <v>0.33333333333333331</v>
      </c>
      <c r="M206" s="9">
        <v>4.1666666666666664E-2</v>
      </c>
      <c r="N206" s="9">
        <v>0.70833333333333337</v>
      </c>
      <c r="O2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6" s="21">
        <f>HOUR(Tabel1[[#This Row],[Total Hours]])+MINUTE(Tabel1[[#This Row],[Total Hours]])/60+SECOND(Tabel1[[#This Row],[Total Hours]])/3600</f>
        <v>8</v>
      </c>
      <c r="Q206" s="6">
        <f>Tabel1[[#This Row],[End Time]]+(Tabel1[[#This Row],[End Time]]&lt;Tabel1[[#This Row],[Start time]])</f>
        <v>0.70833333333333337</v>
      </c>
      <c r="R2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6" s="6"/>
      <c r="T206" s="7"/>
    </row>
    <row r="207" spans="1:20" x14ac:dyDescent="0.3">
      <c r="A207" s="4"/>
      <c r="B207" s="4">
        <f t="shared" si="3"/>
        <v>200</v>
      </c>
      <c r="C207" s="4" t="str">
        <f>IFERROR(VLOOKUP(Tabel1[[#This Row],[Model]],Tableau2[[Model]:[Parking Number]],2,FALSE)," ")</f>
        <v>FEL2</v>
      </c>
      <c r="D207" s="23">
        <v>45529</v>
      </c>
      <c r="E207" s="4" t="str">
        <f>IF(Tabel1[[#This Row],[Model]]="", "",INDEX(Tableau2[Equipment Type],MATCH(Tabel1[[#This Row],[Model]],Tableau2[Model],0)))</f>
        <v>Loader</v>
      </c>
      <c r="F207" s="4" t="s">
        <v>42</v>
      </c>
      <c r="G207" s="4" t="str">
        <f>IF(Tabel1[[#This Row],[Model]]="", "",INDEX(Tableau2[Equipment],MATCH(Tabel1[[#This Row],[Model]],Tableau2[Model],0)))</f>
        <v>Cat966H.2</v>
      </c>
      <c r="H207" s="4" t="s">
        <v>187</v>
      </c>
      <c r="I207" s="10" t="s">
        <v>193</v>
      </c>
      <c r="J207" s="35"/>
      <c r="K207" s="4">
        <v>5257366</v>
      </c>
      <c r="L207" s="9">
        <v>0.33333333333333331</v>
      </c>
      <c r="M207" s="9">
        <v>4.1666666666666664E-2</v>
      </c>
      <c r="N207" s="9">
        <v>0.70833333333333337</v>
      </c>
      <c r="O2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7" s="21">
        <f>HOUR(Tabel1[[#This Row],[Total Hours]])+MINUTE(Tabel1[[#This Row],[Total Hours]])/60+SECOND(Tabel1[[#This Row],[Total Hours]])/3600</f>
        <v>8</v>
      </c>
      <c r="Q207" s="6">
        <f>Tabel1[[#This Row],[End Time]]+(Tabel1[[#This Row],[End Time]]&lt;Tabel1[[#This Row],[Start time]])</f>
        <v>0.70833333333333337</v>
      </c>
      <c r="R2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7" s="6"/>
      <c r="T207" s="7"/>
    </row>
    <row r="208" spans="1:20" x14ac:dyDescent="0.3">
      <c r="A208" s="4"/>
      <c r="B208" s="4">
        <f t="shared" si="3"/>
        <v>201</v>
      </c>
      <c r="C208" s="4" t="str">
        <f>IFERROR(VLOOKUP(Tabel1[[#This Row],[Model]],Tableau2[[Model]:[Parking Number]],2,FALSE)," ")</f>
        <v>TT29</v>
      </c>
      <c r="D208" s="23">
        <v>45529</v>
      </c>
      <c r="E208" s="4" t="str">
        <f>IF(Tabel1[[#This Row],[Model]]="", "",INDEX(Tableau2[Equipment Type],MATCH(Tabel1[[#This Row],[Model]],Tableau2[Model],0)))</f>
        <v>Tipper Truck</v>
      </c>
      <c r="F208" s="4" t="s">
        <v>72</v>
      </c>
      <c r="G208" s="4" t="str">
        <f>IF(Tabel1[[#This Row],[Model]]="", "",INDEX(Tableau2[Equipment],MATCH(Tabel1[[#This Row],[Model]],Tableau2[Model],0)))</f>
        <v>Tipper Truck 20m3 / F29</v>
      </c>
      <c r="H208" s="4" t="s">
        <v>187</v>
      </c>
      <c r="I208" s="10" t="s">
        <v>193</v>
      </c>
      <c r="J208" s="35"/>
      <c r="K208" s="4">
        <v>5257366</v>
      </c>
      <c r="L208" s="9">
        <v>0.33333333333333331</v>
      </c>
      <c r="M208" s="9">
        <v>4.1666666666666664E-2</v>
      </c>
      <c r="N208" s="9">
        <v>0.70833333333333337</v>
      </c>
      <c r="O2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8" s="21">
        <f>HOUR(Tabel1[[#This Row],[Total Hours]])+MINUTE(Tabel1[[#This Row],[Total Hours]])/60+SECOND(Tabel1[[#This Row],[Total Hours]])/3600</f>
        <v>8</v>
      </c>
      <c r="Q208" s="6">
        <f>Tabel1[[#This Row],[End Time]]+(Tabel1[[#This Row],[End Time]]&lt;Tabel1[[#This Row],[Start time]])</f>
        <v>0.70833333333333337</v>
      </c>
      <c r="R2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8" s="6"/>
      <c r="T208" s="7"/>
    </row>
    <row r="209" spans="1:20" x14ac:dyDescent="0.3">
      <c r="A209" s="4"/>
      <c r="B209" s="4">
        <f t="shared" si="3"/>
        <v>202</v>
      </c>
      <c r="C209" s="4" t="str">
        <f>IFERROR(VLOOKUP(Tabel1[[#This Row],[Model]],Tableau2[[Model]:[Parking Number]],2,FALSE)," ")</f>
        <v>TT32</v>
      </c>
      <c r="D209" s="23">
        <v>45529</v>
      </c>
      <c r="E209" s="4" t="str">
        <f>IF(Tabel1[[#This Row],[Model]]="", "",INDEX(Tableau2[Equipment Type],MATCH(Tabel1[[#This Row],[Model]],Tableau2[Model],0)))</f>
        <v>Tipper Truck</v>
      </c>
      <c r="F209" s="4" t="s">
        <v>53</v>
      </c>
      <c r="G209" s="4" t="str">
        <f>IF(Tabel1[[#This Row],[Model]]="", "",INDEX(Tableau2[Equipment],MATCH(Tabel1[[#This Row],[Model]],Tableau2[Model],0)))</f>
        <v>Tipper Truck 20m3 / F32</v>
      </c>
      <c r="H209" s="4" t="s">
        <v>187</v>
      </c>
      <c r="I209" s="10" t="s">
        <v>193</v>
      </c>
      <c r="J209" s="35"/>
      <c r="K209" s="4">
        <v>5257366</v>
      </c>
      <c r="L209" s="9">
        <v>0.33333333333333331</v>
      </c>
      <c r="M209" s="9">
        <v>4.1666666666666664E-2</v>
      </c>
      <c r="N209" s="9">
        <v>0.66666666666666663</v>
      </c>
      <c r="O2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209" s="21">
        <f>HOUR(Tabel1[[#This Row],[Total Hours]])+MINUTE(Tabel1[[#This Row],[Total Hours]])/60+SECOND(Tabel1[[#This Row],[Total Hours]])/3600</f>
        <v>7</v>
      </c>
      <c r="Q209" s="6">
        <f>Tabel1[[#This Row],[End Time]]+(Tabel1[[#This Row],[End Time]]&lt;Tabel1[[#This Row],[Start time]])</f>
        <v>0.66666666666666663</v>
      </c>
      <c r="R2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9" s="6"/>
      <c r="T209" s="7"/>
    </row>
    <row r="210" spans="1:20" x14ac:dyDescent="0.3">
      <c r="A210" s="4"/>
      <c r="B210" s="4">
        <f t="shared" si="3"/>
        <v>203</v>
      </c>
      <c r="C210" s="4" t="str">
        <f>IFERROR(VLOOKUP(Tabel1[[#This Row],[Model]],Tableau2[[Model]:[Parking Number]],2,FALSE)," ")</f>
        <v>FEL5</v>
      </c>
      <c r="D210" s="23">
        <v>45529</v>
      </c>
      <c r="E210" s="4" t="str">
        <f>IF(Tabel1[[#This Row],[Model]]="", "",INDEX(Tableau2[Equipment Type],MATCH(Tabel1[[#This Row],[Model]],Tableau2[Model],0)))</f>
        <v>Loader</v>
      </c>
      <c r="F210" s="4" t="s">
        <v>113</v>
      </c>
      <c r="G210" s="4" t="str">
        <f>IF(Tabel1[[#This Row],[Model]]="", "",INDEX(Tableau2[Equipment],MATCH(Tabel1[[#This Row],[Model]],Tableau2[Model],0)))</f>
        <v>CAT980G</v>
      </c>
      <c r="H210" s="4" t="s">
        <v>230</v>
      </c>
      <c r="I210" s="10" t="s">
        <v>231</v>
      </c>
      <c r="J210" s="35"/>
      <c r="K210" s="4">
        <v>5248839</v>
      </c>
      <c r="L210" s="9">
        <v>0.58333333333333337</v>
      </c>
      <c r="M210" s="9">
        <v>0</v>
      </c>
      <c r="N210" s="9">
        <v>0.70833333333333337</v>
      </c>
      <c r="O2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210" s="21">
        <f>HOUR(Tabel1[[#This Row],[Total Hours]])+MINUTE(Tabel1[[#This Row],[Total Hours]])/60+SECOND(Tabel1[[#This Row],[Total Hours]])/3600</f>
        <v>3</v>
      </c>
      <c r="Q210" s="6">
        <f>Tabel1[[#This Row],[End Time]]+(Tabel1[[#This Row],[End Time]]&lt;Tabel1[[#This Row],[Start time]])</f>
        <v>0.70833333333333337</v>
      </c>
      <c r="R2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0" s="6"/>
      <c r="T210" s="7"/>
    </row>
    <row r="211" spans="1:20" x14ac:dyDescent="0.3">
      <c r="A211" s="4"/>
      <c r="B211" s="4">
        <f t="shared" si="3"/>
        <v>204</v>
      </c>
      <c r="C211" s="4" t="str">
        <f>IFERROR(VLOOKUP(Tabel1[[#This Row],[Model]],Tableau2[[Model]:[Parking Number]],2,FALSE)," ")</f>
        <v>TT30</v>
      </c>
      <c r="D211" s="23">
        <v>45529</v>
      </c>
      <c r="E211" s="4" t="str">
        <f>IF(Tabel1[[#This Row],[Model]]="", "",INDEX(Tableau2[Equipment Type],MATCH(Tabel1[[#This Row],[Model]],Tableau2[Model],0)))</f>
        <v>Tipper Truck</v>
      </c>
      <c r="F211" s="4" t="s">
        <v>83</v>
      </c>
      <c r="G211" s="4" t="str">
        <f>IF(Tabel1[[#This Row],[Model]]="", "",INDEX(Tableau2[Equipment],MATCH(Tabel1[[#This Row],[Model]],Tableau2[Model],0)))</f>
        <v>Tipper Truck 20m3 / F30</v>
      </c>
      <c r="H211" s="4" t="s">
        <v>230</v>
      </c>
      <c r="I211" s="10" t="s">
        <v>231</v>
      </c>
      <c r="J211" s="35"/>
      <c r="K211" s="4">
        <v>5248839</v>
      </c>
      <c r="L211" s="9">
        <v>0.58333333333333337</v>
      </c>
      <c r="M211" s="9">
        <v>0</v>
      </c>
      <c r="N211" s="9">
        <v>0.70833333333333337</v>
      </c>
      <c r="O2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211" s="21">
        <f>HOUR(Tabel1[[#This Row],[Total Hours]])+MINUTE(Tabel1[[#This Row],[Total Hours]])/60+SECOND(Tabel1[[#This Row],[Total Hours]])/3600</f>
        <v>3</v>
      </c>
      <c r="Q211" s="6">
        <f>Tabel1[[#This Row],[End Time]]+(Tabel1[[#This Row],[End Time]]&lt;Tabel1[[#This Row],[Start time]])</f>
        <v>0.70833333333333337</v>
      </c>
      <c r="R2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1" s="6"/>
      <c r="T211" s="7"/>
    </row>
    <row r="212" spans="1:20" x14ac:dyDescent="0.3">
      <c r="A212" s="4"/>
      <c r="B212" s="4">
        <f t="shared" si="3"/>
        <v>205</v>
      </c>
      <c r="C212" s="4" t="str">
        <f>IFERROR(VLOOKUP(Tabel1[[#This Row],[Model]],Tableau2[[Model]:[Parking Number]],2,FALSE)," ")</f>
        <v>TT87</v>
      </c>
      <c r="D212" s="23">
        <v>45529</v>
      </c>
      <c r="E212" s="4" t="str">
        <f>IF(Tabel1[[#This Row],[Model]]="", "",INDEX(Tableau2[Equipment Type],MATCH(Tabel1[[#This Row],[Model]],Tableau2[Model],0)))</f>
        <v>Tipper Truck</v>
      </c>
      <c r="F212" s="4" t="s">
        <v>79</v>
      </c>
      <c r="G212" s="4" t="str">
        <f>IF(Tabel1[[#This Row],[Model]]="", "",INDEX(Tableau2[Equipment],MATCH(Tabel1[[#This Row],[Model]],Tableau2[Model],0)))</f>
        <v>Tipper Truck 20m3 / F87</v>
      </c>
      <c r="H212" s="4" t="s">
        <v>230</v>
      </c>
      <c r="I212" s="10" t="s">
        <v>231</v>
      </c>
      <c r="J212" s="35"/>
      <c r="K212" s="4">
        <v>5248839</v>
      </c>
      <c r="L212" s="9">
        <v>0.58333333333333337</v>
      </c>
      <c r="M212" s="9">
        <v>0</v>
      </c>
      <c r="N212" s="9">
        <v>0.70833333333333337</v>
      </c>
      <c r="O2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212" s="21">
        <f>HOUR(Tabel1[[#This Row],[Total Hours]])+MINUTE(Tabel1[[#This Row],[Total Hours]])/60+SECOND(Tabel1[[#This Row],[Total Hours]])/3600</f>
        <v>3</v>
      </c>
      <c r="Q212" s="6">
        <f>Tabel1[[#This Row],[End Time]]+(Tabel1[[#This Row],[End Time]]&lt;Tabel1[[#This Row],[Start time]])</f>
        <v>0.70833333333333337</v>
      </c>
      <c r="R2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2" s="6"/>
      <c r="T212" s="7"/>
    </row>
    <row r="213" spans="1:20" x14ac:dyDescent="0.3">
      <c r="A213" s="4"/>
      <c r="B213" s="4">
        <f t="shared" si="3"/>
        <v>206</v>
      </c>
      <c r="C213" s="4" t="str">
        <f>IFERROR(VLOOKUP(Tabel1[[#This Row],[Model]],Tableau2[[Model]:[Parking Number]],2,FALSE)," ")</f>
        <v xml:space="preserve"> </v>
      </c>
      <c r="D213" s="23"/>
      <c r="E213" s="4" t="str">
        <f>IF(Tabel1[[#This Row],[Model]]="", "",INDEX(Tableau2[Equipment Type],MATCH(Tabel1[[#This Row],[Model]],Tableau2[Model],0)))</f>
        <v/>
      </c>
      <c r="G213" s="4" t="str">
        <f>IF(Tabel1[[#This Row],[Model]]="", "",INDEX(Tableau2[Equipment],MATCH(Tabel1[[#This Row],[Model]],Tableau2[Model],0)))</f>
        <v/>
      </c>
      <c r="I213" s="10"/>
      <c r="J213" s="35"/>
      <c r="L213" s="9"/>
      <c r="M213" s="9"/>
      <c r="N213" s="9"/>
      <c r="O2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3" s="21">
        <f>HOUR(Tabel1[[#This Row],[Total Hours]])+MINUTE(Tabel1[[#This Row],[Total Hours]])/60+SECOND(Tabel1[[#This Row],[Total Hours]])/3600</f>
        <v>0</v>
      </c>
      <c r="Q213" s="6">
        <f>Tabel1[[#This Row],[End Time]]+(Tabel1[[#This Row],[End Time]]&lt;Tabel1[[#This Row],[Start time]])</f>
        <v>0</v>
      </c>
      <c r="R2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3" s="6"/>
      <c r="T213" s="7"/>
    </row>
    <row r="214" spans="1:20" x14ac:dyDescent="0.3">
      <c r="A214" s="4"/>
      <c r="B214" s="4">
        <f t="shared" si="3"/>
        <v>207</v>
      </c>
      <c r="C214" s="4" t="str">
        <f>IFERROR(VLOOKUP(Tabel1[[#This Row],[Model]],Tableau2[[Model]:[Parking Number]],2,FALSE)," ")</f>
        <v xml:space="preserve"> </v>
      </c>
      <c r="D214" s="23"/>
      <c r="E214" s="4" t="str">
        <f>IF(Tabel1[[#This Row],[Model]]="", "",INDEX(Tableau2[Equipment Type],MATCH(Tabel1[[#This Row],[Model]],Tableau2[Model],0)))</f>
        <v/>
      </c>
      <c r="G214" s="4" t="str">
        <f>IF(Tabel1[[#This Row],[Model]]="", "",INDEX(Tableau2[Equipment],MATCH(Tabel1[[#This Row],[Model]],Tableau2[Model],0)))</f>
        <v/>
      </c>
      <c r="I214" s="10"/>
      <c r="J214" s="35"/>
      <c r="L214" s="9"/>
      <c r="M214" s="9"/>
      <c r="N214" s="9"/>
      <c r="O2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4" s="21">
        <f>HOUR(Tabel1[[#This Row],[Total Hours]])+MINUTE(Tabel1[[#This Row],[Total Hours]])/60+SECOND(Tabel1[[#This Row],[Total Hours]])/3600</f>
        <v>0</v>
      </c>
      <c r="Q214" s="6">
        <f>Tabel1[[#This Row],[End Time]]+(Tabel1[[#This Row],[End Time]]&lt;Tabel1[[#This Row],[Start time]])</f>
        <v>0</v>
      </c>
      <c r="R2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4" s="6"/>
      <c r="T214" s="7"/>
    </row>
    <row r="215" spans="1:20" x14ac:dyDescent="0.3">
      <c r="A215" s="4"/>
      <c r="B215" s="4">
        <f t="shared" si="3"/>
        <v>208</v>
      </c>
      <c r="C215" s="4" t="str">
        <f>IFERROR(VLOOKUP(Tabel1[[#This Row],[Model]],Tableau2[[Model]:[Parking Number]],2,FALSE)," ")</f>
        <v xml:space="preserve"> </v>
      </c>
      <c r="D215" s="23"/>
      <c r="E215" s="4" t="str">
        <f>IF(Tabel1[[#This Row],[Model]]="", "",INDEX(Tableau2[Equipment Type],MATCH(Tabel1[[#This Row],[Model]],Tableau2[Model],0)))</f>
        <v/>
      </c>
      <c r="G215" s="4" t="str">
        <f>IF(Tabel1[[#This Row],[Model]]="", "",INDEX(Tableau2[Equipment],MATCH(Tabel1[[#This Row],[Model]],Tableau2[Model],0)))</f>
        <v/>
      </c>
      <c r="I215" s="10"/>
      <c r="J215" s="35"/>
      <c r="L215" s="9"/>
      <c r="M215" s="9"/>
      <c r="N215" s="9"/>
      <c r="O2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5" s="21">
        <f>HOUR(Tabel1[[#This Row],[Total Hours]])+MINUTE(Tabel1[[#This Row],[Total Hours]])/60+SECOND(Tabel1[[#This Row],[Total Hours]])/3600</f>
        <v>0</v>
      </c>
      <c r="Q215" s="6">
        <f>Tabel1[[#This Row],[End Time]]+(Tabel1[[#This Row],[End Time]]&lt;Tabel1[[#This Row],[Start time]])</f>
        <v>0</v>
      </c>
      <c r="R2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5" s="6"/>
      <c r="T215" s="7"/>
    </row>
    <row r="216" spans="1:20" x14ac:dyDescent="0.3">
      <c r="A216" s="4"/>
      <c r="B216" s="4">
        <f t="shared" si="3"/>
        <v>209</v>
      </c>
      <c r="C216" s="4" t="str">
        <f>IFERROR(VLOOKUP(Tabel1[[#This Row],[Model]],Tableau2[[Model]:[Parking Number]],2,FALSE)," ")</f>
        <v xml:space="preserve"> </v>
      </c>
      <c r="D216" s="23"/>
      <c r="E216" s="4" t="str">
        <f>IF(Tabel1[[#This Row],[Model]]="", "",INDEX(Tableau2[Equipment Type],MATCH(Tabel1[[#This Row],[Model]],Tableau2[Model],0)))</f>
        <v/>
      </c>
      <c r="G216" s="4" t="str">
        <f>IF(Tabel1[[#This Row],[Model]]="", "",INDEX(Tableau2[Equipment],MATCH(Tabel1[[#This Row],[Model]],Tableau2[Model],0)))</f>
        <v/>
      </c>
      <c r="I216" s="10"/>
      <c r="J216" s="35"/>
      <c r="L216" s="9"/>
      <c r="M216" s="9"/>
      <c r="N216" s="9"/>
      <c r="O2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6" s="21">
        <f>HOUR(Tabel1[[#This Row],[Total Hours]])+MINUTE(Tabel1[[#This Row],[Total Hours]])/60+SECOND(Tabel1[[#This Row],[Total Hours]])/3600</f>
        <v>0</v>
      </c>
      <c r="Q216" s="6">
        <f>Tabel1[[#This Row],[End Time]]+(Tabel1[[#This Row],[End Time]]&lt;Tabel1[[#This Row],[Start time]])</f>
        <v>0</v>
      </c>
      <c r="R2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6" s="6"/>
      <c r="T216" s="7"/>
    </row>
    <row r="217" spans="1:20" x14ac:dyDescent="0.3">
      <c r="A217" s="4"/>
      <c r="B217" s="4">
        <f t="shared" si="3"/>
        <v>210</v>
      </c>
      <c r="C217" s="4" t="str">
        <f>IFERROR(VLOOKUP(Tabel1[[#This Row],[Model]],Tableau2[[Model]:[Parking Number]],2,FALSE)," ")</f>
        <v xml:space="preserve"> </v>
      </c>
      <c r="D217" s="23"/>
      <c r="E217" s="4" t="str">
        <f>IF(Tabel1[[#This Row],[Model]]="", "",INDEX(Tableau2[Equipment Type],MATCH(Tabel1[[#This Row],[Model]],Tableau2[Model],0)))</f>
        <v/>
      </c>
      <c r="G217" s="4" t="str">
        <f>IF(Tabel1[[#This Row],[Model]]="", "",INDEX(Tableau2[Equipment],MATCH(Tabel1[[#This Row],[Model]],Tableau2[Model],0)))</f>
        <v/>
      </c>
      <c r="I217" s="10"/>
      <c r="J217" s="35"/>
      <c r="L217" s="9"/>
      <c r="M217" s="9"/>
      <c r="N217" s="9"/>
      <c r="O2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7" s="21">
        <f>HOUR(Tabel1[[#This Row],[Total Hours]])+MINUTE(Tabel1[[#This Row],[Total Hours]])/60+SECOND(Tabel1[[#This Row],[Total Hours]])/3600</f>
        <v>0</v>
      </c>
      <c r="Q217" s="6">
        <f>Tabel1[[#This Row],[End Time]]+(Tabel1[[#This Row],[End Time]]&lt;Tabel1[[#This Row],[Start time]])</f>
        <v>0</v>
      </c>
      <c r="R2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7" s="6"/>
      <c r="T217" s="7"/>
    </row>
    <row r="218" spans="1:20" x14ac:dyDescent="0.3">
      <c r="A218" s="4"/>
      <c r="B218" s="4">
        <f t="shared" si="3"/>
        <v>211</v>
      </c>
      <c r="C218" s="4" t="str">
        <f>IFERROR(VLOOKUP(Tabel1[[#This Row],[Model]],Tableau2[[Model]:[Parking Number]],2,FALSE)," ")</f>
        <v xml:space="preserve"> </v>
      </c>
      <c r="D218" s="23"/>
      <c r="E218" s="4" t="str">
        <f>IF(Tabel1[[#This Row],[Model]]="", "",INDEX(Tableau2[Equipment Type],MATCH(Tabel1[[#This Row],[Model]],Tableau2[Model],0)))</f>
        <v/>
      </c>
      <c r="G218" s="4" t="str">
        <f>IF(Tabel1[[#This Row],[Model]]="", "",INDEX(Tableau2[Equipment],MATCH(Tabel1[[#This Row],[Model]],Tableau2[Model],0)))</f>
        <v/>
      </c>
      <c r="I218" s="10"/>
      <c r="J218" s="35"/>
      <c r="L218" s="9"/>
      <c r="M218" s="9"/>
      <c r="N218" s="9"/>
      <c r="O2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8" s="21">
        <f>HOUR(Tabel1[[#This Row],[Total Hours]])+MINUTE(Tabel1[[#This Row],[Total Hours]])/60+SECOND(Tabel1[[#This Row],[Total Hours]])/3600</f>
        <v>0</v>
      </c>
      <c r="Q218" s="6">
        <f>Tabel1[[#This Row],[End Time]]+(Tabel1[[#This Row],[End Time]]&lt;Tabel1[[#This Row],[Start time]])</f>
        <v>0</v>
      </c>
      <c r="R2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8" s="6"/>
      <c r="T218" s="7"/>
    </row>
    <row r="219" spans="1:20" x14ac:dyDescent="0.3">
      <c r="A219" s="4"/>
      <c r="B219" s="4">
        <f t="shared" si="3"/>
        <v>212</v>
      </c>
      <c r="C219" s="4" t="str">
        <f>IFERROR(VLOOKUP(Tabel1[[#This Row],[Model]],Tableau2[[Model]:[Parking Number]],2,FALSE)," ")</f>
        <v xml:space="preserve"> </v>
      </c>
      <c r="D219" s="23"/>
      <c r="E219" s="4" t="str">
        <f>IF(Tabel1[[#This Row],[Model]]="", "",INDEX(Tableau2[Equipment Type],MATCH(Tabel1[[#This Row],[Model]],Tableau2[Model],0)))</f>
        <v/>
      </c>
      <c r="G219" s="4" t="str">
        <f>IF(Tabel1[[#This Row],[Model]]="", "",INDEX(Tableau2[Equipment],MATCH(Tabel1[[#This Row],[Model]],Tableau2[Model],0)))</f>
        <v/>
      </c>
      <c r="I219" s="10"/>
      <c r="J219" s="35"/>
      <c r="L219" s="9"/>
      <c r="M219" s="9"/>
      <c r="N219" s="9"/>
      <c r="O2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9" s="21">
        <f>HOUR(Tabel1[[#This Row],[Total Hours]])+MINUTE(Tabel1[[#This Row],[Total Hours]])/60+SECOND(Tabel1[[#This Row],[Total Hours]])/3600</f>
        <v>0</v>
      </c>
      <c r="Q219" s="6">
        <f>Tabel1[[#This Row],[End Time]]+(Tabel1[[#This Row],[End Time]]&lt;Tabel1[[#This Row],[Start time]])</f>
        <v>0</v>
      </c>
      <c r="R2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9" s="6"/>
      <c r="T219" s="7"/>
    </row>
    <row r="220" spans="1:20" x14ac:dyDescent="0.3">
      <c r="A220" s="4"/>
      <c r="B220" s="4">
        <f t="shared" si="3"/>
        <v>213</v>
      </c>
      <c r="C220" s="4" t="str">
        <f>IFERROR(VLOOKUP(Tabel1[[#This Row],[Model]],Tableau2[[Model]:[Parking Number]],2,FALSE)," ")</f>
        <v xml:space="preserve"> </v>
      </c>
      <c r="D220" s="23"/>
      <c r="E220" s="4" t="str">
        <f>IF(Tabel1[[#This Row],[Model]]="", "",INDEX(Tableau2[Equipment Type],MATCH(Tabel1[[#This Row],[Model]],Tableau2[Model],0)))</f>
        <v/>
      </c>
      <c r="G220" s="4" t="str">
        <f>IF(Tabel1[[#This Row],[Model]]="", "",INDEX(Tableau2[Equipment],MATCH(Tabel1[[#This Row],[Model]],Tableau2[Model],0)))</f>
        <v/>
      </c>
      <c r="I220" s="10"/>
      <c r="J220" s="35"/>
      <c r="L220" s="9"/>
      <c r="M220" s="9"/>
      <c r="N220" s="9"/>
      <c r="O2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0" s="21">
        <f>HOUR(Tabel1[[#This Row],[Total Hours]])+MINUTE(Tabel1[[#This Row],[Total Hours]])/60+SECOND(Tabel1[[#This Row],[Total Hours]])/3600</f>
        <v>0</v>
      </c>
      <c r="Q220" s="6">
        <f>Tabel1[[#This Row],[End Time]]+(Tabel1[[#This Row],[End Time]]&lt;Tabel1[[#This Row],[Start time]])</f>
        <v>0</v>
      </c>
      <c r="R2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0" s="6"/>
      <c r="T220" s="7"/>
    </row>
    <row r="221" spans="1:20" x14ac:dyDescent="0.3">
      <c r="A221" s="4"/>
      <c r="B221" s="4">
        <f t="shared" si="3"/>
        <v>214</v>
      </c>
      <c r="C221" s="4" t="str">
        <f>IFERROR(VLOOKUP(Tabel1[[#This Row],[Model]],Tableau2[[Model]:[Parking Number]],2,FALSE)," ")</f>
        <v xml:space="preserve"> </v>
      </c>
      <c r="D221" s="23"/>
      <c r="E221" s="4" t="str">
        <f>IF(Tabel1[[#This Row],[Model]]="", "",INDEX(Tableau2[Equipment Type],MATCH(Tabel1[[#This Row],[Model]],Tableau2[Model],0)))</f>
        <v/>
      </c>
      <c r="G221" s="4" t="str">
        <f>IF(Tabel1[[#This Row],[Model]]="", "",INDEX(Tableau2[Equipment],MATCH(Tabel1[[#This Row],[Model]],Tableau2[Model],0)))</f>
        <v/>
      </c>
      <c r="I221" s="10"/>
      <c r="J221" s="35"/>
      <c r="L221" s="9"/>
      <c r="M221" s="9"/>
      <c r="N221" s="9"/>
      <c r="O2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1" s="21">
        <f>HOUR(Tabel1[[#This Row],[Total Hours]])+MINUTE(Tabel1[[#This Row],[Total Hours]])/60+SECOND(Tabel1[[#This Row],[Total Hours]])/3600</f>
        <v>0</v>
      </c>
      <c r="Q221" s="6">
        <f>Tabel1[[#This Row],[End Time]]+(Tabel1[[#This Row],[End Time]]&lt;Tabel1[[#This Row],[Start time]])</f>
        <v>0</v>
      </c>
      <c r="R2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1" s="6"/>
      <c r="T221" s="7"/>
    </row>
    <row r="222" spans="1:20" x14ac:dyDescent="0.3">
      <c r="A222" s="4"/>
      <c r="B222" s="4">
        <f t="shared" si="3"/>
        <v>215</v>
      </c>
      <c r="C222" s="4" t="str">
        <f>IFERROR(VLOOKUP(Tabel1[[#This Row],[Model]],Tableau2[[Model]:[Parking Number]],2,FALSE)," ")</f>
        <v xml:space="preserve"> </v>
      </c>
      <c r="D222" s="23"/>
      <c r="E222" s="4" t="str">
        <f>IF(Tabel1[[#This Row],[Model]]="", "",INDEX(Tableau2[Equipment Type],MATCH(Tabel1[[#This Row],[Model]],Tableau2[Model],0)))</f>
        <v/>
      </c>
      <c r="G222" s="4" t="str">
        <f>IF(Tabel1[[#This Row],[Model]]="", "",INDEX(Tableau2[Equipment],MATCH(Tabel1[[#This Row],[Model]],Tableau2[Model],0)))</f>
        <v/>
      </c>
      <c r="I222" s="10"/>
      <c r="J222" s="35"/>
      <c r="L222" s="9"/>
      <c r="M222" s="9"/>
      <c r="N222" s="9"/>
      <c r="O2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2" s="21">
        <f>HOUR(Tabel1[[#This Row],[Total Hours]])+MINUTE(Tabel1[[#This Row],[Total Hours]])/60+SECOND(Tabel1[[#This Row],[Total Hours]])/3600</f>
        <v>0</v>
      </c>
      <c r="Q222" s="6">
        <f>Tabel1[[#This Row],[End Time]]+(Tabel1[[#This Row],[End Time]]&lt;Tabel1[[#This Row],[Start time]])</f>
        <v>0</v>
      </c>
      <c r="R2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2" s="6"/>
      <c r="T222" s="7"/>
    </row>
    <row r="223" spans="1:20" x14ac:dyDescent="0.3">
      <c r="A223" s="4"/>
      <c r="B223" s="4">
        <f t="shared" si="3"/>
        <v>216</v>
      </c>
      <c r="C223" s="4" t="str">
        <f>IFERROR(VLOOKUP(Tabel1[[#This Row],[Model]],Tableau2[[Model]:[Parking Number]],2,FALSE)," ")</f>
        <v xml:space="preserve"> </v>
      </c>
      <c r="D223" s="23"/>
      <c r="E223" s="4" t="str">
        <f>IF(Tabel1[[#This Row],[Model]]="", "",INDEX(Tableau2[Equipment Type],MATCH(Tabel1[[#This Row],[Model]],Tableau2[Model],0)))</f>
        <v/>
      </c>
      <c r="G223" s="4" t="str">
        <f>IF(Tabel1[[#This Row],[Model]]="", "",INDEX(Tableau2[Equipment],MATCH(Tabel1[[#This Row],[Model]],Tableau2[Model],0)))</f>
        <v/>
      </c>
      <c r="I223" s="10"/>
      <c r="J223" s="35"/>
      <c r="L223" s="9"/>
      <c r="M223" s="9"/>
      <c r="N223" s="9"/>
      <c r="O2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3" s="21">
        <f>HOUR(Tabel1[[#This Row],[Total Hours]])+MINUTE(Tabel1[[#This Row],[Total Hours]])/60+SECOND(Tabel1[[#This Row],[Total Hours]])/3600</f>
        <v>0</v>
      </c>
      <c r="Q223" s="6">
        <f>Tabel1[[#This Row],[End Time]]+(Tabel1[[#This Row],[End Time]]&lt;Tabel1[[#This Row],[Start time]])</f>
        <v>0</v>
      </c>
      <c r="R2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3" s="6"/>
      <c r="T223" s="7"/>
    </row>
    <row r="224" spans="1:20" x14ac:dyDescent="0.3">
      <c r="A224" s="4"/>
      <c r="B224" s="4">
        <f t="shared" si="3"/>
        <v>217</v>
      </c>
      <c r="C224" s="4" t="str">
        <f>IFERROR(VLOOKUP(Tabel1[[#This Row],[Model]],Tableau2[[Model]:[Parking Number]],2,FALSE)," ")</f>
        <v xml:space="preserve"> </v>
      </c>
      <c r="D224" s="23"/>
      <c r="E224" s="4" t="str">
        <f>IF(Tabel1[[#This Row],[Model]]="", "",INDEX(Tableau2[Equipment Type],MATCH(Tabel1[[#This Row],[Model]],Tableau2[Model],0)))</f>
        <v/>
      </c>
      <c r="G224" s="4" t="str">
        <f>IF(Tabel1[[#This Row],[Model]]="", "",INDEX(Tableau2[Equipment],MATCH(Tabel1[[#This Row],[Model]],Tableau2[Model],0)))</f>
        <v/>
      </c>
      <c r="I224" s="10"/>
      <c r="J224" s="35"/>
      <c r="L224" s="9"/>
      <c r="M224" s="9"/>
      <c r="N224" s="9"/>
      <c r="O2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4" s="21">
        <f>HOUR(Tabel1[[#This Row],[Total Hours]])+MINUTE(Tabel1[[#This Row],[Total Hours]])/60+SECOND(Tabel1[[#This Row],[Total Hours]])/3600</f>
        <v>0</v>
      </c>
      <c r="Q224" s="6">
        <f>Tabel1[[#This Row],[End Time]]+(Tabel1[[#This Row],[End Time]]&lt;Tabel1[[#This Row],[Start time]])</f>
        <v>0</v>
      </c>
      <c r="R2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4" s="6"/>
      <c r="T224" s="7"/>
    </row>
    <row r="225" spans="1:20" x14ac:dyDescent="0.3">
      <c r="A225" s="4"/>
      <c r="B225" s="4">
        <f t="shared" si="3"/>
        <v>218</v>
      </c>
      <c r="C225" s="4" t="str">
        <f>IFERROR(VLOOKUP(Tabel1[[#This Row],[Model]],Tableau2[[Model]:[Parking Number]],2,FALSE)," ")</f>
        <v xml:space="preserve"> </v>
      </c>
      <c r="D225" s="23"/>
      <c r="E225" s="4" t="str">
        <f>IF(Tabel1[[#This Row],[Model]]="", "",INDEX(Tableau2[Equipment Type],MATCH(Tabel1[[#This Row],[Model]],Tableau2[Model],0)))</f>
        <v/>
      </c>
      <c r="G225" s="4" t="str">
        <f>IF(Tabel1[[#This Row],[Model]]="", "",INDEX(Tableau2[Equipment],MATCH(Tabel1[[#This Row],[Model]],Tableau2[Model],0)))</f>
        <v/>
      </c>
      <c r="I225" s="10"/>
      <c r="J225" s="35"/>
      <c r="L225" s="9"/>
      <c r="M225" s="9"/>
      <c r="N225" s="9"/>
      <c r="O2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5" s="21">
        <f>HOUR(Tabel1[[#This Row],[Total Hours]])+MINUTE(Tabel1[[#This Row],[Total Hours]])/60+SECOND(Tabel1[[#This Row],[Total Hours]])/3600</f>
        <v>0</v>
      </c>
      <c r="Q225" s="6">
        <f>Tabel1[[#This Row],[End Time]]+(Tabel1[[#This Row],[End Time]]&lt;Tabel1[[#This Row],[Start time]])</f>
        <v>0</v>
      </c>
      <c r="R2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5" s="6"/>
      <c r="T225" s="7"/>
    </row>
    <row r="226" spans="1:20" x14ac:dyDescent="0.3">
      <c r="A226" s="4"/>
      <c r="B226" s="4">
        <f t="shared" si="3"/>
        <v>219</v>
      </c>
      <c r="C226" s="4" t="str">
        <f>IFERROR(VLOOKUP(Tabel1[[#This Row],[Model]],Tableau2[[Model]:[Parking Number]],2,FALSE)," ")</f>
        <v xml:space="preserve"> </v>
      </c>
      <c r="D226" s="23"/>
      <c r="E226" s="4" t="str">
        <f>IF(Tabel1[[#This Row],[Model]]="", "",INDEX(Tableau2[Equipment Type],MATCH(Tabel1[[#This Row],[Model]],Tableau2[Model],0)))</f>
        <v/>
      </c>
      <c r="G226" s="4" t="str">
        <f>IF(Tabel1[[#This Row],[Model]]="", "",INDEX(Tableau2[Equipment],MATCH(Tabel1[[#This Row],[Model]],Tableau2[Model],0)))</f>
        <v/>
      </c>
      <c r="I226" s="10"/>
      <c r="J226" s="35"/>
      <c r="L226" s="9"/>
      <c r="M226" s="9"/>
      <c r="N226" s="9"/>
      <c r="O2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6" s="21">
        <f>HOUR(Tabel1[[#This Row],[Total Hours]])+MINUTE(Tabel1[[#This Row],[Total Hours]])/60+SECOND(Tabel1[[#This Row],[Total Hours]])/3600</f>
        <v>0</v>
      </c>
      <c r="Q226" s="6">
        <f>Tabel1[[#This Row],[End Time]]+(Tabel1[[#This Row],[End Time]]&lt;Tabel1[[#This Row],[Start time]])</f>
        <v>0</v>
      </c>
      <c r="R2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6" s="6"/>
      <c r="T226" s="7"/>
    </row>
    <row r="227" spans="1:20" x14ac:dyDescent="0.3">
      <c r="A227" s="4"/>
      <c r="B227" s="4">
        <f t="shared" si="3"/>
        <v>220</v>
      </c>
      <c r="C227" s="4" t="str">
        <f>IFERROR(VLOOKUP(Tabel1[[#This Row],[Model]],Tableau2[[Model]:[Parking Number]],2,FALSE)," ")</f>
        <v xml:space="preserve"> </v>
      </c>
      <c r="D227" s="23"/>
      <c r="E227" s="4" t="str">
        <f>IF(Tabel1[[#This Row],[Model]]="", "",INDEX(Tableau2[Equipment Type],MATCH(Tabel1[[#This Row],[Model]],Tableau2[Model],0)))</f>
        <v/>
      </c>
      <c r="G227" s="4" t="str">
        <f>IF(Tabel1[[#This Row],[Model]]="", "",INDEX(Tableau2[Equipment],MATCH(Tabel1[[#This Row],[Model]],Tableau2[Model],0)))</f>
        <v/>
      </c>
      <c r="I227" s="10"/>
      <c r="J227" s="35"/>
      <c r="L227" s="9"/>
      <c r="M227" s="9"/>
      <c r="N227" s="9"/>
      <c r="O2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7" s="21">
        <f>HOUR(Tabel1[[#This Row],[Total Hours]])+MINUTE(Tabel1[[#This Row],[Total Hours]])/60+SECOND(Tabel1[[#This Row],[Total Hours]])/3600</f>
        <v>0</v>
      </c>
      <c r="Q227" s="6">
        <f>Tabel1[[#This Row],[End Time]]+(Tabel1[[#This Row],[End Time]]&lt;Tabel1[[#This Row],[Start time]])</f>
        <v>0</v>
      </c>
      <c r="R2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7" s="6"/>
      <c r="T227" s="7"/>
    </row>
    <row r="228" spans="1:20" x14ac:dyDescent="0.3">
      <c r="A228" s="4"/>
      <c r="B228" s="4">
        <f t="shared" si="3"/>
        <v>221</v>
      </c>
      <c r="C228" s="4" t="str">
        <f>IFERROR(VLOOKUP(Tabel1[[#This Row],[Model]],Tableau2[[Model]:[Parking Number]],2,FALSE)," ")</f>
        <v xml:space="preserve"> </v>
      </c>
      <c r="D228" s="23"/>
      <c r="E228" s="4" t="str">
        <f>IF(Tabel1[[#This Row],[Model]]="", "",INDEX(Tableau2[Equipment Type],MATCH(Tabel1[[#This Row],[Model]],Tableau2[Model],0)))</f>
        <v/>
      </c>
      <c r="G228" s="4" t="str">
        <f>IF(Tabel1[[#This Row],[Model]]="", "",INDEX(Tableau2[Equipment],MATCH(Tabel1[[#This Row],[Model]],Tableau2[Model],0)))</f>
        <v/>
      </c>
      <c r="I228" s="10"/>
      <c r="J228" s="35"/>
      <c r="L228" s="9"/>
      <c r="M228" s="9"/>
      <c r="N228" s="9"/>
      <c r="O2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8" s="21">
        <f>HOUR(Tabel1[[#This Row],[Total Hours]])+MINUTE(Tabel1[[#This Row],[Total Hours]])/60+SECOND(Tabel1[[#This Row],[Total Hours]])/3600</f>
        <v>0</v>
      </c>
      <c r="Q228" s="6">
        <f>Tabel1[[#This Row],[End Time]]+(Tabel1[[#This Row],[End Time]]&lt;Tabel1[[#This Row],[Start time]])</f>
        <v>0</v>
      </c>
      <c r="R2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8" s="6"/>
      <c r="T228" s="7"/>
    </row>
    <row r="229" spans="1:20" x14ac:dyDescent="0.3">
      <c r="A229" s="4"/>
      <c r="B229" s="4">
        <f t="shared" si="3"/>
        <v>222</v>
      </c>
      <c r="C229" s="4" t="str">
        <f>IFERROR(VLOOKUP(Tabel1[[#This Row],[Model]],Tableau2[[Model]:[Parking Number]],2,FALSE)," ")</f>
        <v xml:space="preserve"> </v>
      </c>
      <c r="D229" s="23"/>
      <c r="E229" s="4" t="str">
        <f>IF(Tabel1[[#This Row],[Model]]="", "",INDEX(Tableau2[Equipment Type],MATCH(Tabel1[[#This Row],[Model]],Tableau2[Model],0)))</f>
        <v/>
      </c>
      <c r="G229" s="4" t="str">
        <f>IF(Tabel1[[#This Row],[Model]]="", "",INDEX(Tableau2[Equipment],MATCH(Tabel1[[#This Row],[Model]],Tableau2[Model],0)))</f>
        <v/>
      </c>
      <c r="I229" s="10"/>
      <c r="J229" s="35"/>
      <c r="L229" s="9"/>
      <c r="M229" s="9"/>
      <c r="N229" s="9"/>
      <c r="O2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9" s="21">
        <f>HOUR(Tabel1[[#This Row],[Total Hours]])+MINUTE(Tabel1[[#This Row],[Total Hours]])/60+SECOND(Tabel1[[#This Row],[Total Hours]])/3600</f>
        <v>0</v>
      </c>
      <c r="Q229" s="6">
        <f>Tabel1[[#This Row],[End Time]]+(Tabel1[[#This Row],[End Time]]&lt;Tabel1[[#This Row],[Start time]])</f>
        <v>0</v>
      </c>
      <c r="R2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9" s="6"/>
      <c r="T229" s="7"/>
    </row>
    <row r="230" spans="1:20" x14ac:dyDescent="0.3">
      <c r="A230" s="4"/>
      <c r="B230" s="4">
        <f t="shared" si="3"/>
        <v>223</v>
      </c>
      <c r="C230" s="4" t="str">
        <f>IFERROR(VLOOKUP(Tabel1[[#This Row],[Model]],Tableau2[[Model]:[Parking Number]],2,FALSE)," ")</f>
        <v xml:space="preserve"> </v>
      </c>
      <c r="D230" s="23"/>
      <c r="E230" s="4" t="str">
        <f>IF(Tabel1[[#This Row],[Model]]="", "",INDEX(Tableau2[Equipment Type],MATCH(Tabel1[[#This Row],[Model]],Tableau2[Model],0)))</f>
        <v/>
      </c>
      <c r="G230" s="4" t="str">
        <f>IF(Tabel1[[#This Row],[Model]]="", "",INDEX(Tableau2[Equipment],MATCH(Tabel1[[#This Row],[Model]],Tableau2[Model],0)))</f>
        <v/>
      </c>
      <c r="I230" s="10"/>
      <c r="J230" s="35"/>
      <c r="L230" s="9"/>
      <c r="M230" s="9"/>
      <c r="N230" s="9"/>
      <c r="O2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0" s="21">
        <f>HOUR(Tabel1[[#This Row],[Total Hours]])+MINUTE(Tabel1[[#This Row],[Total Hours]])/60+SECOND(Tabel1[[#This Row],[Total Hours]])/3600</f>
        <v>0</v>
      </c>
      <c r="Q230" s="6">
        <f>Tabel1[[#This Row],[End Time]]+(Tabel1[[#This Row],[End Time]]&lt;Tabel1[[#This Row],[Start time]])</f>
        <v>0</v>
      </c>
      <c r="R2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0" s="6"/>
      <c r="T230" s="7"/>
    </row>
    <row r="231" spans="1:20" x14ac:dyDescent="0.3">
      <c r="A231" s="4"/>
      <c r="B231" s="4">
        <f t="shared" si="3"/>
        <v>224</v>
      </c>
      <c r="C231" s="4" t="str">
        <f>IFERROR(VLOOKUP(Tabel1[[#This Row],[Model]],Tableau2[[Model]:[Parking Number]],2,FALSE)," ")</f>
        <v xml:space="preserve"> </v>
      </c>
      <c r="D231" s="23"/>
      <c r="E231" s="4" t="str">
        <f>IF(Tabel1[[#This Row],[Model]]="", "",INDEX(Tableau2[Equipment Type],MATCH(Tabel1[[#This Row],[Model]],Tableau2[Model],0)))</f>
        <v/>
      </c>
      <c r="G231" s="4" t="str">
        <f>IF(Tabel1[[#This Row],[Model]]="", "",INDEX(Tableau2[Equipment],MATCH(Tabel1[[#This Row],[Model]],Tableau2[Model],0)))</f>
        <v/>
      </c>
      <c r="I231" s="10"/>
      <c r="J231" s="35"/>
      <c r="L231" s="9"/>
      <c r="M231" s="9"/>
      <c r="N231" s="9"/>
      <c r="O2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1" s="21">
        <f>HOUR(Tabel1[[#This Row],[Total Hours]])+MINUTE(Tabel1[[#This Row],[Total Hours]])/60+SECOND(Tabel1[[#This Row],[Total Hours]])/3600</f>
        <v>0</v>
      </c>
      <c r="Q231" s="6">
        <f>Tabel1[[#This Row],[End Time]]+(Tabel1[[#This Row],[End Time]]&lt;Tabel1[[#This Row],[Start time]])</f>
        <v>0</v>
      </c>
      <c r="R2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1" s="6"/>
      <c r="T231" s="7"/>
    </row>
    <row r="232" spans="1:20" x14ac:dyDescent="0.3">
      <c r="A232" s="4"/>
      <c r="B232" s="4">
        <f t="shared" si="3"/>
        <v>225</v>
      </c>
      <c r="C232" s="4" t="str">
        <f>IFERROR(VLOOKUP(Tabel1[[#This Row],[Model]],Tableau2[[Model]:[Parking Number]],2,FALSE)," ")</f>
        <v xml:space="preserve"> </v>
      </c>
      <c r="D232" s="23"/>
      <c r="E232" s="4" t="str">
        <f>IF(Tabel1[[#This Row],[Model]]="", "",INDEX(Tableau2[Equipment Type],MATCH(Tabel1[[#This Row],[Model]],Tableau2[Model],0)))</f>
        <v/>
      </c>
      <c r="G232" s="4" t="str">
        <f>IF(Tabel1[[#This Row],[Model]]="", "",INDEX(Tableau2[Equipment],MATCH(Tabel1[[#This Row],[Model]],Tableau2[Model],0)))</f>
        <v/>
      </c>
      <c r="I232" s="10"/>
      <c r="J232" s="35"/>
      <c r="L232" s="9"/>
      <c r="M232" s="9"/>
      <c r="N232" s="9"/>
      <c r="O2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2" s="21">
        <f>HOUR(Tabel1[[#This Row],[Total Hours]])+MINUTE(Tabel1[[#This Row],[Total Hours]])/60+SECOND(Tabel1[[#This Row],[Total Hours]])/3600</f>
        <v>0</v>
      </c>
      <c r="Q232" s="6">
        <f>Tabel1[[#This Row],[End Time]]+(Tabel1[[#This Row],[End Time]]&lt;Tabel1[[#This Row],[Start time]])</f>
        <v>0</v>
      </c>
      <c r="R2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2" s="6"/>
      <c r="T232" s="7"/>
    </row>
    <row r="233" spans="1:20" x14ac:dyDescent="0.3">
      <c r="A233" s="4"/>
      <c r="B233" s="4">
        <f t="shared" si="3"/>
        <v>226</v>
      </c>
      <c r="C233" s="4" t="str">
        <f>IFERROR(VLOOKUP(Tabel1[[#This Row],[Model]],Tableau2[[Model]:[Parking Number]],2,FALSE)," ")</f>
        <v xml:space="preserve"> </v>
      </c>
      <c r="D233" s="23"/>
      <c r="E233" s="4" t="str">
        <f>IF(Tabel1[[#This Row],[Model]]="", "",INDEX(Tableau2[Equipment Type],MATCH(Tabel1[[#This Row],[Model]],Tableau2[Model],0)))</f>
        <v/>
      </c>
      <c r="G233" s="4" t="str">
        <f>IF(Tabel1[[#This Row],[Model]]="", "",INDEX(Tableau2[Equipment],MATCH(Tabel1[[#This Row],[Model]],Tableau2[Model],0)))</f>
        <v/>
      </c>
      <c r="I233" s="10"/>
      <c r="J233" s="35"/>
      <c r="L233" s="9"/>
      <c r="M233" s="9"/>
      <c r="N233" s="9"/>
      <c r="O2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3" s="21">
        <f>HOUR(Tabel1[[#This Row],[Total Hours]])+MINUTE(Tabel1[[#This Row],[Total Hours]])/60+SECOND(Tabel1[[#This Row],[Total Hours]])/3600</f>
        <v>0</v>
      </c>
      <c r="Q233" s="6">
        <f>Tabel1[[#This Row],[End Time]]+(Tabel1[[#This Row],[End Time]]&lt;Tabel1[[#This Row],[Start time]])</f>
        <v>0</v>
      </c>
      <c r="R2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3" s="6"/>
      <c r="T233" s="7"/>
    </row>
    <row r="234" spans="1:20" x14ac:dyDescent="0.3">
      <c r="A234" s="4"/>
      <c r="B234" s="4">
        <f t="shared" si="3"/>
        <v>227</v>
      </c>
      <c r="C234" s="4" t="str">
        <f>IFERROR(VLOOKUP(Tabel1[[#This Row],[Model]],Tableau2[[Model]:[Parking Number]],2,FALSE)," ")</f>
        <v xml:space="preserve"> </v>
      </c>
      <c r="D234" s="23"/>
      <c r="E234" s="4" t="str">
        <f>IF(Tabel1[[#This Row],[Model]]="", "",INDEX(Tableau2[Equipment Type],MATCH(Tabel1[[#This Row],[Model]],Tableau2[Model],0)))</f>
        <v/>
      </c>
      <c r="G234" s="4" t="str">
        <f>IF(Tabel1[[#This Row],[Model]]="", "",INDEX(Tableau2[Equipment],MATCH(Tabel1[[#This Row],[Model]],Tableau2[Model],0)))</f>
        <v/>
      </c>
      <c r="I234" s="10"/>
      <c r="J234" s="35"/>
      <c r="L234" s="9"/>
      <c r="M234" s="9"/>
      <c r="N234" s="9"/>
      <c r="O2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4" s="21">
        <f>HOUR(Tabel1[[#This Row],[Total Hours]])+MINUTE(Tabel1[[#This Row],[Total Hours]])/60+SECOND(Tabel1[[#This Row],[Total Hours]])/3600</f>
        <v>0</v>
      </c>
      <c r="Q234" s="6">
        <f>Tabel1[[#This Row],[End Time]]+(Tabel1[[#This Row],[End Time]]&lt;Tabel1[[#This Row],[Start time]])</f>
        <v>0</v>
      </c>
      <c r="R2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4" s="6"/>
      <c r="T234" s="7"/>
    </row>
    <row r="235" spans="1:20" x14ac:dyDescent="0.3">
      <c r="A235" s="4"/>
      <c r="B235" s="4">
        <f t="shared" si="3"/>
        <v>228</v>
      </c>
      <c r="C235" s="4" t="str">
        <f>IFERROR(VLOOKUP(Tabel1[[#This Row],[Model]],Tableau2[[Model]:[Parking Number]],2,FALSE)," ")</f>
        <v xml:space="preserve"> </v>
      </c>
      <c r="D235" s="23"/>
      <c r="E235" s="4" t="str">
        <f>IF(Tabel1[[#This Row],[Model]]="", "",INDEX(Tableau2[Equipment Type],MATCH(Tabel1[[#This Row],[Model]],Tableau2[Model],0)))</f>
        <v/>
      </c>
      <c r="G235" s="4" t="str">
        <f>IF(Tabel1[[#This Row],[Model]]="", "",INDEX(Tableau2[Equipment],MATCH(Tabel1[[#This Row],[Model]],Tableau2[Model],0)))</f>
        <v/>
      </c>
      <c r="I235" s="10"/>
      <c r="J235" s="35"/>
      <c r="L235" s="9"/>
      <c r="M235" s="9"/>
      <c r="N235" s="9"/>
      <c r="O2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5" s="21">
        <f>HOUR(Tabel1[[#This Row],[Total Hours]])+MINUTE(Tabel1[[#This Row],[Total Hours]])/60+SECOND(Tabel1[[#This Row],[Total Hours]])/3600</f>
        <v>0</v>
      </c>
      <c r="Q235" s="6">
        <f>Tabel1[[#This Row],[End Time]]+(Tabel1[[#This Row],[End Time]]&lt;Tabel1[[#This Row],[Start time]])</f>
        <v>0</v>
      </c>
      <c r="R2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5" s="6"/>
      <c r="T235" s="7"/>
    </row>
    <row r="236" spans="1:20" x14ac:dyDescent="0.3">
      <c r="A236" s="4"/>
      <c r="B236" s="4">
        <f t="shared" si="3"/>
        <v>229</v>
      </c>
      <c r="C236" s="4" t="str">
        <f>IFERROR(VLOOKUP(Tabel1[[#This Row],[Model]],Tableau2[[Model]:[Parking Number]],2,FALSE)," ")</f>
        <v xml:space="preserve"> </v>
      </c>
      <c r="D236" s="23"/>
      <c r="E236" s="4" t="str">
        <f>IF(Tabel1[[#This Row],[Model]]="", "",INDEX(Tableau2[Equipment Type],MATCH(Tabel1[[#This Row],[Model]],Tableau2[Model],0)))</f>
        <v/>
      </c>
      <c r="G236" s="4" t="str">
        <f>IF(Tabel1[[#This Row],[Model]]="", "",INDEX(Tableau2[Equipment],MATCH(Tabel1[[#This Row],[Model]],Tableau2[Model],0)))</f>
        <v/>
      </c>
      <c r="I236" s="10"/>
      <c r="J236" s="35"/>
      <c r="L236" s="9"/>
      <c r="M236" s="9"/>
      <c r="N236" s="9"/>
      <c r="O2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6" s="21">
        <f>HOUR(Tabel1[[#This Row],[Total Hours]])+MINUTE(Tabel1[[#This Row],[Total Hours]])/60+SECOND(Tabel1[[#This Row],[Total Hours]])/3600</f>
        <v>0</v>
      </c>
      <c r="Q236" s="6">
        <f>Tabel1[[#This Row],[End Time]]+(Tabel1[[#This Row],[End Time]]&lt;Tabel1[[#This Row],[Start time]])</f>
        <v>0</v>
      </c>
      <c r="R2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6" s="6"/>
      <c r="T236" s="7"/>
    </row>
    <row r="237" spans="1:20" x14ac:dyDescent="0.3">
      <c r="A237" s="4"/>
      <c r="B237" s="4">
        <f t="shared" si="3"/>
        <v>230</v>
      </c>
      <c r="C237" s="4" t="str">
        <f>IFERROR(VLOOKUP(Tabel1[[#This Row],[Model]],Tableau2[[Model]:[Parking Number]],2,FALSE)," ")</f>
        <v xml:space="preserve"> </v>
      </c>
      <c r="D237" s="23"/>
      <c r="E237" s="4" t="str">
        <f>IF(Tabel1[[#This Row],[Model]]="", "",INDEX(Tableau2[Equipment Type],MATCH(Tabel1[[#This Row],[Model]],Tableau2[Model],0)))</f>
        <v/>
      </c>
      <c r="G237" s="4" t="str">
        <f>IF(Tabel1[[#This Row],[Model]]="", "",INDEX(Tableau2[Equipment],MATCH(Tabel1[[#This Row],[Model]],Tableau2[Model],0)))</f>
        <v/>
      </c>
      <c r="I237" s="10"/>
      <c r="J237" s="35"/>
      <c r="L237" s="9"/>
      <c r="M237" s="9"/>
      <c r="N237" s="9"/>
      <c r="O2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7" s="21">
        <f>HOUR(Tabel1[[#This Row],[Total Hours]])+MINUTE(Tabel1[[#This Row],[Total Hours]])/60+SECOND(Tabel1[[#This Row],[Total Hours]])/3600</f>
        <v>0</v>
      </c>
      <c r="Q237" s="6">
        <f>Tabel1[[#This Row],[End Time]]+(Tabel1[[#This Row],[End Time]]&lt;Tabel1[[#This Row],[Start time]])</f>
        <v>0</v>
      </c>
      <c r="R2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7" s="6"/>
      <c r="T237" s="7"/>
    </row>
    <row r="238" spans="1:20" x14ac:dyDescent="0.3">
      <c r="A238" s="4"/>
      <c r="B238" s="4">
        <f t="shared" si="3"/>
        <v>231</v>
      </c>
      <c r="C238" s="4" t="str">
        <f>IFERROR(VLOOKUP(Tabel1[[#This Row],[Model]],Tableau2[[Model]:[Parking Number]],2,FALSE)," ")</f>
        <v xml:space="preserve"> </v>
      </c>
      <c r="D238" s="23"/>
      <c r="E238" s="4" t="str">
        <f>IF(Tabel1[[#This Row],[Model]]="", "",INDEX(Tableau2[Equipment Type],MATCH(Tabel1[[#This Row],[Model]],Tableau2[Model],0)))</f>
        <v/>
      </c>
      <c r="G238" s="4" t="str">
        <f>IF(Tabel1[[#This Row],[Model]]="", "",INDEX(Tableau2[Equipment],MATCH(Tabel1[[#This Row],[Model]],Tableau2[Model],0)))</f>
        <v/>
      </c>
      <c r="I238" s="10"/>
      <c r="J238" s="35"/>
      <c r="L238" s="9"/>
      <c r="M238" s="9"/>
      <c r="N238" s="9"/>
      <c r="O2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8" s="21">
        <f>HOUR(Tabel1[[#This Row],[Total Hours]])+MINUTE(Tabel1[[#This Row],[Total Hours]])/60+SECOND(Tabel1[[#This Row],[Total Hours]])/3600</f>
        <v>0</v>
      </c>
      <c r="Q238" s="6">
        <f>Tabel1[[#This Row],[End Time]]+(Tabel1[[#This Row],[End Time]]&lt;Tabel1[[#This Row],[Start time]])</f>
        <v>0</v>
      </c>
      <c r="R2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8" s="6"/>
      <c r="T238" s="7"/>
    </row>
    <row r="239" spans="1:20" x14ac:dyDescent="0.3">
      <c r="A239" s="4"/>
      <c r="B239" s="4">
        <f t="shared" si="3"/>
        <v>232</v>
      </c>
      <c r="C239" s="4" t="str">
        <f>IFERROR(VLOOKUP(Tabel1[[#This Row],[Model]],Tableau2[[Model]:[Parking Number]],2,FALSE)," ")</f>
        <v xml:space="preserve"> </v>
      </c>
      <c r="D239" s="23"/>
      <c r="E239" s="4" t="str">
        <f>IF(Tabel1[[#This Row],[Model]]="", "",INDEX(Tableau2[Equipment Type],MATCH(Tabel1[[#This Row],[Model]],Tableau2[Model],0)))</f>
        <v/>
      </c>
      <c r="G239" s="4" t="str">
        <f>IF(Tabel1[[#This Row],[Model]]="", "",INDEX(Tableau2[Equipment],MATCH(Tabel1[[#This Row],[Model]],Tableau2[Model],0)))</f>
        <v/>
      </c>
      <c r="I239" s="10"/>
      <c r="J239" s="35"/>
      <c r="L239" s="9"/>
      <c r="M239" s="9"/>
      <c r="N239" s="9"/>
      <c r="O2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9" s="21">
        <f>HOUR(Tabel1[[#This Row],[Total Hours]])+MINUTE(Tabel1[[#This Row],[Total Hours]])/60+SECOND(Tabel1[[#This Row],[Total Hours]])/3600</f>
        <v>0</v>
      </c>
      <c r="Q239" s="6">
        <f>Tabel1[[#This Row],[End Time]]+(Tabel1[[#This Row],[End Time]]&lt;Tabel1[[#This Row],[Start time]])</f>
        <v>0</v>
      </c>
      <c r="R2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9" s="6"/>
      <c r="T239" s="7"/>
    </row>
    <row r="240" spans="1:20" x14ac:dyDescent="0.3">
      <c r="A240" s="4"/>
      <c r="B240" s="4">
        <f t="shared" si="3"/>
        <v>233</v>
      </c>
      <c r="C240" s="4" t="str">
        <f>IFERROR(VLOOKUP(Tabel1[[#This Row],[Model]],Tableau2[[Model]:[Parking Number]],2,FALSE)," ")</f>
        <v xml:space="preserve"> </v>
      </c>
      <c r="D240" s="23"/>
      <c r="E240" s="4" t="str">
        <f>IF(Tabel1[[#This Row],[Model]]="", "",INDEX(Tableau2[Equipment Type],MATCH(Tabel1[[#This Row],[Model]],Tableau2[Model],0)))</f>
        <v/>
      </c>
      <c r="G240" s="4" t="str">
        <f>IF(Tabel1[[#This Row],[Model]]="", "",INDEX(Tableau2[Equipment],MATCH(Tabel1[[#This Row],[Model]],Tableau2[Model],0)))</f>
        <v/>
      </c>
      <c r="I240" s="10"/>
      <c r="J240" s="35"/>
      <c r="L240" s="9"/>
      <c r="M240" s="9"/>
      <c r="N240" s="9"/>
      <c r="O2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0" s="21">
        <f>HOUR(Tabel1[[#This Row],[Total Hours]])+MINUTE(Tabel1[[#This Row],[Total Hours]])/60+SECOND(Tabel1[[#This Row],[Total Hours]])/3600</f>
        <v>0</v>
      </c>
      <c r="Q240" s="6">
        <f>Tabel1[[#This Row],[End Time]]+(Tabel1[[#This Row],[End Time]]&lt;Tabel1[[#This Row],[Start time]])</f>
        <v>0</v>
      </c>
      <c r="R2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0" s="6"/>
      <c r="T240" s="7"/>
    </row>
    <row r="241" spans="1:20" x14ac:dyDescent="0.3">
      <c r="A241" s="4"/>
      <c r="B241" s="4">
        <f t="shared" si="3"/>
        <v>234</v>
      </c>
      <c r="C241" s="4" t="str">
        <f>IFERROR(VLOOKUP(Tabel1[[#This Row],[Model]],Tableau2[[Model]:[Parking Number]],2,FALSE)," ")</f>
        <v xml:space="preserve"> </v>
      </c>
      <c r="D241" s="23"/>
      <c r="E241" s="4" t="str">
        <f>IF(Tabel1[[#This Row],[Model]]="", "",INDEX(Tableau2[Equipment Type],MATCH(Tabel1[[#This Row],[Model]],Tableau2[Model],0)))</f>
        <v/>
      </c>
      <c r="G241" s="4" t="str">
        <f>IF(Tabel1[[#This Row],[Model]]="", "",INDEX(Tableau2[Equipment],MATCH(Tabel1[[#This Row],[Model]],Tableau2[Model],0)))</f>
        <v/>
      </c>
      <c r="I241" s="10"/>
      <c r="J241" s="35"/>
      <c r="L241" s="9"/>
      <c r="M241" s="9"/>
      <c r="N241" s="9"/>
      <c r="O2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1" s="21">
        <f>HOUR(Tabel1[[#This Row],[Total Hours]])+MINUTE(Tabel1[[#This Row],[Total Hours]])/60+SECOND(Tabel1[[#This Row],[Total Hours]])/3600</f>
        <v>0</v>
      </c>
      <c r="Q241" s="6">
        <f>Tabel1[[#This Row],[End Time]]+(Tabel1[[#This Row],[End Time]]&lt;Tabel1[[#This Row],[Start time]])</f>
        <v>0</v>
      </c>
      <c r="R2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1" s="6"/>
      <c r="T241" s="7"/>
    </row>
    <row r="242" spans="1:20" x14ac:dyDescent="0.3">
      <c r="A242" s="4"/>
      <c r="B242" s="4">
        <f t="shared" si="3"/>
        <v>235</v>
      </c>
      <c r="C242" s="4" t="str">
        <f>IFERROR(VLOOKUP(Tabel1[[#This Row],[Model]],Tableau2[[Model]:[Parking Number]],2,FALSE)," ")</f>
        <v xml:space="preserve"> </v>
      </c>
      <c r="D242" s="23"/>
      <c r="E242" s="4" t="str">
        <f>IF(Tabel1[[#This Row],[Model]]="", "",INDEX(Tableau2[Equipment Type],MATCH(Tabel1[[#This Row],[Model]],Tableau2[Model],0)))</f>
        <v/>
      </c>
      <c r="G242" s="4" t="str">
        <f>IF(Tabel1[[#This Row],[Model]]="", "",INDEX(Tableau2[Equipment],MATCH(Tabel1[[#This Row],[Model]],Tableau2[Model],0)))</f>
        <v/>
      </c>
      <c r="I242" s="10"/>
      <c r="J242" s="35"/>
      <c r="L242" s="9"/>
      <c r="M242" s="9"/>
      <c r="N242" s="9"/>
      <c r="O2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2" s="21">
        <f>HOUR(Tabel1[[#This Row],[Total Hours]])+MINUTE(Tabel1[[#This Row],[Total Hours]])/60+SECOND(Tabel1[[#This Row],[Total Hours]])/3600</f>
        <v>0</v>
      </c>
      <c r="Q242" s="6">
        <f>Tabel1[[#This Row],[End Time]]+(Tabel1[[#This Row],[End Time]]&lt;Tabel1[[#This Row],[Start time]])</f>
        <v>0</v>
      </c>
      <c r="R2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2" s="6"/>
      <c r="T242" s="7"/>
    </row>
    <row r="243" spans="1:20" x14ac:dyDescent="0.3">
      <c r="A243" s="4"/>
      <c r="B243" s="4">
        <f t="shared" si="3"/>
        <v>236</v>
      </c>
      <c r="C243" s="4" t="str">
        <f>IFERROR(VLOOKUP(Tabel1[[#This Row],[Model]],Tableau2[[Model]:[Parking Number]],2,FALSE)," ")</f>
        <v xml:space="preserve"> </v>
      </c>
      <c r="D243" s="23"/>
      <c r="E243" s="4" t="str">
        <f>IF(Tabel1[[#This Row],[Model]]="", "",INDEX(Tableau2[Equipment Type],MATCH(Tabel1[[#This Row],[Model]],Tableau2[Model],0)))</f>
        <v/>
      </c>
      <c r="G243" s="4" t="str">
        <f>IF(Tabel1[[#This Row],[Model]]="", "",INDEX(Tableau2[Equipment],MATCH(Tabel1[[#This Row],[Model]],Tableau2[Model],0)))</f>
        <v/>
      </c>
      <c r="I243" s="10"/>
      <c r="J243" s="35"/>
      <c r="L243" s="9"/>
      <c r="M243" s="9"/>
      <c r="N243" s="9"/>
      <c r="O2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3" s="21">
        <f>HOUR(Tabel1[[#This Row],[Total Hours]])+MINUTE(Tabel1[[#This Row],[Total Hours]])/60+SECOND(Tabel1[[#This Row],[Total Hours]])/3600</f>
        <v>0</v>
      </c>
      <c r="Q243" s="6">
        <f>Tabel1[[#This Row],[End Time]]+(Tabel1[[#This Row],[End Time]]&lt;Tabel1[[#This Row],[Start time]])</f>
        <v>0</v>
      </c>
      <c r="R2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3" s="6"/>
      <c r="T243" s="7"/>
    </row>
    <row r="244" spans="1:20" x14ac:dyDescent="0.3">
      <c r="A244" s="4"/>
      <c r="B244" s="4">
        <f t="shared" si="3"/>
        <v>237</v>
      </c>
      <c r="C244" s="4" t="str">
        <f>IFERROR(VLOOKUP(Tabel1[[#This Row],[Model]],Tableau2[[Model]:[Parking Number]],2,FALSE)," ")</f>
        <v xml:space="preserve"> </v>
      </c>
      <c r="D244" s="23"/>
      <c r="E244" s="4" t="str">
        <f>IF(Tabel1[[#This Row],[Model]]="", "",INDEX(Tableau2[Equipment Type],MATCH(Tabel1[[#This Row],[Model]],Tableau2[Model],0)))</f>
        <v/>
      </c>
      <c r="G244" s="4" t="str">
        <f>IF(Tabel1[[#This Row],[Model]]="", "",INDEX(Tableau2[Equipment],MATCH(Tabel1[[#This Row],[Model]],Tableau2[Model],0)))</f>
        <v/>
      </c>
      <c r="I244" s="10"/>
      <c r="J244" s="35"/>
      <c r="L244" s="9"/>
      <c r="M244" s="9"/>
      <c r="N244" s="9"/>
      <c r="O2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4" s="21">
        <f>HOUR(Tabel1[[#This Row],[Total Hours]])+MINUTE(Tabel1[[#This Row],[Total Hours]])/60+SECOND(Tabel1[[#This Row],[Total Hours]])/3600</f>
        <v>0</v>
      </c>
      <c r="Q244" s="6">
        <f>Tabel1[[#This Row],[End Time]]+(Tabel1[[#This Row],[End Time]]&lt;Tabel1[[#This Row],[Start time]])</f>
        <v>0</v>
      </c>
      <c r="R2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4" s="6"/>
      <c r="T244" s="7"/>
    </row>
    <row r="245" spans="1:20" x14ac:dyDescent="0.3">
      <c r="A245" s="4"/>
      <c r="B245" s="4">
        <f t="shared" si="3"/>
        <v>238</v>
      </c>
      <c r="C245" s="4" t="str">
        <f>IFERROR(VLOOKUP(Tabel1[[#This Row],[Model]],Tableau2[[Model]:[Parking Number]],2,FALSE)," ")</f>
        <v xml:space="preserve"> </v>
      </c>
      <c r="D245" s="23"/>
      <c r="E245" s="4" t="str">
        <f>IF(Tabel1[[#This Row],[Model]]="", "",INDEX(Tableau2[Equipment Type],MATCH(Tabel1[[#This Row],[Model]],Tableau2[Model],0)))</f>
        <v/>
      </c>
      <c r="G245" s="4" t="str">
        <f>IF(Tabel1[[#This Row],[Model]]="", "",INDEX(Tableau2[Equipment],MATCH(Tabel1[[#This Row],[Model]],Tableau2[Model],0)))</f>
        <v/>
      </c>
      <c r="I245" s="10"/>
      <c r="J245" s="35"/>
      <c r="L245" s="9"/>
      <c r="M245" s="9"/>
      <c r="N245" s="9"/>
      <c r="O2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5" s="21">
        <f>HOUR(Tabel1[[#This Row],[Total Hours]])+MINUTE(Tabel1[[#This Row],[Total Hours]])/60+SECOND(Tabel1[[#This Row],[Total Hours]])/3600</f>
        <v>0</v>
      </c>
      <c r="Q245" s="6">
        <f>Tabel1[[#This Row],[End Time]]+(Tabel1[[#This Row],[End Time]]&lt;Tabel1[[#This Row],[Start time]])</f>
        <v>0</v>
      </c>
      <c r="R2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5" s="6"/>
      <c r="T245" s="7"/>
    </row>
    <row r="246" spans="1:20" x14ac:dyDescent="0.3">
      <c r="A246" s="4"/>
      <c r="B246" s="4">
        <f t="shared" si="3"/>
        <v>239</v>
      </c>
      <c r="C246" s="4" t="str">
        <f>IFERROR(VLOOKUP(Tabel1[[#This Row],[Model]],Tableau2[[Model]:[Parking Number]],2,FALSE)," ")</f>
        <v xml:space="preserve"> </v>
      </c>
      <c r="D246" s="23"/>
      <c r="E246" s="4" t="str">
        <f>IF(Tabel1[[#This Row],[Model]]="", "",INDEX(Tableau2[Equipment Type],MATCH(Tabel1[[#This Row],[Model]],Tableau2[Model],0)))</f>
        <v/>
      </c>
      <c r="G246" s="4" t="str">
        <f>IF(Tabel1[[#This Row],[Model]]="", "",INDEX(Tableau2[Equipment],MATCH(Tabel1[[#This Row],[Model]],Tableau2[Model],0)))</f>
        <v/>
      </c>
      <c r="I246" s="10"/>
      <c r="J246" s="35"/>
      <c r="L246" s="9"/>
      <c r="M246" s="9"/>
      <c r="N246" s="9"/>
      <c r="O2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6" s="21">
        <f>HOUR(Tabel1[[#This Row],[Total Hours]])+MINUTE(Tabel1[[#This Row],[Total Hours]])/60+SECOND(Tabel1[[#This Row],[Total Hours]])/3600</f>
        <v>0</v>
      </c>
      <c r="Q246" s="6">
        <f>Tabel1[[#This Row],[End Time]]+(Tabel1[[#This Row],[End Time]]&lt;Tabel1[[#This Row],[Start time]])</f>
        <v>0</v>
      </c>
      <c r="R2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6" s="6"/>
      <c r="T246" s="7"/>
    </row>
    <row r="247" spans="1:20" x14ac:dyDescent="0.3">
      <c r="A247" s="4"/>
      <c r="B247" s="4">
        <f t="shared" si="3"/>
        <v>240</v>
      </c>
      <c r="C247" s="4" t="str">
        <f>IFERROR(VLOOKUP(Tabel1[[#This Row],[Model]],Tableau2[[Model]:[Parking Number]],2,FALSE)," ")</f>
        <v xml:space="preserve"> </v>
      </c>
      <c r="D247" s="23"/>
      <c r="E247" s="4" t="str">
        <f>IF(Tabel1[[#This Row],[Model]]="", "",INDEX(Tableau2[Equipment Type],MATCH(Tabel1[[#This Row],[Model]],Tableau2[Model],0)))</f>
        <v/>
      </c>
      <c r="G247" s="4" t="str">
        <f>IF(Tabel1[[#This Row],[Model]]="", "",INDEX(Tableau2[Equipment],MATCH(Tabel1[[#This Row],[Model]],Tableau2[Model],0)))</f>
        <v/>
      </c>
      <c r="I247" s="10"/>
      <c r="J247" s="35"/>
      <c r="L247" s="9"/>
      <c r="M247" s="9"/>
      <c r="N247" s="9"/>
      <c r="O2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7" s="21">
        <f>HOUR(Tabel1[[#This Row],[Total Hours]])+MINUTE(Tabel1[[#This Row],[Total Hours]])/60+SECOND(Tabel1[[#This Row],[Total Hours]])/3600</f>
        <v>0</v>
      </c>
      <c r="Q247" s="6">
        <f>Tabel1[[#This Row],[End Time]]+(Tabel1[[#This Row],[End Time]]&lt;Tabel1[[#This Row],[Start time]])</f>
        <v>0</v>
      </c>
      <c r="R2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7" s="6"/>
      <c r="T247" s="7"/>
    </row>
    <row r="248" spans="1:20" x14ac:dyDescent="0.3">
      <c r="A248" s="4"/>
      <c r="B248" s="4">
        <f t="shared" si="3"/>
        <v>241</v>
      </c>
      <c r="C248" s="4" t="str">
        <f>IFERROR(VLOOKUP(Tabel1[[#This Row],[Model]],Tableau2[[Model]:[Parking Number]],2,FALSE)," ")</f>
        <v xml:space="preserve"> </v>
      </c>
      <c r="D248" s="23"/>
      <c r="E248" s="4" t="str">
        <f>IF(Tabel1[[#This Row],[Model]]="", "",INDEX(Tableau2[Equipment Type],MATCH(Tabel1[[#This Row],[Model]],Tableau2[Model],0)))</f>
        <v/>
      </c>
      <c r="G248" s="4" t="str">
        <f>IF(Tabel1[[#This Row],[Model]]="", "",INDEX(Tableau2[Equipment],MATCH(Tabel1[[#This Row],[Model]],Tableau2[Model],0)))</f>
        <v/>
      </c>
      <c r="I248" s="10"/>
      <c r="J248" s="35"/>
      <c r="L248" s="9"/>
      <c r="M248" s="9"/>
      <c r="N248" s="9"/>
      <c r="O2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8" s="21">
        <f>HOUR(Tabel1[[#This Row],[Total Hours]])+MINUTE(Tabel1[[#This Row],[Total Hours]])/60+SECOND(Tabel1[[#This Row],[Total Hours]])/3600</f>
        <v>0</v>
      </c>
      <c r="Q248" s="6">
        <f>Tabel1[[#This Row],[End Time]]+(Tabel1[[#This Row],[End Time]]&lt;Tabel1[[#This Row],[Start time]])</f>
        <v>0</v>
      </c>
      <c r="R2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8" s="6"/>
      <c r="T248" s="7"/>
    </row>
    <row r="249" spans="1:20" x14ac:dyDescent="0.3">
      <c r="A249" s="4"/>
      <c r="B249" s="4">
        <f t="shared" si="3"/>
        <v>242</v>
      </c>
      <c r="C249" s="4" t="str">
        <f>IFERROR(VLOOKUP(Tabel1[[#This Row],[Model]],Tableau2[[Model]:[Parking Number]],2,FALSE)," ")</f>
        <v xml:space="preserve"> </v>
      </c>
      <c r="D249" s="23"/>
      <c r="E249" s="4" t="str">
        <f>IF(Tabel1[[#This Row],[Model]]="", "",INDEX(Tableau2[Equipment Type],MATCH(Tabel1[[#This Row],[Model]],Tableau2[Model],0)))</f>
        <v/>
      </c>
      <c r="G249" s="4" t="str">
        <f>IF(Tabel1[[#This Row],[Model]]="", "",INDEX(Tableau2[Equipment],MATCH(Tabel1[[#This Row],[Model]],Tableau2[Model],0)))</f>
        <v/>
      </c>
      <c r="I249" s="10"/>
      <c r="J249" s="35"/>
      <c r="L249" s="9"/>
      <c r="M249" s="9"/>
      <c r="N249" s="9"/>
      <c r="O2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9" s="21">
        <f>HOUR(Tabel1[[#This Row],[Total Hours]])+MINUTE(Tabel1[[#This Row],[Total Hours]])/60+SECOND(Tabel1[[#This Row],[Total Hours]])/3600</f>
        <v>0</v>
      </c>
      <c r="Q249" s="6">
        <f>Tabel1[[#This Row],[End Time]]+(Tabel1[[#This Row],[End Time]]&lt;Tabel1[[#This Row],[Start time]])</f>
        <v>0</v>
      </c>
      <c r="R2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9" s="6"/>
      <c r="T249" s="7"/>
    </row>
    <row r="250" spans="1:20" x14ac:dyDescent="0.3">
      <c r="A250" s="4"/>
      <c r="B250" s="4">
        <f t="shared" si="3"/>
        <v>243</v>
      </c>
      <c r="C250" s="4" t="str">
        <f>IFERROR(VLOOKUP(Tabel1[[#This Row],[Model]],Tableau2[[Model]:[Parking Number]],2,FALSE)," ")</f>
        <v xml:space="preserve"> </v>
      </c>
      <c r="D250" s="23"/>
      <c r="E250" s="4" t="str">
        <f>IF(Tabel1[[#This Row],[Model]]="", "",INDEX(Tableau2[Equipment Type],MATCH(Tabel1[[#This Row],[Model]],Tableau2[Model],0)))</f>
        <v/>
      </c>
      <c r="G250" s="4" t="str">
        <f>IF(Tabel1[[#This Row],[Model]]="", "",INDEX(Tableau2[Equipment],MATCH(Tabel1[[#This Row],[Model]],Tableau2[Model],0)))</f>
        <v/>
      </c>
      <c r="I250" s="10"/>
      <c r="J250" s="35"/>
      <c r="L250" s="9"/>
      <c r="M250" s="9"/>
      <c r="N250" s="9"/>
      <c r="O2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0" s="21">
        <f>HOUR(Tabel1[[#This Row],[Total Hours]])+MINUTE(Tabel1[[#This Row],[Total Hours]])/60+SECOND(Tabel1[[#This Row],[Total Hours]])/3600</f>
        <v>0</v>
      </c>
      <c r="Q250" s="6">
        <f>Tabel1[[#This Row],[End Time]]+(Tabel1[[#This Row],[End Time]]&lt;Tabel1[[#This Row],[Start time]])</f>
        <v>0</v>
      </c>
      <c r="R2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0" s="6"/>
      <c r="T250" s="7"/>
    </row>
    <row r="251" spans="1:20" x14ac:dyDescent="0.3">
      <c r="A251" s="4"/>
      <c r="B251" s="4">
        <f t="shared" si="3"/>
        <v>244</v>
      </c>
      <c r="C251" s="4" t="str">
        <f>IFERROR(VLOOKUP(Tabel1[[#This Row],[Model]],Tableau2[[Model]:[Parking Number]],2,FALSE)," ")</f>
        <v xml:space="preserve"> </v>
      </c>
      <c r="D251" s="23"/>
      <c r="E251" s="4" t="str">
        <f>IF(Tabel1[[#This Row],[Model]]="", "",INDEX(Tableau2[Equipment Type],MATCH(Tabel1[[#This Row],[Model]],Tableau2[Model],0)))</f>
        <v/>
      </c>
      <c r="G251" s="4" t="str">
        <f>IF(Tabel1[[#This Row],[Model]]="", "",INDEX(Tableau2[Equipment],MATCH(Tabel1[[#This Row],[Model]],Tableau2[Model],0)))</f>
        <v/>
      </c>
      <c r="I251" s="10"/>
      <c r="J251" s="35"/>
      <c r="L251" s="9"/>
      <c r="M251" s="9"/>
      <c r="N251" s="9"/>
      <c r="O2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1" s="21">
        <f>HOUR(Tabel1[[#This Row],[Total Hours]])+MINUTE(Tabel1[[#This Row],[Total Hours]])/60+SECOND(Tabel1[[#This Row],[Total Hours]])/3600</f>
        <v>0</v>
      </c>
      <c r="Q251" s="6">
        <f>Tabel1[[#This Row],[End Time]]+(Tabel1[[#This Row],[End Time]]&lt;Tabel1[[#This Row],[Start time]])</f>
        <v>0</v>
      </c>
      <c r="R2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1" s="6"/>
      <c r="T251" s="7"/>
    </row>
    <row r="252" spans="1:20" x14ac:dyDescent="0.3">
      <c r="A252" s="4"/>
      <c r="B252" s="4">
        <f t="shared" si="3"/>
        <v>245</v>
      </c>
      <c r="C252" s="4" t="str">
        <f>IFERROR(VLOOKUP(Tabel1[[#This Row],[Model]],Tableau2[[Model]:[Parking Number]],2,FALSE)," ")</f>
        <v xml:space="preserve"> </v>
      </c>
      <c r="D252" s="23"/>
      <c r="E252" s="4" t="str">
        <f>IF(Tabel1[[#This Row],[Model]]="", "",INDEX(Tableau2[Equipment Type],MATCH(Tabel1[[#This Row],[Model]],Tableau2[Model],0)))</f>
        <v/>
      </c>
      <c r="G252" s="4" t="str">
        <f>IF(Tabel1[[#This Row],[Model]]="", "",INDEX(Tableau2[Equipment],MATCH(Tabel1[[#This Row],[Model]],Tableau2[Model],0)))</f>
        <v/>
      </c>
      <c r="I252" s="10"/>
      <c r="J252" s="35"/>
      <c r="L252" s="9"/>
      <c r="M252" s="9"/>
      <c r="N252" s="9"/>
      <c r="O2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2" s="21">
        <f>HOUR(Tabel1[[#This Row],[Total Hours]])+MINUTE(Tabel1[[#This Row],[Total Hours]])/60+SECOND(Tabel1[[#This Row],[Total Hours]])/3600</f>
        <v>0</v>
      </c>
      <c r="Q252" s="6">
        <f>Tabel1[[#This Row],[End Time]]+(Tabel1[[#This Row],[End Time]]&lt;Tabel1[[#This Row],[Start time]])</f>
        <v>0</v>
      </c>
      <c r="R2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2" s="6"/>
      <c r="T252" s="7"/>
    </row>
    <row r="253" spans="1:20" x14ac:dyDescent="0.3">
      <c r="A253" s="4"/>
      <c r="B253" s="4">
        <f t="shared" si="3"/>
        <v>246</v>
      </c>
      <c r="C253" s="4" t="str">
        <f>IFERROR(VLOOKUP(Tabel1[[#This Row],[Model]],Tableau2[[Model]:[Parking Number]],2,FALSE)," ")</f>
        <v xml:space="preserve"> </v>
      </c>
      <c r="D253" s="23"/>
      <c r="E253" s="4" t="str">
        <f>IF(Tabel1[[#This Row],[Model]]="", "",INDEX(Tableau2[Equipment Type],MATCH(Tabel1[[#This Row],[Model]],Tableau2[Model],0)))</f>
        <v/>
      </c>
      <c r="G253" s="4" t="str">
        <f>IF(Tabel1[[#This Row],[Model]]="", "",INDEX(Tableau2[Equipment],MATCH(Tabel1[[#This Row],[Model]],Tableau2[Model],0)))</f>
        <v/>
      </c>
      <c r="I253" s="10"/>
      <c r="J253" s="35"/>
      <c r="L253" s="9"/>
      <c r="M253" s="9"/>
      <c r="N253" s="9"/>
      <c r="O2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3" s="21">
        <f>HOUR(Tabel1[[#This Row],[Total Hours]])+MINUTE(Tabel1[[#This Row],[Total Hours]])/60+SECOND(Tabel1[[#This Row],[Total Hours]])/3600</f>
        <v>0</v>
      </c>
      <c r="Q253" s="6">
        <f>Tabel1[[#This Row],[End Time]]+(Tabel1[[#This Row],[End Time]]&lt;Tabel1[[#This Row],[Start time]])</f>
        <v>0</v>
      </c>
      <c r="R2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3" s="6"/>
      <c r="T253" s="7"/>
    </row>
    <row r="254" spans="1:20" x14ac:dyDescent="0.3">
      <c r="A254" s="4"/>
      <c r="B254" s="4">
        <f t="shared" si="3"/>
        <v>247</v>
      </c>
      <c r="C254" s="4" t="str">
        <f>IFERROR(VLOOKUP(Tabel1[[#This Row],[Model]],Tableau2[[Model]:[Parking Number]],2,FALSE)," ")</f>
        <v xml:space="preserve"> </v>
      </c>
      <c r="D254" s="23"/>
      <c r="E254" s="4" t="str">
        <f>IF(Tabel1[[#This Row],[Model]]="", "",INDEX(Tableau2[Equipment Type],MATCH(Tabel1[[#This Row],[Model]],Tableau2[Model],0)))</f>
        <v/>
      </c>
      <c r="G254" s="4" t="str">
        <f>IF(Tabel1[[#This Row],[Model]]="", "",INDEX(Tableau2[Equipment],MATCH(Tabel1[[#This Row],[Model]],Tableau2[Model],0)))</f>
        <v/>
      </c>
      <c r="I254" s="10"/>
      <c r="J254" s="35"/>
      <c r="L254" s="9"/>
      <c r="M254" s="9"/>
      <c r="N254" s="9"/>
      <c r="O2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4" s="21">
        <f>HOUR(Tabel1[[#This Row],[Total Hours]])+MINUTE(Tabel1[[#This Row],[Total Hours]])/60+SECOND(Tabel1[[#This Row],[Total Hours]])/3600</f>
        <v>0</v>
      </c>
      <c r="Q254" s="6">
        <f>Tabel1[[#This Row],[End Time]]+(Tabel1[[#This Row],[End Time]]&lt;Tabel1[[#This Row],[Start time]])</f>
        <v>0</v>
      </c>
      <c r="R2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4" s="6"/>
      <c r="T254" s="7"/>
    </row>
    <row r="255" spans="1:20" x14ac:dyDescent="0.3">
      <c r="A255" s="4"/>
      <c r="B255" s="4">
        <f t="shared" si="3"/>
        <v>248</v>
      </c>
      <c r="C255" s="4" t="str">
        <f>IFERROR(VLOOKUP(Tabel1[[#This Row],[Model]],Tableau2[[Model]:[Parking Number]],2,FALSE)," ")</f>
        <v xml:space="preserve"> </v>
      </c>
      <c r="D255" s="23"/>
      <c r="E255" s="4" t="str">
        <f>IF(Tabel1[[#This Row],[Model]]="", "",INDEX(Tableau2[Equipment Type],MATCH(Tabel1[[#This Row],[Model]],Tableau2[Model],0)))</f>
        <v/>
      </c>
      <c r="G255" s="4" t="str">
        <f>IF(Tabel1[[#This Row],[Model]]="", "",INDEX(Tableau2[Equipment],MATCH(Tabel1[[#This Row],[Model]],Tableau2[Model],0)))</f>
        <v/>
      </c>
      <c r="I255" s="10"/>
      <c r="J255" s="35"/>
      <c r="L255" s="9"/>
      <c r="M255" s="9"/>
      <c r="N255" s="9"/>
      <c r="O2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5" s="21">
        <f>HOUR(Tabel1[[#This Row],[Total Hours]])+MINUTE(Tabel1[[#This Row],[Total Hours]])/60+SECOND(Tabel1[[#This Row],[Total Hours]])/3600</f>
        <v>0</v>
      </c>
      <c r="Q255" s="6">
        <f>Tabel1[[#This Row],[End Time]]+(Tabel1[[#This Row],[End Time]]&lt;Tabel1[[#This Row],[Start time]])</f>
        <v>0</v>
      </c>
      <c r="R2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5" s="6"/>
      <c r="T255" s="7"/>
    </row>
    <row r="256" spans="1:20" x14ac:dyDescent="0.3">
      <c r="A256" s="4"/>
      <c r="B256" s="4">
        <f t="shared" si="3"/>
        <v>249</v>
      </c>
      <c r="C256" s="4" t="str">
        <f>IFERROR(VLOOKUP(Tabel1[[#This Row],[Model]],Tableau2[[Model]:[Parking Number]],2,FALSE)," ")</f>
        <v xml:space="preserve"> </v>
      </c>
      <c r="D256" s="23"/>
      <c r="E256" s="4" t="str">
        <f>IF(Tabel1[[#This Row],[Model]]="", "",INDEX(Tableau2[Equipment Type],MATCH(Tabel1[[#This Row],[Model]],Tableau2[Model],0)))</f>
        <v/>
      </c>
      <c r="G256" s="4" t="str">
        <f>IF(Tabel1[[#This Row],[Model]]="", "",INDEX(Tableau2[Equipment],MATCH(Tabel1[[#This Row],[Model]],Tableau2[Model],0)))</f>
        <v/>
      </c>
      <c r="I256" s="10"/>
      <c r="J256" s="35"/>
      <c r="L256" s="9"/>
      <c r="M256" s="9"/>
      <c r="N256" s="9"/>
      <c r="O2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6" s="21">
        <f>HOUR(Tabel1[[#This Row],[Total Hours]])+MINUTE(Tabel1[[#This Row],[Total Hours]])/60+SECOND(Tabel1[[#This Row],[Total Hours]])/3600</f>
        <v>0</v>
      </c>
      <c r="Q256" s="6">
        <f>Tabel1[[#This Row],[End Time]]+(Tabel1[[#This Row],[End Time]]&lt;Tabel1[[#This Row],[Start time]])</f>
        <v>0</v>
      </c>
      <c r="R2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6" s="6"/>
      <c r="T256" s="7"/>
    </row>
    <row r="257" spans="1:20" x14ac:dyDescent="0.3">
      <c r="A257" s="4"/>
      <c r="B257" s="4">
        <f t="shared" si="3"/>
        <v>250</v>
      </c>
      <c r="C257" s="4" t="str">
        <f>IFERROR(VLOOKUP(Tabel1[[#This Row],[Model]],Tableau2[[Model]:[Parking Number]],2,FALSE)," ")</f>
        <v xml:space="preserve"> </v>
      </c>
      <c r="D257" s="23"/>
      <c r="E257" s="4" t="str">
        <f>IF(Tabel1[[#This Row],[Model]]="", "",INDEX(Tableau2[Equipment Type],MATCH(Tabel1[[#This Row],[Model]],Tableau2[Model],0)))</f>
        <v/>
      </c>
      <c r="G257" s="4" t="str">
        <f>IF(Tabel1[[#This Row],[Model]]="", "",INDEX(Tableau2[Equipment],MATCH(Tabel1[[#This Row],[Model]],Tableau2[Model],0)))</f>
        <v/>
      </c>
      <c r="I257" s="10"/>
      <c r="J257" s="35"/>
      <c r="L257" s="9"/>
      <c r="M257" s="9"/>
      <c r="N257" s="9"/>
      <c r="O2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7" s="21">
        <f>HOUR(Tabel1[[#This Row],[Total Hours]])+MINUTE(Tabel1[[#This Row],[Total Hours]])/60+SECOND(Tabel1[[#This Row],[Total Hours]])/3600</f>
        <v>0</v>
      </c>
      <c r="Q257" s="6">
        <f>Tabel1[[#This Row],[End Time]]+(Tabel1[[#This Row],[End Time]]&lt;Tabel1[[#This Row],[Start time]])</f>
        <v>0</v>
      </c>
      <c r="R2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7" s="6"/>
      <c r="T257" s="7"/>
    </row>
    <row r="258" spans="1:20" x14ac:dyDescent="0.3">
      <c r="A258" s="4"/>
      <c r="B258" s="4">
        <f t="shared" si="3"/>
        <v>251</v>
      </c>
      <c r="C258" s="4" t="str">
        <f>IFERROR(VLOOKUP(Tabel1[[#This Row],[Model]],Tableau2[[Model]:[Parking Number]],2,FALSE)," ")</f>
        <v xml:space="preserve"> </v>
      </c>
      <c r="D258" s="23"/>
      <c r="E258" s="4" t="str">
        <f>IF(Tabel1[[#This Row],[Model]]="", "",INDEX(Tableau2[Equipment Type],MATCH(Tabel1[[#This Row],[Model]],Tableau2[Model],0)))</f>
        <v/>
      </c>
      <c r="G258" s="4" t="str">
        <f>IF(Tabel1[[#This Row],[Model]]="", "",INDEX(Tableau2[Equipment],MATCH(Tabel1[[#This Row],[Model]],Tableau2[Model],0)))</f>
        <v/>
      </c>
      <c r="I258" s="10"/>
      <c r="J258" s="35"/>
      <c r="L258" s="9"/>
      <c r="M258" s="9"/>
      <c r="N258" s="9"/>
      <c r="O2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8" s="21">
        <f>HOUR(Tabel1[[#This Row],[Total Hours]])+MINUTE(Tabel1[[#This Row],[Total Hours]])/60+SECOND(Tabel1[[#This Row],[Total Hours]])/3600</f>
        <v>0</v>
      </c>
      <c r="Q258" s="6">
        <f>Tabel1[[#This Row],[End Time]]+(Tabel1[[#This Row],[End Time]]&lt;Tabel1[[#This Row],[Start time]])</f>
        <v>0</v>
      </c>
      <c r="R2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8" s="6"/>
      <c r="T258" s="7"/>
    </row>
    <row r="259" spans="1:20" x14ac:dyDescent="0.3">
      <c r="A259" s="4"/>
      <c r="B259" s="4">
        <f t="shared" si="3"/>
        <v>252</v>
      </c>
      <c r="C259" s="4" t="str">
        <f>IFERROR(VLOOKUP(Tabel1[[#This Row],[Model]],Tableau2[[Model]:[Parking Number]],2,FALSE)," ")</f>
        <v xml:space="preserve"> </v>
      </c>
      <c r="D259" s="23"/>
      <c r="E259" s="4" t="str">
        <f>IF(Tabel1[[#This Row],[Model]]="", "",INDEX(Tableau2[Equipment Type],MATCH(Tabel1[[#This Row],[Model]],Tableau2[Model],0)))</f>
        <v/>
      </c>
      <c r="G259" s="4" t="str">
        <f>IF(Tabel1[[#This Row],[Model]]="", "",INDEX(Tableau2[Equipment],MATCH(Tabel1[[#This Row],[Model]],Tableau2[Model],0)))</f>
        <v/>
      </c>
      <c r="I259" s="10"/>
      <c r="J259" s="35"/>
      <c r="L259" s="9"/>
      <c r="M259" s="9"/>
      <c r="N259" s="9"/>
      <c r="O2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9" s="21">
        <f>HOUR(Tabel1[[#This Row],[Total Hours]])+MINUTE(Tabel1[[#This Row],[Total Hours]])/60+SECOND(Tabel1[[#This Row],[Total Hours]])/3600</f>
        <v>0</v>
      </c>
      <c r="Q259" s="6">
        <f>Tabel1[[#This Row],[End Time]]+(Tabel1[[#This Row],[End Time]]&lt;Tabel1[[#This Row],[Start time]])</f>
        <v>0</v>
      </c>
      <c r="R2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9" s="6"/>
      <c r="T259" s="7"/>
    </row>
    <row r="260" spans="1:20" x14ac:dyDescent="0.3">
      <c r="A260" s="4"/>
      <c r="B260" s="4">
        <f t="shared" si="3"/>
        <v>253</v>
      </c>
      <c r="C260" s="4" t="str">
        <f>IFERROR(VLOOKUP(Tabel1[[#This Row],[Model]],Tableau2[[Model]:[Parking Number]],2,FALSE)," ")</f>
        <v xml:space="preserve"> </v>
      </c>
      <c r="D260" s="23"/>
      <c r="E260" s="4" t="str">
        <f>IF(Tabel1[[#This Row],[Model]]="", "",INDEX(Tableau2[Equipment Type],MATCH(Tabel1[[#This Row],[Model]],Tableau2[Model],0)))</f>
        <v/>
      </c>
      <c r="G260" s="4" t="str">
        <f>IF(Tabel1[[#This Row],[Model]]="", "",INDEX(Tableau2[Equipment],MATCH(Tabel1[[#This Row],[Model]],Tableau2[Model],0)))</f>
        <v/>
      </c>
      <c r="I260" s="10"/>
      <c r="J260" s="35"/>
      <c r="L260" s="9"/>
      <c r="M260" s="9"/>
      <c r="N260" s="9"/>
      <c r="O2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0" s="21">
        <f>HOUR(Tabel1[[#This Row],[Total Hours]])+MINUTE(Tabel1[[#This Row],[Total Hours]])/60+SECOND(Tabel1[[#This Row],[Total Hours]])/3600</f>
        <v>0</v>
      </c>
      <c r="Q260" s="6">
        <f>Tabel1[[#This Row],[End Time]]+(Tabel1[[#This Row],[End Time]]&lt;Tabel1[[#This Row],[Start time]])</f>
        <v>0</v>
      </c>
      <c r="R2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0" s="6"/>
      <c r="T260" s="7"/>
    </row>
    <row r="261" spans="1:20" x14ac:dyDescent="0.3">
      <c r="A261" s="4"/>
      <c r="B261" s="4">
        <f t="shared" si="3"/>
        <v>254</v>
      </c>
      <c r="C261" s="4" t="str">
        <f>IFERROR(VLOOKUP(Tabel1[[#This Row],[Model]],Tableau2[[Model]:[Parking Number]],2,FALSE)," ")</f>
        <v xml:space="preserve"> </v>
      </c>
      <c r="D261" s="23"/>
      <c r="E261" s="4" t="str">
        <f>IF(Tabel1[[#This Row],[Model]]="", "",INDEX(Tableau2[Equipment Type],MATCH(Tabel1[[#This Row],[Model]],Tableau2[Model],0)))</f>
        <v/>
      </c>
      <c r="G261" s="4" t="str">
        <f>IF(Tabel1[[#This Row],[Model]]="", "",INDEX(Tableau2[Equipment],MATCH(Tabel1[[#This Row],[Model]],Tableau2[Model],0)))</f>
        <v/>
      </c>
      <c r="I261" s="10"/>
      <c r="J261" s="35"/>
      <c r="L261" s="9"/>
      <c r="M261" s="9"/>
      <c r="N261" s="9"/>
      <c r="O2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1" s="21">
        <f>HOUR(Tabel1[[#This Row],[Total Hours]])+MINUTE(Tabel1[[#This Row],[Total Hours]])/60+SECOND(Tabel1[[#This Row],[Total Hours]])/3600</f>
        <v>0</v>
      </c>
      <c r="Q261" s="6">
        <f>Tabel1[[#This Row],[End Time]]+(Tabel1[[#This Row],[End Time]]&lt;Tabel1[[#This Row],[Start time]])</f>
        <v>0</v>
      </c>
      <c r="R2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1" s="6"/>
      <c r="T261" s="7"/>
    </row>
    <row r="262" spans="1:20" x14ac:dyDescent="0.3">
      <c r="A262" s="4"/>
      <c r="B262" s="4">
        <f t="shared" si="3"/>
        <v>255</v>
      </c>
      <c r="C262" s="4" t="str">
        <f>IFERROR(VLOOKUP(Tabel1[[#This Row],[Model]],Tableau2[[Model]:[Parking Number]],2,FALSE)," ")</f>
        <v xml:space="preserve"> </v>
      </c>
      <c r="D262" s="23"/>
      <c r="E262" s="4" t="str">
        <f>IF(Tabel1[[#This Row],[Model]]="", "",INDEX(Tableau2[Equipment Type],MATCH(Tabel1[[#This Row],[Model]],Tableau2[Model],0)))</f>
        <v/>
      </c>
      <c r="G262" s="4" t="str">
        <f>IF(Tabel1[[#This Row],[Model]]="", "",INDEX(Tableau2[Equipment],MATCH(Tabel1[[#This Row],[Model]],Tableau2[Model],0)))</f>
        <v/>
      </c>
      <c r="I262" s="10"/>
      <c r="J262" s="35"/>
      <c r="L262" s="9"/>
      <c r="M262" s="9"/>
      <c r="N262" s="9"/>
      <c r="O2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2" s="21">
        <f>HOUR(Tabel1[[#This Row],[Total Hours]])+MINUTE(Tabel1[[#This Row],[Total Hours]])/60+SECOND(Tabel1[[#This Row],[Total Hours]])/3600</f>
        <v>0</v>
      </c>
      <c r="Q262" s="6">
        <f>Tabel1[[#This Row],[End Time]]+(Tabel1[[#This Row],[End Time]]&lt;Tabel1[[#This Row],[Start time]])</f>
        <v>0</v>
      </c>
      <c r="R2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2" s="6"/>
      <c r="T262" s="7"/>
    </row>
    <row r="263" spans="1:20" x14ac:dyDescent="0.3">
      <c r="A263" s="4"/>
      <c r="B263" s="4">
        <f t="shared" si="3"/>
        <v>256</v>
      </c>
      <c r="C263" s="4" t="str">
        <f>IFERROR(VLOOKUP(Tabel1[[#This Row],[Model]],Tableau2[[Model]:[Parking Number]],2,FALSE)," ")</f>
        <v xml:space="preserve"> </v>
      </c>
      <c r="D263" s="23"/>
      <c r="E263" s="4" t="str">
        <f>IF(Tabel1[[#This Row],[Model]]="", "",INDEX(Tableau2[Equipment Type],MATCH(Tabel1[[#This Row],[Model]],Tableau2[Model],0)))</f>
        <v/>
      </c>
      <c r="G263" s="4" t="str">
        <f>IF(Tabel1[[#This Row],[Model]]="", "",INDEX(Tableau2[Equipment],MATCH(Tabel1[[#This Row],[Model]],Tableau2[Model],0)))</f>
        <v/>
      </c>
      <c r="I263" s="10"/>
      <c r="J263" s="35"/>
      <c r="L263" s="9"/>
      <c r="M263" s="9"/>
      <c r="N263" s="9"/>
      <c r="O2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3" s="21">
        <f>HOUR(Tabel1[[#This Row],[Total Hours]])+MINUTE(Tabel1[[#This Row],[Total Hours]])/60+SECOND(Tabel1[[#This Row],[Total Hours]])/3600</f>
        <v>0</v>
      </c>
      <c r="Q263" s="6">
        <f>Tabel1[[#This Row],[End Time]]+(Tabel1[[#This Row],[End Time]]&lt;Tabel1[[#This Row],[Start time]])</f>
        <v>0</v>
      </c>
      <c r="R2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3" s="6"/>
      <c r="T263" s="7"/>
    </row>
    <row r="264" spans="1:20" x14ac:dyDescent="0.3">
      <c r="A264" s="4"/>
      <c r="B264" s="4">
        <f t="shared" si="3"/>
        <v>257</v>
      </c>
      <c r="C264" s="4" t="str">
        <f>IFERROR(VLOOKUP(Tabel1[[#This Row],[Model]],Tableau2[[Model]:[Parking Number]],2,FALSE)," ")</f>
        <v xml:space="preserve"> </v>
      </c>
      <c r="D264" s="23"/>
      <c r="E264" s="4" t="str">
        <f>IF(Tabel1[[#This Row],[Model]]="", "",INDEX(Tableau2[Equipment Type],MATCH(Tabel1[[#This Row],[Model]],Tableau2[Model],0)))</f>
        <v/>
      </c>
      <c r="G264" s="4" t="str">
        <f>IF(Tabel1[[#This Row],[Model]]="", "",INDEX(Tableau2[Equipment],MATCH(Tabel1[[#This Row],[Model]],Tableau2[Model],0)))</f>
        <v/>
      </c>
      <c r="I264" s="10"/>
      <c r="J264" s="35"/>
      <c r="L264" s="9"/>
      <c r="M264" s="9"/>
      <c r="N264" s="9"/>
      <c r="O2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4" s="21">
        <f>HOUR(Tabel1[[#This Row],[Total Hours]])+MINUTE(Tabel1[[#This Row],[Total Hours]])/60+SECOND(Tabel1[[#This Row],[Total Hours]])/3600</f>
        <v>0</v>
      </c>
      <c r="Q264" s="6">
        <f>Tabel1[[#This Row],[End Time]]+(Tabel1[[#This Row],[End Time]]&lt;Tabel1[[#This Row],[Start time]])</f>
        <v>0</v>
      </c>
      <c r="R26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4" s="6"/>
      <c r="T264" s="7"/>
    </row>
    <row r="265" spans="1:20" x14ac:dyDescent="0.3">
      <c r="A265" s="4"/>
      <c r="B265" s="4">
        <f t="shared" ref="B265:B328" si="4">B264+1</f>
        <v>258</v>
      </c>
      <c r="C265" s="4" t="str">
        <f>IFERROR(VLOOKUP(Tabel1[[#This Row],[Model]],Tableau2[[Model]:[Parking Number]],2,FALSE)," ")</f>
        <v xml:space="preserve"> </v>
      </c>
      <c r="D265" s="23"/>
      <c r="E265" s="4" t="str">
        <f>IF(Tabel1[[#This Row],[Model]]="", "",INDEX(Tableau2[Equipment Type],MATCH(Tabel1[[#This Row],[Model]],Tableau2[Model],0)))</f>
        <v/>
      </c>
      <c r="G265" s="4" t="str">
        <f>IF(Tabel1[[#This Row],[Model]]="", "",INDEX(Tableau2[Equipment],MATCH(Tabel1[[#This Row],[Model]],Tableau2[Model],0)))</f>
        <v/>
      </c>
      <c r="I265" s="10"/>
      <c r="J265" s="35"/>
      <c r="L265" s="9"/>
      <c r="M265" s="9"/>
      <c r="N265" s="9"/>
      <c r="O2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5" s="21">
        <f>HOUR(Tabel1[[#This Row],[Total Hours]])+MINUTE(Tabel1[[#This Row],[Total Hours]])/60+SECOND(Tabel1[[#This Row],[Total Hours]])/3600</f>
        <v>0</v>
      </c>
      <c r="Q265" s="6">
        <f>Tabel1[[#This Row],[End Time]]+(Tabel1[[#This Row],[End Time]]&lt;Tabel1[[#This Row],[Start time]])</f>
        <v>0</v>
      </c>
      <c r="R26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5" s="6"/>
      <c r="T265" s="7"/>
    </row>
    <row r="266" spans="1:20" x14ac:dyDescent="0.3">
      <c r="A266" s="4"/>
      <c r="B266" s="4">
        <f t="shared" si="4"/>
        <v>259</v>
      </c>
      <c r="C266" s="4" t="str">
        <f>IFERROR(VLOOKUP(Tabel1[[#This Row],[Model]],Tableau2[[Model]:[Parking Number]],2,FALSE)," ")</f>
        <v xml:space="preserve"> </v>
      </c>
      <c r="D266" s="23"/>
      <c r="E266" s="4" t="str">
        <f>IF(Tabel1[[#This Row],[Model]]="", "",INDEX(Tableau2[Equipment Type],MATCH(Tabel1[[#This Row],[Model]],Tableau2[Model],0)))</f>
        <v/>
      </c>
      <c r="G266" s="4" t="str">
        <f>IF(Tabel1[[#This Row],[Model]]="", "",INDEX(Tableau2[Equipment],MATCH(Tabel1[[#This Row],[Model]],Tableau2[Model],0)))</f>
        <v/>
      </c>
      <c r="I266" s="10"/>
      <c r="J266" s="35"/>
      <c r="L266" s="9"/>
      <c r="M266" s="9"/>
      <c r="N266" s="9"/>
      <c r="O2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6" s="21">
        <f>HOUR(Tabel1[[#This Row],[Total Hours]])+MINUTE(Tabel1[[#This Row],[Total Hours]])/60+SECOND(Tabel1[[#This Row],[Total Hours]])/3600</f>
        <v>0</v>
      </c>
      <c r="Q266" s="6">
        <f>Tabel1[[#This Row],[End Time]]+(Tabel1[[#This Row],[End Time]]&lt;Tabel1[[#This Row],[Start time]])</f>
        <v>0</v>
      </c>
      <c r="R26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6" s="6"/>
      <c r="T266" s="7"/>
    </row>
    <row r="267" spans="1:20" x14ac:dyDescent="0.3">
      <c r="A267" s="4"/>
      <c r="B267" s="4">
        <f t="shared" si="4"/>
        <v>260</v>
      </c>
      <c r="C267" s="4" t="str">
        <f>IFERROR(VLOOKUP(Tabel1[[#This Row],[Model]],Tableau2[[Model]:[Parking Number]],2,FALSE)," ")</f>
        <v xml:space="preserve"> </v>
      </c>
      <c r="D267" s="23"/>
      <c r="E267" s="4" t="str">
        <f>IF(Tabel1[[#This Row],[Model]]="", "",INDEX(Tableau2[Equipment Type],MATCH(Tabel1[[#This Row],[Model]],Tableau2[Model],0)))</f>
        <v/>
      </c>
      <c r="G267" s="4" t="str">
        <f>IF(Tabel1[[#This Row],[Model]]="", "",INDEX(Tableau2[Equipment],MATCH(Tabel1[[#This Row],[Model]],Tableau2[Model],0)))</f>
        <v/>
      </c>
      <c r="I267" s="10"/>
      <c r="J267" s="35"/>
      <c r="L267" s="9"/>
      <c r="M267" s="9"/>
      <c r="N267" s="9"/>
      <c r="O2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7" s="21">
        <f>HOUR(Tabel1[[#This Row],[Total Hours]])+MINUTE(Tabel1[[#This Row],[Total Hours]])/60+SECOND(Tabel1[[#This Row],[Total Hours]])/3600</f>
        <v>0</v>
      </c>
      <c r="Q267" s="6">
        <f>Tabel1[[#This Row],[End Time]]+(Tabel1[[#This Row],[End Time]]&lt;Tabel1[[#This Row],[Start time]])</f>
        <v>0</v>
      </c>
      <c r="R26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7" s="6"/>
      <c r="T267" s="7"/>
    </row>
    <row r="268" spans="1:20" x14ac:dyDescent="0.3">
      <c r="A268" s="4"/>
      <c r="B268" s="4">
        <f t="shared" si="4"/>
        <v>261</v>
      </c>
      <c r="C268" s="4" t="str">
        <f>IFERROR(VLOOKUP(Tabel1[[#This Row],[Model]],Tableau2[[Model]:[Parking Number]],2,FALSE)," ")</f>
        <v xml:space="preserve"> </v>
      </c>
      <c r="D268" s="23"/>
      <c r="E268" s="4" t="str">
        <f>IF(Tabel1[[#This Row],[Model]]="", "",INDEX(Tableau2[Equipment Type],MATCH(Tabel1[[#This Row],[Model]],Tableau2[Model],0)))</f>
        <v/>
      </c>
      <c r="G268" s="4" t="str">
        <f>IF(Tabel1[[#This Row],[Model]]="", "",INDEX(Tableau2[Equipment],MATCH(Tabel1[[#This Row],[Model]],Tableau2[Model],0)))</f>
        <v/>
      </c>
      <c r="I268" s="10"/>
      <c r="J268" s="35"/>
      <c r="L268" s="9"/>
      <c r="M268" s="9"/>
      <c r="N268" s="9"/>
      <c r="O2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8" s="21">
        <f>HOUR(Tabel1[[#This Row],[Total Hours]])+MINUTE(Tabel1[[#This Row],[Total Hours]])/60+SECOND(Tabel1[[#This Row],[Total Hours]])/3600</f>
        <v>0</v>
      </c>
      <c r="Q268" s="6">
        <f>Tabel1[[#This Row],[End Time]]+(Tabel1[[#This Row],[End Time]]&lt;Tabel1[[#This Row],[Start time]])</f>
        <v>0</v>
      </c>
      <c r="R26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8" s="6"/>
      <c r="T268" s="7"/>
    </row>
    <row r="269" spans="1:20" x14ac:dyDescent="0.3">
      <c r="A269" s="4"/>
      <c r="B269" s="4">
        <f t="shared" si="4"/>
        <v>262</v>
      </c>
      <c r="C269" s="4" t="str">
        <f>IFERROR(VLOOKUP(Tabel1[[#This Row],[Model]],Tableau2[[Model]:[Parking Number]],2,FALSE)," ")</f>
        <v xml:space="preserve"> </v>
      </c>
      <c r="D269" s="23"/>
      <c r="E269" s="4" t="str">
        <f>IF(Tabel1[[#This Row],[Model]]="", "",INDEX(Tableau2[Equipment Type],MATCH(Tabel1[[#This Row],[Model]],Tableau2[Model],0)))</f>
        <v/>
      </c>
      <c r="G269" s="4" t="str">
        <f>IF(Tabel1[[#This Row],[Model]]="", "",INDEX(Tableau2[Equipment],MATCH(Tabel1[[#This Row],[Model]],Tableau2[Model],0)))</f>
        <v/>
      </c>
      <c r="I269" s="10"/>
      <c r="J269" s="35"/>
      <c r="L269" s="9"/>
      <c r="M269" s="9"/>
      <c r="N269" s="9"/>
      <c r="O2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9" s="21">
        <f>HOUR(Tabel1[[#This Row],[Total Hours]])+MINUTE(Tabel1[[#This Row],[Total Hours]])/60+SECOND(Tabel1[[#This Row],[Total Hours]])/3600</f>
        <v>0</v>
      </c>
      <c r="Q269" s="6">
        <f>Tabel1[[#This Row],[End Time]]+(Tabel1[[#This Row],[End Time]]&lt;Tabel1[[#This Row],[Start time]])</f>
        <v>0</v>
      </c>
      <c r="R26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9" s="6"/>
      <c r="T269" s="7"/>
    </row>
    <row r="270" spans="1:20" x14ac:dyDescent="0.3">
      <c r="A270" s="4"/>
      <c r="B270" s="4">
        <f t="shared" si="4"/>
        <v>263</v>
      </c>
      <c r="C270" s="4" t="str">
        <f>IFERROR(VLOOKUP(Tabel1[[#This Row],[Model]],Tableau2[[Model]:[Parking Number]],2,FALSE)," ")</f>
        <v xml:space="preserve"> </v>
      </c>
      <c r="D270" s="23"/>
      <c r="E270" s="4" t="str">
        <f>IF(Tabel1[[#This Row],[Model]]="", "",INDEX(Tableau2[Equipment Type],MATCH(Tabel1[[#This Row],[Model]],Tableau2[Model],0)))</f>
        <v/>
      </c>
      <c r="G270" s="4" t="str">
        <f>IF(Tabel1[[#This Row],[Model]]="", "",INDEX(Tableau2[Equipment],MATCH(Tabel1[[#This Row],[Model]],Tableau2[Model],0)))</f>
        <v/>
      </c>
      <c r="I270" s="10"/>
      <c r="J270" s="35"/>
      <c r="L270" s="9"/>
      <c r="M270" s="9"/>
      <c r="N270" s="9"/>
      <c r="O2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0" s="21">
        <f>HOUR(Tabel1[[#This Row],[Total Hours]])+MINUTE(Tabel1[[#This Row],[Total Hours]])/60+SECOND(Tabel1[[#This Row],[Total Hours]])/3600</f>
        <v>0</v>
      </c>
      <c r="Q270" s="6">
        <f>Tabel1[[#This Row],[End Time]]+(Tabel1[[#This Row],[End Time]]&lt;Tabel1[[#This Row],[Start time]])</f>
        <v>0</v>
      </c>
      <c r="R27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0" s="6"/>
      <c r="T270" s="7"/>
    </row>
    <row r="271" spans="1:20" x14ac:dyDescent="0.3">
      <c r="A271" s="4"/>
      <c r="B271" s="4">
        <f t="shared" si="4"/>
        <v>264</v>
      </c>
      <c r="C271" s="4" t="str">
        <f>IFERROR(VLOOKUP(Tabel1[[#This Row],[Model]],Tableau2[[Model]:[Parking Number]],2,FALSE)," ")</f>
        <v xml:space="preserve"> </v>
      </c>
      <c r="D271" s="23"/>
      <c r="E271" s="4" t="str">
        <f>IF(Tabel1[[#This Row],[Model]]="", "",INDEX(Tableau2[Equipment Type],MATCH(Tabel1[[#This Row],[Model]],Tableau2[Model],0)))</f>
        <v/>
      </c>
      <c r="G271" s="4" t="str">
        <f>IF(Tabel1[[#This Row],[Model]]="", "",INDEX(Tableau2[Equipment],MATCH(Tabel1[[#This Row],[Model]],Tableau2[Model],0)))</f>
        <v/>
      </c>
      <c r="I271" s="10"/>
      <c r="J271" s="35"/>
      <c r="L271" s="9"/>
      <c r="M271" s="9"/>
      <c r="N271" s="9"/>
      <c r="O2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1" s="21">
        <f>HOUR(Tabel1[[#This Row],[Total Hours]])+MINUTE(Tabel1[[#This Row],[Total Hours]])/60+SECOND(Tabel1[[#This Row],[Total Hours]])/3600</f>
        <v>0</v>
      </c>
      <c r="Q271" s="6">
        <f>Tabel1[[#This Row],[End Time]]+(Tabel1[[#This Row],[End Time]]&lt;Tabel1[[#This Row],[Start time]])</f>
        <v>0</v>
      </c>
      <c r="R27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1" s="6"/>
      <c r="T271" s="7"/>
    </row>
    <row r="272" spans="1:20" x14ac:dyDescent="0.3">
      <c r="A272" s="4"/>
      <c r="B272" s="4">
        <f t="shared" si="4"/>
        <v>265</v>
      </c>
      <c r="C272" s="4" t="str">
        <f>IFERROR(VLOOKUP(Tabel1[[#This Row],[Model]],Tableau2[[Model]:[Parking Number]],2,FALSE)," ")</f>
        <v xml:space="preserve"> </v>
      </c>
      <c r="D272" s="23"/>
      <c r="E272" s="4" t="str">
        <f>IF(Tabel1[[#This Row],[Model]]="", "",INDEX(Tableau2[Equipment Type],MATCH(Tabel1[[#This Row],[Model]],Tableau2[Model],0)))</f>
        <v/>
      </c>
      <c r="G272" s="4" t="str">
        <f>IF(Tabel1[[#This Row],[Model]]="", "",INDEX(Tableau2[Equipment],MATCH(Tabel1[[#This Row],[Model]],Tableau2[Model],0)))</f>
        <v/>
      </c>
      <c r="I272" s="10"/>
      <c r="J272" s="35"/>
      <c r="L272" s="9"/>
      <c r="M272" s="9"/>
      <c r="N272" s="9"/>
      <c r="O2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2" s="21">
        <f>HOUR(Tabel1[[#This Row],[Total Hours]])+MINUTE(Tabel1[[#This Row],[Total Hours]])/60+SECOND(Tabel1[[#This Row],[Total Hours]])/3600</f>
        <v>0</v>
      </c>
      <c r="Q272" s="6">
        <f>Tabel1[[#This Row],[End Time]]+(Tabel1[[#This Row],[End Time]]&lt;Tabel1[[#This Row],[Start time]])</f>
        <v>0</v>
      </c>
      <c r="R27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2" s="6"/>
      <c r="T272" s="7"/>
    </row>
    <row r="273" spans="1:20" x14ac:dyDescent="0.3">
      <c r="A273" s="4"/>
      <c r="B273" s="4">
        <f t="shared" si="4"/>
        <v>266</v>
      </c>
      <c r="C273" s="4" t="str">
        <f>IFERROR(VLOOKUP(Tabel1[[#This Row],[Model]],Tableau2[[Model]:[Parking Number]],2,FALSE)," ")</f>
        <v xml:space="preserve"> </v>
      </c>
      <c r="D273" s="23"/>
      <c r="E273" s="4" t="str">
        <f>IF(Tabel1[[#This Row],[Model]]="", "",INDEX(Tableau2[Equipment Type],MATCH(Tabel1[[#This Row],[Model]],Tableau2[Model],0)))</f>
        <v/>
      </c>
      <c r="G273" s="4" t="str">
        <f>IF(Tabel1[[#This Row],[Model]]="", "",INDEX(Tableau2[Equipment],MATCH(Tabel1[[#This Row],[Model]],Tableau2[Model],0)))</f>
        <v/>
      </c>
      <c r="I273" s="10"/>
      <c r="J273" s="35"/>
      <c r="L273" s="9"/>
      <c r="M273" s="9"/>
      <c r="N273" s="9"/>
      <c r="O2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3" s="21">
        <f>HOUR(Tabel1[[#This Row],[Total Hours]])+MINUTE(Tabel1[[#This Row],[Total Hours]])/60+SECOND(Tabel1[[#This Row],[Total Hours]])/3600</f>
        <v>0</v>
      </c>
      <c r="Q273" s="6">
        <f>Tabel1[[#This Row],[End Time]]+(Tabel1[[#This Row],[End Time]]&lt;Tabel1[[#This Row],[Start time]])</f>
        <v>0</v>
      </c>
      <c r="R27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3" s="6"/>
      <c r="T273" s="7"/>
    </row>
    <row r="274" spans="1:20" x14ac:dyDescent="0.3">
      <c r="A274" s="4"/>
      <c r="B274" s="4">
        <f t="shared" si="4"/>
        <v>267</v>
      </c>
      <c r="C274" s="4" t="str">
        <f>IFERROR(VLOOKUP(Tabel1[[#This Row],[Model]],Tableau2[[Model]:[Parking Number]],2,FALSE)," ")</f>
        <v xml:space="preserve"> </v>
      </c>
      <c r="D274" s="23"/>
      <c r="E274" s="4" t="str">
        <f>IF(Tabel1[[#This Row],[Model]]="", "",INDEX(Tableau2[Equipment Type],MATCH(Tabel1[[#This Row],[Model]],Tableau2[Model],0)))</f>
        <v/>
      </c>
      <c r="G274" s="4" t="str">
        <f>IF(Tabel1[[#This Row],[Model]]="", "",INDEX(Tableau2[Equipment],MATCH(Tabel1[[#This Row],[Model]],Tableau2[Model],0)))</f>
        <v/>
      </c>
      <c r="I274" s="10"/>
      <c r="J274" s="35"/>
      <c r="L274" s="9"/>
      <c r="M274" s="9"/>
      <c r="N274" s="9"/>
      <c r="O2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4" s="21">
        <f>HOUR(Tabel1[[#This Row],[Total Hours]])+MINUTE(Tabel1[[#This Row],[Total Hours]])/60+SECOND(Tabel1[[#This Row],[Total Hours]])/3600</f>
        <v>0</v>
      </c>
      <c r="Q274" s="6">
        <f>Tabel1[[#This Row],[End Time]]+(Tabel1[[#This Row],[End Time]]&lt;Tabel1[[#This Row],[Start time]])</f>
        <v>0</v>
      </c>
      <c r="R27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4" s="6"/>
      <c r="T274" s="7"/>
    </row>
    <row r="275" spans="1:20" x14ac:dyDescent="0.3">
      <c r="A275" s="4"/>
      <c r="B275" s="4">
        <f t="shared" si="4"/>
        <v>268</v>
      </c>
      <c r="C275" s="4" t="str">
        <f>IFERROR(VLOOKUP(Tabel1[[#This Row],[Model]],Tableau2[[Model]:[Parking Number]],2,FALSE)," ")</f>
        <v xml:space="preserve"> </v>
      </c>
      <c r="D275" s="23"/>
      <c r="E275" s="4" t="str">
        <f>IF(Tabel1[[#This Row],[Model]]="", "",INDEX(Tableau2[Equipment Type],MATCH(Tabel1[[#This Row],[Model]],Tableau2[Model],0)))</f>
        <v/>
      </c>
      <c r="G275" s="4" t="str">
        <f>IF(Tabel1[[#This Row],[Model]]="", "",INDEX(Tableau2[Equipment],MATCH(Tabel1[[#This Row],[Model]],Tableau2[Model],0)))</f>
        <v/>
      </c>
      <c r="I275" s="10"/>
      <c r="J275" s="35"/>
      <c r="L275" s="9"/>
      <c r="M275" s="9"/>
      <c r="N275" s="9"/>
      <c r="O2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5" s="21">
        <f>HOUR(Tabel1[[#This Row],[Total Hours]])+MINUTE(Tabel1[[#This Row],[Total Hours]])/60+SECOND(Tabel1[[#This Row],[Total Hours]])/3600</f>
        <v>0</v>
      </c>
      <c r="Q275" s="6">
        <f>Tabel1[[#This Row],[End Time]]+(Tabel1[[#This Row],[End Time]]&lt;Tabel1[[#This Row],[Start time]])</f>
        <v>0</v>
      </c>
      <c r="R27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5" s="6"/>
      <c r="T275" s="7"/>
    </row>
    <row r="276" spans="1:20" x14ac:dyDescent="0.3">
      <c r="A276" s="4"/>
      <c r="B276" s="4">
        <f t="shared" si="4"/>
        <v>269</v>
      </c>
      <c r="C276" s="4" t="str">
        <f>IFERROR(VLOOKUP(Tabel1[[#This Row],[Model]],Tableau2[[Model]:[Parking Number]],2,FALSE)," ")</f>
        <v xml:space="preserve"> </v>
      </c>
      <c r="D276" s="23"/>
      <c r="E276" s="4" t="str">
        <f>IF(Tabel1[[#This Row],[Model]]="", "",INDEX(Tableau2[Equipment Type],MATCH(Tabel1[[#This Row],[Model]],Tableau2[Model],0)))</f>
        <v/>
      </c>
      <c r="G276" s="4" t="str">
        <f>IF(Tabel1[[#This Row],[Model]]="", "",INDEX(Tableau2[Equipment],MATCH(Tabel1[[#This Row],[Model]],Tableau2[Model],0)))</f>
        <v/>
      </c>
      <c r="I276" s="10"/>
      <c r="J276" s="35"/>
      <c r="L276" s="9"/>
      <c r="M276" s="9"/>
      <c r="N276" s="9"/>
      <c r="O2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6" s="21">
        <f>HOUR(Tabel1[[#This Row],[Total Hours]])+MINUTE(Tabel1[[#This Row],[Total Hours]])/60+SECOND(Tabel1[[#This Row],[Total Hours]])/3600</f>
        <v>0</v>
      </c>
      <c r="Q276" s="6">
        <f>Tabel1[[#This Row],[End Time]]+(Tabel1[[#This Row],[End Time]]&lt;Tabel1[[#This Row],[Start time]])</f>
        <v>0</v>
      </c>
      <c r="R27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6" s="6"/>
      <c r="T276" s="7"/>
    </row>
    <row r="277" spans="1:20" x14ac:dyDescent="0.3">
      <c r="A277" s="4"/>
      <c r="B277" s="4">
        <f t="shared" si="4"/>
        <v>270</v>
      </c>
      <c r="C277" s="4" t="str">
        <f>IFERROR(VLOOKUP(Tabel1[[#This Row],[Model]],Tableau2[[Model]:[Parking Number]],2,FALSE)," ")</f>
        <v xml:space="preserve"> </v>
      </c>
      <c r="D277" s="23"/>
      <c r="E277" s="4" t="str">
        <f>IF(Tabel1[[#This Row],[Model]]="", "",INDEX(Tableau2[Equipment Type],MATCH(Tabel1[[#This Row],[Model]],Tableau2[Model],0)))</f>
        <v/>
      </c>
      <c r="G277" s="4" t="str">
        <f>IF(Tabel1[[#This Row],[Model]]="", "",INDEX(Tableau2[Equipment],MATCH(Tabel1[[#This Row],[Model]],Tableau2[Model],0)))</f>
        <v/>
      </c>
      <c r="I277" s="10"/>
      <c r="J277" s="35"/>
      <c r="L277" s="9"/>
      <c r="M277" s="9"/>
      <c r="N277" s="9"/>
      <c r="O2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7" s="21">
        <f>HOUR(Tabel1[[#This Row],[Total Hours]])+MINUTE(Tabel1[[#This Row],[Total Hours]])/60+SECOND(Tabel1[[#This Row],[Total Hours]])/3600</f>
        <v>0</v>
      </c>
      <c r="Q277" s="6">
        <f>Tabel1[[#This Row],[End Time]]+(Tabel1[[#This Row],[End Time]]&lt;Tabel1[[#This Row],[Start time]])</f>
        <v>0</v>
      </c>
      <c r="R27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7" s="6"/>
      <c r="T277" s="7"/>
    </row>
    <row r="278" spans="1:20" x14ac:dyDescent="0.3">
      <c r="A278" s="4"/>
      <c r="B278" s="4">
        <f t="shared" si="4"/>
        <v>271</v>
      </c>
      <c r="C278" s="4" t="str">
        <f>IFERROR(VLOOKUP(Tabel1[[#This Row],[Model]],Tableau2[[Model]:[Parking Number]],2,FALSE)," ")</f>
        <v xml:space="preserve"> </v>
      </c>
      <c r="D278" s="23"/>
      <c r="E278" s="4" t="str">
        <f>IF(Tabel1[[#This Row],[Model]]="", "",INDEX(Tableau2[Equipment Type],MATCH(Tabel1[[#This Row],[Model]],Tableau2[Model],0)))</f>
        <v/>
      </c>
      <c r="G278" s="4" t="str">
        <f>IF(Tabel1[[#This Row],[Model]]="", "",INDEX(Tableau2[Equipment],MATCH(Tabel1[[#This Row],[Model]],Tableau2[Model],0)))</f>
        <v/>
      </c>
      <c r="I278" s="10"/>
      <c r="J278" s="35"/>
      <c r="L278" s="9"/>
      <c r="M278" s="9"/>
      <c r="N278" s="9"/>
      <c r="O2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8" s="21">
        <f>HOUR(Tabel1[[#This Row],[Total Hours]])+MINUTE(Tabel1[[#This Row],[Total Hours]])/60+SECOND(Tabel1[[#This Row],[Total Hours]])/3600</f>
        <v>0</v>
      </c>
      <c r="Q278" s="6">
        <f>Tabel1[[#This Row],[End Time]]+(Tabel1[[#This Row],[End Time]]&lt;Tabel1[[#This Row],[Start time]])</f>
        <v>0</v>
      </c>
      <c r="R27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8" s="6"/>
      <c r="T278" s="7"/>
    </row>
    <row r="279" spans="1:20" x14ac:dyDescent="0.3">
      <c r="A279" s="4"/>
      <c r="B279" s="4">
        <f t="shared" si="4"/>
        <v>272</v>
      </c>
      <c r="C279" s="4" t="str">
        <f>IFERROR(VLOOKUP(Tabel1[[#This Row],[Model]],Tableau2[[Model]:[Parking Number]],2,FALSE)," ")</f>
        <v xml:space="preserve"> </v>
      </c>
      <c r="D279" s="23"/>
      <c r="E279" s="4" t="str">
        <f>IF(Tabel1[[#This Row],[Model]]="", "",INDEX(Tableau2[Equipment Type],MATCH(Tabel1[[#This Row],[Model]],Tableau2[Model],0)))</f>
        <v/>
      </c>
      <c r="G279" s="4" t="str">
        <f>IF(Tabel1[[#This Row],[Model]]="", "",INDEX(Tableau2[Equipment],MATCH(Tabel1[[#This Row],[Model]],Tableau2[Model],0)))</f>
        <v/>
      </c>
      <c r="I279" s="10"/>
      <c r="J279" s="35"/>
      <c r="L279" s="9"/>
      <c r="M279" s="9"/>
      <c r="N279" s="9"/>
      <c r="O2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9" s="21">
        <f>HOUR(Tabel1[[#This Row],[Total Hours]])+MINUTE(Tabel1[[#This Row],[Total Hours]])/60+SECOND(Tabel1[[#This Row],[Total Hours]])/3600</f>
        <v>0</v>
      </c>
      <c r="Q279" s="6">
        <f>Tabel1[[#This Row],[End Time]]+(Tabel1[[#This Row],[End Time]]&lt;Tabel1[[#This Row],[Start time]])</f>
        <v>0</v>
      </c>
      <c r="R27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9" s="6"/>
      <c r="T279" s="7"/>
    </row>
    <row r="280" spans="1:20" x14ac:dyDescent="0.3">
      <c r="A280" s="4"/>
      <c r="B280" s="4">
        <f t="shared" si="4"/>
        <v>273</v>
      </c>
      <c r="C280" s="4" t="str">
        <f>IFERROR(VLOOKUP(Tabel1[[#This Row],[Model]],Tableau2[[Model]:[Parking Number]],2,FALSE)," ")</f>
        <v xml:space="preserve"> </v>
      </c>
      <c r="D280" s="23"/>
      <c r="E280" s="4" t="str">
        <f>IF(Tabel1[[#This Row],[Model]]="", "",INDEX(Tableau2[Equipment Type],MATCH(Tabel1[[#This Row],[Model]],Tableau2[Model],0)))</f>
        <v/>
      </c>
      <c r="G280" s="4" t="str">
        <f>IF(Tabel1[[#This Row],[Model]]="", "",INDEX(Tableau2[Equipment],MATCH(Tabel1[[#This Row],[Model]],Tableau2[Model],0)))</f>
        <v/>
      </c>
      <c r="I280" s="10"/>
      <c r="J280" s="35"/>
      <c r="L280" s="9"/>
      <c r="M280" s="9"/>
      <c r="N280" s="9"/>
      <c r="O2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0" s="21">
        <f>HOUR(Tabel1[[#This Row],[Total Hours]])+MINUTE(Tabel1[[#This Row],[Total Hours]])/60+SECOND(Tabel1[[#This Row],[Total Hours]])/3600</f>
        <v>0</v>
      </c>
      <c r="Q280" s="6">
        <f>Tabel1[[#This Row],[End Time]]+(Tabel1[[#This Row],[End Time]]&lt;Tabel1[[#This Row],[Start time]])</f>
        <v>0</v>
      </c>
      <c r="R28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0" s="6"/>
      <c r="T280" s="7"/>
    </row>
    <row r="281" spans="1:20" x14ac:dyDescent="0.3">
      <c r="A281" s="4"/>
      <c r="B281" s="4">
        <f t="shared" si="4"/>
        <v>274</v>
      </c>
      <c r="C281" s="4" t="str">
        <f>IFERROR(VLOOKUP(Tabel1[[#This Row],[Model]],Tableau2[[Model]:[Parking Number]],2,FALSE)," ")</f>
        <v xml:space="preserve"> </v>
      </c>
      <c r="D281" s="23"/>
      <c r="E281" s="4" t="str">
        <f>IF(Tabel1[[#This Row],[Model]]="", "",INDEX(Tableau2[Equipment Type],MATCH(Tabel1[[#This Row],[Model]],Tableau2[Model],0)))</f>
        <v/>
      </c>
      <c r="G281" s="4" t="str">
        <f>IF(Tabel1[[#This Row],[Model]]="", "",INDEX(Tableau2[Equipment],MATCH(Tabel1[[#This Row],[Model]],Tableau2[Model],0)))</f>
        <v/>
      </c>
      <c r="I281" s="10"/>
      <c r="J281" s="35"/>
      <c r="L281" s="9"/>
      <c r="M281" s="9"/>
      <c r="N281" s="9"/>
      <c r="O2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1" s="21">
        <f>HOUR(Tabel1[[#This Row],[Total Hours]])+MINUTE(Tabel1[[#This Row],[Total Hours]])/60+SECOND(Tabel1[[#This Row],[Total Hours]])/3600</f>
        <v>0</v>
      </c>
      <c r="Q281" s="6">
        <f>Tabel1[[#This Row],[End Time]]+(Tabel1[[#This Row],[End Time]]&lt;Tabel1[[#This Row],[Start time]])</f>
        <v>0</v>
      </c>
      <c r="R28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1" s="6"/>
      <c r="T281" s="7"/>
    </row>
    <row r="282" spans="1:20" x14ac:dyDescent="0.3">
      <c r="A282" s="4"/>
      <c r="B282" s="4">
        <f t="shared" si="4"/>
        <v>275</v>
      </c>
      <c r="C282" s="4" t="str">
        <f>IFERROR(VLOOKUP(Tabel1[[#This Row],[Model]],Tableau2[[Model]:[Parking Number]],2,FALSE)," ")</f>
        <v xml:space="preserve"> </v>
      </c>
      <c r="D282" s="23"/>
      <c r="E282" s="4" t="str">
        <f>IF(Tabel1[[#This Row],[Model]]="", "",INDEX(Tableau2[Equipment Type],MATCH(Tabel1[[#This Row],[Model]],Tableau2[Model],0)))</f>
        <v/>
      </c>
      <c r="G282" s="4" t="str">
        <f>IF(Tabel1[[#This Row],[Model]]="", "",INDEX(Tableau2[Equipment],MATCH(Tabel1[[#This Row],[Model]],Tableau2[Model],0)))</f>
        <v/>
      </c>
      <c r="I282" s="10"/>
      <c r="J282" s="35"/>
      <c r="L282" s="9"/>
      <c r="M282" s="9"/>
      <c r="N282" s="9"/>
      <c r="O2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2" s="21">
        <f>HOUR(Tabel1[[#This Row],[Total Hours]])+MINUTE(Tabel1[[#This Row],[Total Hours]])/60+SECOND(Tabel1[[#This Row],[Total Hours]])/3600</f>
        <v>0</v>
      </c>
      <c r="Q282" s="6">
        <f>Tabel1[[#This Row],[End Time]]+(Tabel1[[#This Row],[End Time]]&lt;Tabel1[[#This Row],[Start time]])</f>
        <v>0</v>
      </c>
      <c r="R28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2" s="6"/>
      <c r="T282" s="7"/>
    </row>
    <row r="283" spans="1:20" x14ac:dyDescent="0.3">
      <c r="A283" s="4"/>
      <c r="B283" s="4">
        <f t="shared" si="4"/>
        <v>276</v>
      </c>
      <c r="C283" s="4" t="str">
        <f>IFERROR(VLOOKUP(Tabel1[[#This Row],[Model]],Tableau2[[Model]:[Parking Number]],2,FALSE)," ")</f>
        <v xml:space="preserve"> </v>
      </c>
      <c r="D283" s="23"/>
      <c r="E283" s="4" t="str">
        <f>IF(Tabel1[[#This Row],[Model]]="", "",INDEX(Tableau2[Equipment Type],MATCH(Tabel1[[#This Row],[Model]],Tableau2[Model],0)))</f>
        <v/>
      </c>
      <c r="G283" s="4" t="str">
        <f>IF(Tabel1[[#This Row],[Model]]="", "",INDEX(Tableau2[Equipment],MATCH(Tabel1[[#This Row],[Model]],Tableau2[Model],0)))</f>
        <v/>
      </c>
      <c r="I283" s="10"/>
      <c r="J283" s="35"/>
      <c r="L283" s="9"/>
      <c r="M283" s="9"/>
      <c r="N283" s="9"/>
      <c r="O2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3" s="21">
        <f>HOUR(Tabel1[[#This Row],[Total Hours]])+MINUTE(Tabel1[[#This Row],[Total Hours]])/60+SECOND(Tabel1[[#This Row],[Total Hours]])/3600</f>
        <v>0</v>
      </c>
      <c r="Q283" s="6">
        <f>Tabel1[[#This Row],[End Time]]+(Tabel1[[#This Row],[End Time]]&lt;Tabel1[[#This Row],[Start time]])</f>
        <v>0</v>
      </c>
      <c r="R28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3" s="6"/>
      <c r="T283" s="7"/>
    </row>
    <row r="284" spans="1:20" x14ac:dyDescent="0.3">
      <c r="A284" s="4"/>
      <c r="B284" s="4">
        <f t="shared" si="4"/>
        <v>277</v>
      </c>
      <c r="C284" s="4" t="str">
        <f>IFERROR(VLOOKUP(Tabel1[[#This Row],[Model]],Tableau2[[Model]:[Parking Number]],2,FALSE)," ")</f>
        <v xml:space="preserve"> </v>
      </c>
      <c r="D284" s="23"/>
      <c r="E284" s="4" t="str">
        <f>IF(Tabel1[[#This Row],[Model]]="", "",INDEX(Tableau2[Equipment Type],MATCH(Tabel1[[#This Row],[Model]],Tableau2[Model],0)))</f>
        <v/>
      </c>
      <c r="G284" s="4" t="str">
        <f>IF(Tabel1[[#This Row],[Model]]="", "",INDEX(Tableau2[Equipment],MATCH(Tabel1[[#This Row],[Model]],Tableau2[Model],0)))</f>
        <v/>
      </c>
      <c r="I284" s="10"/>
      <c r="J284" s="35"/>
      <c r="L284" s="9"/>
      <c r="M284" s="9"/>
      <c r="N284" s="9"/>
      <c r="O2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4" s="21">
        <f>HOUR(Tabel1[[#This Row],[Total Hours]])+MINUTE(Tabel1[[#This Row],[Total Hours]])/60+SECOND(Tabel1[[#This Row],[Total Hours]])/3600</f>
        <v>0</v>
      </c>
      <c r="Q284" s="6">
        <f>Tabel1[[#This Row],[End Time]]+(Tabel1[[#This Row],[End Time]]&lt;Tabel1[[#This Row],[Start time]])</f>
        <v>0</v>
      </c>
      <c r="R28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4" s="6"/>
      <c r="T284" s="7"/>
    </row>
    <row r="285" spans="1:20" x14ac:dyDescent="0.3">
      <c r="A285" s="4"/>
      <c r="B285" s="4">
        <f t="shared" si="4"/>
        <v>278</v>
      </c>
      <c r="C285" s="4" t="str">
        <f>IFERROR(VLOOKUP(Tabel1[[#This Row],[Model]],Tableau2[[Model]:[Parking Number]],2,FALSE)," ")</f>
        <v xml:space="preserve"> </v>
      </c>
      <c r="D285" s="23"/>
      <c r="E285" s="4" t="str">
        <f>IF(Tabel1[[#This Row],[Model]]="", "",INDEX(Tableau2[Equipment Type],MATCH(Tabel1[[#This Row],[Model]],Tableau2[Model],0)))</f>
        <v/>
      </c>
      <c r="G285" s="4" t="str">
        <f>IF(Tabel1[[#This Row],[Model]]="", "",INDEX(Tableau2[Equipment],MATCH(Tabel1[[#This Row],[Model]],Tableau2[Model],0)))</f>
        <v/>
      </c>
      <c r="I285" s="10"/>
      <c r="J285" s="35"/>
      <c r="L285" s="9"/>
      <c r="M285" s="9"/>
      <c r="N285" s="9"/>
      <c r="O2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5" s="21">
        <f>HOUR(Tabel1[[#This Row],[Total Hours]])+MINUTE(Tabel1[[#This Row],[Total Hours]])/60+SECOND(Tabel1[[#This Row],[Total Hours]])/3600</f>
        <v>0</v>
      </c>
      <c r="Q285" s="6">
        <f>Tabel1[[#This Row],[End Time]]+(Tabel1[[#This Row],[End Time]]&lt;Tabel1[[#This Row],[Start time]])</f>
        <v>0</v>
      </c>
      <c r="R28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5" s="6"/>
      <c r="T285" s="7"/>
    </row>
    <row r="286" spans="1:20" x14ac:dyDescent="0.3">
      <c r="A286" s="4"/>
      <c r="B286" s="4">
        <f t="shared" si="4"/>
        <v>279</v>
      </c>
      <c r="C286" s="4" t="str">
        <f>IFERROR(VLOOKUP(Tabel1[[#This Row],[Model]],Tableau2[[Model]:[Parking Number]],2,FALSE)," ")</f>
        <v xml:space="preserve"> </v>
      </c>
      <c r="D286" s="23"/>
      <c r="E286" s="4" t="str">
        <f>IF(Tabel1[[#This Row],[Model]]="", "",INDEX(Tableau2[Equipment Type],MATCH(Tabel1[[#This Row],[Model]],Tableau2[Model],0)))</f>
        <v/>
      </c>
      <c r="G286" s="4" t="str">
        <f>IF(Tabel1[[#This Row],[Model]]="", "",INDEX(Tableau2[Equipment],MATCH(Tabel1[[#This Row],[Model]],Tableau2[Model],0)))</f>
        <v/>
      </c>
      <c r="I286" s="10"/>
      <c r="J286" s="35"/>
      <c r="L286" s="9"/>
      <c r="M286" s="9"/>
      <c r="N286" s="9"/>
      <c r="O2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6" s="21">
        <f>HOUR(Tabel1[[#This Row],[Total Hours]])+MINUTE(Tabel1[[#This Row],[Total Hours]])/60+SECOND(Tabel1[[#This Row],[Total Hours]])/3600</f>
        <v>0</v>
      </c>
      <c r="Q286" s="6">
        <f>Tabel1[[#This Row],[End Time]]+(Tabel1[[#This Row],[End Time]]&lt;Tabel1[[#This Row],[Start time]])</f>
        <v>0</v>
      </c>
      <c r="R28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6" s="6"/>
      <c r="T286" s="7"/>
    </row>
    <row r="287" spans="1:20" x14ac:dyDescent="0.3">
      <c r="A287" s="4"/>
      <c r="B287" s="4">
        <f t="shared" si="4"/>
        <v>280</v>
      </c>
      <c r="C287" s="4" t="str">
        <f>IFERROR(VLOOKUP(Tabel1[[#This Row],[Model]],Tableau2[[Model]:[Parking Number]],2,FALSE)," ")</f>
        <v xml:space="preserve"> </v>
      </c>
      <c r="D287" s="23"/>
      <c r="E287" s="4" t="str">
        <f>IF(Tabel1[[#This Row],[Model]]="", "",INDEX(Tableau2[Equipment Type],MATCH(Tabel1[[#This Row],[Model]],Tableau2[Model],0)))</f>
        <v/>
      </c>
      <c r="G287" s="4" t="str">
        <f>IF(Tabel1[[#This Row],[Model]]="", "",INDEX(Tableau2[Equipment],MATCH(Tabel1[[#This Row],[Model]],Tableau2[Model],0)))</f>
        <v/>
      </c>
      <c r="I287" s="10"/>
      <c r="J287" s="35"/>
      <c r="L287" s="9"/>
      <c r="M287" s="9"/>
      <c r="N287" s="9"/>
      <c r="O2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7" s="21">
        <f>HOUR(Tabel1[[#This Row],[Total Hours]])+MINUTE(Tabel1[[#This Row],[Total Hours]])/60+SECOND(Tabel1[[#This Row],[Total Hours]])/3600</f>
        <v>0</v>
      </c>
      <c r="Q287" s="6">
        <f>Tabel1[[#This Row],[End Time]]+(Tabel1[[#This Row],[End Time]]&lt;Tabel1[[#This Row],[Start time]])</f>
        <v>0</v>
      </c>
      <c r="R28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7" s="6"/>
      <c r="T287" s="7"/>
    </row>
    <row r="288" spans="1:20" x14ac:dyDescent="0.3">
      <c r="A288" s="4"/>
      <c r="B288" s="4">
        <f t="shared" si="4"/>
        <v>281</v>
      </c>
      <c r="C288" s="4" t="str">
        <f>IFERROR(VLOOKUP(Tabel1[[#This Row],[Model]],Tableau2[[Model]:[Parking Number]],2,FALSE)," ")</f>
        <v xml:space="preserve"> </v>
      </c>
      <c r="D288" s="23"/>
      <c r="E288" s="4" t="str">
        <f>IF(Tabel1[[#This Row],[Model]]="", "",INDEX(Tableau2[Equipment Type],MATCH(Tabel1[[#This Row],[Model]],Tableau2[Model],0)))</f>
        <v/>
      </c>
      <c r="G288" s="4" t="str">
        <f>IF(Tabel1[[#This Row],[Model]]="", "",INDEX(Tableau2[Equipment],MATCH(Tabel1[[#This Row],[Model]],Tableau2[Model],0)))</f>
        <v/>
      </c>
      <c r="I288" s="10"/>
      <c r="J288" s="35"/>
      <c r="L288" s="9"/>
      <c r="M288" s="9"/>
      <c r="N288" s="9"/>
      <c r="O2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8" s="21">
        <f>HOUR(Tabel1[[#This Row],[Total Hours]])+MINUTE(Tabel1[[#This Row],[Total Hours]])/60+SECOND(Tabel1[[#This Row],[Total Hours]])/3600</f>
        <v>0</v>
      </c>
      <c r="Q288" s="6">
        <f>Tabel1[[#This Row],[End Time]]+(Tabel1[[#This Row],[End Time]]&lt;Tabel1[[#This Row],[Start time]])</f>
        <v>0</v>
      </c>
      <c r="R28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8" s="6"/>
      <c r="T288" s="7"/>
    </row>
    <row r="289" spans="1:20" x14ac:dyDescent="0.3">
      <c r="A289" s="4"/>
      <c r="B289" s="4">
        <f t="shared" si="4"/>
        <v>282</v>
      </c>
      <c r="C289" s="4" t="str">
        <f>IFERROR(VLOOKUP(Tabel1[[#This Row],[Model]],Tableau2[[Model]:[Parking Number]],2,FALSE)," ")</f>
        <v xml:space="preserve"> </v>
      </c>
      <c r="D289" s="23"/>
      <c r="E289" s="4" t="str">
        <f>IF(Tabel1[[#This Row],[Model]]="", "",INDEX(Tableau2[Equipment Type],MATCH(Tabel1[[#This Row],[Model]],Tableau2[Model],0)))</f>
        <v/>
      </c>
      <c r="G289" s="4" t="str">
        <f>IF(Tabel1[[#This Row],[Model]]="", "",INDEX(Tableau2[Equipment],MATCH(Tabel1[[#This Row],[Model]],Tableau2[Model],0)))</f>
        <v/>
      </c>
      <c r="I289" s="10"/>
      <c r="J289" s="35"/>
      <c r="L289" s="9"/>
      <c r="M289" s="9"/>
      <c r="N289" s="9"/>
      <c r="O2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9" s="21">
        <f>HOUR(Tabel1[[#This Row],[Total Hours]])+MINUTE(Tabel1[[#This Row],[Total Hours]])/60+SECOND(Tabel1[[#This Row],[Total Hours]])/3600</f>
        <v>0</v>
      </c>
      <c r="Q289" s="6">
        <f>Tabel1[[#This Row],[End Time]]+(Tabel1[[#This Row],[End Time]]&lt;Tabel1[[#This Row],[Start time]])</f>
        <v>0</v>
      </c>
      <c r="R28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9" s="6"/>
      <c r="T289" s="7"/>
    </row>
    <row r="290" spans="1:20" x14ac:dyDescent="0.3">
      <c r="A290" s="4"/>
      <c r="B290" s="4">
        <f t="shared" si="4"/>
        <v>283</v>
      </c>
      <c r="C290" s="4" t="str">
        <f>IFERROR(VLOOKUP(Tabel1[[#This Row],[Model]],Tableau2[[Model]:[Parking Number]],2,FALSE)," ")</f>
        <v xml:space="preserve"> </v>
      </c>
      <c r="D290" s="23"/>
      <c r="E290" s="4" t="str">
        <f>IF(Tabel1[[#This Row],[Model]]="", "",INDEX(Tableau2[Equipment Type],MATCH(Tabel1[[#This Row],[Model]],Tableau2[Model],0)))</f>
        <v/>
      </c>
      <c r="G290" s="4" t="str">
        <f>IF(Tabel1[[#This Row],[Model]]="", "",INDEX(Tableau2[Equipment],MATCH(Tabel1[[#This Row],[Model]],Tableau2[Model],0)))</f>
        <v/>
      </c>
      <c r="I290" s="10"/>
      <c r="J290" s="35"/>
      <c r="L290" s="9"/>
      <c r="M290" s="9"/>
      <c r="N290" s="9"/>
      <c r="O2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0" s="21">
        <f>HOUR(Tabel1[[#This Row],[Total Hours]])+MINUTE(Tabel1[[#This Row],[Total Hours]])/60+SECOND(Tabel1[[#This Row],[Total Hours]])/3600</f>
        <v>0</v>
      </c>
      <c r="Q290" s="6">
        <f>Tabel1[[#This Row],[End Time]]+(Tabel1[[#This Row],[End Time]]&lt;Tabel1[[#This Row],[Start time]])</f>
        <v>0</v>
      </c>
      <c r="R29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0" s="6"/>
      <c r="T290" s="7"/>
    </row>
    <row r="291" spans="1:20" x14ac:dyDescent="0.3">
      <c r="A291" s="4"/>
      <c r="B291" s="4">
        <f t="shared" si="4"/>
        <v>284</v>
      </c>
      <c r="C291" s="4" t="str">
        <f>IFERROR(VLOOKUP(Tabel1[[#This Row],[Model]],Tableau2[[Model]:[Parking Number]],2,FALSE)," ")</f>
        <v xml:space="preserve"> </v>
      </c>
      <c r="D291" s="23"/>
      <c r="E291" s="4" t="str">
        <f>IF(Tabel1[[#This Row],[Model]]="", "",INDEX(Tableau2[Equipment Type],MATCH(Tabel1[[#This Row],[Model]],Tableau2[Model],0)))</f>
        <v/>
      </c>
      <c r="G291" s="4" t="str">
        <f>IF(Tabel1[[#This Row],[Model]]="", "",INDEX(Tableau2[Equipment],MATCH(Tabel1[[#This Row],[Model]],Tableau2[Model],0)))</f>
        <v/>
      </c>
      <c r="I291" s="10"/>
      <c r="J291" s="35"/>
      <c r="L291" s="9"/>
      <c r="M291" s="9"/>
      <c r="N291" s="9"/>
      <c r="O2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1" s="21">
        <f>HOUR(Tabel1[[#This Row],[Total Hours]])+MINUTE(Tabel1[[#This Row],[Total Hours]])/60+SECOND(Tabel1[[#This Row],[Total Hours]])/3600</f>
        <v>0</v>
      </c>
      <c r="Q291" s="6">
        <f>Tabel1[[#This Row],[End Time]]+(Tabel1[[#This Row],[End Time]]&lt;Tabel1[[#This Row],[Start time]])</f>
        <v>0</v>
      </c>
      <c r="R29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1" s="6"/>
      <c r="T291" s="7"/>
    </row>
    <row r="292" spans="1:20" x14ac:dyDescent="0.3">
      <c r="A292" s="4"/>
      <c r="B292" s="4">
        <f t="shared" si="4"/>
        <v>285</v>
      </c>
      <c r="C292" s="4" t="str">
        <f>IFERROR(VLOOKUP(Tabel1[[#This Row],[Model]],Tableau2[[Model]:[Parking Number]],2,FALSE)," ")</f>
        <v xml:space="preserve"> </v>
      </c>
      <c r="D292" s="23"/>
      <c r="E292" s="4" t="str">
        <f>IF(Tabel1[[#This Row],[Model]]="", "",INDEX(Tableau2[Equipment Type],MATCH(Tabel1[[#This Row],[Model]],Tableau2[Model],0)))</f>
        <v/>
      </c>
      <c r="G292" s="4" t="str">
        <f>IF(Tabel1[[#This Row],[Model]]="", "",INDEX(Tableau2[Equipment],MATCH(Tabel1[[#This Row],[Model]],Tableau2[Model],0)))</f>
        <v/>
      </c>
      <c r="I292" s="10"/>
      <c r="J292" s="35"/>
      <c r="L292" s="9"/>
      <c r="M292" s="9"/>
      <c r="N292" s="9"/>
      <c r="O2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2" s="21">
        <f>HOUR(Tabel1[[#This Row],[Total Hours]])+MINUTE(Tabel1[[#This Row],[Total Hours]])/60+SECOND(Tabel1[[#This Row],[Total Hours]])/3600</f>
        <v>0</v>
      </c>
      <c r="Q292" s="6">
        <f>Tabel1[[#This Row],[End Time]]+(Tabel1[[#This Row],[End Time]]&lt;Tabel1[[#This Row],[Start time]])</f>
        <v>0</v>
      </c>
      <c r="R29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2" s="6"/>
      <c r="T292" s="7"/>
    </row>
    <row r="293" spans="1:20" x14ac:dyDescent="0.3">
      <c r="A293" s="4"/>
      <c r="B293" s="4">
        <f t="shared" si="4"/>
        <v>286</v>
      </c>
      <c r="C293" s="4" t="str">
        <f>IFERROR(VLOOKUP(Tabel1[[#This Row],[Model]],Tableau2[[Model]:[Parking Number]],2,FALSE)," ")</f>
        <v xml:space="preserve"> </v>
      </c>
      <c r="D293" s="23"/>
      <c r="E293" s="4" t="str">
        <f>IF(Tabel1[[#This Row],[Model]]="", "",INDEX(Tableau2[Equipment Type],MATCH(Tabel1[[#This Row],[Model]],Tableau2[Model],0)))</f>
        <v/>
      </c>
      <c r="G293" s="4" t="str">
        <f>IF(Tabel1[[#This Row],[Model]]="", "",INDEX(Tableau2[Equipment],MATCH(Tabel1[[#This Row],[Model]],Tableau2[Model],0)))</f>
        <v/>
      </c>
      <c r="I293" s="10"/>
      <c r="J293" s="35"/>
      <c r="L293" s="9"/>
      <c r="M293" s="9"/>
      <c r="N293" s="9"/>
      <c r="O2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3" s="21">
        <f>HOUR(Tabel1[[#This Row],[Total Hours]])+MINUTE(Tabel1[[#This Row],[Total Hours]])/60+SECOND(Tabel1[[#This Row],[Total Hours]])/3600</f>
        <v>0</v>
      </c>
      <c r="Q293" s="6">
        <f>Tabel1[[#This Row],[End Time]]+(Tabel1[[#This Row],[End Time]]&lt;Tabel1[[#This Row],[Start time]])</f>
        <v>0</v>
      </c>
      <c r="R29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3" s="6"/>
      <c r="T293" s="7"/>
    </row>
    <row r="294" spans="1:20" x14ac:dyDescent="0.3">
      <c r="A294" s="4"/>
      <c r="B294" s="4">
        <f t="shared" si="4"/>
        <v>287</v>
      </c>
      <c r="C294" s="4" t="str">
        <f>IFERROR(VLOOKUP(Tabel1[[#This Row],[Model]],Tableau2[[Model]:[Parking Number]],2,FALSE)," ")</f>
        <v xml:space="preserve"> </v>
      </c>
      <c r="D294" s="23"/>
      <c r="E294" s="4" t="str">
        <f>IF(Tabel1[[#This Row],[Model]]="", "",INDEX(Tableau2[Equipment Type],MATCH(Tabel1[[#This Row],[Model]],Tableau2[Model],0)))</f>
        <v/>
      </c>
      <c r="G294" s="4" t="str">
        <f>IF(Tabel1[[#This Row],[Model]]="", "",INDEX(Tableau2[Equipment],MATCH(Tabel1[[#This Row],[Model]],Tableau2[Model],0)))</f>
        <v/>
      </c>
      <c r="I294" s="10"/>
      <c r="J294" s="35"/>
      <c r="L294" s="9"/>
      <c r="M294" s="9"/>
      <c r="N294" s="9"/>
      <c r="O2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4" s="21">
        <f>HOUR(Tabel1[[#This Row],[Total Hours]])+MINUTE(Tabel1[[#This Row],[Total Hours]])/60+SECOND(Tabel1[[#This Row],[Total Hours]])/3600</f>
        <v>0</v>
      </c>
      <c r="Q294" s="6">
        <f>Tabel1[[#This Row],[End Time]]+(Tabel1[[#This Row],[End Time]]&lt;Tabel1[[#This Row],[Start time]])</f>
        <v>0</v>
      </c>
      <c r="R29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4" s="6"/>
      <c r="T294" s="7"/>
    </row>
    <row r="295" spans="1:20" x14ac:dyDescent="0.3">
      <c r="A295" s="4"/>
      <c r="B295" s="4">
        <f t="shared" si="4"/>
        <v>288</v>
      </c>
      <c r="C295" s="4" t="str">
        <f>IFERROR(VLOOKUP(Tabel1[[#This Row],[Model]],Tableau2[[Model]:[Parking Number]],2,FALSE)," ")</f>
        <v xml:space="preserve"> </v>
      </c>
      <c r="D295" s="23"/>
      <c r="E295" s="4" t="str">
        <f>IF(Tabel1[[#This Row],[Model]]="", "",INDEX(Tableau2[Equipment Type],MATCH(Tabel1[[#This Row],[Model]],Tableau2[Model],0)))</f>
        <v/>
      </c>
      <c r="G295" s="4" t="str">
        <f>IF(Tabel1[[#This Row],[Model]]="", "",INDEX(Tableau2[Equipment],MATCH(Tabel1[[#This Row],[Model]],Tableau2[Model],0)))</f>
        <v/>
      </c>
      <c r="I295" s="10"/>
      <c r="J295" s="35"/>
      <c r="L295" s="9"/>
      <c r="M295" s="9"/>
      <c r="N295" s="9"/>
      <c r="O2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5" s="21">
        <f>HOUR(Tabel1[[#This Row],[Total Hours]])+MINUTE(Tabel1[[#This Row],[Total Hours]])/60+SECOND(Tabel1[[#This Row],[Total Hours]])/3600</f>
        <v>0</v>
      </c>
      <c r="Q295" s="6">
        <f>Tabel1[[#This Row],[End Time]]+(Tabel1[[#This Row],[End Time]]&lt;Tabel1[[#This Row],[Start time]])</f>
        <v>0</v>
      </c>
      <c r="R29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5" s="6"/>
      <c r="T295" s="7"/>
    </row>
    <row r="296" spans="1:20" x14ac:dyDescent="0.3">
      <c r="A296" s="4"/>
      <c r="B296" s="4">
        <f t="shared" si="4"/>
        <v>289</v>
      </c>
      <c r="C296" s="4" t="str">
        <f>IFERROR(VLOOKUP(Tabel1[[#This Row],[Model]],Tableau2[[Model]:[Parking Number]],2,FALSE)," ")</f>
        <v xml:space="preserve"> </v>
      </c>
      <c r="D296" s="23"/>
      <c r="E296" s="4" t="str">
        <f>IF(Tabel1[[#This Row],[Model]]="", "",INDEX(Tableau2[Equipment Type],MATCH(Tabel1[[#This Row],[Model]],Tableau2[Model],0)))</f>
        <v/>
      </c>
      <c r="G296" s="4" t="str">
        <f>IF(Tabel1[[#This Row],[Model]]="", "",INDEX(Tableau2[Equipment],MATCH(Tabel1[[#This Row],[Model]],Tableau2[Model],0)))</f>
        <v/>
      </c>
      <c r="I296" s="10"/>
      <c r="J296" s="35"/>
      <c r="L296" s="9"/>
      <c r="M296" s="9"/>
      <c r="N296" s="9"/>
      <c r="O2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6" s="21">
        <f>HOUR(Tabel1[[#This Row],[Total Hours]])+MINUTE(Tabel1[[#This Row],[Total Hours]])/60+SECOND(Tabel1[[#This Row],[Total Hours]])/3600</f>
        <v>0</v>
      </c>
      <c r="Q296" s="6">
        <f>Tabel1[[#This Row],[End Time]]+(Tabel1[[#This Row],[End Time]]&lt;Tabel1[[#This Row],[Start time]])</f>
        <v>0</v>
      </c>
      <c r="R29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6" s="6"/>
      <c r="T296" s="7"/>
    </row>
    <row r="297" spans="1:20" x14ac:dyDescent="0.3">
      <c r="A297" s="4"/>
      <c r="B297" s="4">
        <f t="shared" si="4"/>
        <v>290</v>
      </c>
      <c r="C297" s="4" t="str">
        <f>IFERROR(VLOOKUP(Tabel1[[#This Row],[Model]],Tableau2[[Model]:[Parking Number]],2,FALSE)," ")</f>
        <v xml:space="preserve"> </v>
      </c>
      <c r="D297" s="23"/>
      <c r="E297" s="4" t="str">
        <f>IF(Tabel1[[#This Row],[Model]]="", "",INDEX(Tableau2[Equipment Type],MATCH(Tabel1[[#This Row],[Model]],Tableau2[Model],0)))</f>
        <v/>
      </c>
      <c r="G297" s="4" t="str">
        <f>IF(Tabel1[[#This Row],[Model]]="", "",INDEX(Tableau2[Equipment],MATCH(Tabel1[[#This Row],[Model]],Tableau2[Model],0)))</f>
        <v/>
      </c>
      <c r="I297" s="10"/>
      <c r="J297" s="35"/>
      <c r="L297" s="9"/>
      <c r="M297" s="9"/>
      <c r="N297" s="9"/>
      <c r="O2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7" s="21">
        <f>HOUR(Tabel1[[#This Row],[Total Hours]])+MINUTE(Tabel1[[#This Row],[Total Hours]])/60+SECOND(Tabel1[[#This Row],[Total Hours]])/3600</f>
        <v>0</v>
      </c>
      <c r="Q297" s="6">
        <f>Tabel1[[#This Row],[End Time]]+(Tabel1[[#This Row],[End Time]]&lt;Tabel1[[#This Row],[Start time]])</f>
        <v>0</v>
      </c>
      <c r="R29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7" s="6"/>
      <c r="T297" s="7"/>
    </row>
    <row r="298" spans="1:20" x14ac:dyDescent="0.3">
      <c r="A298" s="4"/>
      <c r="B298" s="4">
        <f t="shared" si="4"/>
        <v>291</v>
      </c>
      <c r="C298" s="4" t="str">
        <f>IFERROR(VLOOKUP(Tabel1[[#This Row],[Model]],Tableau2[[Model]:[Parking Number]],2,FALSE)," ")</f>
        <v xml:space="preserve"> </v>
      </c>
      <c r="D298" s="23"/>
      <c r="E298" s="4" t="str">
        <f>IF(Tabel1[[#This Row],[Model]]="", "",INDEX(Tableau2[Equipment Type],MATCH(Tabel1[[#This Row],[Model]],Tableau2[Model],0)))</f>
        <v/>
      </c>
      <c r="G298" s="4" t="str">
        <f>IF(Tabel1[[#This Row],[Model]]="", "",INDEX(Tableau2[Equipment],MATCH(Tabel1[[#This Row],[Model]],Tableau2[Model],0)))</f>
        <v/>
      </c>
      <c r="I298" s="10"/>
      <c r="J298" s="35"/>
      <c r="L298" s="9"/>
      <c r="M298" s="9"/>
      <c r="N298" s="9"/>
      <c r="O2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8" s="21">
        <f>HOUR(Tabel1[[#This Row],[Total Hours]])+MINUTE(Tabel1[[#This Row],[Total Hours]])/60+SECOND(Tabel1[[#This Row],[Total Hours]])/3600</f>
        <v>0</v>
      </c>
      <c r="Q298" s="6">
        <f>Tabel1[[#This Row],[End Time]]+(Tabel1[[#This Row],[End Time]]&lt;Tabel1[[#This Row],[Start time]])</f>
        <v>0</v>
      </c>
      <c r="R29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8" s="6"/>
      <c r="T298" s="7"/>
    </row>
    <row r="299" spans="1:20" x14ac:dyDescent="0.3">
      <c r="A299" s="4"/>
      <c r="B299" s="4">
        <f t="shared" si="4"/>
        <v>292</v>
      </c>
      <c r="C299" s="4" t="str">
        <f>IFERROR(VLOOKUP(Tabel1[[#This Row],[Model]],Tableau2[[Model]:[Parking Number]],2,FALSE)," ")</f>
        <v xml:space="preserve"> </v>
      </c>
      <c r="D299" s="23"/>
      <c r="E299" s="4" t="str">
        <f>IF(Tabel1[[#This Row],[Model]]="", "",INDEX(Tableau2[Equipment Type],MATCH(Tabel1[[#This Row],[Model]],Tableau2[Model],0)))</f>
        <v/>
      </c>
      <c r="G299" s="4" t="str">
        <f>IF(Tabel1[[#This Row],[Model]]="", "",INDEX(Tableau2[Equipment],MATCH(Tabel1[[#This Row],[Model]],Tableau2[Model],0)))</f>
        <v/>
      </c>
      <c r="I299" s="10"/>
      <c r="J299" s="35"/>
      <c r="L299" s="9"/>
      <c r="M299" s="9"/>
      <c r="N299" s="9"/>
      <c r="O2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9" s="21">
        <f>HOUR(Tabel1[[#This Row],[Total Hours]])+MINUTE(Tabel1[[#This Row],[Total Hours]])/60+SECOND(Tabel1[[#This Row],[Total Hours]])/3600</f>
        <v>0</v>
      </c>
      <c r="Q299" s="6">
        <f>Tabel1[[#This Row],[End Time]]+(Tabel1[[#This Row],[End Time]]&lt;Tabel1[[#This Row],[Start time]])</f>
        <v>0</v>
      </c>
      <c r="R29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9" s="6"/>
      <c r="T299" s="7"/>
    </row>
    <row r="300" spans="1:20" x14ac:dyDescent="0.3">
      <c r="A300" s="4"/>
      <c r="B300" s="4">
        <f t="shared" si="4"/>
        <v>293</v>
      </c>
      <c r="C300" s="4" t="str">
        <f>IFERROR(VLOOKUP(Tabel1[[#This Row],[Model]],Tableau2[[Model]:[Parking Number]],2,FALSE)," ")</f>
        <v xml:space="preserve"> </v>
      </c>
      <c r="D300" s="23"/>
      <c r="E300" s="4" t="str">
        <f>IF(Tabel1[[#This Row],[Model]]="", "",INDEX(Tableau2[Equipment Type],MATCH(Tabel1[[#This Row],[Model]],Tableau2[Model],0)))</f>
        <v/>
      </c>
      <c r="G300" s="4" t="str">
        <f>IF(Tabel1[[#This Row],[Model]]="", "",INDEX(Tableau2[Equipment],MATCH(Tabel1[[#This Row],[Model]],Tableau2[Model],0)))</f>
        <v/>
      </c>
      <c r="I300" s="10"/>
      <c r="J300" s="35"/>
      <c r="L300" s="9"/>
      <c r="M300" s="9"/>
      <c r="N300" s="9"/>
      <c r="O3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0" s="21">
        <f>HOUR(Tabel1[[#This Row],[Total Hours]])+MINUTE(Tabel1[[#This Row],[Total Hours]])/60+SECOND(Tabel1[[#This Row],[Total Hours]])/3600</f>
        <v>0</v>
      </c>
      <c r="Q300" s="6">
        <f>Tabel1[[#This Row],[End Time]]+(Tabel1[[#This Row],[End Time]]&lt;Tabel1[[#This Row],[Start time]])</f>
        <v>0</v>
      </c>
      <c r="R30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0" s="6"/>
      <c r="T300" s="7"/>
    </row>
    <row r="301" spans="1:20" x14ac:dyDescent="0.3">
      <c r="A301" s="4"/>
      <c r="B301" s="4">
        <f t="shared" si="4"/>
        <v>294</v>
      </c>
      <c r="C301" s="4" t="str">
        <f>IFERROR(VLOOKUP(Tabel1[[#This Row],[Model]],Tableau2[[Model]:[Parking Number]],2,FALSE)," ")</f>
        <v xml:space="preserve"> </v>
      </c>
      <c r="D301" s="23"/>
      <c r="E301" s="4" t="str">
        <f>IF(Tabel1[[#This Row],[Model]]="", "",INDEX(Tableau2[Equipment Type],MATCH(Tabel1[[#This Row],[Model]],Tableau2[Model],0)))</f>
        <v/>
      </c>
      <c r="G301" s="4" t="str">
        <f>IF(Tabel1[[#This Row],[Model]]="", "",INDEX(Tableau2[Equipment],MATCH(Tabel1[[#This Row],[Model]],Tableau2[Model],0)))</f>
        <v/>
      </c>
      <c r="I301" s="10"/>
      <c r="J301" s="35"/>
      <c r="L301" s="9"/>
      <c r="M301" s="9"/>
      <c r="N301" s="9"/>
      <c r="O3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1" s="21">
        <f>HOUR(Tabel1[[#This Row],[Total Hours]])+MINUTE(Tabel1[[#This Row],[Total Hours]])/60+SECOND(Tabel1[[#This Row],[Total Hours]])/3600</f>
        <v>0</v>
      </c>
      <c r="Q301" s="6">
        <f>Tabel1[[#This Row],[End Time]]+(Tabel1[[#This Row],[End Time]]&lt;Tabel1[[#This Row],[Start time]])</f>
        <v>0</v>
      </c>
      <c r="R30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1" s="6"/>
      <c r="T301" s="7"/>
    </row>
    <row r="302" spans="1:20" x14ac:dyDescent="0.3">
      <c r="A302" s="4"/>
      <c r="B302" s="4">
        <f t="shared" si="4"/>
        <v>295</v>
      </c>
      <c r="C302" s="4" t="str">
        <f>IFERROR(VLOOKUP(Tabel1[[#This Row],[Model]],Tableau2[[Model]:[Parking Number]],2,FALSE)," ")</f>
        <v xml:space="preserve"> </v>
      </c>
      <c r="D302" s="23"/>
      <c r="E302" s="4" t="str">
        <f>IF(Tabel1[[#This Row],[Model]]="", "",INDEX(Tableau2[Equipment Type],MATCH(Tabel1[[#This Row],[Model]],Tableau2[Model],0)))</f>
        <v/>
      </c>
      <c r="G302" s="4" t="str">
        <f>IF(Tabel1[[#This Row],[Model]]="", "",INDEX(Tableau2[Equipment],MATCH(Tabel1[[#This Row],[Model]],Tableau2[Model],0)))</f>
        <v/>
      </c>
      <c r="I302" s="10"/>
      <c r="J302" s="35"/>
      <c r="L302" s="9"/>
      <c r="M302" s="9"/>
      <c r="N302" s="9"/>
      <c r="O3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2" s="21">
        <f>HOUR(Tabel1[[#This Row],[Total Hours]])+MINUTE(Tabel1[[#This Row],[Total Hours]])/60+SECOND(Tabel1[[#This Row],[Total Hours]])/3600</f>
        <v>0</v>
      </c>
      <c r="Q302" s="6">
        <f>Tabel1[[#This Row],[End Time]]+(Tabel1[[#This Row],[End Time]]&lt;Tabel1[[#This Row],[Start time]])</f>
        <v>0</v>
      </c>
      <c r="R30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2" s="6"/>
      <c r="T302" s="7"/>
    </row>
    <row r="303" spans="1:20" x14ac:dyDescent="0.3">
      <c r="A303" s="4"/>
      <c r="B303" s="4">
        <f t="shared" si="4"/>
        <v>296</v>
      </c>
      <c r="C303" s="4" t="str">
        <f>IFERROR(VLOOKUP(Tabel1[[#This Row],[Model]],Tableau2[[Model]:[Parking Number]],2,FALSE)," ")</f>
        <v xml:space="preserve"> </v>
      </c>
      <c r="D303" s="23"/>
      <c r="E303" s="4" t="str">
        <f>IF(Tabel1[[#This Row],[Model]]="", "",INDEX(Tableau2[Equipment Type],MATCH(Tabel1[[#This Row],[Model]],Tableau2[Model],0)))</f>
        <v/>
      </c>
      <c r="G303" s="4" t="str">
        <f>IF(Tabel1[[#This Row],[Model]]="", "",INDEX(Tableau2[Equipment],MATCH(Tabel1[[#This Row],[Model]],Tableau2[Model],0)))</f>
        <v/>
      </c>
      <c r="I303" s="10"/>
      <c r="J303" s="35"/>
      <c r="L303" s="9"/>
      <c r="M303" s="9"/>
      <c r="N303" s="9"/>
      <c r="O3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3" s="21">
        <f>HOUR(Tabel1[[#This Row],[Total Hours]])+MINUTE(Tabel1[[#This Row],[Total Hours]])/60+SECOND(Tabel1[[#This Row],[Total Hours]])/3600</f>
        <v>0</v>
      </c>
      <c r="Q303" s="6">
        <f>Tabel1[[#This Row],[End Time]]+(Tabel1[[#This Row],[End Time]]&lt;Tabel1[[#This Row],[Start time]])</f>
        <v>0</v>
      </c>
      <c r="R30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3" s="6"/>
      <c r="T303" s="7"/>
    </row>
    <row r="304" spans="1:20" x14ac:dyDescent="0.3">
      <c r="A304" s="4"/>
      <c r="B304" s="4">
        <f t="shared" si="4"/>
        <v>297</v>
      </c>
      <c r="C304" s="4" t="str">
        <f>IFERROR(VLOOKUP(Tabel1[[#This Row],[Model]],Tableau2[[Model]:[Parking Number]],2,FALSE)," ")</f>
        <v xml:space="preserve"> </v>
      </c>
      <c r="D304" s="23"/>
      <c r="E304" s="4" t="str">
        <f>IF(Tabel1[[#This Row],[Model]]="", "",INDEX(Tableau2[Equipment Type],MATCH(Tabel1[[#This Row],[Model]],Tableau2[Model],0)))</f>
        <v/>
      </c>
      <c r="G304" s="4" t="str">
        <f>IF(Tabel1[[#This Row],[Model]]="", "",INDEX(Tableau2[Equipment],MATCH(Tabel1[[#This Row],[Model]],Tableau2[Model],0)))</f>
        <v/>
      </c>
      <c r="I304" s="10"/>
      <c r="J304" s="35"/>
      <c r="L304" s="9"/>
      <c r="M304" s="9"/>
      <c r="N304" s="9"/>
      <c r="O3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4" s="21">
        <f>HOUR(Tabel1[[#This Row],[Total Hours]])+MINUTE(Tabel1[[#This Row],[Total Hours]])/60+SECOND(Tabel1[[#This Row],[Total Hours]])/3600</f>
        <v>0</v>
      </c>
      <c r="Q304" s="6">
        <f>Tabel1[[#This Row],[End Time]]+(Tabel1[[#This Row],[End Time]]&lt;Tabel1[[#This Row],[Start time]])</f>
        <v>0</v>
      </c>
      <c r="R30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4" s="6"/>
      <c r="T304" s="7"/>
    </row>
    <row r="305" spans="1:20" x14ac:dyDescent="0.3">
      <c r="A305" s="4"/>
      <c r="B305" s="4">
        <f t="shared" si="4"/>
        <v>298</v>
      </c>
      <c r="C305" s="4" t="str">
        <f>IFERROR(VLOOKUP(Tabel1[[#This Row],[Model]],Tableau2[[Model]:[Parking Number]],2,FALSE)," ")</f>
        <v xml:space="preserve"> </v>
      </c>
      <c r="D305" s="23"/>
      <c r="E305" s="4" t="str">
        <f>IF(Tabel1[[#This Row],[Model]]="", "",INDEX(Tableau2[Equipment Type],MATCH(Tabel1[[#This Row],[Model]],Tableau2[Model],0)))</f>
        <v/>
      </c>
      <c r="G305" s="4" t="str">
        <f>IF(Tabel1[[#This Row],[Model]]="", "",INDEX(Tableau2[Equipment],MATCH(Tabel1[[#This Row],[Model]],Tableau2[Model],0)))</f>
        <v/>
      </c>
      <c r="I305" s="10"/>
      <c r="J305" s="35"/>
      <c r="L305" s="9"/>
      <c r="M305" s="9"/>
      <c r="N305" s="9"/>
      <c r="O3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5" s="21">
        <f>HOUR(Tabel1[[#This Row],[Total Hours]])+MINUTE(Tabel1[[#This Row],[Total Hours]])/60+SECOND(Tabel1[[#This Row],[Total Hours]])/3600</f>
        <v>0</v>
      </c>
      <c r="Q305" s="6">
        <f>Tabel1[[#This Row],[End Time]]+(Tabel1[[#This Row],[End Time]]&lt;Tabel1[[#This Row],[Start time]])</f>
        <v>0</v>
      </c>
      <c r="R30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5" s="6"/>
      <c r="T305" s="7"/>
    </row>
    <row r="306" spans="1:20" x14ac:dyDescent="0.3">
      <c r="A306" s="4"/>
      <c r="B306" s="4">
        <f t="shared" si="4"/>
        <v>299</v>
      </c>
      <c r="C306" s="4" t="str">
        <f>IFERROR(VLOOKUP(Tabel1[[#This Row],[Model]],Tableau2[[Model]:[Parking Number]],2,FALSE)," ")</f>
        <v xml:space="preserve"> </v>
      </c>
      <c r="D306" s="23"/>
      <c r="E306" s="4" t="str">
        <f>IF(Tabel1[[#This Row],[Model]]="", "",INDEX(Tableau2[Equipment Type],MATCH(Tabel1[[#This Row],[Model]],Tableau2[Model],0)))</f>
        <v/>
      </c>
      <c r="G306" s="4" t="str">
        <f>IF(Tabel1[[#This Row],[Model]]="", "",INDEX(Tableau2[Equipment],MATCH(Tabel1[[#This Row],[Model]],Tableau2[Model],0)))</f>
        <v/>
      </c>
      <c r="I306" s="10"/>
      <c r="J306" s="35"/>
      <c r="L306" s="9"/>
      <c r="M306" s="9"/>
      <c r="N306" s="9"/>
      <c r="O3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6" s="21">
        <f>HOUR(Tabel1[[#This Row],[Total Hours]])+MINUTE(Tabel1[[#This Row],[Total Hours]])/60+SECOND(Tabel1[[#This Row],[Total Hours]])/3600</f>
        <v>0</v>
      </c>
      <c r="Q306" s="6">
        <f>Tabel1[[#This Row],[End Time]]+(Tabel1[[#This Row],[End Time]]&lt;Tabel1[[#This Row],[Start time]])</f>
        <v>0</v>
      </c>
      <c r="R30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6" s="6"/>
      <c r="T306" s="7"/>
    </row>
    <row r="307" spans="1:20" x14ac:dyDescent="0.3">
      <c r="A307" s="4"/>
      <c r="B307" s="4">
        <f t="shared" si="4"/>
        <v>300</v>
      </c>
      <c r="C307" s="4" t="str">
        <f>IFERROR(VLOOKUP(Tabel1[[#This Row],[Model]],Tableau2[[Model]:[Parking Number]],2,FALSE)," ")</f>
        <v xml:space="preserve"> </v>
      </c>
      <c r="D307" s="23"/>
      <c r="E307" s="4" t="str">
        <f>IF(Tabel1[[#This Row],[Model]]="", "",INDEX(Tableau2[Equipment Type],MATCH(Tabel1[[#This Row],[Model]],Tableau2[Model],0)))</f>
        <v/>
      </c>
      <c r="G307" s="4" t="str">
        <f>IF(Tabel1[[#This Row],[Model]]="", "",INDEX(Tableau2[Equipment],MATCH(Tabel1[[#This Row],[Model]],Tableau2[Model],0)))</f>
        <v/>
      </c>
      <c r="I307" s="10"/>
      <c r="J307" s="35"/>
      <c r="L307" s="9"/>
      <c r="M307" s="9"/>
      <c r="N307" s="9"/>
      <c r="O3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7" s="21">
        <f>HOUR(Tabel1[[#This Row],[Total Hours]])+MINUTE(Tabel1[[#This Row],[Total Hours]])/60+SECOND(Tabel1[[#This Row],[Total Hours]])/3600</f>
        <v>0</v>
      </c>
      <c r="Q307" s="6">
        <f>Tabel1[[#This Row],[End Time]]+(Tabel1[[#This Row],[End Time]]&lt;Tabel1[[#This Row],[Start time]])</f>
        <v>0</v>
      </c>
      <c r="R30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7" s="6"/>
      <c r="T307" s="7"/>
    </row>
    <row r="308" spans="1:20" x14ac:dyDescent="0.3">
      <c r="A308" s="4"/>
      <c r="B308" s="4">
        <f t="shared" si="4"/>
        <v>301</v>
      </c>
      <c r="C308" s="4" t="str">
        <f>IFERROR(VLOOKUP(Tabel1[[#This Row],[Model]],Tableau2[[Model]:[Parking Number]],2,FALSE)," ")</f>
        <v xml:space="preserve"> </v>
      </c>
      <c r="D308" s="23"/>
      <c r="E308" s="4" t="str">
        <f>IF(Tabel1[[#This Row],[Model]]="", "",INDEX(Tableau2[Equipment Type],MATCH(Tabel1[[#This Row],[Model]],Tableau2[Model],0)))</f>
        <v/>
      </c>
      <c r="G308" s="4" t="str">
        <f>IF(Tabel1[[#This Row],[Model]]="", "",INDEX(Tableau2[Equipment],MATCH(Tabel1[[#This Row],[Model]],Tableau2[Model],0)))</f>
        <v/>
      </c>
      <c r="I308" s="10"/>
      <c r="J308" s="35"/>
      <c r="L308" s="9"/>
      <c r="M308" s="9"/>
      <c r="N308" s="9"/>
      <c r="O3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8" s="21">
        <f>HOUR(Tabel1[[#This Row],[Total Hours]])+MINUTE(Tabel1[[#This Row],[Total Hours]])/60+SECOND(Tabel1[[#This Row],[Total Hours]])/3600</f>
        <v>0</v>
      </c>
      <c r="Q308" s="6">
        <f>Tabel1[[#This Row],[End Time]]+(Tabel1[[#This Row],[End Time]]&lt;Tabel1[[#This Row],[Start time]])</f>
        <v>0</v>
      </c>
      <c r="R30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8" s="6"/>
      <c r="T308" s="7"/>
    </row>
    <row r="309" spans="1:20" x14ac:dyDescent="0.3">
      <c r="A309" s="4"/>
      <c r="B309" s="4">
        <f t="shared" si="4"/>
        <v>302</v>
      </c>
      <c r="C309" s="4" t="str">
        <f>IFERROR(VLOOKUP(Tabel1[[#This Row],[Model]],Tableau2[[Model]:[Parking Number]],2,FALSE)," ")</f>
        <v xml:space="preserve"> </v>
      </c>
      <c r="D309" s="23"/>
      <c r="E309" s="4" t="str">
        <f>IF(Tabel1[[#This Row],[Model]]="", "",INDEX(Tableau2[Equipment Type],MATCH(Tabel1[[#This Row],[Model]],Tableau2[Model],0)))</f>
        <v/>
      </c>
      <c r="G309" s="4" t="str">
        <f>IF(Tabel1[[#This Row],[Model]]="", "",INDEX(Tableau2[Equipment],MATCH(Tabel1[[#This Row],[Model]],Tableau2[Model],0)))</f>
        <v/>
      </c>
      <c r="I309" s="10"/>
      <c r="J309" s="35"/>
      <c r="L309" s="9"/>
      <c r="M309" s="9"/>
      <c r="N309" s="9"/>
      <c r="O3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9" s="21">
        <f>HOUR(Tabel1[[#This Row],[Total Hours]])+MINUTE(Tabel1[[#This Row],[Total Hours]])/60+SECOND(Tabel1[[#This Row],[Total Hours]])/3600</f>
        <v>0</v>
      </c>
      <c r="Q309" s="6">
        <f>Tabel1[[#This Row],[End Time]]+(Tabel1[[#This Row],[End Time]]&lt;Tabel1[[#This Row],[Start time]])</f>
        <v>0</v>
      </c>
      <c r="R30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9" s="6"/>
      <c r="T309" s="7"/>
    </row>
    <row r="310" spans="1:20" x14ac:dyDescent="0.3">
      <c r="A310" s="4"/>
      <c r="B310" s="4">
        <f t="shared" si="4"/>
        <v>303</v>
      </c>
      <c r="C310" s="4" t="str">
        <f>IFERROR(VLOOKUP(Tabel1[[#This Row],[Model]],Tableau2[[Model]:[Parking Number]],2,FALSE)," ")</f>
        <v xml:space="preserve"> </v>
      </c>
      <c r="D310" s="23"/>
      <c r="E310" s="4" t="str">
        <f>IF(Tabel1[[#This Row],[Model]]="", "",INDEX(Tableau2[Equipment Type],MATCH(Tabel1[[#This Row],[Model]],Tableau2[Model],0)))</f>
        <v/>
      </c>
      <c r="G310" s="4" t="str">
        <f>IF(Tabel1[[#This Row],[Model]]="", "",INDEX(Tableau2[Equipment],MATCH(Tabel1[[#This Row],[Model]],Tableau2[Model],0)))</f>
        <v/>
      </c>
      <c r="I310" s="10"/>
      <c r="J310" s="35"/>
      <c r="L310" s="9"/>
      <c r="M310" s="9"/>
      <c r="N310" s="9"/>
      <c r="O3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0" s="21">
        <f>HOUR(Tabel1[[#This Row],[Total Hours]])+MINUTE(Tabel1[[#This Row],[Total Hours]])/60+SECOND(Tabel1[[#This Row],[Total Hours]])/3600</f>
        <v>0</v>
      </c>
      <c r="Q310" s="6">
        <f>Tabel1[[#This Row],[End Time]]+(Tabel1[[#This Row],[End Time]]&lt;Tabel1[[#This Row],[Start time]])</f>
        <v>0</v>
      </c>
      <c r="R31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0" s="6"/>
      <c r="T310" s="7"/>
    </row>
    <row r="311" spans="1:20" x14ac:dyDescent="0.3">
      <c r="A311" s="4"/>
      <c r="B311" s="4">
        <f t="shared" si="4"/>
        <v>304</v>
      </c>
      <c r="C311" s="4" t="str">
        <f>IFERROR(VLOOKUP(Tabel1[[#This Row],[Model]],Tableau2[[Model]:[Parking Number]],2,FALSE)," ")</f>
        <v xml:space="preserve"> </v>
      </c>
      <c r="D311" s="23"/>
      <c r="E311" s="4" t="str">
        <f>IF(Tabel1[[#This Row],[Model]]="", "",INDEX(Tableau2[Equipment Type],MATCH(Tabel1[[#This Row],[Model]],Tableau2[Model],0)))</f>
        <v/>
      </c>
      <c r="G311" s="4" t="str">
        <f>IF(Tabel1[[#This Row],[Model]]="", "",INDEX(Tableau2[Equipment],MATCH(Tabel1[[#This Row],[Model]],Tableau2[Model],0)))</f>
        <v/>
      </c>
      <c r="I311" s="10"/>
      <c r="J311" s="35"/>
      <c r="L311" s="9"/>
      <c r="M311" s="9"/>
      <c r="N311" s="9"/>
      <c r="O3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1" s="21">
        <f>HOUR(Tabel1[[#This Row],[Total Hours]])+MINUTE(Tabel1[[#This Row],[Total Hours]])/60+SECOND(Tabel1[[#This Row],[Total Hours]])/3600</f>
        <v>0</v>
      </c>
      <c r="Q311" s="6">
        <f>Tabel1[[#This Row],[End Time]]+(Tabel1[[#This Row],[End Time]]&lt;Tabel1[[#This Row],[Start time]])</f>
        <v>0</v>
      </c>
      <c r="R31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1" s="6"/>
      <c r="T311" s="7"/>
    </row>
    <row r="312" spans="1:20" x14ac:dyDescent="0.3">
      <c r="A312" s="4"/>
      <c r="B312" s="4">
        <f t="shared" si="4"/>
        <v>305</v>
      </c>
      <c r="C312" s="4" t="str">
        <f>IFERROR(VLOOKUP(Tabel1[[#This Row],[Model]],Tableau2[[Model]:[Parking Number]],2,FALSE)," ")</f>
        <v xml:space="preserve"> </v>
      </c>
      <c r="D312" s="23"/>
      <c r="E312" s="4" t="str">
        <f>IF(Tabel1[[#This Row],[Model]]="", "",INDEX(Tableau2[Equipment Type],MATCH(Tabel1[[#This Row],[Model]],Tableau2[Model],0)))</f>
        <v/>
      </c>
      <c r="G312" s="4" t="str">
        <f>IF(Tabel1[[#This Row],[Model]]="", "",INDEX(Tableau2[Equipment],MATCH(Tabel1[[#This Row],[Model]],Tableau2[Model],0)))</f>
        <v/>
      </c>
      <c r="I312" s="10"/>
      <c r="J312" s="35"/>
      <c r="L312" s="9"/>
      <c r="M312" s="9"/>
      <c r="N312" s="9"/>
      <c r="O3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2" s="21">
        <f>HOUR(Tabel1[[#This Row],[Total Hours]])+MINUTE(Tabel1[[#This Row],[Total Hours]])/60+SECOND(Tabel1[[#This Row],[Total Hours]])/3600</f>
        <v>0</v>
      </c>
      <c r="Q312" s="6">
        <f>Tabel1[[#This Row],[End Time]]+(Tabel1[[#This Row],[End Time]]&lt;Tabel1[[#This Row],[Start time]])</f>
        <v>0</v>
      </c>
      <c r="R31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2" s="6"/>
      <c r="T312" s="7"/>
    </row>
    <row r="313" spans="1:20" x14ac:dyDescent="0.3">
      <c r="A313" s="4"/>
      <c r="B313" s="4">
        <f t="shared" si="4"/>
        <v>306</v>
      </c>
      <c r="C313" s="4" t="str">
        <f>IFERROR(VLOOKUP(Tabel1[[#This Row],[Model]],Tableau2[[Model]:[Parking Number]],2,FALSE)," ")</f>
        <v xml:space="preserve"> </v>
      </c>
      <c r="D313" s="23"/>
      <c r="E313" s="4" t="str">
        <f>IF(Tabel1[[#This Row],[Model]]="", "",INDEX(Tableau2[Equipment Type],MATCH(Tabel1[[#This Row],[Model]],Tableau2[Model],0)))</f>
        <v/>
      </c>
      <c r="G313" s="4" t="str">
        <f>IF(Tabel1[[#This Row],[Model]]="", "",INDEX(Tableau2[Equipment],MATCH(Tabel1[[#This Row],[Model]],Tableau2[Model],0)))</f>
        <v/>
      </c>
      <c r="I313" s="10"/>
      <c r="J313" s="35"/>
      <c r="L313" s="9"/>
      <c r="M313" s="9"/>
      <c r="N313" s="9"/>
      <c r="O3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3" s="21">
        <f>HOUR(Tabel1[[#This Row],[Total Hours]])+MINUTE(Tabel1[[#This Row],[Total Hours]])/60+SECOND(Tabel1[[#This Row],[Total Hours]])/3600</f>
        <v>0</v>
      </c>
      <c r="Q313" s="6">
        <f>Tabel1[[#This Row],[End Time]]+(Tabel1[[#This Row],[End Time]]&lt;Tabel1[[#This Row],[Start time]])</f>
        <v>0</v>
      </c>
      <c r="R3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3" s="6"/>
      <c r="T313" s="7"/>
    </row>
    <row r="314" spans="1:20" x14ac:dyDescent="0.3">
      <c r="A314" s="4"/>
      <c r="B314" s="4">
        <f t="shared" si="4"/>
        <v>307</v>
      </c>
      <c r="C314" s="4" t="str">
        <f>IFERROR(VLOOKUP(Tabel1[[#This Row],[Model]],Tableau2[[Model]:[Parking Number]],2,FALSE)," ")</f>
        <v xml:space="preserve"> </v>
      </c>
      <c r="D314" s="23"/>
      <c r="E314" s="4" t="str">
        <f>IF(Tabel1[[#This Row],[Model]]="", "",INDEX(Tableau2[Equipment Type],MATCH(Tabel1[[#This Row],[Model]],Tableau2[Model],0)))</f>
        <v/>
      </c>
      <c r="G314" s="4" t="str">
        <f>IF(Tabel1[[#This Row],[Model]]="", "",INDEX(Tableau2[Equipment],MATCH(Tabel1[[#This Row],[Model]],Tableau2[Model],0)))</f>
        <v/>
      </c>
      <c r="I314" s="10"/>
      <c r="J314" s="35"/>
      <c r="L314" s="9"/>
      <c r="M314" s="9"/>
      <c r="N314" s="9"/>
      <c r="O3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4" s="21">
        <f>HOUR(Tabel1[[#This Row],[Total Hours]])+MINUTE(Tabel1[[#This Row],[Total Hours]])/60+SECOND(Tabel1[[#This Row],[Total Hours]])/3600</f>
        <v>0</v>
      </c>
      <c r="Q314" s="6">
        <f>Tabel1[[#This Row],[End Time]]+(Tabel1[[#This Row],[End Time]]&lt;Tabel1[[#This Row],[Start time]])</f>
        <v>0</v>
      </c>
      <c r="R3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4" s="6"/>
      <c r="T314" s="7"/>
    </row>
    <row r="315" spans="1:20" x14ac:dyDescent="0.3">
      <c r="A315" s="4"/>
      <c r="B315" s="4">
        <f t="shared" si="4"/>
        <v>308</v>
      </c>
      <c r="C315" s="4" t="str">
        <f>IFERROR(VLOOKUP(Tabel1[[#This Row],[Model]],Tableau2[[Model]:[Parking Number]],2,FALSE)," ")</f>
        <v xml:space="preserve"> </v>
      </c>
      <c r="D315" s="23"/>
      <c r="E315" s="4" t="str">
        <f>IF(Tabel1[[#This Row],[Model]]="", "",INDEX(Tableau2[Equipment Type],MATCH(Tabel1[[#This Row],[Model]],Tableau2[Model],0)))</f>
        <v/>
      </c>
      <c r="G315" s="4" t="str">
        <f>IF(Tabel1[[#This Row],[Model]]="", "",INDEX(Tableau2[Equipment],MATCH(Tabel1[[#This Row],[Model]],Tableau2[Model],0)))</f>
        <v/>
      </c>
      <c r="I315" s="10"/>
      <c r="J315" s="35"/>
      <c r="L315" s="9"/>
      <c r="M315" s="9"/>
      <c r="N315" s="9"/>
      <c r="O3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5" s="21">
        <f>HOUR(Tabel1[[#This Row],[Total Hours]])+MINUTE(Tabel1[[#This Row],[Total Hours]])/60+SECOND(Tabel1[[#This Row],[Total Hours]])/3600</f>
        <v>0</v>
      </c>
      <c r="Q315" s="6">
        <f>Tabel1[[#This Row],[End Time]]+(Tabel1[[#This Row],[End Time]]&lt;Tabel1[[#This Row],[Start time]])</f>
        <v>0</v>
      </c>
      <c r="R3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5" s="6"/>
      <c r="T315" s="7"/>
    </row>
    <row r="316" spans="1:20" x14ac:dyDescent="0.3">
      <c r="A316" s="4"/>
      <c r="B316" s="4">
        <f t="shared" si="4"/>
        <v>309</v>
      </c>
      <c r="C316" s="4" t="str">
        <f>IFERROR(VLOOKUP(Tabel1[[#This Row],[Model]],Tableau2[[Model]:[Parking Number]],2,FALSE)," ")</f>
        <v xml:space="preserve"> </v>
      </c>
      <c r="D316" s="23"/>
      <c r="E316" s="4" t="str">
        <f>IF(Tabel1[[#This Row],[Model]]="", "",INDEX(Tableau2[Equipment Type],MATCH(Tabel1[[#This Row],[Model]],Tableau2[Model],0)))</f>
        <v/>
      </c>
      <c r="G316" s="4" t="str">
        <f>IF(Tabel1[[#This Row],[Model]]="", "",INDEX(Tableau2[Equipment],MATCH(Tabel1[[#This Row],[Model]],Tableau2[Model],0)))</f>
        <v/>
      </c>
      <c r="I316" s="10"/>
      <c r="J316" s="35"/>
      <c r="L316" s="9"/>
      <c r="M316" s="9"/>
      <c r="N316" s="9"/>
      <c r="O3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6" s="21">
        <f>HOUR(Tabel1[[#This Row],[Total Hours]])+MINUTE(Tabel1[[#This Row],[Total Hours]])/60+SECOND(Tabel1[[#This Row],[Total Hours]])/3600</f>
        <v>0</v>
      </c>
      <c r="Q316" s="6">
        <f>Tabel1[[#This Row],[End Time]]+(Tabel1[[#This Row],[End Time]]&lt;Tabel1[[#This Row],[Start time]])</f>
        <v>0</v>
      </c>
      <c r="R3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6" s="6"/>
      <c r="T316" s="7"/>
    </row>
    <row r="317" spans="1:20" x14ac:dyDescent="0.3">
      <c r="A317" s="4"/>
      <c r="B317" s="4">
        <f t="shared" si="4"/>
        <v>310</v>
      </c>
      <c r="C317" s="4" t="str">
        <f>IFERROR(VLOOKUP(Tabel1[[#This Row],[Model]],Tableau2[[Model]:[Parking Number]],2,FALSE)," ")</f>
        <v xml:space="preserve"> </v>
      </c>
      <c r="D317" s="23"/>
      <c r="E317" s="4" t="str">
        <f>IF(Tabel1[[#This Row],[Model]]="", "",INDEX(Tableau2[Equipment Type],MATCH(Tabel1[[#This Row],[Model]],Tableau2[Model],0)))</f>
        <v/>
      </c>
      <c r="G317" s="4" t="str">
        <f>IF(Tabel1[[#This Row],[Model]]="", "",INDEX(Tableau2[Equipment],MATCH(Tabel1[[#This Row],[Model]],Tableau2[Model],0)))</f>
        <v/>
      </c>
      <c r="I317" s="10"/>
      <c r="J317" s="35"/>
      <c r="L317" s="9"/>
      <c r="M317" s="9"/>
      <c r="N317" s="9"/>
      <c r="O3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7" s="21">
        <f>HOUR(Tabel1[[#This Row],[Total Hours]])+MINUTE(Tabel1[[#This Row],[Total Hours]])/60+SECOND(Tabel1[[#This Row],[Total Hours]])/3600</f>
        <v>0</v>
      </c>
      <c r="Q317" s="6">
        <f>Tabel1[[#This Row],[End Time]]+(Tabel1[[#This Row],[End Time]]&lt;Tabel1[[#This Row],[Start time]])</f>
        <v>0</v>
      </c>
      <c r="R3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7" s="6"/>
      <c r="T317" s="7"/>
    </row>
    <row r="318" spans="1:20" x14ac:dyDescent="0.3">
      <c r="A318" s="4"/>
      <c r="B318" s="4">
        <f t="shared" si="4"/>
        <v>311</v>
      </c>
      <c r="C318" s="4" t="str">
        <f>IFERROR(VLOOKUP(Tabel1[[#This Row],[Model]],Tableau2[[Model]:[Parking Number]],2,FALSE)," ")</f>
        <v xml:space="preserve"> </v>
      </c>
      <c r="D318" s="23"/>
      <c r="E318" s="4" t="str">
        <f>IF(Tabel1[[#This Row],[Model]]="", "",INDEX(Tableau2[Equipment Type],MATCH(Tabel1[[#This Row],[Model]],Tableau2[Model],0)))</f>
        <v/>
      </c>
      <c r="G318" s="4" t="str">
        <f>IF(Tabel1[[#This Row],[Model]]="", "",INDEX(Tableau2[Equipment],MATCH(Tabel1[[#This Row],[Model]],Tableau2[Model],0)))</f>
        <v/>
      </c>
      <c r="I318" s="10"/>
      <c r="J318" s="35"/>
      <c r="L318" s="9"/>
      <c r="M318" s="9"/>
      <c r="N318" s="9"/>
      <c r="O3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8" s="21">
        <f>HOUR(Tabel1[[#This Row],[Total Hours]])+MINUTE(Tabel1[[#This Row],[Total Hours]])/60+SECOND(Tabel1[[#This Row],[Total Hours]])/3600</f>
        <v>0</v>
      </c>
      <c r="Q318" s="6">
        <f>Tabel1[[#This Row],[End Time]]+(Tabel1[[#This Row],[End Time]]&lt;Tabel1[[#This Row],[Start time]])</f>
        <v>0</v>
      </c>
      <c r="R3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8" s="6"/>
      <c r="T318" s="7"/>
    </row>
    <row r="319" spans="1:20" x14ac:dyDescent="0.3">
      <c r="A319" s="4"/>
      <c r="B319" s="4">
        <f t="shared" si="4"/>
        <v>312</v>
      </c>
      <c r="C319" s="4" t="str">
        <f>IFERROR(VLOOKUP(Tabel1[[#This Row],[Model]],Tableau2[[Model]:[Parking Number]],2,FALSE)," ")</f>
        <v xml:space="preserve"> </v>
      </c>
      <c r="D319" s="23"/>
      <c r="E319" s="4" t="str">
        <f>IF(Tabel1[[#This Row],[Model]]="", "",INDEX(Tableau2[Equipment Type],MATCH(Tabel1[[#This Row],[Model]],Tableau2[Model],0)))</f>
        <v/>
      </c>
      <c r="G319" s="4" t="str">
        <f>IF(Tabel1[[#This Row],[Model]]="", "",INDEX(Tableau2[Equipment],MATCH(Tabel1[[#This Row],[Model]],Tableau2[Model],0)))</f>
        <v/>
      </c>
      <c r="I319" s="10"/>
      <c r="J319" s="35"/>
      <c r="L319" s="9"/>
      <c r="M319" s="9"/>
      <c r="N319" s="9"/>
      <c r="O3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9" s="21">
        <f>HOUR(Tabel1[[#This Row],[Total Hours]])+MINUTE(Tabel1[[#This Row],[Total Hours]])/60+SECOND(Tabel1[[#This Row],[Total Hours]])/3600</f>
        <v>0</v>
      </c>
      <c r="Q319" s="6">
        <f>Tabel1[[#This Row],[End Time]]+(Tabel1[[#This Row],[End Time]]&lt;Tabel1[[#This Row],[Start time]])</f>
        <v>0</v>
      </c>
      <c r="R3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9" s="6"/>
      <c r="T319" s="7"/>
    </row>
    <row r="320" spans="1:20" x14ac:dyDescent="0.3">
      <c r="A320" s="4"/>
      <c r="B320" s="4">
        <f t="shared" si="4"/>
        <v>313</v>
      </c>
      <c r="C320" s="4" t="str">
        <f>IFERROR(VLOOKUP(Tabel1[[#This Row],[Model]],Tableau2[[Model]:[Parking Number]],2,FALSE)," ")</f>
        <v xml:space="preserve"> </v>
      </c>
      <c r="D320" s="23"/>
      <c r="E320" s="4" t="str">
        <f>IF(Tabel1[[#This Row],[Model]]="", "",INDEX(Tableau2[Equipment Type],MATCH(Tabel1[[#This Row],[Model]],Tableau2[Model],0)))</f>
        <v/>
      </c>
      <c r="G320" s="4" t="str">
        <f>IF(Tabel1[[#This Row],[Model]]="", "",INDEX(Tableau2[Equipment],MATCH(Tabel1[[#This Row],[Model]],Tableau2[Model],0)))</f>
        <v/>
      </c>
      <c r="I320" s="10"/>
      <c r="J320" s="35"/>
      <c r="L320" s="9"/>
      <c r="M320" s="9"/>
      <c r="N320" s="9"/>
      <c r="O3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0" s="21">
        <f>HOUR(Tabel1[[#This Row],[Total Hours]])+MINUTE(Tabel1[[#This Row],[Total Hours]])/60+SECOND(Tabel1[[#This Row],[Total Hours]])/3600</f>
        <v>0</v>
      </c>
      <c r="Q320" s="6">
        <f>Tabel1[[#This Row],[End Time]]+(Tabel1[[#This Row],[End Time]]&lt;Tabel1[[#This Row],[Start time]])</f>
        <v>0</v>
      </c>
      <c r="R3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0" s="6"/>
      <c r="T320" s="7"/>
    </row>
    <row r="321" spans="1:20" x14ac:dyDescent="0.3">
      <c r="A321" s="4"/>
      <c r="B321" s="4">
        <f t="shared" si="4"/>
        <v>314</v>
      </c>
      <c r="C321" s="4" t="str">
        <f>IFERROR(VLOOKUP(Tabel1[[#This Row],[Model]],Tableau2[[Model]:[Parking Number]],2,FALSE)," ")</f>
        <v xml:space="preserve"> </v>
      </c>
      <c r="D321" s="23"/>
      <c r="E321" s="4" t="str">
        <f>IF(Tabel1[[#This Row],[Model]]="", "",INDEX(Tableau2[Equipment Type],MATCH(Tabel1[[#This Row],[Model]],Tableau2[Model],0)))</f>
        <v/>
      </c>
      <c r="G321" s="4" t="str">
        <f>IF(Tabel1[[#This Row],[Model]]="", "",INDEX(Tableau2[Equipment],MATCH(Tabel1[[#This Row],[Model]],Tableau2[Model],0)))</f>
        <v/>
      </c>
      <c r="I321" s="10"/>
      <c r="J321" s="35"/>
      <c r="L321" s="9"/>
      <c r="M321" s="9"/>
      <c r="N321" s="9"/>
      <c r="O3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1" s="21">
        <f>HOUR(Tabel1[[#This Row],[Total Hours]])+MINUTE(Tabel1[[#This Row],[Total Hours]])/60+SECOND(Tabel1[[#This Row],[Total Hours]])/3600</f>
        <v>0</v>
      </c>
      <c r="Q321" s="6">
        <f>Tabel1[[#This Row],[End Time]]+(Tabel1[[#This Row],[End Time]]&lt;Tabel1[[#This Row],[Start time]])</f>
        <v>0</v>
      </c>
      <c r="R3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1" s="6"/>
      <c r="T321" s="7"/>
    </row>
    <row r="322" spans="1:20" x14ac:dyDescent="0.3">
      <c r="A322" s="4"/>
      <c r="B322" s="4">
        <f t="shared" si="4"/>
        <v>315</v>
      </c>
      <c r="C322" s="4" t="str">
        <f>IFERROR(VLOOKUP(Tabel1[[#This Row],[Model]],Tableau2[[Model]:[Parking Number]],2,FALSE)," ")</f>
        <v xml:space="preserve"> </v>
      </c>
      <c r="D322" s="23"/>
      <c r="E322" s="4" t="str">
        <f>IF(Tabel1[[#This Row],[Model]]="", "",INDEX(Tableau2[Equipment Type],MATCH(Tabel1[[#This Row],[Model]],Tableau2[Model],0)))</f>
        <v/>
      </c>
      <c r="G322" s="4" t="str">
        <f>IF(Tabel1[[#This Row],[Model]]="", "",INDEX(Tableau2[Equipment],MATCH(Tabel1[[#This Row],[Model]],Tableau2[Model],0)))</f>
        <v/>
      </c>
      <c r="I322" s="10"/>
      <c r="J322" s="35"/>
      <c r="L322" s="9"/>
      <c r="M322" s="9"/>
      <c r="N322" s="9"/>
      <c r="O3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2" s="21">
        <f>HOUR(Tabel1[[#This Row],[Total Hours]])+MINUTE(Tabel1[[#This Row],[Total Hours]])/60+SECOND(Tabel1[[#This Row],[Total Hours]])/3600</f>
        <v>0</v>
      </c>
      <c r="Q322" s="6">
        <f>Tabel1[[#This Row],[End Time]]+(Tabel1[[#This Row],[End Time]]&lt;Tabel1[[#This Row],[Start time]])</f>
        <v>0</v>
      </c>
      <c r="R3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2" s="6"/>
      <c r="T322" s="7"/>
    </row>
    <row r="323" spans="1:20" x14ac:dyDescent="0.3">
      <c r="A323" s="4"/>
      <c r="B323" s="4">
        <f t="shared" si="4"/>
        <v>316</v>
      </c>
      <c r="C323" s="4" t="str">
        <f>IFERROR(VLOOKUP(Tabel1[[#This Row],[Model]],Tableau2[[Model]:[Parking Number]],2,FALSE)," ")</f>
        <v xml:space="preserve"> </v>
      </c>
      <c r="D323" s="23"/>
      <c r="E323" s="4" t="str">
        <f>IF(Tabel1[[#This Row],[Model]]="", "",INDEX(Tableau2[Equipment Type],MATCH(Tabel1[[#This Row],[Model]],Tableau2[Model],0)))</f>
        <v/>
      </c>
      <c r="G323" s="4" t="str">
        <f>IF(Tabel1[[#This Row],[Model]]="", "",INDEX(Tableau2[Equipment],MATCH(Tabel1[[#This Row],[Model]],Tableau2[Model],0)))</f>
        <v/>
      </c>
      <c r="I323" s="10"/>
      <c r="J323" s="35"/>
      <c r="L323" s="9"/>
      <c r="M323" s="9"/>
      <c r="N323" s="9"/>
      <c r="O3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3" s="21">
        <f>HOUR(Tabel1[[#This Row],[Total Hours]])+MINUTE(Tabel1[[#This Row],[Total Hours]])/60+SECOND(Tabel1[[#This Row],[Total Hours]])/3600</f>
        <v>0</v>
      </c>
      <c r="Q323" s="6">
        <f>Tabel1[[#This Row],[End Time]]+(Tabel1[[#This Row],[End Time]]&lt;Tabel1[[#This Row],[Start time]])</f>
        <v>0</v>
      </c>
      <c r="R3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3" s="6"/>
      <c r="T323" s="7"/>
    </row>
    <row r="324" spans="1:20" x14ac:dyDescent="0.3">
      <c r="A324" s="4"/>
      <c r="B324" s="4">
        <f t="shared" si="4"/>
        <v>317</v>
      </c>
      <c r="C324" s="4" t="str">
        <f>IFERROR(VLOOKUP(Tabel1[[#This Row],[Model]],Tableau2[[Model]:[Parking Number]],2,FALSE)," ")</f>
        <v xml:space="preserve"> </v>
      </c>
      <c r="D324" s="23"/>
      <c r="E324" s="4" t="str">
        <f>IF(Tabel1[[#This Row],[Model]]="", "",INDEX(Tableau2[Equipment Type],MATCH(Tabel1[[#This Row],[Model]],Tableau2[Model],0)))</f>
        <v/>
      </c>
      <c r="G324" s="4" t="str">
        <f>IF(Tabel1[[#This Row],[Model]]="", "",INDEX(Tableau2[Equipment],MATCH(Tabel1[[#This Row],[Model]],Tableau2[Model],0)))</f>
        <v/>
      </c>
      <c r="I324" s="10"/>
      <c r="J324" s="35"/>
      <c r="L324" s="9"/>
      <c r="M324" s="9"/>
      <c r="N324" s="9"/>
      <c r="O3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4" s="21">
        <f>HOUR(Tabel1[[#This Row],[Total Hours]])+MINUTE(Tabel1[[#This Row],[Total Hours]])/60+SECOND(Tabel1[[#This Row],[Total Hours]])/3600</f>
        <v>0</v>
      </c>
      <c r="Q324" s="6">
        <f>Tabel1[[#This Row],[End Time]]+(Tabel1[[#This Row],[End Time]]&lt;Tabel1[[#This Row],[Start time]])</f>
        <v>0</v>
      </c>
      <c r="R3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4" s="6"/>
      <c r="T324" s="7"/>
    </row>
    <row r="325" spans="1:20" x14ac:dyDescent="0.3">
      <c r="A325" s="4"/>
      <c r="B325" s="4">
        <f t="shared" si="4"/>
        <v>318</v>
      </c>
      <c r="C325" s="4" t="str">
        <f>IFERROR(VLOOKUP(Tabel1[[#This Row],[Model]],Tableau2[[Model]:[Parking Number]],2,FALSE)," ")</f>
        <v xml:space="preserve"> </v>
      </c>
      <c r="D325" s="23"/>
      <c r="E325" s="4" t="str">
        <f>IF(Tabel1[[#This Row],[Model]]="", "",INDEX(Tableau2[Equipment Type],MATCH(Tabel1[[#This Row],[Model]],Tableau2[Model],0)))</f>
        <v/>
      </c>
      <c r="G325" s="4" t="str">
        <f>IF(Tabel1[[#This Row],[Model]]="", "",INDEX(Tableau2[Equipment],MATCH(Tabel1[[#This Row],[Model]],Tableau2[Model],0)))</f>
        <v/>
      </c>
      <c r="I325" s="10"/>
      <c r="J325" s="35"/>
      <c r="L325" s="9"/>
      <c r="M325" s="9"/>
      <c r="N325" s="9"/>
      <c r="O3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5" s="21">
        <f>HOUR(Tabel1[[#This Row],[Total Hours]])+MINUTE(Tabel1[[#This Row],[Total Hours]])/60+SECOND(Tabel1[[#This Row],[Total Hours]])/3600</f>
        <v>0</v>
      </c>
      <c r="Q325" s="6">
        <f>Tabel1[[#This Row],[End Time]]+(Tabel1[[#This Row],[End Time]]&lt;Tabel1[[#This Row],[Start time]])</f>
        <v>0</v>
      </c>
      <c r="R3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5" s="6"/>
      <c r="T325" s="7"/>
    </row>
    <row r="326" spans="1:20" x14ac:dyDescent="0.3">
      <c r="A326" s="4"/>
      <c r="B326" s="4">
        <f t="shared" si="4"/>
        <v>319</v>
      </c>
      <c r="C326" s="4" t="str">
        <f>IFERROR(VLOOKUP(Tabel1[[#This Row],[Model]],Tableau2[[Model]:[Parking Number]],2,FALSE)," ")</f>
        <v xml:space="preserve"> </v>
      </c>
      <c r="D326" s="23"/>
      <c r="E326" s="4" t="str">
        <f>IF(Tabel1[[#This Row],[Model]]="", "",INDEX(Tableau2[Equipment Type],MATCH(Tabel1[[#This Row],[Model]],Tableau2[Model],0)))</f>
        <v/>
      </c>
      <c r="G326" s="4" t="str">
        <f>IF(Tabel1[[#This Row],[Model]]="", "",INDEX(Tableau2[Equipment],MATCH(Tabel1[[#This Row],[Model]],Tableau2[Model],0)))</f>
        <v/>
      </c>
      <c r="I326" s="10"/>
      <c r="J326" s="35"/>
      <c r="L326" s="9"/>
      <c r="M326" s="9"/>
      <c r="N326" s="9"/>
      <c r="O3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6" s="21">
        <f>HOUR(Tabel1[[#This Row],[Total Hours]])+MINUTE(Tabel1[[#This Row],[Total Hours]])/60+SECOND(Tabel1[[#This Row],[Total Hours]])/3600</f>
        <v>0</v>
      </c>
      <c r="Q326" s="6">
        <f>Tabel1[[#This Row],[End Time]]+(Tabel1[[#This Row],[End Time]]&lt;Tabel1[[#This Row],[Start time]])</f>
        <v>0</v>
      </c>
      <c r="R3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6" s="6"/>
      <c r="T326" s="7"/>
    </row>
    <row r="327" spans="1:20" x14ac:dyDescent="0.3">
      <c r="A327" s="4"/>
      <c r="B327" s="4">
        <f t="shared" si="4"/>
        <v>320</v>
      </c>
      <c r="C327" s="4" t="str">
        <f>IFERROR(VLOOKUP(Tabel1[[#This Row],[Model]],Tableau2[[Model]:[Parking Number]],2,FALSE)," ")</f>
        <v xml:space="preserve"> </v>
      </c>
      <c r="D327" s="23"/>
      <c r="E327" s="4" t="str">
        <f>IF(Tabel1[[#This Row],[Model]]="", "",INDEX(Tableau2[Equipment Type],MATCH(Tabel1[[#This Row],[Model]],Tableau2[Model],0)))</f>
        <v/>
      </c>
      <c r="G327" s="4" t="str">
        <f>IF(Tabel1[[#This Row],[Model]]="", "",INDEX(Tableau2[Equipment],MATCH(Tabel1[[#This Row],[Model]],Tableau2[Model],0)))</f>
        <v/>
      </c>
      <c r="I327" s="10"/>
      <c r="J327" s="35"/>
      <c r="L327" s="9"/>
      <c r="M327" s="9"/>
      <c r="N327" s="9"/>
      <c r="O3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7" s="21">
        <f>HOUR(Tabel1[[#This Row],[Total Hours]])+MINUTE(Tabel1[[#This Row],[Total Hours]])/60+SECOND(Tabel1[[#This Row],[Total Hours]])/3600</f>
        <v>0</v>
      </c>
      <c r="Q327" s="6">
        <f>Tabel1[[#This Row],[End Time]]+(Tabel1[[#This Row],[End Time]]&lt;Tabel1[[#This Row],[Start time]])</f>
        <v>0</v>
      </c>
      <c r="R3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7" s="6"/>
      <c r="T327" s="7"/>
    </row>
    <row r="328" spans="1:20" x14ac:dyDescent="0.3">
      <c r="A328" s="4"/>
      <c r="B328" s="4">
        <f t="shared" si="4"/>
        <v>321</v>
      </c>
      <c r="C328" s="4" t="str">
        <f>IFERROR(VLOOKUP(Tabel1[[#This Row],[Model]],Tableau2[[Model]:[Parking Number]],2,FALSE)," ")</f>
        <v xml:space="preserve"> </v>
      </c>
      <c r="D328" s="23"/>
      <c r="E328" s="4" t="str">
        <f>IF(Tabel1[[#This Row],[Model]]="", "",INDEX(Tableau2[Equipment Type],MATCH(Tabel1[[#This Row],[Model]],Tableau2[Model],0)))</f>
        <v/>
      </c>
      <c r="G328" s="4" t="str">
        <f>IF(Tabel1[[#This Row],[Model]]="", "",INDEX(Tableau2[Equipment],MATCH(Tabel1[[#This Row],[Model]],Tableau2[Model],0)))</f>
        <v/>
      </c>
      <c r="I328" s="10"/>
      <c r="J328" s="35"/>
      <c r="L328" s="9"/>
      <c r="M328" s="9"/>
      <c r="N328" s="9"/>
      <c r="O3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8" s="21">
        <f>HOUR(Tabel1[[#This Row],[Total Hours]])+MINUTE(Tabel1[[#This Row],[Total Hours]])/60+SECOND(Tabel1[[#This Row],[Total Hours]])/3600</f>
        <v>0</v>
      </c>
      <c r="Q328" s="6">
        <f>Tabel1[[#This Row],[End Time]]+(Tabel1[[#This Row],[End Time]]&lt;Tabel1[[#This Row],[Start time]])</f>
        <v>0</v>
      </c>
      <c r="R3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8" s="6"/>
      <c r="T328" s="7"/>
    </row>
    <row r="329" spans="1:20" x14ac:dyDescent="0.3">
      <c r="A329" s="4"/>
      <c r="B329" s="4">
        <f t="shared" ref="B329:B363" si="5">B328+1</f>
        <v>322</v>
      </c>
      <c r="C329" s="4" t="str">
        <f>IFERROR(VLOOKUP(Tabel1[[#This Row],[Model]],Tableau2[[Model]:[Parking Number]],2,FALSE)," ")</f>
        <v xml:space="preserve"> </v>
      </c>
      <c r="D329" s="23"/>
      <c r="E329" s="4" t="str">
        <f>IF(Tabel1[[#This Row],[Model]]="", "",INDEX(Tableau2[Equipment Type],MATCH(Tabel1[[#This Row],[Model]],Tableau2[Model],0)))</f>
        <v/>
      </c>
      <c r="G329" s="4" t="str">
        <f>IF(Tabel1[[#This Row],[Model]]="", "",INDEX(Tableau2[Equipment],MATCH(Tabel1[[#This Row],[Model]],Tableau2[Model],0)))</f>
        <v/>
      </c>
      <c r="I329" s="10"/>
      <c r="J329" s="35"/>
      <c r="L329" s="9"/>
      <c r="M329" s="9"/>
      <c r="N329" s="9"/>
      <c r="O3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9" s="21">
        <f>HOUR(Tabel1[[#This Row],[Total Hours]])+MINUTE(Tabel1[[#This Row],[Total Hours]])/60+SECOND(Tabel1[[#This Row],[Total Hours]])/3600</f>
        <v>0</v>
      </c>
      <c r="Q329" s="6">
        <f>Tabel1[[#This Row],[End Time]]+(Tabel1[[#This Row],[End Time]]&lt;Tabel1[[#This Row],[Start time]])</f>
        <v>0</v>
      </c>
      <c r="R3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9" s="6"/>
      <c r="T329" s="7"/>
    </row>
    <row r="330" spans="1:20" x14ac:dyDescent="0.3">
      <c r="A330" s="4"/>
      <c r="B330" s="4">
        <f t="shared" si="5"/>
        <v>323</v>
      </c>
      <c r="C330" s="4" t="str">
        <f>IFERROR(VLOOKUP(Tabel1[[#This Row],[Model]],Tableau2[[Model]:[Parking Number]],2,FALSE)," ")</f>
        <v xml:space="preserve"> </v>
      </c>
      <c r="D330" s="23"/>
      <c r="E330" s="4" t="str">
        <f>IF(Tabel1[[#This Row],[Model]]="", "",INDEX(Tableau2[Equipment Type],MATCH(Tabel1[[#This Row],[Model]],Tableau2[Model],0)))</f>
        <v/>
      </c>
      <c r="G330" s="4" t="str">
        <f>IF(Tabel1[[#This Row],[Model]]="", "",INDEX(Tableau2[Equipment],MATCH(Tabel1[[#This Row],[Model]],Tableau2[Model],0)))</f>
        <v/>
      </c>
      <c r="I330" s="10"/>
      <c r="J330" s="35"/>
      <c r="L330" s="9"/>
      <c r="M330" s="9"/>
      <c r="N330" s="9"/>
      <c r="O3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0" s="21">
        <f>HOUR(Tabel1[[#This Row],[Total Hours]])+MINUTE(Tabel1[[#This Row],[Total Hours]])/60+SECOND(Tabel1[[#This Row],[Total Hours]])/3600</f>
        <v>0</v>
      </c>
      <c r="Q330" s="6">
        <f>Tabel1[[#This Row],[End Time]]+(Tabel1[[#This Row],[End Time]]&lt;Tabel1[[#This Row],[Start time]])</f>
        <v>0</v>
      </c>
      <c r="R3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0" s="6"/>
      <c r="T330" s="7"/>
    </row>
    <row r="331" spans="1:20" x14ac:dyDescent="0.3">
      <c r="A331" s="4"/>
      <c r="B331" s="4">
        <f t="shared" si="5"/>
        <v>324</v>
      </c>
      <c r="C331" s="4" t="str">
        <f>IFERROR(VLOOKUP(Tabel1[[#This Row],[Model]],Tableau2[[Model]:[Parking Number]],2,FALSE)," ")</f>
        <v xml:space="preserve"> </v>
      </c>
      <c r="D331" s="23"/>
      <c r="E331" s="4" t="str">
        <f>IF(Tabel1[[#This Row],[Model]]="", "",INDEX(Tableau2[Equipment Type],MATCH(Tabel1[[#This Row],[Model]],Tableau2[Model],0)))</f>
        <v/>
      </c>
      <c r="G331" s="4" t="str">
        <f>IF(Tabel1[[#This Row],[Model]]="", "",INDEX(Tableau2[Equipment],MATCH(Tabel1[[#This Row],[Model]],Tableau2[Model],0)))</f>
        <v/>
      </c>
      <c r="I331" s="10"/>
      <c r="J331" s="35"/>
      <c r="L331" s="9"/>
      <c r="M331" s="9"/>
      <c r="N331" s="9"/>
      <c r="O3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1" s="21">
        <f>HOUR(Tabel1[[#This Row],[Total Hours]])+MINUTE(Tabel1[[#This Row],[Total Hours]])/60+SECOND(Tabel1[[#This Row],[Total Hours]])/3600</f>
        <v>0</v>
      </c>
      <c r="Q331" s="6">
        <f>Tabel1[[#This Row],[End Time]]+(Tabel1[[#This Row],[End Time]]&lt;Tabel1[[#This Row],[Start time]])</f>
        <v>0</v>
      </c>
      <c r="R3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1" s="6"/>
      <c r="T331" s="7"/>
    </row>
    <row r="332" spans="1:20" x14ac:dyDescent="0.3">
      <c r="A332" s="4"/>
      <c r="B332" s="4">
        <f t="shared" si="5"/>
        <v>325</v>
      </c>
      <c r="C332" s="4" t="str">
        <f>IFERROR(VLOOKUP(Tabel1[[#This Row],[Model]],Tableau2[[Model]:[Parking Number]],2,FALSE)," ")</f>
        <v xml:space="preserve"> </v>
      </c>
      <c r="D332" s="23"/>
      <c r="E332" s="4" t="str">
        <f>IF(Tabel1[[#This Row],[Model]]="", "",INDEX(Tableau2[Equipment Type],MATCH(Tabel1[[#This Row],[Model]],Tableau2[Model],0)))</f>
        <v/>
      </c>
      <c r="G332" s="4" t="str">
        <f>IF(Tabel1[[#This Row],[Model]]="", "",INDEX(Tableau2[Equipment],MATCH(Tabel1[[#This Row],[Model]],Tableau2[Model],0)))</f>
        <v/>
      </c>
      <c r="I332" s="10"/>
      <c r="J332" s="35"/>
      <c r="L332" s="9"/>
      <c r="M332" s="9"/>
      <c r="N332" s="9"/>
      <c r="O3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2" s="21">
        <f>HOUR(Tabel1[[#This Row],[Total Hours]])+MINUTE(Tabel1[[#This Row],[Total Hours]])/60+SECOND(Tabel1[[#This Row],[Total Hours]])/3600</f>
        <v>0</v>
      </c>
      <c r="Q332" s="6">
        <f>Tabel1[[#This Row],[End Time]]+(Tabel1[[#This Row],[End Time]]&lt;Tabel1[[#This Row],[Start time]])</f>
        <v>0</v>
      </c>
      <c r="R3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2" s="6"/>
      <c r="T332" s="7"/>
    </row>
    <row r="333" spans="1:20" x14ac:dyDescent="0.3">
      <c r="A333" s="4"/>
      <c r="B333" s="4">
        <f t="shared" si="5"/>
        <v>326</v>
      </c>
      <c r="C333" s="4" t="str">
        <f>IFERROR(VLOOKUP(Tabel1[[#This Row],[Model]],Tableau2[[Model]:[Parking Number]],2,FALSE)," ")</f>
        <v xml:space="preserve"> </v>
      </c>
      <c r="D333" s="23"/>
      <c r="E333" s="4" t="str">
        <f>IF(Tabel1[[#This Row],[Model]]="", "",INDEX(Tableau2[Equipment Type],MATCH(Tabel1[[#This Row],[Model]],Tableau2[Model],0)))</f>
        <v/>
      </c>
      <c r="G333" s="4" t="str">
        <f>IF(Tabel1[[#This Row],[Model]]="", "",INDEX(Tableau2[Equipment],MATCH(Tabel1[[#This Row],[Model]],Tableau2[Model],0)))</f>
        <v/>
      </c>
      <c r="I333" s="10"/>
      <c r="J333" s="35"/>
      <c r="L333" s="9"/>
      <c r="M333" s="9"/>
      <c r="N333" s="9"/>
      <c r="O3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3" s="21">
        <f>HOUR(Tabel1[[#This Row],[Total Hours]])+MINUTE(Tabel1[[#This Row],[Total Hours]])/60+SECOND(Tabel1[[#This Row],[Total Hours]])/3600</f>
        <v>0</v>
      </c>
      <c r="Q333" s="6">
        <f>Tabel1[[#This Row],[End Time]]+(Tabel1[[#This Row],[End Time]]&lt;Tabel1[[#This Row],[Start time]])</f>
        <v>0</v>
      </c>
      <c r="R3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3" s="6"/>
      <c r="T333" s="7"/>
    </row>
    <row r="334" spans="1:20" x14ac:dyDescent="0.3">
      <c r="A334" s="4"/>
      <c r="B334" s="4">
        <f t="shared" si="5"/>
        <v>327</v>
      </c>
      <c r="C334" s="4" t="str">
        <f>IFERROR(VLOOKUP(Tabel1[[#This Row],[Model]],Tableau2[[Model]:[Parking Number]],2,FALSE)," ")</f>
        <v xml:space="preserve"> </v>
      </c>
      <c r="D334" s="23"/>
      <c r="E334" s="4" t="str">
        <f>IF(Tabel1[[#This Row],[Model]]="", "",INDEX(Tableau2[Equipment Type],MATCH(Tabel1[[#This Row],[Model]],Tableau2[Model],0)))</f>
        <v/>
      </c>
      <c r="G334" s="4" t="str">
        <f>IF(Tabel1[[#This Row],[Model]]="", "",INDEX(Tableau2[Equipment],MATCH(Tabel1[[#This Row],[Model]],Tableau2[Model],0)))</f>
        <v/>
      </c>
      <c r="I334" s="10"/>
      <c r="J334" s="35"/>
      <c r="L334" s="9"/>
      <c r="M334" s="9"/>
      <c r="N334" s="9"/>
      <c r="O3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4" s="21">
        <f>HOUR(Tabel1[[#This Row],[Total Hours]])+MINUTE(Tabel1[[#This Row],[Total Hours]])/60+SECOND(Tabel1[[#This Row],[Total Hours]])/3600</f>
        <v>0</v>
      </c>
      <c r="Q334" s="6">
        <f>Tabel1[[#This Row],[End Time]]+(Tabel1[[#This Row],[End Time]]&lt;Tabel1[[#This Row],[Start time]])</f>
        <v>0</v>
      </c>
      <c r="R3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4" s="6"/>
      <c r="T334" s="7"/>
    </row>
    <row r="335" spans="1:20" x14ac:dyDescent="0.3">
      <c r="A335" s="4"/>
      <c r="B335" s="4">
        <f t="shared" si="5"/>
        <v>328</v>
      </c>
      <c r="C335" s="4" t="str">
        <f>IFERROR(VLOOKUP(Tabel1[[#This Row],[Model]],Tableau2[[Model]:[Parking Number]],2,FALSE)," ")</f>
        <v xml:space="preserve"> </v>
      </c>
      <c r="D335" s="23"/>
      <c r="E335" s="4" t="str">
        <f>IF(Tabel1[[#This Row],[Model]]="", "",INDEX(Tableau2[Equipment Type],MATCH(Tabel1[[#This Row],[Model]],Tableau2[Model],0)))</f>
        <v/>
      </c>
      <c r="G335" s="4" t="str">
        <f>IF(Tabel1[[#This Row],[Model]]="", "",INDEX(Tableau2[Equipment],MATCH(Tabel1[[#This Row],[Model]],Tableau2[Model],0)))</f>
        <v/>
      </c>
      <c r="I335" s="10"/>
      <c r="J335" s="35"/>
      <c r="L335" s="9"/>
      <c r="M335" s="9"/>
      <c r="N335" s="9"/>
      <c r="O3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5" s="21">
        <f>HOUR(Tabel1[[#This Row],[Total Hours]])+MINUTE(Tabel1[[#This Row],[Total Hours]])/60+SECOND(Tabel1[[#This Row],[Total Hours]])/3600</f>
        <v>0</v>
      </c>
      <c r="Q335" s="6">
        <f>Tabel1[[#This Row],[End Time]]+(Tabel1[[#This Row],[End Time]]&lt;Tabel1[[#This Row],[Start time]])</f>
        <v>0</v>
      </c>
      <c r="R3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5" s="6"/>
      <c r="T335" s="7"/>
    </row>
    <row r="336" spans="1:20" x14ac:dyDescent="0.3">
      <c r="A336" s="4"/>
      <c r="B336" s="4">
        <f t="shared" si="5"/>
        <v>329</v>
      </c>
      <c r="C336" s="4" t="str">
        <f>IFERROR(VLOOKUP(Tabel1[[#This Row],[Model]],Tableau2[[Model]:[Parking Number]],2,FALSE)," ")</f>
        <v xml:space="preserve"> </v>
      </c>
      <c r="D336" s="23"/>
      <c r="E336" s="4" t="str">
        <f>IF(Tabel1[[#This Row],[Model]]="", "",INDEX(Tableau2[Equipment Type],MATCH(Tabel1[[#This Row],[Model]],Tableau2[Model],0)))</f>
        <v/>
      </c>
      <c r="G336" s="4" t="str">
        <f>IF(Tabel1[[#This Row],[Model]]="", "",INDEX(Tableau2[Equipment],MATCH(Tabel1[[#This Row],[Model]],Tableau2[Model],0)))</f>
        <v/>
      </c>
      <c r="I336" s="10"/>
      <c r="J336" s="35"/>
      <c r="L336" s="9"/>
      <c r="M336" s="9"/>
      <c r="N336" s="9"/>
      <c r="O3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6" s="21">
        <f>HOUR(Tabel1[[#This Row],[Total Hours]])+MINUTE(Tabel1[[#This Row],[Total Hours]])/60+SECOND(Tabel1[[#This Row],[Total Hours]])/3600</f>
        <v>0</v>
      </c>
      <c r="Q336" s="6">
        <f>Tabel1[[#This Row],[End Time]]+(Tabel1[[#This Row],[End Time]]&lt;Tabel1[[#This Row],[Start time]])</f>
        <v>0</v>
      </c>
      <c r="R3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6" s="6"/>
      <c r="T336" s="7"/>
    </row>
    <row r="337" spans="1:20" x14ac:dyDescent="0.3">
      <c r="A337" s="4"/>
      <c r="B337" s="4">
        <f t="shared" si="5"/>
        <v>330</v>
      </c>
      <c r="C337" s="4" t="str">
        <f>IFERROR(VLOOKUP(Tabel1[[#This Row],[Model]],Tableau2[[Model]:[Parking Number]],2,FALSE)," ")</f>
        <v xml:space="preserve"> </v>
      </c>
      <c r="D337" s="23"/>
      <c r="E337" s="4" t="str">
        <f>IF(Tabel1[[#This Row],[Model]]="", "",INDEX(Tableau2[Equipment Type],MATCH(Tabel1[[#This Row],[Model]],Tableau2[Model],0)))</f>
        <v/>
      </c>
      <c r="G337" s="4" t="str">
        <f>IF(Tabel1[[#This Row],[Model]]="", "",INDEX(Tableau2[Equipment],MATCH(Tabel1[[#This Row],[Model]],Tableau2[Model],0)))</f>
        <v/>
      </c>
      <c r="I337" s="10"/>
      <c r="J337" s="35"/>
      <c r="L337" s="9"/>
      <c r="M337" s="9"/>
      <c r="N337" s="9"/>
      <c r="O3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7" s="21">
        <f>HOUR(Tabel1[[#This Row],[Total Hours]])+MINUTE(Tabel1[[#This Row],[Total Hours]])/60+SECOND(Tabel1[[#This Row],[Total Hours]])/3600</f>
        <v>0</v>
      </c>
      <c r="Q337" s="6">
        <f>Tabel1[[#This Row],[End Time]]+(Tabel1[[#This Row],[End Time]]&lt;Tabel1[[#This Row],[Start time]])</f>
        <v>0</v>
      </c>
      <c r="R3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7" s="6"/>
      <c r="T337" s="7"/>
    </row>
    <row r="338" spans="1:20" x14ac:dyDescent="0.3">
      <c r="A338" s="4"/>
      <c r="B338" s="4">
        <f t="shared" si="5"/>
        <v>331</v>
      </c>
      <c r="C338" s="4" t="str">
        <f>IFERROR(VLOOKUP(Tabel1[[#This Row],[Model]],Tableau2[[Model]:[Parking Number]],2,FALSE)," ")</f>
        <v xml:space="preserve"> </v>
      </c>
      <c r="D338" s="23"/>
      <c r="E338" s="4" t="str">
        <f>IF(Tabel1[[#This Row],[Model]]="", "",INDEX(Tableau2[Equipment Type],MATCH(Tabel1[[#This Row],[Model]],Tableau2[Model],0)))</f>
        <v/>
      </c>
      <c r="G338" s="4" t="str">
        <f>IF(Tabel1[[#This Row],[Model]]="", "",INDEX(Tableau2[Equipment],MATCH(Tabel1[[#This Row],[Model]],Tableau2[Model],0)))</f>
        <v/>
      </c>
      <c r="I338" s="10"/>
      <c r="J338" s="35"/>
      <c r="L338" s="9"/>
      <c r="M338" s="9"/>
      <c r="N338" s="9"/>
      <c r="O3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8" s="21">
        <f>HOUR(Tabel1[[#This Row],[Total Hours]])+MINUTE(Tabel1[[#This Row],[Total Hours]])/60+SECOND(Tabel1[[#This Row],[Total Hours]])/3600</f>
        <v>0</v>
      </c>
      <c r="Q338" s="6">
        <f>Tabel1[[#This Row],[End Time]]+(Tabel1[[#This Row],[End Time]]&lt;Tabel1[[#This Row],[Start time]])</f>
        <v>0</v>
      </c>
      <c r="R3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8" s="6"/>
      <c r="T338" s="7"/>
    </row>
    <row r="339" spans="1:20" x14ac:dyDescent="0.3">
      <c r="A339" s="4"/>
      <c r="B339" s="4">
        <f t="shared" si="5"/>
        <v>332</v>
      </c>
      <c r="C339" s="4" t="str">
        <f>IFERROR(VLOOKUP(Tabel1[[#This Row],[Model]],Tableau2[[Model]:[Parking Number]],2,FALSE)," ")</f>
        <v xml:space="preserve"> </v>
      </c>
      <c r="D339" s="23"/>
      <c r="E339" s="4" t="str">
        <f>IF(Tabel1[[#This Row],[Model]]="", "",INDEX(Tableau2[Equipment Type],MATCH(Tabel1[[#This Row],[Model]],Tableau2[Model],0)))</f>
        <v/>
      </c>
      <c r="G339" s="4" t="str">
        <f>IF(Tabel1[[#This Row],[Model]]="", "",INDEX(Tableau2[Equipment],MATCH(Tabel1[[#This Row],[Model]],Tableau2[Model],0)))</f>
        <v/>
      </c>
      <c r="I339" s="10"/>
      <c r="J339" s="35"/>
      <c r="L339" s="9"/>
      <c r="M339" s="9"/>
      <c r="N339" s="9"/>
      <c r="O3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9" s="21">
        <f>HOUR(Tabel1[[#This Row],[Total Hours]])+MINUTE(Tabel1[[#This Row],[Total Hours]])/60+SECOND(Tabel1[[#This Row],[Total Hours]])/3600</f>
        <v>0</v>
      </c>
      <c r="Q339" s="6">
        <f>Tabel1[[#This Row],[End Time]]+(Tabel1[[#This Row],[End Time]]&lt;Tabel1[[#This Row],[Start time]])</f>
        <v>0</v>
      </c>
      <c r="R3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9" s="6"/>
      <c r="T339" s="7"/>
    </row>
    <row r="340" spans="1:20" x14ac:dyDescent="0.3">
      <c r="A340" s="4"/>
      <c r="B340" s="4">
        <f t="shared" si="5"/>
        <v>333</v>
      </c>
      <c r="C340" s="4" t="str">
        <f>IFERROR(VLOOKUP(Tabel1[[#This Row],[Model]],Tableau2[[Model]:[Parking Number]],2,FALSE)," ")</f>
        <v xml:space="preserve"> </v>
      </c>
      <c r="D340" s="23"/>
      <c r="E340" s="4" t="str">
        <f>IF(Tabel1[[#This Row],[Model]]="", "",INDEX(Tableau2[Equipment Type],MATCH(Tabel1[[#This Row],[Model]],Tableau2[Model],0)))</f>
        <v/>
      </c>
      <c r="G340" s="4" t="str">
        <f>IF(Tabel1[[#This Row],[Model]]="", "",INDEX(Tableau2[Equipment],MATCH(Tabel1[[#This Row],[Model]],Tableau2[Model],0)))</f>
        <v/>
      </c>
      <c r="I340" s="10"/>
      <c r="J340" s="35"/>
      <c r="L340" s="9"/>
      <c r="M340" s="9"/>
      <c r="N340" s="9"/>
      <c r="O3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0" s="21">
        <f>HOUR(Tabel1[[#This Row],[Total Hours]])+MINUTE(Tabel1[[#This Row],[Total Hours]])/60+SECOND(Tabel1[[#This Row],[Total Hours]])/3600</f>
        <v>0</v>
      </c>
      <c r="Q340" s="6">
        <f>Tabel1[[#This Row],[End Time]]+(Tabel1[[#This Row],[End Time]]&lt;Tabel1[[#This Row],[Start time]])</f>
        <v>0</v>
      </c>
      <c r="R3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0" s="6"/>
      <c r="T340" s="7"/>
    </row>
    <row r="341" spans="1:20" x14ac:dyDescent="0.3">
      <c r="A341" s="4"/>
      <c r="B341" s="4">
        <f t="shared" si="5"/>
        <v>334</v>
      </c>
      <c r="C341" s="4" t="str">
        <f>IFERROR(VLOOKUP(Tabel1[[#This Row],[Model]],Tableau2[[Model]:[Parking Number]],2,FALSE)," ")</f>
        <v xml:space="preserve"> </v>
      </c>
      <c r="D341" s="23"/>
      <c r="E341" s="4" t="str">
        <f>IF(Tabel1[[#This Row],[Model]]="", "",INDEX(Tableau2[Equipment Type],MATCH(Tabel1[[#This Row],[Model]],Tableau2[Model],0)))</f>
        <v/>
      </c>
      <c r="G341" s="4" t="str">
        <f>IF(Tabel1[[#This Row],[Model]]="", "",INDEX(Tableau2[Equipment],MATCH(Tabel1[[#This Row],[Model]],Tableau2[Model],0)))</f>
        <v/>
      </c>
      <c r="I341" s="10"/>
      <c r="J341" s="35"/>
      <c r="L341" s="9"/>
      <c r="M341" s="9"/>
      <c r="N341" s="9"/>
      <c r="O3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1" s="21">
        <f>HOUR(Tabel1[[#This Row],[Total Hours]])+MINUTE(Tabel1[[#This Row],[Total Hours]])/60+SECOND(Tabel1[[#This Row],[Total Hours]])/3600</f>
        <v>0</v>
      </c>
      <c r="Q341" s="6">
        <f>Tabel1[[#This Row],[End Time]]+(Tabel1[[#This Row],[End Time]]&lt;Tabel1[[#This Row],[Start time]])</f>
        <v>0</v>
      </c>
      <c r="R3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1" s="6"/>
      <c r="T341" s="7"/>
    </row>
    <row r="342" spans="1:20" x14ac:dyDescent="0.3">
      <c r="A342" s="4"/>
      <c r="B342" s="4">
        <f t="shared" si="5"/>
        <v>335</v>
      </c>
      <c r="C342" s="4" t="str">
        <f>IFERROR(VLOOKUP(Tabel1[[#This Row],[Model]],Tableau2[[Model]:[Parking Number]],2,FALSE)," ")</f>
        <v xml:space="preserve"> </v>
      </c>
      <c r="D342" s="23"/>
      <c r="E342" s="4" t="str">
        <f>IF(Tabel1[[#This Row],[Model]]="", "",INDEX(Tableau2[Equipment Type],MATCH(Tabel1[[#This Row],[Model]],Tableau2[Model],0)))</f>
        <v/>
      </c>
      <c r="G342" s="4" t="str">
        <f>IF(Tabel1[[#This Row],[Model]]="", "",INDEX(Tableau2[Equipment],MATCH(Tabel1[[#This Row],[Model]],Tableau2[Model],0)))</f>
        <v/>
      </c>
      <c r="I342" s="10"/>
      <c r="J342" s="35"/>
      <c r="L342" s="9"/>
      <c r="M342" s="9"/>
      <c r="N342" s="9"/>
      <c r="O3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2" s="21">
        <f>HOUR(Tabel1[[#This Row],[Total Hours]])+MINUTE(Tabel1[[#This Row],[Total Hours]])/60+SECOND(Tabel1[[#This Row],[Total Hours]])/3600</f>
        <v>0</v>
      </c>
      <c r="Q342" s="6">
        <f>Tabel1[[#This Row],[End Time]]+(Tabel1[[#This Row],[End Time]]&lt;Tabel1[[#This Row],[Start time]])</f>
        <v>0</v>
      </c>
      <c r="R3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2" s="6"/>
      <c r="T342" s="7"/>
    </row>
    <row r="343" spans="1:20" x14ac:dyDescent="0.3">
      <c r="A343" s="4"/>
      <c r="B343" s="4">
        <f t="shared" si="5"/>
        <v>336</v>
      </c>
      <c r="C343" s="4" t="str">
        <f>IFERROR(VLOOKUP(Tabel1[[#This Row],[Model]],Tableau2[[Model]:[Parking Number]],2,FALSE)," ")</f>
        <v xml:space="preserve"> </v>
      </c>
      <c r="D343" s="23"/>
      <c r="E343" s="4" t="str">
        <f>IF(Tabel1[[#This Row],[Model]]="", "",INDEX(Tableau2[Equipment Type],MATCH(Tabel1[[#This Row],[Model]],Tableau2[Model],0)))</f>
        <v/>
      </c>
      <c r="G343" s="4" t="str">
        <f>IF(Tabel1[[#This Row],[Model]]="", "",INDEX(Tableau2[Equipment],MATCH(Tabel1[[#This Row],[Model]],Tableau2[Model],0)))</f>
        <v/>
      </c>
      <c r="I343" s="10"/>
      <c r="J343" s="35"/>
      <c r="L343" s="9"/>
      <c r="M343" s="9"/>
      <c r="N343" s="9"/>
      <c r="O3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3" s="21">
        <f>HOUR(Tabel1[[#This Row],[Total Hours]])+MINUTE(Tabel1[[#This Row],[Total Hours]])/60+SECOND(Tabel1[[#This Row],[Total Hours]])/3600</f>
        <v>0</v>
      </c>
      <c r="Q343" s="6">
        <f>Tabel1[[#This Row],[End Time]]+(Tabel1[[#This Row],[End Time]]&lt;Tabel1[[#This Row],[Start time]])</f>
        <v>0</v>
      </c>
      <c r="R3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3" s="6"/>
      <c r="T343" s="7"/>
    </row>
    <row r="344" spans="1:20" x14ac:dyDescent="0.3">
      <c r="A344" s="4"/>
      <c r="B344" s="4">
        <f t="shared" si="5"/>
        <v>337</v>
      </c>
      <c r="C344" s="4" t="str">
        <f>IFERROR(VLOOKUP(Tabel1[[#This Row],[Model]],Tableau2[[Model]:[Parking Number]],2,FALSE)," ")</f>
        <v xml:space="preserve"> </v>
      </c>
      <c r="D344" s="23"/>
      <c r="E344" s="4" t="str">
        <f>IF(Tabel1[[#This Row],[Model]]="", "",INDEX(Tableau2[Equipment Type],MATCH(Tabel1[[#This Row],[Model]],Tableau2[Model],0)))</f>
        <v/>
      </c>
      <c r="G344" s="4" t="str">
        <f>IF(Tabel1[[#This Row],[Model]]="", "",INDEX(Tableau2[Equipment],MATCH(Tabel1[[#This Row],[Model]],Tableau2[Model],0)))</f>
        <v/>
      </c>
      <c r="I344" s="10"/>
      <c r="J344" s="35"/>
      <c r="L344" s="9"/>
      <c r="M344" s="9"/>
      <c r="N344" s="9"/>
      <c r="O3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4" s="21">
        <f>HOUR(Tabel1[[#This Row],[Total Hours]])+MINUTE(Tabel1[[#This Row],[Total Hours]])/60+SECOND(Tabel1[[#This Row],[Total Hours]])/3600</f>
        <v>0</v>
      </c>
      <c r="Q344" s="6">
        <f>Tabel1[[#This Row],[End Time]]+(Tabel1[[#This Row],[End Time]]&lt;Tabel1[[#This Row],[Start time]])</f>
        <v>0</v>
      </c>
      <c r="R3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4" s="6"/>
      <c r="T344" s="7"/>
    </row>
    <row r="345" spans="1:20" x14ac:dyDescent="0.3">
      <c r="A345" s="4"/>
      <c r="B345" s="4">
        <f t="shared" si="5"/>
        <v>338</v>
      </c>
      <c r="C345" s="4" t="str">
        <f>IFERROR(VLOOKUP(Tabel1[[#This Row],[Model]],Tableau2[[Model]:[Parking Number]],2,FALSE)," ")</f>
        <v xml:space="preserve"> </v>
      </c>
      <c r="D345" s="23"/>
      <c r="E345" s="4" t="str">
        <f>IF(Tabel1[[#This Row],[Model]]="", "",INDEX(Tableau2[Equipment Type],MATCH(Tabel1[[#This Row],[Model]],Tableau2[Model],0)))</f>
        <v/>
      </c>
      <c r="G345" s="4" t="str">
        <f>IF(Tabel1[[#This Row],[Model]]="", "",INDEX(Tableau2[Equipment],MATCH(Tabel1[[#This Row],[Model]],Tableau2[Model],0)))</f>
        <v/>
      </c>
      <c r="I345" s="10"/>
      <c r="J345" s="35"/>
      <c r="L345" s="9"/>
      <c r="M345" s="9"/>
      <c r="N345" s="9"/>
      <c r="O3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5" s="21">
        <f>HOUR(Tabel1[[#This Row],[Total Hours]])+MINUTE(Tabel1[[#This Row],[Total Hours]])/60+SECOND(Tabel1[[#This Row],[Total Hours]])/3600</f>
        <v>0</v>
      </c>
      <c r="Q345" s="6">
        <f>Tabel1[[#This Row],[End Time]]+(Tabel1[[#This Row],[End Time]]&lt;Tabel1[[#This Row],[Start time]])</f>
        <v>0</v>
      </c>
      <c r="R3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5" s="6"/>
      <c r="T345" s="7"/>
    </row>
    <row r="346" spans="1:20" x14ac:dyDescent="0.3">
      <c r="A346" s="4"/>
      <c r="B346" s="4">
        <f t="shared" si="5"/>
        <v>339</v>
      </c>
      <c r="C346" s="4" t="str">
        <f>IFERROR(VLOOKUP(Tabel1[[#This Row],[Model]],Tableau2[[Model]:[Parking Number]],2,FALSE)," ")</f>
        <v xml:space="preserve"> </v>
      </c>
      <c r="D346" s="23"/>
      <c r="E346" s="4" t="str">
        <f>IF(Tabel1[[#This Row],[Model]]="", "",INDEX(Tableau2[Equipment Type],MATCH(Tabel1[[#This Row],[Model]],Tableau2[Model],0)))</f>
        <v/>
      </c>
      <c r="G346" s="4" t="str">
        <f>IF(Tabel1[[#This Row],[Model]]="", "",INDEX(Tableau2[Equipment],MATCH(Tabel1[[#This Row],[Model]],Tableau2[Model],0)))</f>
        <v/>
      </c>
      <c r="I346" s="10"/>
      <c r="J346" s="35"/>
      <c r="L346" s="9"/>
      <c r="M346" s="9"/>
      <c r="N346" s="9"/>
      <c r="O3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6" s="21">
        <f>HOUR(Tabel1[[#This Row],[Total Hours]])+MINUTE(Tabel1[[#This Row],[Total Hours]])/60+SECOND(Tabel1[[#This Row],[Total Hours]])/3600</f>
        <v>0</v>
      </c>
      <c r="Q346" s="6">
        <f>Tabel1[[#This Row],[End Time]]+(Tabel1[[#This Row],[End Time]]&lt;Tabel1[[#This Row],[Start time]])</f>
        <v>0</v>
      </c>
      <c r="R3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6" s="6"/>
      <c r="T346" s="7"/>
    </row>
    <row r="347" spans="1:20" x14ac:dyDescent="0.3">
      <c r="A347" s="4"/>
      <c r="B347" s="4">
        <f t="shared" si="5"/>
        <v>340</v>
      </c>
      <c r="C347" s="4" t="str">
        <f>IFERROR(VLOOKUP(Tabel1[[#This Row],[Model]],Tableau2[[Model]:[Parking Number]],2,FALSE)," ")</f>
        <v xml:space="preserve"> </v>
      </c>
      <c r="D347" s="23"/>
      <c r="E347" s="4" t="str">
        <f>IF(Tabel1[[#This Row],[Model]]="", "",INDEX(Tableau2[Equipment Type],MATCH(Tabel1[[#This Row],[Model]],Tableau2[Model],0)))</f>
        <v/>
      </c>
      <c r="G347" s="4" t="str">
        <f>IF(Tabel1[[#This Row],[Model]]="", "",INDEX(Tableau2[Equipment],MATCH(Tabel1[[#This Row],[Model]],Tableau2[Model],0)))</f>
        <v/>
      </c>
      <c r="I347" s="10"/>
      <c r="J347" s="35"/>
      <c r="L347" s="9"/>
      <c r="M347" s="9"/>
      <c r="N347" s="9"/>
      <c r="O3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7" s="21">
        <f>HOUR(Tabel1[[#This Row],[Total Hours]])+MINUTE(Tabel1[[#This Row],[Total Hours]])/60+SECOND(Tabel1[[#This Row],[Total Hours]])/3600</f>
        <v>0</v>
      </c>
      <c r="Q347" s="6">
        <f>Tabel1[[#This Row],[End Time]]+(Tabel1[[#This Row],[End Time]]&lt;Tabel1[[#This Row],[Start time]])</f>
        <v>0</v>
      </c>
      <c r="R3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7" s="6"/>
      <c r="T347" s="7"/>
    </row>
    <row r="348" spans="1:20" x14ac:dyDescent="0.3">
      <c r="A348" s="4"/>
      <c r="B348" s="4">
        <f t="shared" si="5"/>
        <v>341</v>
      </c>
      <c r="C348" s="4" t="str">
        <f>IFERROR(VLOOKUP(Tabel1[[#This Row],[Model]],Tableau2[[Model]:[Parking Number]],2,FALSE)," ")</f>
        <v xml:space="preserve"> </v>
      </c>
      <c r="D348" s="23"/>
      <c r="E348" s="4" t="str">
        <f>IF(Tabel1[[#This Row],[Model]]="", "",INDEX(Tableau2[Equipment Type],MATCH(Tabel1[[#This Row],[Model]],Tableau2[Model],0)))</f>
        <v/>
      </c>
      <c r="G348" s="4" t="str">
        <f>IF(Tabel1[[#This Row],[Model]]="", "",INDEX(Tableau2[Equipment],MATCH(Tabel1[[#This Row],[Model]],Tableau2[Model],0)))</f>
        <v/>
      </c>
      <c r="I348" s="10"/>
      <c r="J348" s="35"/>
      <c r="L348" s="9"/>
      <c r="M348" s="9"/>
      <c r="N348" s="9"/>
      <c r="O3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8" s="21">
        <f>HOUR(Tabel1[[#This Row],[Total Hours]])+MINUTE(Tabel1[[#This Row],[Total Hours]])/60+SECOND(Tabel1[[#This Row],[Total Hours]])/3600</f>
        <v>0</v>
      </c>
      <c r="Q348" s="6">
        <f>Tabel1[[#This Row],[End Time]]+(Tabel1[[#This Row],[End Time]]&lt;Tabel1[[#This Row],[Start time]])</f>
        <v>0</v>
      </c>
      <c r="R3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8" s="6"/>
      <c r="T348" s="7"/>
    </row>
    <row r="349" spans="1:20" x14ac:dyDescent="0.3">
      <c r="A349" s="4"/>
      <c r="B349" s="4">
        <f t="shared" si="5"/>
        <v>342</v>
      </c>
      <c r="C349" s="4" t="str">
        <f>IFERROR(VLOOKUP(Tabel1[[#This Row],[Model]],Tableau2[[Model]:[Parking Number]],2,FALSE)," ")</f>
        <v xml:space="preserve"> </v>
      </c>
      <c r="D349" s="23"/>
      <c r="E349" s="4" t="str">
        <f>IF(Tabel1[[#This Row],[Model]]="", "",INDEX(Tableau2[Equipment Type],MATCH(Tabel1[[#This Row],[Model]],Tableau2[Model],0)))</f>
        <v/>
      </c>
      <c r="G349" s="4" t="str">
        <f>IF(Tabel1[[#This Row],[Model]]="", "",INDEX(Tableau2[Equipment],MATCH(Tabel1[[#This Row],[Model]],Tableau2[Model],0)))</f>
        <v/>
      </c>
      <c r="I349" s="10"/>
      <c r="J349" s="35"/>
      <c r="L349" s="9"/>
      <c r="M349" s="9"/>
      <c r="N349" s="9"/>
      <c r="O3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9" s="21">
        <f>HOUR(Tabel1[[#This Row],[Total Hours]])+MINUTE(Tabel1[[#This Row],[Total Hours]])/60+SECOND(Tabel1[[#This Row],[Total Hours]])/3600</f>
        <v>0</v>
      </c>
      <c r="Q349" s="6">
        <f>Tabel1[[#This Row],[End Time]]+(Tabel1[[#This Row],[End Time]]&lt;Tabel1[[#This Row],[Start time]])</f>
        <v>0</v>
      </c>
      <c r="R3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9" s="6"/>
      <c r="T349" s="7"/>
    </row>
    <row r="350" spans="1:20" x14ac:dyDescent="0.3">
      <c r="A350" s="4"/>
      <c r="B350" s="4">
        <f t="shared" si="5"/>
        <v>343</v>
      </c>
      <c r="C350" s="4" t="str">
        <f>IFERROR(VLOOKUP(Tabel1[[#This Row],[Model]],Tableau2[[Model]:[Parking Number]],2,FALSE)," ")</f>
        <v xml:space="preserve"> </v>
      </c>
      <c r="D350" s="23"/>
      <c r="E350" s="4" t="str">
        <f>IF(Tabel1[[#This Row],[Model]]="", "",INDEX(Tableau2[Equipment Type],MATCH(Tabel1[[#This Row],[Model]],Tableau2[Model],0)))</f>
        <v/>
      </c>
      <c r="G350" s="4" t="str">
        <f>IF(Tabel1[[#This Row],[Model]]="", "",INDEX(Tableau2[Equipment],MATCH(Tabel1[[#This Row],[Model]],Tableau2[Model],0)))</f>
        <v/>
      </c>
      <c r="I350" s="10"/>
      <c r="J350" s="35"/>
      <c r="L350" s="9"/>
      <c r="M350" s="9"/>
      <c r="N350" s="9"/>
      <c r="O3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0" s="21">
        <f>HOUR(Tabel1[[#This Row],[Total Hours]])+MINUTE(Tabel1[[#This Row],[Total Hours]])/60+SECOND(Tabel1[[#This Row],[Total Hours]])/3600</f>
        <v>0</v>
      </c>
      <c r="Q350" s="6">
        <f>Tabel1[[#This Row],[End Time]]+(Tabel1[[#This Row],[End Time]]&lt;Tabel1[[#This Row],[Start time]])</f>
        <v>0</v>
      </c>
      <c r="R3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0" s="6"/>
      <c r="T350" s="7"/>
    </row>
    <row r="351" spans="1:20" x14ac:dyDescent="0.3">
      <c r="A351" s="4"/>
      <c r="B351" s="4">
        <f t="shared" si="5"/>
        <v>344</v>
      </c>
      <c r="C351" s="4" t="str">
        <f>IFERROR(VLOOKUP(Tabel1[[#This Row],[Model]],Tableau2[[Model]:[Parking Number]],2,FALSE)," ")</f>
        <v xml:space="preserve"> </v>
      </c>
      <c r="D351" s="23"/>
      <c r="E351" s="4" t="str">
        <f>IF(Tabel1[[#This Row],[Model]]="", "",INDEX(Tableau2[Equipment Type],MATCH(Tabel1[[#This Row],[Model]],Tableau2[Model],0)))</f>
        <v/>
      </c>
      <c r="G351" s="4" t="str">
        <f>IF(Tabel1[[#This Row],[Model]]="", "",INDEX(Tableau2[Equipment],MATCH(Tabel1[[#This Row],[Model]],Tableau2[Model],0)))</f>
        <v/>
      </c>
      <c r="I351" s="10"/>
      <c r="J351" s="35"/>
      <c r="L351" s="9"/>
      <c r="M351" s="9"/>
      <c r="N351" s="9"/>
      <c r="O3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1" s="21">
        <f>HOUR(Tabel1[[#This Row],[Total Hours]])+MINUTE(Tabel1[[#This Row],[Total Hours]])/60+SECOND(Tabel1[[#This Row],[Total Hours]])/3600</f>
        <v>0</v>
      </c>
      <c r="Q351" s="6">
        <f>Tabel1[[#This Row],[End Time]]+(Tabel1[[#This Row],[End Time]]&lt;Tabel1[[#This Row],[Start time]])</f>
        <v>0</v>
      </c>
      <c r="R3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1" s="6"/>
      <c r="T351" s="7"/>
    </row>
    <row r="352" spans="1:20" x14ac:dyDescent="0.3">
      <c r="A352" s="4"/>
      <c r="B352" s="4">
        <f t="shared" si="5"/>
        <v>345</v>
      </c>
      <c r="C352" s="4" t="str">
        <f>IFERROR(VLOOKUP(Tabel1[[#This Row],[Model]],Tableau2[[Model]:[Parking Number]],2,FALSE)," ")</f>
        <v xml:space="preserve"> </v>
      </c>
      <c r="D352" s="23"/>
      <c r="E352" s="4" t="str">
        <f>IF(Tabel1[[#This Row],[Model]]="", "",INDEX(Tableau2[Equipment Type],MATCH(Tabel1[[#This Row],[Model]],Tableau2[Model],0)))</f>
        <v/>
      </c>
      <c r="G352" s="4" t="str">
        <f>IF(Tabel1[[#This Row],[Model]]="", "",INDEX(Tableau2[Equipment],MATCH(Tabel1[[#This Row],[Model]],Tableau2[Model],0)))</f>
        <v/>
      </c>
      <c r="I352" s="10"/>
      <c r="J352" s="35"/>
      <c r="L352" s="9"/>
      <c r="M352" s="9"/>
      <c r="N352" s="9"/>
      <c r="O3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2" s="21">
        <f>HOUR(Tabel1[[#This Row],[Total Hours]])+MINUTE(Tabel1[[#This Row],[Total Hours]])/60+SECOND(Tabel1[[#This Row],[Total Hours]])/3600</f>
        <v>0</v>
      </c>
      <c r="Q352" s="6">
        <f>Tabel1[[#This Row],[End Time]]+(Tabel1[[#This Row],[End Time]]&lt;Tabel1[[#This Row],[Start time]])</f>
        <v>0</v>
      </c>
      <c r="R3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2" s="6"/>
      <c r="T352" s="7"/>
    </row>
    <row r="353" spans="1:20" x14ac:dyDescent="0.3">
      <c r="A353" s="4"/>
      <c r="B353" s="4">
        <f t="shared" si="5"/>
        <v>346</v>
      </c>
      <c r="C353" s="4" t="str">
        <f>IFERROR(VLOOKUP(Tabel1[[#This Row],[Model]],Tableau2[[Model]:[Parking Number]],2,FALSE)," ")</f>
        <v xml:space="preserve"> </v>
      </c>
      <c r="D353" s="23"/>
      <c r="E353" s="4" t="str">
        <f>IF(Tabel1[[#This Row],[Model]]="", "",INDEX(Tableau2[Equipment Type],MATCH(Tabel1[[#This Row],[Model]],Tableau2[Model],0)))</f>
        <v/>
      </c>
      <c r="G353" s="4" t="str">
        <f>IF(Tabel1[[#This Row],[Model]]="", "",INDEX(Tableau2[Equipment],MATCH(Tabel1[[#This Row],[Model]],Tableau2[Model],0)))</f>
        <v/>
      </c>
      <c r="I353" s="10"/>
      <c r="J353" s="35"/>
      <c r="L353" s="9"/>
      <c r="M353" s="9"/>
      <c r="N353" s="9"/>
      <c r="O3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3" s="21">
        <f>HOUR(Tabel1[[#This Row],[Total Hours]])+MINUTE(Tabel1[[#This Row],[Total Hours]])/60+SECOND(Tabel1[[#This Row],[Total Hours]])/3600</f>
        <v>0</v>
      </c>
      <c r="Q353" s="6">
        <f>Tabel1[[#This Row],[End Time]]+(Tabel1[[#This Row],[End Time]]&lt;Tabel1[[#This Row],[Start time]])</f>
        <v>0</v>
      </c>
      <c r="R3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3" s="6"/>
      <c r="T353" s="7"/>
    </row>
    <row r="354" spans="1:20" x14ac:dyDescent="0.3">
      <c r="A354" s="4"/>
      <c r="B354" s="4">
        <f t="shared" si="5"/>
        <v>347</v>
      </c>
      <c r="C354" s="4" t="str">
        <f>IFERROR(VLOOKUP(Tabel1[[#This Row],[Model]],Tableau2[[Model]:[Parking Number]],2,FALSE)," ")</f>
        <v xml:space="preserve"> </v>
      </c>
      <c r="D354" s="23"/>
      <c r="E354" s="4" t="str">
        <f>IF(Tabel1[[#This Row],[Model]]="", "",INDEX(Tableau2[Equipment Type],MATCH(Tabel1[[#This Row],[Model]],Tableau2[Model],0)))</f>
        <v/>
      </c>
      <c r="G354" s="4" t="str">
        <f>IF(Tabel1[[#This Row],[Model]]="", "",INDEX(Tableau2[Equipment],MATCH(Tabel1[[#This Row],[Model]],Tableau2[Model],0)))</f>
        <v/>
      </c>
      <c r="I354" s="10"/>
      <c r="J354" s="35"/>
      <c r="L354" s="9"/>
      <c r="M354" s="9"/>
      <c r="N354" s="9"/>
      <c r="O3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4" s="21">
        <f>HOUR(Tabel1[[#This Row],[Total Hours]])+MINUTE(Tabel1[[#This Row],[Total Hours]])/60+SECOND(Tabel1[[#This Row],[Total Hours]])/3600</f>
        <v>0</v>
      </c>
      <c r="Q354" s="6">
        <f>Tabel1[[#This Row],[End Time]]+(Tabel1[[#This Row],[End Time]]&lt;Tabel1[[#This Row],[Start time]])</f>
        <v>0</v>
      </c>
      <c r="R3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4" s="6"/>
      <c r="T354" s="7"/>
    </row>
    <row r="355" spans="1:20" x14ac:dyDescent="0.3">
      <c r="A355" s="4"/>
      <c r="B355" s="4">
        <f t="shared" si="5"/>
        <v>348</v>
      </c>
      <c r="C355" s="4" t="str">
        <f>IFERROR(VLOOKUP(Tabel1[[#This Row],[Model]],Tableau2[[Model]:[Parking Number]],2,FALSE)," ")</f>
        <v xml:space="preserve"> </v>
      </c>
      <c r="D355" s="23"/>
      <c r="E355" s="4" t="str">
        <f>IF(Tabel1[[#This Row],[Model]]="", "",INDEX(Tableau2[Equipment Type],MATCH(Tabel1[[#This Row],[Model]],Tableau2[Model],0)))</f>
        <v/>
      </c>
      <c r="G355" s="4" t="str">
        <f>IF(Tabel1[[#This Row],[Model]]="", "",INDEX(Tableau2[Equipment],MATCH(Tabel1[[#This Row],[Model]],Tableau2[Model],0)))</f>
        <v/>
      </c>
      <c r="I355" s="10"/>
      <c r="J355" s="35"/>
      <c r="L355" s="9"/>
      <c r="M355" s="9"/>
      <c r="N355" s="9"/>
      <c r="O3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5" s="21">
        <f>HOUR(Tabel1[[#This Row],[Total Hours]])+MINUTE(Tabel1[[#This Row],[Total Hours]])/60+SECOND(Tabel1[[#This Row],[Total Hours]])/3600</f>
        <v>0</v>
      </c>
      <c r="Q355" s="6">
        <f>Tabel1[[#This Row],[End Time]]+(Tabel1[[#This Row],[End Time]]&lt;Tabel1[[#This Row],[Start time]])</f>
        <v>0</v>
      </c>
      <c r="R3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5" s="6"/>
      <c r="T355" s="7"/>
    </row>
    <row r="356" spans="1:20" x14ac:dyDescent="0.3">
      <c r="A356" s="4"/>
      <c r="B356" s="4">
        <f t="shared" si="5"/>
        <v>349</v>
      </c>
      <c r="C356" s="4" t="str">
        <f>IFERROR(VLOOKUP(Tabel1[[#This Row],[Model]],Tableau2[[Model]:[Parking Number]],2,FALSE)," ")</f>
        <v xml:space="preserve"> </v>
      </c>
      <c r="D356" s="23"/>
      <c r="E356" s="4" t="str">
        <f>IF(Tabel1[[#This Row],[Model]]="", "",INDEX(Tableau2[Equipment Type],MATCH(Tabel1[[#This Row],[Model]],Tableau2[Model],0)))</f>
        <v/>
      </c>
      <c r="G356" s="4" t="str">
        <f>IF(Tabel1[[#This Row],[Model]]="", "",INDEX(Tableau2[Equipment],MATCH(Tabel1[[#This Row],[Model]],Tableau2[Model],0)))</f>
        <v/>
      </c>
      <c r="I356" s="10"/>
      <c r="J356" s="35"/>
      <c r="L356" s="9"/>
      <c r="M356" s="9"/>
      <c r="N356" s="9"/>
      <c r="O3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6" s="21">
        <f>HOUR(Tabel1[[#This Row],[Total Hours]])+MINUTE(Tabel1[[#This Row],[Total Hours]])/60+SECOND(Tabel1[[#This Row],[Total Hours]])/3600</f>
        <v>0</v>
      </c>
      <c r="Q356" s="6">
        <f>Tabel1[[#This Row],[End Time]]+(Tabel1[[#This Row],[End Time]]&lt;Tabel1[[#This Row],[Start time]])</f>
        <v>0</v>
      </c>
      <c r="R3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6" s="6"/>
      <c r="T356" s="7"/>
    </row>
    <row r="357" spans="1:20" x14ac:dyDescent="0.3">
      <c r="A357" s="4"/>
      <c r="B357" s="4">
        <f t="shared" si="5"/>
        <v>350</v>
      </c>
      <c r="C357" s="4" t="str">
        <f>IFERROR(VLOOKUP(Tabel1[[#This Row],[Model]],Tableau2[[Model]:[Parking Number]],2,FALSE)," ")</f>
        <v xml:space="preserve"> </v>
      </c>
      <c r="D357" s="23"/>
      <c r="E357" s="4" t="str">
        <f>IF(Tabel1[[#This Row],[Model]]="", "",INDEX(Tableau2[Equipment Type],MATCH(Tabel1[[#This Row],[Model]],Tableau2[Model],0)))</f>
        <v/>
      </c>
      <c r="G357" s="4" t="str">
        <f>IF(Tabel1[[#This Row],[Model]]="", "",INDEX(Tableau2[Equipment],MATCH(Tabel1[[#This Row],[Model]],Tableau2[Model],0)))</f>
        <v/>
      </c>
      <c r="I357" s="10"/>
      <c r="J357" s="35"/>
      <c r="L357" s="9"/>
      <c r="M357" s="9"/>
      <c r="N357" s="9"/>
      <c r="O3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7" s="21">
        <f>HOUR(Tabel1[[#This Row],[Total Hours]])+MINUTE(Tabel1[[#This Row],[Total Hours]])/60+SECOND(Tabel1[[#This Row],[Total Hours]])/3600</f>
        <v>0</v>
      </c>
      <c r="Q357" s="6">
        <f>Tabel1[[#This Row],[End Time]]+(Tabel1[[#This Row],[End Time]]&lt;Tabel1[[#This Row],[Start time]])</f>
        <v>0</v>
      </c>
      <c r="R3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7" s="6"/>
      <c r="T357" s="7"/>
    </row>
    <row r="358" spans="1:20" x14ac:dyDescent="0.3">
      <c r="A358" s="4"/>
      <c r="B358" s="4">
        <f t="shared" si="5"/>
        <v>351</v>
      </c>
      <c r="C358" s="4" t="str">
        <f>IFERROR(VLOOKUP(Tabel1[[#This Row],[Model]],Tableau2[[Model]:[Parking Number]],2,FALSE)," ")</f>
        <v xml:space="preserve"> </v>
      </c>
      <c r="D358" s="23"/>
      <c r="E358" s="4" t="str">
        <f>IF(Tabel1[[#This Row],[Model]]="", "",INDEX(Tableau2[Equipment Type],MATCH(Tabel1[[#This Row],[Model]],Tableau2[Model],0)))</f>
        <v/>
      </c>
      <c r="G358" s="4" t="str">
        <f>IF(Tabel1[[#This Row],[Model]]="", "",INDEX(Tableau2[Equipment],MATCH(Tabel1[[#This Row],[Model]],Tableau2[Model],0)))</f>
        <v/>
      </c>
      <c r="I358" s="10"/>
      <c r="J358" s="35"/>
      <c r="L358" s="9"/>
      <c r="M358" s="9"/>
      <c r="N358" s="9"/>
      <c r="O3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8" s="21">
        <f>HOUR(Tabel1[[#This Row],[Total Hours]])+MINUTE(Tabel1[[#This Row],[Total Hours]])/60+SECOND(Tabel1[[#This Row],[Total Hours]])/3600</f>
        <v>0</v>
      </c>
      <c r="Q358" s="6">
        <f>Tabel1[[#This Row],[End Time]]+(Tabel1[[#This Row],[End Time]]&lt;Tabel1[[#This Row],[Start time]])</f>
        <v>0</v>
      </c>
      <c r="R3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8" s="6"/>
      <c r="T358" s="7"/>
    </row>
    <row r="359" spans="1:20" x14ac:dyDescent="0.3">
      <c r="A359" s="4"/>
      <c r="B359" s="4">
        <f t="shared" si="5"/>
        <v>352</v>
      </c>
      <c r="C359" s="4" t="str">
        <f>IFERROR(VLOOKUP(Tabel1[[#This Row],[Model]],Tableau2[[Model]:[Parking Number]],2,FALSE)," ")</f>
        <v xml:space="preserve"> </v>
      </c>
      <c r="D359" s="23"/>
      <c r="E359" s="4" t="str">
        <f>IF(Tabel1[[#This Row],[Model]]="", "",INDEX(Tableau2[Equipment Type],MATCH(Tabel1[[#This Row],[Model]],Tableau2[Model],0)))</f>
        <v/>
      </c>
      <c r="G359" s="4" t="str">
        <f>IF(Tabel1[[#This Row],[Model]]="", "",INDEX(Tableau2[Equipment],MATCH(Tabel1[[#This Row],[Model]],Tableau2[Model],0)))</f>
        <v/>
      </c>
      <c r="I359" s="10"/>
      <c r="J359" s="35"/>
      <c r="L359" s="9"/>
      <c r="M359" s="9"/>
      <c r="N359" s="9"/>
      <c r="O3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9" s="21">
        <f>HOUR(Tabel1[[#This Row],[Total Hours]])+MINUTE(Tabel1[[#This Row],[Total Hours]])/60+SECOND(Tabel1[[#This Row],[Total Hours]])/3600</f>
        <v>0</v>
      </c>
      <c r="Q359" s="6">
        <f>Tabel1[[#This Row],[End Time]]+(Tabel1[[#This Row],[End Time]]&lt;Tabel1[[#This Row],[Start time]])</f>
        <v>0</v>
      </c>
      <c r="R3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9" s="6"/>
      <c r="T359" s="7"/>
    </row>
    <row r="360" spans="1:20" x14ac:dyDescent="0.3">
      <c r="A360" s="4"/>
      <c r="B360" s="4">
        <f t="shared" si="5"/>
        <v>353</v>
      </c>
      <c r="C360" s="4" t="str">
        <f>IFERROR(VLOOKUP(Tabel1[[#This Row],[Model]],Tableau2[[Model]:[Parking Number]],2,FALSE)," ")</f>
        <v xml:space="preserve"> </v>
      </c>
      <c r="D360" s="23"/>
      <c r="E360" s="4" t="str">
        <f>IF(Tabel1[[#This Row],[Model]]="", "",INDEX(Tableau2[Equipment Type],MATCH(Tabel1[[#This Row],[Model]],Tableau2[Model],0)))</f>
        <v/>
      </c>
      <c r="G360" s="4" t="str">
        <f>IF(Tabel1[[#This Row],[Model]]="", "",INDEX(Tableau2[Equipment],MATCH(Tabel1[[#This Row],[Model]],Tableau2[Model],0)))</f>
        <v/>
      </c>
      <c r="I360" s="10"/>
      <c r="J360" s="35"/>
      <c r="L360" s="9"/>
      <c r="M360" s="9"/>
      <c r="N360" s="9"/>
      <c r="O3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0" s="21">
        <f>HOUR(Tabel1[[#This Row],[Total Hours]])+MINUTE(Tabel1[[#This Row],[Total Hours]])/60+SECOND(Tabel1[[#This Row],[Total Hours]])/3600</f>
        <v>0</v>
      </c>
      <c r="Q360" s="6">
        <f>Tabel1[[#This Row],[End Time]]+(Tabel1[[#This Row],[End Time]]&lt;Tabel1[[#This Row],[Start time]])</f>
        <v>0</v>
      </c>
      <c r="R3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0" s="6"/>
      <c r="T360" s="7"/>
    </row>
    <row r="361" spans="1:20" x14ac:dyDescent="0.3">
      <c r="A361" s="4"/>
      <c r="B361" s="4">
        <f t="shared" si="5"/>
        <v>354</v>
      </c>
      <c r="C361" s="4" t="str">
        <f>IFERROR(VLOOKUP(Tabel1[[#This Row],[Model]],Tableau2[[Model]:[Parking Number]],2,FALSE)," ")</f>
        <v xml:space="preserve"> </v>
      </c>
      <c r="D361" s="23"/>
      <c r="E361" s="4" t="str">
        <f>IF(Tabel1[[#This Row],[Model]]="", "",INDEX(Tableau2[Equipment Type],MATCH(Tabel1[[#This Row],[Model]],Tableau2[Model],0)))</f>
        <v/>
      </c>
      <c r="G361" s="4" t="str">
        <f>IF(Tabel1[[#This Row],[Model]]="", "",INDEX(Tableau2[Equipment],MATCH(Tabel1[[#This Row],[Model]],Tableau2[Model],0)))</f>
        <v/>
      </c>
      <c r="I361" s="10"/>
      <c r="J361" s="35"/>
      <c r="L361" s="9"/>
      <c r="M361" s="9"/>
      <c r="N361" s="9"/>
      <c r="O3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1" s="21">
        <f>HOUR(Tabel1[[#This Row],[Total Hours]])+MINUTE(Tabel1[[#This Row],[Total Hours]])/60+SECOND(Tabel1[[#This Row],[Total Hours]])/3600</f>
        <v>0</v>
      </c>
      <c r="Q361" s="6">
        <f>Tabel1[[#This Row],[End Time]]+(Tabel1[[#This Row],[End Time]]&lt;Tabel1[[#This Row],[Start time]])</f>
        <v>0</v>
      </c>
      <c r="R3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1" s="6"/>
      <c r="T361" s="7"/>
    </row>
    <row r="362" spans="1:20" x14ac:dyDescent="0.3">
      <c r="A362" s="4"/>
      <c r="B362" s="4">
        <f t="shared" si="5"/>
        <v>355</v>
      </c>
      <c r="C362" s="4" t="str">
        <f>IFERROR(VLOOKUP(Tabel1[[#This Row],[Model]],Tableau2[[Model]:[Parking Number]],2,FALSE)," ")</f>
        <v xml:space="preserve"> </v>
      </c>
      <c r="D362" s="23"/>
      <c r="E362" s="4" t="str">
        <f>IF(Tabel1[[#This Row],[Model]]="", "",INDEX(Tableau2[Equipment Type],MATCH(Tabel1[[#This Row],[Model]],Tableau2[Model],0)))</f>
        <v/>
      </c>
      <c r="G362" s="4" t="str">
        <f>IF(Tabel1[[#This Row],[Model]]="", "",INDEX(Tableau2[Equipment],MATCH(Tabel1[[#This Row],[Model]],Tableau2[Model],0)))</f>
        <v/>
      </c>
      <c r="I362" s="10"/>
      <c r="J362" s="35"/>
      <c r="L362" s="9"/>
      <c r="M362" s="9"/>
      <c r="N362" s="9"/>
      <c r="O3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2" s="21">
        <f>HOUR(Tabel1[[#This Row],[Total Hours]])+MINUTE(Tabel1[[#This Row],[Total Hours]])/60+SECOND(Tabel1[[#This Row],[Total Hours]])/3600</f>
        <v>0</v>
      </c>
      <c r="Q362" s="6">
        <f>Tabel1[[#This Row],[End Time]]+(Tabel1[[#This Row],[End Time]]&lt;Tabel1[[#This Row],[Start time]])</f>
        <v>0</v>
      </c>
      <c r="R3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2" s="6"/>
      <c r="T362" s="7"/>
    </row>
    <row r="363" spans="1:20" ht="14.55" customHeight="1" x14ac:dyDescent="0.3">
      <c r="A363" s="4"/>
      <c r="B363" s="4">
        <f t="shared" si="5"/>
        <v>356</v>
      </c>
      <c r="C363" s="4" t="str">
        <f>IFERROR(VLOOKUP(Tabel1[[#This Row],[Model]],Tableau2[[Model]:[Parking Number]],2,FALSE)," ")</f>
        <v xml:space="preserve"> </v>
      </c>
      <c r="D363" s="23"/>
      <c r="E363" s="4" t="str">
        <f>IF(Tabel1[[#This Row],[Model]]="", "",INDEX(Tableau2[Equipment Type],MATCH(Tabel1[[#This Row],[Model]],Tableau2[Model],0)))</f>
        <v/>
      </c>
      <c r="G363" s="4" t="str">
        <f>IF(Tabel1[[#This Row],[Model]]="", "",INDEX(Tableau2[Equipment],MATCH(Tabel1[[#This Row],[Model]],Tableau2[Model],0)))</f>
        <v/>
      </c>
      <c r="I363" s="10"/>
      <c r="J363" s="35"/>
      <c r="L363" s="9"/>
      <c r="M363" s="9"/>
      <c r="N363" s="9"/>
      <c r="O3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3" s="21">
        <f>HOUR(Tabel1[[#This Row],[Total Hours]])+MINUTE(Tabel1[[#This Row],[Total Hours]])/60+SECOND(Tabel1[[#This Row],[Total Hours]])/3600</f>
        <v>0</v>
      </c>
      <c r="Q363" s="6">
        <f>Tabel1[[#This Row],[End Time]]+(Tabel1[[#This Row],[End Time]]&lt;Tabel1[[#This Row],[Start time]])</f>
        <v>0</v>
      </c>
      <c r="R3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3" s="6"/>
      <c r="T363" s="7"/>
    </row>
  </sheetData>
  <mergeCells count="1">
    <mergeCell ref="B2:O4"/>
  </mergeCells>
  <phoneticPr fontId="3" type="noConversion"/>
  <conditionalFormatting sqref="R8:R363">
    <cfRule type="expression" dxfId="85" priority="4">
      <formula>R8&gt;1</formula>
    </cfRule>
  </conditionalFormatting>
  <conditionalFormatting sqref="K8:R363 B8:I363">
    <cfRule type="expression" dxfId="84" priority="469">
      <formula>$R8&gt;1</formula>
    </cfRule>
  </conditionalFormatting>
  <conditionalFormatting sqref="J8:J363">
    <cfRule type="expression" dxfId="83" priority="1">
      <formula>$R8&gt;1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8E420-5500-4599-9B10-1B7A12834779}">
  <dimension ref="A1:AT43"/>
  <sheetViews>
    <sheetView zoomScale="70" zoomScaleNormal="70" workbookViewId="0">
      <selection activeCell="AG14" sqref="AG14"/>
    </sheetView>
  </sheetViews>
  <sheetFormatPr baseColWidth="10" defaultColWidth="11.44140625" defaultRowHeight="13.2" x14ac:dyDescent="0.3"/>
  <cols>
    <col min="1" max="1" width="3.21875" style="36" customWidth="1"/>
    <col min="2" max="2" width="26" style="36" bestFit="1" customWidth="1"/>
    <col min="3" max="3" width="19.88671875" style="36" customWidth="1"/>
    <col min="4" max="4" width="46.33203125" style="36" customWidth="1"/>
    <col min="5" max="5" width="30.109375" style="36" bestFit="1" customWidth="1"/>
    <col min="6" max="6" width="10.77734375" style="36" customWidth="1"/>
    <col min="7" max="37" width="5.6640625" style="36" customWidth="1"/>
    <col min="38" max="38" width="11.77734375" style="36" bestFit="1" customWidth="1"/>
    <col min="39" max="39" width="21" style="36" customWidth="1"/>
    <col min="40" max="40" width="18.77734375" style="36" customWidth="1"/>
    <col min="41" max="16384" width="11.44140625" style="36"/>
  </cols>
  <sheetData>
    <row r="1" spans="1:46" ht="16.05" customHeight="1" x14ac:dyDescent="0.3">
      <c r="B1" s="76" t="s">
        <v>136</v>
      </c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</row>
    <row r="2" spans="1:46" ht="16.05" customHeight="1" x14ac:dyDescent="0.3"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  <c r="AN2" s="77"/>
    </row>
    <row r="3" spans="1:46" ht="16.05" customHeight="1" x14ac:dyDescent="0.3">
      <c r="B3" s="77"/>
      <c r="C3" s="77"/>
      <c r="D3" s="77"/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7"/>
      <c r="AD3" s="77"/>
      <c r="AE3" s="77"/>
      <c r="AF3" s="77"/>
      <c r="AG3" s="77"/>
      <c r="AH3" s="77"/>
      <c r="AI3" s="77"/>
      <c r="AJ3" s="77"/>
      <c r="AK3" s="77"/>
      <c r="AL3" s="77"/>
      <c r="AM3" s="77"/>
      <c r="AN3" s="77"/>
    </row>
    <row r="7" spans="1:46" ht="15" customHeight="1" x14ac:dyDescent="0.3">
      <c r="B7" s="78" t="s">
        <v>137</v>
      </c>
      <c r="C7" s="78"/>
      <c r="D7" s="37" t="s">
        <v>233</v>
      </c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</row>
    <row r="8" spans="1:46" ht="15" customHeight="1" x14ac:dyDescent="0.3">
      <c r="B8" s="79" t="s">
        <v>138</v>
      </c>
      <c r="C8" s="79"/>
      <c r="D8" s="37" t="s">
        <v>153</v>
      </c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</row>
    <row r="9" spans="1:46" ht="15" customHeight="1" x14ac:dyDescent="0.3">
      <c r="B9" s="79" t="s">
        <v>139</v>
      </c>
      <c r="C9" s="79"/>
      <c r="D9" s="38">
        <v>45536</v>
      </c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9"/>
      <c r="AM9" s="39"/>
      <c r="AN9" s="39"/>
    </row>
    <row r="10" spans="1:46" ht="15" customHeight="1" thickBot="1" x14ac:dyDescent="0.35">
      <c r="B10" s="33"/>
      <c r="C10" s="33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</row>
    <row r="11" spans="1:46" ht="18.600000000000001" customHeight="1" x14ac:dyDescent="0.3">
      <c r="B11" s="80" t="s">
        <v>140</v>
      </c>
      <c r="C11" s="81"/>
      <c r="D11" s="81"/>
      <c r="E11" s="81"/>
      <c r="F11" s="82"/>
      <c r="G11" s="86" t="s">
        <v>141</v>
      </c>
      <c r="H11" s="87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7"/>
      <c r="X11" s="87"/>
      <c r="Y11" s="87"/>
      <c r="Z11" s="87"/>
      <c r="AA11" s="87"/>
      <c r="AB11" s="87"/>
      <c r="AC11" s="87"/>
      <c r="AD11" s="87"/>
      <c r="AE11" s="87"/>
      <c r="AF11" s="87"/>
      <c r="AG11" s="87"/>
      <c r="AH11" s="87"/>
      <c r="AI11" s="87"/>
      <c r="AJ11" s="87"/>
      <c r="AK11" s="88"/>
      <c r="AL11" s="37"/>
      <c r="AM11" s="37"/>
      <c r="AN11" s="37"/>
    </row>
    <row r="12" spans="1:46" ht="18.600000000000001" customHeight="1" thickBot="1" x14ac:dyDescent="0.35">
      <c r="B12" s="83"/>
      <c r="C12" s="84"/>
      <c r="D12" s="84"/>
      <c r="E12" s="84"/>
      <c r="F12" s="85"/>
      <c r="G12" s="89">
        <v>45505</v>
      </c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1">
        <v>45536</v>
      </c>
      <c r="Y12" s="90"/>
      <c r="Z12" s="90"/>
      <c r="AA12" s="90"/>
      <c r="AB12" s="90"/>
      <c r="AC12" s="90"/>
      <c r="AD12" s="90"/>
      <c r="AE12" s="90"/>
      <c r="AF12" s="90"/>
      <c r="AG12" s="90"/>
      <c r="AH12" s="90"/>
      <c r="AI12" s="90"/>
      <c r="AJ12" s="90"/>
      <c r="AK12" s="92"/>
      <c r="AL12" s="24">
        <f>SUMIF(Table46[WO No],"&lt;&gt;",Table46[Total Hrs])</f>
        <v>615</v>
      </c>
      <c r="AM12" s="40"/>
      <c r="AN12" s="24">
        <f>SUMIF(Table46[WO No],"&lt;&gt;",Table46[ Total Cost (MRU)])</f>
        <v>912030</v>
      </c>
    </row>
    <row r="13" spans="1:46" ht="37.049999999999997" customHeight="1" thickBot="1" x14ac:dyDescent="0.35">
      <c r="B13" s="41" t="s">
        <v>9</v>
      </c>
      <c r="C13" s="42" t="s">
        <v>142</v>
      </c>
      <c r="D13" s="34" t="s">
        <v>143</v>
      </c>
      <c r="E13" s="34" t="s">
        <v>144</v>
      </c>
      <c r="F13" s="43" t="s">
        <v>145</v>
      </c>
      <c r="G13" s="44" t="s">
        <v>196</v>
      </c>
      <c r="H13" s="45" t="s">
        <v>197</v>
      </c>
      <c r="I13" s="45" t="s">
        <v>198</v>
      </c>
      <c r="J13" s="45" t="s">
        <v>199</v>
      </c>
      <c r="K13" s="45" t="s">
        <v>200</v>
      </c>
      <c r="L13" s="45" t="s">
        <v>201</v>
      </c>
      <c r="M13" s="45" t="s">
        <v>202</v>
      </c>
      <c r="N13" s="45" t="s">
        <v>203</v>
      </c>
      <c r="O13" s="45" t="s">
        <v>204</v>
      </c>
      <c r="P13" s="45" t="s">
        <v>205</v>
      </c>
      <c r="Q13" s="45" t="s">
        <v>206</v>
      </c>
      <c r="R13" s="45" t="s">
        <v>207</v>
      </c>
      <c r="S13" s="45" t="s">
        <v>208</v>
      </c>
      <c r="T13" s="45" t="s">
        <v>209</v>
      </c>
      <c r="U13" s="45" t="s">
        <v>210</v>
      </c>
      <c r="V13" s="45" t="s">
        <v>211</v>
      </c>
      <c r="W13" s="46" t="s">
        <v>212</v>
      </c>
      <c r="X13" s="47" t="s">
        <v>213</v>
      </c>
      <c r="Y13" s="45" t="s">
        <v>214</v>
      </c>
      <c r="Z13" s="45" t="s">
        <v>215</v>
      </c>
      <c r="AA13" s="45" t="s">
        <v>216</v>
      </c>
      <c r="AB13" s="45" t="s">
        <v>217</v>
      </c>
      <c r="AC13" s="45" t="s">
        <v>218</v>
      </c>
      <c r="AD13" s="45" t="s">
        <v>219</v>
      </c>
      <c r="AE13" s="45" t="s">
        <v>220</v>
      </c>
      <c r="AF13" s="45" t="s">
        <v>221</v>
      </c>
      <c r="AG13" s="45" t="s">
        <v>222</v>
      </c>
      <c r="AH13" s="45" t="s">
        <v>223</v>
      </c>
      <c r="AI13" s="45" t="s">
        <v>224</v>
      </c>
      <c r="AJ13" s="45" t="s">
        <v>225</v>
      </c>
      <c r="AK13" s="46" t="s">
        <v>226</v>
      </c>
      <c r="AL13" s="48" t="s">
        <v>135</v>
      </c>
      <c r="AM13" s="16" t="s">
        <v>146</v>
      </c>
      <c r="AN13" s="49" t="s">
        <v>147</v>
      </c>
    </row>
    <row r="14" spans="1:46" ht="30" x14ac:dyDescent="0.3">
      <c r="A14" s="50"/>
      <c r="B14" s="29" t="s">
        <v>70</v>
      </c>
      <c r="C14" s="30" t="e">
        <f>IF(Table46[[#This Row],[Equipment]]="", "",INDEX([1]!Tableau2[#Data],MATCH(Table46[[#This Row],[Equipment]],[1]!Tableau2[Equipment],0),MATCH(Table46[[#Headers],[Equipment Type]],[1]!Tableau2[#Headers],0)))</f>
        <v>#REF!</v>
      </c>
      <c r="D14" s="31" t="s">
        <v>159</v>
      </c>
      <c r="E14" s="30" t="s">
        <v>56</v>
      </c>
      <c r="F14" s="63">
        <v>5092509</v>
      </c>
      <c r="G14" s="51" cm="1">
        <f t="array" ref="G14">SUMPRODUCT((Tabel1[Equipment]=Table46[[#This Row],[Equipment]])*(Tabel1[Facteur]=$D$8)*(Tabel1[Date]=G$13*1)*(Tabel1[WO No]=Table46[[#This Row],[WO No]])*(Tabel1[Total]))</f>
        <v>8</v>
      </c>
      <c r="H14" s="51" cm="1">
        <f t="array" ref="H14">SUMPRODUCT((Tabel1[Equipment]=Table46[[#This Row],[Equipment]])*(Tabel1[Facteur]=$D$8)*(Tabel1[Date]=H$13*1)*(Tabel1[WO No]=Table46[[#This Row],[WO No]])*(Tabel1[Total]))</f>
        <v>4</v>
      </c>
      <c r="I14" s="51" cm="1">
        <f t="array" ref="I14">SUMPRODUCT((Tabel1[Equipment]=Table46[[#This Row],[Equipment]])*(Tabel1[Facteur]=$D$8)*(Tabel1[Date]=I$13*1)*(Tabel1[WO No]=Table46[[#This Row],[WO No]])*(Tabel1[Total]))</f>
        <v>8</v>
      </c>
      <c r="J14" s="51" cm="1">
        <f t="array" ref="J14">SUMPRODUCT((Tabel1[Equipment]=Table46[[#This Row],[Equipment]])*(Tabel1[Facteur]=$D$8)*(Tabel1[Date]=J$13*1)*(Tabel1[WO No]=Table46[[#This Row],[WO No]])*(Tabel1[Total]))</f>
        <v>6</v>
      </c>
      <c r="K14" s="51" cm="1">
        <f t="array" ref="K14">SUMPRODUCT((Tabel1[Equipment]=Table46[[#This Row],[Equipment]])*(Tabel1[Facteur]=$D$8)*(Tabel1[Date]=K$13*1)*(Tabel1[WO No]=Table46[[#This Row],[WO No]])*(Tabel1[Total]))</f>
        <v>8</v>
      </c>
      <c r="L14" s="51" cm="1">
        <f t="array" ref="L14">SUMPRODUCT((Tabel1[Equipment]=Table46[[#This Row],[Equipment]])*(Tabel1[Facteur]=$D$8)*(Tabel1[Date]=L$13*1)*(Tabel1[WO No]=Table46[[#This Row],[WO No]])*(Tabel1[Total]))</f>
        <v>8</v>
      </c>
      <c r="M14" s="51" cm="1">
        <f t="array" ref="M14">SUMPRODUCT((Tabel1[Equipment]=Table46[[#This Row],[Equipment]])*(Tabel1[Facteur]=$D$8)*(Tabel1[Date]=M$13*1)*(Tabel1[WO No]=Table46[[#This Row],[WO No]])*(Tabel1[Total]))</f>
        <v>0</v>
      </c>
      <c r="N14" s="51" cm="1">
        <f t="array" ref="N14">SUMPRODUCT((Tabel1[Equipment]=Table46[[#This Row],[Equipment]])*(Tabel1[Facteur]=$D$8)*(Tabel1[Date]=N$13*1)*(Tabel1[WO No]=Table46[[#This Row],[WO No]])*(Tabel1[Total]))</f>
        <v>0</v>
      </c>
      <c r="O14" s="51" cm="1">
        <f t="array" ref="O14">SUMPRODUCT((Tabel1[Equipment]=Table46[[#This Row],[Equipment]])*(Tabel1[Facteur]=$D$8)*(Tabel1[Date]=O$13*1)*(Tabel1[WO No]=Table46[[#This Row],[WO No]])*(Tabel1[Total]))</f>
        <v>0</v>
      </c>
      <c r="P14" s="51" cm="1">
        <f t="array" ref="P14">SUMPRODUCT((Tabel1[Equipment]=Table46[[#This Row],[Equipment]])*(Tabel1[Facteur]=$D$8)*(Tabel1[Date]=P$13*1)*(Tabel1[WO No]=Table46[[#This Row],[WO No]])*(Tabel1[Total]))</f>
        <v>0</v>
      </c>
      <c r="Q14" s="51" cm="1">
        <f t="array" ref="Q14">SUMPRODUCT((Tabel1[Equipment]=Table46[[#This Row],[Equipment]])*(Tabel1[Facteur]=$D$8)*(Tabel1[Date]=Q$13*1)*(Tabel1[WO No]=Table46[[#This Row],[WO No]])*(Tabel1[Total]))</f>
        <v>0</v>
      </c>
      <c r="R14" s="51" cm="1">
        <f t="array" ref="R14">SUMPRODUCT((Tabel1[Equipment]=Table46[[#This Row],[Equipment]])*(Tabel1[Facteur]=$D$8)*(Tabel1[Date]=R$13*1)*(Tabel1[WO No]=Table46[[#This Row],[WO No]])*(Tabel1[Total]))</f>
        <v>0</v>
      </c>
      <c r="S14" s="51" cm="1">
        <f t="array" ref="S14">SUMPRODUCT((Tabel1[Equipment]=Table46[[#This Row],[Equipment]])*(Tabel1[Facteur]=$D$8)*(Tabel1[Date]=S$13*1)*(Tabel1[WO No]=Table46[[#This Row],[WO No]])*(Tabel1[Total]))</f>
        <v>0</v>
      </c>
      <c r="T14" s="51" cm="1">
        <f t="array" ref="T14">SUMPRODUCT((Tabel1[Equipment]=Table46[[#This Row],[Equipment]])*(Tabel1[Facteur]=$D$8)*(Tabel1[Date]=T$13*1)*(Tabel1[WO No]=Table46[[#This Row],[WO No]])*(Tabel1[Total]))</f>
        <v>0</v>
      </c>
      <c r="U14" s="51" cm="1">
        <f t="array" ref="U14">SUMPRODUCT((Tabel1[Equipment]=Table46[[#This Row],[Equipment]])*(Tabel1[Facteur]=$D$8)*(Tabel1[Date]=U$13*1)*(Tabel1[WO No]=Table46[[#This Row],[WO No]])*(Tabel1[Total]))</f>
        <v>0</v>
      </c>
      <c r="V14" s="51" cm="1">
        <f t="array" ref="V14">SUMPRODUCT((Tabel1[Equipment]=Table46[[#This Row],[Equipment]])*(Tabel1[Facteur]=$D$8)*(Tabel1[Date]=V$13*1)*(Tabel1[WO No]=Table46[[#This Row],[WO No]])*(Tabel1[Total]))</f>
        <v>0</v>
      </c>
      <c r="W14" s="51" cm="1">
        <f t="array" ref="W14">SUMPRODUCT((Tabel1[Equipment]=Table46[[#This Row],[Equipment]])*(Tabel1[Facteur]=$D$8)*(Tabel1[Date]=W$13*1)*(Tabel1[WO No]=Table46[[#This Row],[WO No]])*(Tabel1[Total]))</f>
        <v>0</v>
      </c>
      <c r="X14" s="51" cm="1">
        <f t="array" ref="X14">SUMPRODUCT((Tabel1[Equipment]=Table46[[#This Row],[Equipment]])*(Tabel1[Facteur]=$D$8)*(Tabel1[Date]=X$13*1)*(Tabel1[WO No]=Table46[[#This Row],[WO No]])*(Tabel1[Total]))</f>
        <v>0</v>
      </c>
      <c r="Y14" s="51" cm="1">
        <f t="array" ref="Y14">SUMPRODUCT((Tabel1[Equipment]=Table46[[#This Row],[Equipment]])*(Tabel1[Facteur]=$D$8)*(Tabel1[Date]=Y$13*1)*(Tabel1[WO No]=Table46[[#This Row],[WO No]])*(Tabel1[Total]))</f>
        <v>0</v>
      </c>
      <c r="Z14" s="51" cm="1">
        <f t="array" ref="Z14">SUMPRODUCT((Tabel1[Equipment]=Table46[[#This Row],[Equipment]])*(Tabel1[Facteur]=$D$8)*(Tabel1[Date]=Z$13*1)*(Tabel1[WO No]=Table46[[#This Row],[WO No]])*(Tabel1[Total]))</f>
        <v>0</v>
      </c>
      <c r="AA14" s="51" cm="1">
        <f t="array" ref="AA14">SUMPRODUCT((Tabel1[Equipment]=Table46[[#This Row],[Equipment]])*(Tabel1[Facteur]=$D$8)*(Tabel1[Date]=AA$13*1)*(Tabel1[WO No]=Table46[[#This Row],[WO No]])*(Tabel1[Total]))</f>
        <v>0</v>
      </c>
      <c r="AB14" s="51" cm="1">
        <f t="array" ref="AB14">SUMPRODUCT((Tabel1[Equipment]=Table46[[#This Row],[Equipment]])*(Tabel1[Facteur]=$D$8)*(Tabel1[Date]=AB$13*1)*(Tabel1[WO No]=Table46[[#This Row],[WO No]])*(Tabel1[Total]))</f>
        <v>0</v>
      </c>
      <c r="AC14" s="51" cm="1">
        <f t="array" ref="AC14">SUMPRODUCT((Tabel1[Equipment]=Table46[[#This Row],[Equipment]])*(Tabel1[Facteur]=$D$8)*(Tabel1[Date]=AC$13*1)*(Tabel1[WO No]=Table46[[#This Row],[WO No]])*(Tabel1[Total]))</f>
        <v>0</v>
      </c>
      <c r="AD14" s="51" cm="1">
        <f t="array" ref="AD14">SUMPRODUCT((Tabel1[Equipment]=Table46[[#This Row],[Equipment]])*(Tabel1[Facteur]=$D$8)*(Tabel1[Date]=AD$13*1)*(Tabel1[WO No]=Table46[[#This Row],[WO No]])*(Tabel1[Total]))</f>
        <v>0</v>
      </c>
      <c r="AE14" s="51" cm="1">
        <f t="array" ref="AE14">SUMPRODUCT((Tabel1[Equipment]=Table46[[#This Row],[Equipment]])*(Tabel1[Facteur]=$D$8)*(Tabel1[Date]=AE$13*1)*(Tabel1[WO No]=Table46[[#This Row],[WO No]])*(Tabel1[Total]))</f>
        <v>0</v>
      </c>
      <c r="AF14" s="51" cm="1">
        <f t="array" ref="AF14">SUMPRODUCT((Tabel1[Equipment]=Table46[[#This Row],[Equipment]])*(Tabel1[Facteur]=$D$8)*(Tabel1[Date]=AF$13*1)*(Tabel1[WO No]=Table46[[#This Row],[WO No]])*(Tabel1[Total]))</f>
        <v>0</v>
      </c>
      <c r="AG14" s="51" cm="1">
        <f t="array" ref="AG14">SUMPRODUCT((Tabel1[Equipment]=Table46[[#This Row],[Equipment]])*(Tabel1[Facteur]=$D$8)*(Tabel1[Date]=AG$13*1)*(Tabel1[WO No]=Table46[[#This Row],[WO No]])*(Tabel1[Total]))</f>
        <v>0</v>
      </c>
      <c r="AH14" s="51" cm="1">
        <f t="array" ref="AH14">SUMPRODUCT((Tabel1[Equipment]=Table46[[#This Row],[Equipment]])*(Tabel1[Facteur]=$D$8)*(Tabel1[Date]=AH$13*1)*(Tabel1[WO No]=Table46[[#This Row],[WO No]])*(Tabel1[Total]))</f>
        <v>0</v>
      </c>
      <c r="AI14" s="51" cm="1">
        <f t="array" ref="AI14">SUMPRODUCT((Tabel1[Equipment]=Table46[[#This Row],[Equipment]])*(Tabel1[Facteur]=$D$8)*(Tabel1[Date]=AI$13*1)*(Tabel1[WO No]=Table46[[#This Row],[WO No]])*(Tabel1[Total]))</f>
        <v>0</v>
      </c>
      <c r="AJ14" s="51" cm="1">
        <f t="array" ref="AJ14">SUMPRODUCT((Tabel1[Equipment]=Table46[[#This Row],[Equipment]])*(Tabel1[Facteur]=$D$8)*(Tabel1[Date]=AJ$13*1)*(Tabel1[WO No]=Table46[[#This Row],[WO No]])*(Tabel1[Total]))</f>
        <v>0</v>
      </c>
      <c r="AK14" s="51" cm="1">
        <f t="array" ref="AK14">SUMPRODUCT((Tabel1[Equipment]=Table46[[#This Row],[Equipment]])*(Tabel1[Facteur]=$D$8)*(Tabel1[Date]=AK$13*1)*(Tabel1[WO No]=Table46[[#This Row],[WO No]])*(Tabel1[Total]))</f>
        <v>0</v>
      </c>
      <c r="AL14" s="52">
        <f>SUM(Table46[[#This Row],[15/8]:[14/9]])</f>
        <v>42</v>
      </c>
      <c r="AM14" s="53">
        <f>IF(Table46[[#This Row],[Equipment]]="","",VLOOKUP(Table46[[#This Row],[Equipment]],Tableau2[[#All],[Equipment]:[PRICE]],4,0))</f>
        <v>3000</v>
      </c>
      <c r="AN14" s="54">
        <f>Table46[[#This Row],[Total Hrs]]* Table46[[#This Row],[Hourely Rate (MRU)]]</f>
        <v>126000</v>
      </c>
      <c r="AS14" s="36" cm="1">
        <f t="array" ref="AS14:AS17">+_xlfn.UNIQUE(Table46[WO No])</f>
        <v>5092509</v>
      </c>
      <c r="AT14" s="36" t="str">
        <f>_xlfn.TEXTJOIN(" | ",TRUE,_xlfn.UNIQUE(Table46[WO No]))</f>
        <v>5092509 | 5239743 | 5246135 | 5252183</v>
      </c>
    </row>
    <row r="15" spans="1:46" ht="30" x14ac:dyDescent="0.3">
      <c r="A15" s="50"/>
      <c r="B15" s="29" t="s">
        <v>121</v>
      </c>
      <c r="C15" s="30" t="str">
        <f>IF(Table46[[#This Row],[Equipment]]="", "",INDEX([1]!Tableau2[#Data],MATCH(Table46[[#This Row],[Equipment]],[1]!Tableau2[Equipment],0),MATCH(Table46[[#Headers],[Equipment Type]],[1]!Tableau2[#Headers],0)))</f>
        <v>Bulldozer</v>
      </c>
      <c r="D15" s="31" t="s">
        <v>159</v>
      </c>
      <c r="E15" s="30" t="s">
        <v>56</v>
      </c>
      <c r="F15" s="63">
        <v>5092509</v>
      </c>
      <c r="G15" s="51" cm="1">
        <f t="array" ref="G15">SUMPRODUCT((Tabel1[Equipment]=Table46[[#This Row],[Equipment]])*(Tabel1[Facteur]=$D$8)*(Tabel1[Date]=G$13*1)*(Tabel1[WO No]=Table46[[#This Row],[WO No]])*(Tabel1[Total]))</f>
        <v>0</v>
      </c>
      <c r="H15" s="51" cm="1">
        <f t="array" ref="H15">SUMPRODUCT((Tabel1[Equipment]=Table46[[#This Row],[Equipment]])*(Tabel1[Facteur]=$D$8)*(Tabel1[Date]=H$13*1)*(Tabel1[WO No]=Table46[[#This Row],[WO No]])*(Tabel1[Total]))</f>
        <v>0</v>
      </c>
      <c r="I15" s="51" cm="1">
        <f t="array" ref="I15">SUMPRODUCT((Tabel1[Equipment]=Table46[[#This Row],[Equipment]])*(Tabel1[Facteur]=$D$8)*(Tabel1[Date]=I$13*1)*(Tabel1[WO No]=Table46[[#This Row],[WO No]])*(Tabel1[Total]))</f>
        <v>0</v>
      </c>
      <c r="J15" s="51" cm="1">
        <f t="array" ref="J15">SUMPRODUCT((Tabel1[Equipment]=Table46[[#This Row],[Equipment]])*(Tabel1[Facteur]=$D$8)*(Tabel1[Date]=J$13*1)*(Tabel1[WO No]=Table46[[#This Row],[WO No]])*(Tabel1[Total]))</f>
        <v>0</v>
      </c>
      <c r="K15" s="51" cm="1">
        <f t="array" ref="K15">SUMPRODUCT((Tabel1[Equipment]=Table46[[#This Row],[Equipment]])*(Tabel1[Facteur]=$D$8)*(Tabel1[Date]=K$13*1)*(Tabel1[WO No]=Table46[[#This Row],[WO No]])*(Tabel1[Total]))</f>
        <v>0</v>
      </c>
      <c r="L15" s="51" cm="1">
        <f t="array" ref="L15">SUMPRODUCT((Tabel1[Equipment]=Table46[[#This Row],[Equipment]])*(Tabel1[Facteur]=$D$8)*(Tabel1[Date]=L$13*1)*(Tabel1[WO No]=Table46[[#This Row],[WO No]])*(Tabel1[Total]))</f>
        <v>0</v>
      </c>
      <c r="M15" s="51" cm="1">
        <f t="array" ref="M15">SUMPRODUCT((Tabel1[Equipment]=Table46[[#This Row],[Equipment]])*(Tabel1[Facteur]=$D$8)*(Tabel1[Date]=M$13*1)*(Tabel1[WO No]=Table46[[#This Row],[WO No]])*(Tabel1[Total]))</f>
        <v>0</v>
      </c>
      <c r="N15" s="51" cm="1">
        <f t="array" ref="N15">SUMPRODUCT((Tabel1[Equipment]=Table46[[#This Row],[Equipment]])*(Tabel1[Facteur]=$D$8)*(Tabel1[Date]=N$13*1)*(Tabel1[WO No]=Table46[[#This Row],[WO No]])*(Tabel1[Total]))</f>
        <v>0</v>
      </c>
      <c r="O15" s="51" cm="1">
        <f t="array" ref="O15">SUMPRODUCT((Tabel1[Equipment]=Table46[[#This Row],[Equipment]])*(Tabel1[Facteur]=$D$8)*(Tabel1[Date]=O$13*1)*(Tabel1[WO No]=Table46[[#This Row],[WO No]])*(Tabel1[Total]))</f>
        <v>0</v>
      </c>
      <c r="P15" s="51" cm="1">
        <f t="array" ref="P15">SUMPRODUCT((Tabel1[Equipment]=Table46[[#This Row],[Equipment]])*(Tabel1[Facteur]=$D$8)*(Tabel1[Date]=P$13*1)*(Tabel1[WO No]=Table46[[#This Row],[WO No]])*(Tabel1[Total]))</f>
        <v>0</v>
      </c>
      <c r="Q15" s="51" cm="1">
        <f t="array" ref="Q15">SUMPRODUCT((Tabel1[Equipment]=Table46[[#This Row],[Equipment]])*(Tabel1[Facteur]=$D$8)*(Tabel1[Date]=Q$13*1)*(Tabel1[WO No]=Table46[[#This Row],[WO No]])*(Tabel1[Total]))</f>
        <v>0</v>
      </c>
      <c r="R15" s="51" cm="1">
        <f t="array" ref="R15">SUMPRODUCT((Tabel1[Equipment]=Table46[[#This Row],[Equipment]])*(Tabel1[Facteur]=$D$8)*(Tabel1[Date]=R$13*1)*(Tabel1[WO No]=Table46[[#This Row],[WO No]])*(Tabel1[Total]))</f>
        <v>0</v>
      </c>
      <c r="S15" s="51" cm="1">
        <f t="array" ref="S15">SUMPRODUCT((Tabel1[Equipment]=Table46[[#This Row],[Equipment]])*(Tabel1[Facteur]=$D$8)*(Tabel1[Date]=S$13*1)*(Tabel1[WO No]=Table46[[#This Row],[WO No]])*(Tabel1[Total]))</f>
        <v>0</v>
      </c>
      <c r="T15" s="51" cm="1">
        <f t="array" ref="T15">SUMPRODUCT((Tabel1[Equipment]=Table46[[#This Row],[Equipment]])*(Tabel1[Facteur]=$D$8)*(Tabel1[Date]=T$13*1)*(Tabel1[WO No]=Table46[[#This Row],[WO No]])*(Tabel1[Total]))</f>
        <v>0</v>
      </c>
      <c r="U15" s="51" cm="1">
        <f t="array" ref="U15">SUMPRODUCT((Tabel1[Equipment]=Table46[[#This Row],[Equipment]])*(Tabel1[Facteur]=$D$8)*(Tabel1[Date]=U$13*1)*(Tabel1[WO No]=Table46[[#This Row],[WO No]])*(Tabel1[Total]))</f>
        <v>0</v>
      </c>
      <c r="V15" s="51" cm="1">
        <f t="array" ref="V15">SUMPRODUCT((Tabel1[Equipment]=Table46[[#This Row],[Equipment]])*(Tabel1[Facteur]=$D$8)*(Tabel1[Date]=V$13*1)*(Tabel1[WO No]=Table46[[#This Row],[WO No]])*(Tabel1[Total]))</f>
        <v>0</v>
      </c>
      <c r="W15" s="51" cm="1">
        <f t="array" ref="W15">SUMPRODUCT((Tabel1[Equipment]=Table46[[#This Row],[Equipment]])*(Tabel1[Facteur]=$D$8)*(Tabel1[Date]=W$13*1)*(Tabel1[WO No]=Table46[[#This Row],[WO No]])*(Tabel1[Total]))</f>
        <v>0</v>
      </c>
      <c r="X15" s="51" cm="1">
        <f t="array" ref="X15">SUMPRODUCT((Tabel1[Equipment]=Table46[[#This Row],[Equipment]])*(Tabel1[Facteur]=$D$8)*(Tabel1[Date]=X$13*1)*(Tabel1[WO No]=Table46[[#This Row],[WO No]])*(Tabel1[Total]))</f>
        <v>0</v>
      </c>
      <c r="Y15" s="51" cm="1">
        <f t="array" ref="Y15">SUMPRODUCT((Tabel1[Equipment]=Table46[[#This Row],[Equipment]])*(Tabel1[Facteur]=$D$8)*(Tabel1[Date]=Y$13*1)*(Tabel1[WO No]=Table46[[#This Row],[WO No]])*(Tabel1[Total]))</f>
        <v>0</v>
      </c>
      <c r="Z15" s="51" cm="1">
        <f t="array" ref="Z15">SUMPRODUCT((Tabel1[Equipment]=Table46[[#This Row],[Equipment]])*(Tabel1[Facteur]=$D$8)*(Tabel1[Date]=Z$13*1)*(Tabel1[WO No]=Table46[[#This Row],[WO No]])*(Tabel1[Total]))</f>
        <v>0</v>
      </c>
      <c r="AA15" s="51" cm="1">
        <f t="array" ref="AA15">SUMPRODUCT((Tabel1[Equipment]=Table46[[#This Row],[Equipment]])*(Tabel1[Facteur]=$D$8)*(Tabel1[Date]=AA$13*1)*(Tabel1[WO No]=Table46[[#This Row],[WO No]])*(Tabel1[Total]))</f>
        <v>0</v>
      </c>
      <c r="AB15" s="51" cm="1">
        <f t="array" ref="AB15">SUMPRODUCT((Tabel1[Equipment]=Table46[[#This Row],[Equipment]])*(Tabel1[Facteur]=$D$8)*(Tabel1[Date]=AB$13*1)*(Tabel1[WO No]=Table46[[#This Row],[WO No]])*(Tabel1[Total]))</f>
        <v>0</v>
      </c>
      <c r="AC15" s="51" cm="1">
        <f t="array" ref="AC15">SUMPRODUCT((Tabel1[Equipment]=Table46[[#This Row],[Equipment]])*(Tabel1[Facteur]=$D$8)*(Tabel1[Date]=AC$13*1)*(Tabel1[WO No]=Table46[[#This Row],[WO No]])*(Tabel1[Total]))</f>
        <v>0</v>
      </c>
      <c r="AD15" s="51" cm="1">
        <f t="array" ref="AD15">SUMPRODUCT((Tabel1[Equipment]=Table46[[#This Row],[Equipment]])*(Tabel1[Facteur]=$D$8)*(Tabel1[Date]=AD$13*1)*(Tabel1[WO No]=Table46[[#This Row],[WO No]])*(Tabel1[Total]))</f>
        <v>0</v>
      </c>
      <c r="AE15" s="51" cm="1">
        <f t="array" ref="AE15">SUMPRODUCT((Tabel1[Equipment]=Table46[[#This Row],[Equipment]])*(Tabel1[Facteur]=$D$8)*(Tabel1[Date]=AE$13*1)*(Tabel1[WO No]=Table46[[#This Row],[WO No]])*(Tabel1[Total]))</f>
        <v>0</v>
      </c>
      <c r="AF15" s="51" cm="1">
        <f t="array" ref="AF15">SUMPRODUCT((Tabel1[Equipment]=Table46[[#This Row],[Equipment]])*(Tabel1[Facteur]=$D$8)*(Tabel1[Date]=AF$13*1)*(Tabel1[WO No]=Table46[[#This Row],[WO No]])*(Tabel1[Total]))</f>
        <v>0</v>
      </c>
      <c r="AG15" s="51" cm="1">
        <f t="array" ref="AG15">SUMPRODUCT((Tabel1[Equipment]=Table46[[#This Row],[Equipment]])*(Tabel1[Facteur]=$D$8)*(Tabel1[Date]=AG$13*1)*(Tabel1[WO No]=Table46[[#This Row],[WO No]])*(Tabel1[Total]))</f>
        <v>0</v>
      </c>
      <c r="AH15" s="51" cm="1">
        <f t="array" ref="AH15">SUMPRODUCT((Tabel1[Equipment]=Table46[[#This Row],[Equipment]])*(Tabel1[Facteur]=$D$8)*(Tabel1[Date]=AH$13*1)*(Tabel1[WO No]=Table46[[#This Row],[WO No]])*(Tabel1[Total]))</f>
        <v>0</v>
      </c>
      <c r="AI15" s="51" cm="1">
        <f t="array" ref="AI15">SUMPRODUCT((Tabel1[Equipment]=Table46[[#This Row],[Equipment]])*(Tabel1[Facteur]=$D$8)*(Tabel1[Date]=AI$13*1)*(Tabel1[WO No]=Table46[[#This Row],[WO No]])*(Tabel1[Total]))</f>
        <v>0</v>
      </c>
      <c r="AJ15" s="51" cm="1">
        <f t="array" ref="AJ15">SUMPRODUCT((Tabel1[Equipment]=Table46[[#This Row],[Equipment]])*(Tabel1[Facteur]=$D$8)*(Tabel1[Date]=AJ$13*1)*(Tabel1[WO No]=Table46[[#This Row],[WO No]])*(Tabel1[Total]))</f>
        <v>0</v>
      </c>
      <c r="AK15" s="51" cm="1">
        <f t="array" ref="AK15">SUMPRODUCT((Tabel1[Equipment]=Table46[[#This Row],[Equipment]])*(Tabel1[Facteur]=$D$8)*(Tabel1[Date]=AK$13*1)*(Tabel1[WO No]=Table46[[#This Row],[WO No]])*(Tabel1[Total]))</f>
        <v>0</v>
      </c>
      <c r="AL15" s="52">
        <f>SUM(Table46[[#This Row],[15/8]:[14/9]])</f>
        <v>0</v>
      </c>
      <c r="AM15" s="53">
        <f>IF(Table46[[#This Row],[Equipment]]="","",VLOOKUP(Table46[[#This Row],[Equipment]],Tableau2[[#All],[Equipment]:[PRICE]],4,0))</f>
        <v>3000</v>
      </c>
      <c r="AN15" s="54">
        <f>Table46[[#This Row],[Total Hrs]]* Table46[[#This Row],[Hourely Rate (MRU)]]</f>
        <v>0</v>
      </c>
      <c r="AS15" s="36">
        <v>5239743</v>
      </c>
    </row>
    <row r="16" spans="1:46" ht="15.45" customHeight="1" x14ac:dyDescent="0.3">
      <c r="A16" s="50"/>
      <c r="B16" s="29" t="s">
        <v>41</v>
      </c>
      <c r="C16" s="30" t="str">
        <f>IF(Table46[[#This Row],[Equipment]]="", "",INDEX([1]!Tableau2[#Data],MATCH(Table46[[#This Row],[Equipment]],[1]!Tableau2[Equipment],0),MATCH(Table46[[#Headers],[Equipment Type]],[1]!Tableau2[#Headers],0)))</f>
        <v>Bulldozer</v>
      </c>
      <c r="D16" s="31" t="s">
        <v>159</v>
      </c>
      <c r="E16" s="30" t="s">
        <v>56</v>
      </c>
      <c r="F16" s="63">
        <v>5092509</v>
      </c>
      <c r="G16" s="51" cm="1">
        <f t="array" ref="G16">SUMPRODUCT((Tabel1[Equipment]=Table46[[#This Row],[Equipment]])*(Tabel1[Facteur]=$D$8)*(Tabel1[Date]=G$13*1)*(Tabel1[WO No]=Table46[[#This Row],[WO No]])*(Tabel1[Total]))</f>
        <v>0</v>
      </c>
      <c r="H16" s="51" cm="1">
        <f t="array" ref="H16">SUMPRODUCT((Tabel1[Equipment]=Table46[[#This Row],[Equipment]])*(Tabel1[Facteur]=$D$8)*(Tabel1[Date]=H$13*1)*(Tabel1[WO No]=Table46[[#This Row],[WO No]])*(Tabel1[Total]))</f>
        <v>0</v>
      </c>
      <c r="I16" s="51" cm="1">
        <f t="array" ref="I16">SUMPRODUCT((Tabel1[Equipment]=Table46[[#This Row],[Equipment]])*(Tabel1[Facteur]=$D$8)*(Tabel1[Date]=I$13*1)*(Tabel1[WO No]=Table46[[#This Row],[WO No]])*(Tabel1[Total]))</f>
        <v>0</v>
      </c>
      <c r="J16" s="51" cm="1">
        <f t="array" ref="J16">SUMPRODUCT((Tabel1[Equipment]=Table46[[#This Row],[Equipment]])*(Tabel1[Facteur]=$D$8)*(Tabel1[Date]=J$13*1)*(Tabel1[WO No]=Table46[[#This Row],[WO No]])*(Tabel1[Total]))</f>
        <v>0</v>
      </c>
      <c r="K16" s="51" cm="1">
        <f t="array" ref="K16">SUMPRODUCT((Tabel1[Equipment]=Table46[[#This Row],[Equipment]])*(Tabel1[Facteur]=$D$8)*(Tabel1[Date]=K$13*1)*(Tabel1[WO No]=Table46[[#This Row],[WO No]])*(Tabel1[Total]))</f>
        <v>0</v>
      </c>
      <c r="L16" s="51" cm="1">
        <f t="array" ref="L16">SUMPRODUCT((Tabel1[Equipment]=Table46[[#This Row],[Equipment]])*(Tabel1[Facteur]=$D$8)*(Tabel1[Date]=L$13*1)*(Tabel1[WO No]=Table46[[#This Row],[WO No]])*(Tabel1[Total]))</f>
        <v>0</v>
      </c>
      <c r="M16" s="51" cm="1">
        <f t="array" ref="M16">SUMPRODUCT((Tabel1[Equipment]=Table46[[#This Row],[Equipment]])*(Tabel1[Facteur]=$D$8)*(Tabel1[Date]=M$13*1)*(Tabel1[WO No]=Table46[[#This Row],[WO No]])*(Tabel1[Total]))</f>
        <v>8</v>
      </c>
      <c r="N16" s="51" cm="1">
        <f t="array" ref="N16">SUMPRODUCT((Tabel1[Equipment]=Table46[[#This Row],[Equipment]])*(Tabel1[Facteur]=$D$8)*(Tabel1[Date]=N$13*1)*(Tabel1[WO No]=Table46[[#This Row],[WO No]])*(Tabel1[Total]))</f>
        <v>8</v>
      </c>
      <c r="O16" s="51" cm="1">
        <f t="array" ref="O16">SUMPRODUCT((Tabel1[Equipment]=Table46[[#This Row],[Equipment]])*(Tabel1[Facteur]=$D$8)*(Tabel1[Date]=O$13*1)*(Tabel1[WO No]=Table46[[#This Row],[WO No]])*(Tabel1[Total]))</f>
        <v>5</v>
      </c>
      <c r="P16" s="51" cm="1">
        <f t="array" ref="P16">SUMPRODUCT((Tabel1[Equipment]=Table46[[#This Row],[Equipment]])*(Tabel1[Facteur]=$D$8)*(Tabel1[Date]=P$13*1)*(Tabel1[WO No]=Table46[[#This Row],[WO No]])*(Tabel1[Total]))</f>
        <v>7</v>
      </c>
      <c r="Q16" s="51" cm="1">
        <f t="array" ref="Q16">SUMPRODUCT((Tabel1[Equipment]=Table46[[#This Row],[Equipment]])*(Tabel1[Facteur]=$D$8)*(Tabel1[Date]=Q$13*1)*(Tabel1[WO No]=Table46[[#This Row],[WO No]])*(Tabel1[Total]))</f>
        <v>8</v>
      </c>
      <c r="R16" s="51" cm="1">
        <f t="array" ref="R16">SUMPRODUCT((Tabel1[Equipment]=Table46[[#This Row],[Equipment]])*(Tabel1[Facteur]=$D$8)*(Tabel1[Date]=R$13*1)*(Tabel1[WO No]=Table46[[#This Row],[WO No]])*(Tabel1[Total]))</f>
        <v>0</v>
      </c>
      <c r="S16" s="51" cm="1">
        <f t="array" ref="S16">SUMPRODUCT((Tabel1[Equipment]=Table46[[#This Row],[Equipment]])*(Tabel1[Facteur]=$D$8)*(Tabel1[Date]=S$13*1)*(Tabel1[WO No]=Table46[[#This Row],[WO No]])*(Tabel1[Total]))</f>
        <v>0</v>
      </c>
      <c r="T16" s="51" cm="1">
        <f t="array" ref="T16">SUMPRODUCT((Tabel1[Equipment]=Table46[[#This Row],[Equipment]])*(Tabel1[Facteur]=$D$8)*(Tabel1[Date]=T$13*1)*(Tabel1[WO No]=Table46[[#This Row],[WO No]])*(Tabel1[Total]))</f>
        <v>0</v>
      </c>
      <c r="U16" s="51" cm="1">
        <f t="array" ref="U16">SUMPRODUCT((Tabel1[Equipment]=Table46[[#This Row],[Equipment]])*(Tabel1[Facteur]=$D$8)*(Tabel1[Date]=U$13*1)*(Tabel1[WO No]=Table46[[#This Row],[WO No]])*(Tabel1[Total]))</f>
        <v>0</v>
      </c>
      <c r="V16" s="51" cm="1">
        <f t="array" ref="V16">SUMPRODUCT((Tabel1[Equipment]=Table46[[#This Row],[Equipment]])*(Tabel1[Facteur]=$D$8)*(Tabel1[Date]=V$13*1)*(Tabel1[WO No]=Table46[[#This Row],[WO No]])*(Tabel1[Total]))</f>
        <v>0</v>
      </c>
      <c r="W16" s="51" cm="1">
        <f t="array" ref="W16">SUMPRODUCT((Tabel1[Equipment]=Table46[[#This Row],[Equipment]])*(Tabel1[Facteur]=$D$8)*(Tabel1[Date]=W$13*1)*(Tabel1[WO No]=Table46[[#This Row],[WO No]])*(Tabel1[Total]))</f>
        <v>0</v>
      </c>
      <c r="X16" s="51" cm="1">
        <f t="array" ref="X16">SUMPRODUCT((Tabel1[Equipment]=Table46[[#This Row],[Equipment]])*(Tabel1[Facteur]=$D$8)*(Tabel1[Date]=X$13*1)*(Tabel1[WO No]=Table46[[#This Row],[WO No]])*(Tabel1[Total]))</f>
        <v>0</v>
      </c>
      <c r="Y16" s="51" cm="1">
        <f t="array" ref="Y16">SUMPRODUCT((Tabel1[Equipment]=Table46[[#This Row],[Equipment]])*(Tabel1[Facteur]=$D$8)*(Tabel1[Date]=Y$13*1)*(Tabel1[WO No]=Table46[[#This Row],[WO No]])*(Tabel1[Total]))</f>
        <v>0</v>
      </c>
      <c r="Z16" s="51" cm="1">
        <f t="array" ref="Z16">SUMPRODUCT((Tabel1[Equipment]=Table46[[#This Row],[Equipment]])*(Tabel1[Facteur]=$D$8)*(Tabel1[Date]=Z$13*1)*(Tabel1[WO No]=Table46[[#This Row],[WO No]])*(Tabel1[Total]))</f>
        <v>0</v>
      </c>
      <c r="AA16" s="51" cm="1">
        <f t="array" ref="AA16">SUMPRODUCT((Tabel1[Equipment]=Table46[[#This Row],[Equipment]])*(Tabel1[Facteur]=$D$8)*(Tabel1[Date]=AA$13*1)*(Tabel1[WO No]=Table46[[#This Row],[WO No]])*(Tabel1[Total]))</f>
        <v>0</v>
      </c>
      <c r="AB16" s="51" cm="1">
        <f t="array" ref="AB16">SUMPRODUCT((Tabel1[Equipment]=Table46[[#This Row],[Equipment]])*(Tabel1[Facteur]=$D$8)*(Tabel1[Date]=AB$13*1)*(Tabel1[WO No]=Table46[[#This Row],[WO No]])*(Tabel1[Total]))</f>
        <v>0</v>
      </c>
      <c r="AC16" s="51" cm="1">
        <f t="array" ref="AC16">SUMPRODUCT((Tabel1[Equipment]=Table46[[#This Row],[Equipment]])*(Tabel1[Facteur]=$D$8)*(Tabel1[Date]=AC$13*1)*(Tabel1[WO No]=Table46[[#This Row],[WO No]])*(Tabel1[Total]))</f>
        <v>0</v>
      </c>
      <c r="AD16" s="51" cm="1">
        <f t="array" ref="AD16">SUMPRODUCT((Tabel1[Equipment]=Table46[[#This Row],[Equipment]])*(Tabel1[Facteur]=$D$8)*(Tabel1[Date]=AD$13*1)*(Tabel1[WO No]=Table46[[#This Row],[WO No]])*(Tabel1[Total]))</f>
        <v>0</v>
      </c>
      <c r="AE16" s="51" cm="1">
        <f t="array" ref="AE16">SUMPRODUCT((Tabel1[Equipment]=Table46[[#This Row],[Equipment]])*(Tabel1[Facteur]=$D$8)*(Tabel1[Date]=AE$13*1)*(Tabel1[WO No]=Table46[[#This Row],[WO No]])*(Tabel1[Total]))</f>
        <v>0</v>
      </c>
      <c r="AF16" s="51" cm="1">
        <f t="array" ref="AF16">SUMPRODUCT((Tabel1[Equipment]=Table46[[#This Row],[Equipment]])*(Tabel1[Facteur]=$D$8)*(Tabel1[Date]=AF$13*1)*(Tabel1[WO No]=Table46[[#This Row],[WO No]])*(Tabel1[Total]))</f>
        <v>0</v>
      </c>
      <c r="AG16" s="51" cm="1">
        <f t="array" ref="AG16">SUMPRODUCT((Tabel1[Equipment]=Table46[[#This Row],[Equipment]])*(Tabel1[Facteur]=$D$8)*(Tabel1[Date]=AG$13*1)*(Tabel1[WO No]=Table46[[#This Row],[WO No]])*(Tabel1[Total]))</f>
        <v>0</v>
      </c>
      <c r="AH16" s="51" cm="1">
        <f t="array" ref="AH16">SUMPRODUCT((Tabel1[Equipment]=Table46[[#This Row],[Equipment]])*(Tabel1[Facteur]=$D$8)*(Tabel1[Date]=AH$13*1)*(Tabel1[WO No]=Table46[[#This Row],[WO No]])*(Tabel1[Total]))</f>
        <v>0</v>
      </c>
      <c r="AI16" s="51" cm="1">
        <f t="array" ref="AI16">SUMPRODUCT((Tabel1[Equipment]=Table46[[#This Row],[Equipment]])*(Tabel1[Facteur]=$D$8)*(Tabel1[Date]=AI$13*1)*(Tabel1[WO No]=Table46[[#This Row],[WO No]])*(Tabel1[Total]))</f>
        <v>0</v>
      </c>
      <c r="AJ16" s="51" cm="1">
        <f t="array" ref="AJ16">SUMPRODUCT((Tabel1[Equipment]=Table46[[#This Row],[Equipment]])*(Tabel1[Facteur]=$D$8)*(Tabel1[Date]=AJ$13*1)*(Tabel1[WO No]=Table46[[#This Row],[WO No]])*(Tabel1[Total]))</f>
        <v>0</v>
      </c>
      <c r="AK16" s="51" cm="1">
        <f t="array" ref="AK16">SUMPRODUCT((Tabel1[Equipment]=Table46[[#This Row],[Equipment]])*(Tabel1[Facteur]=$D$8)*(Tabel1[Date]=AK$13*1)*(Tabel1[WO No]=Table46[[#This Row],[WO No]])*(Tabel1[Total]))</f>
        <v>0</v>
      </c>
      <c r="AL16" s="52">
        <f>SUM(Table46[[#This Row],[15/8]:[14/9]])</f>
        <v>36</v>
      </c>
      <c r="AM16" s="53">
        <f>IF(Table46[[#This Row],[Equipment]]="","",VLOOKUP(Table46[[#This Row],[Equipment]],Tableau2[[#All],[Equipment]:[PRICE]],4,0))</f>
        <v>3000</v>
      </c>
      <c r="AN16" s="54">
        <f>Table46[[#This Row],[Total Hrs]]* Table46[[#This Row],[Hourely Rate (MRU)]]</f>
        <v>108000</v>
      </c>
      <c r="AS16" s="36">
        <v>5246135</v>
      </c>
    </row>
    <row r="17" spans="1:45" ht="15.45" customHeight="1" x14ac:dyDescent="0.3">
      <c r="A17" s="50"/>
      <c r="B17" s="29" t="s">
        <v>73</v>
      </c>
      <c r="C17" s="30" t="str">
        <f>IF(Table46[[#This Row],[Equipment]]="", "",INDEX([1]!Tableau2[#Data],MATCH(Table46[[#This Row],[Equipment]],[1]!Tableau2[Equipment],0),MATCH(Table46[[#Headers],[Equipment Type]],[1]!Tableau2[#Headers],0)))</f>
        <v>Lowbed</v>
      </c>
      <c r="D17" s="31" t="s">
        <v>159</v>
      </c>
      <c r="E17" s="30" t="s">
        <v>56</v>
      </c>
      <c r="F17" s="63">
        <v>5092509</v>
      </c>
      <c r="G17" s="51" cm="1">
        <f t="array" ref="G17">SUMPRODUCT((Tabel1[Equipment]=Table46[[#This Row],[Equipment]])*(Tabel1[Facteur]=$D$8)*(Tabel1[Date]=G$13*1)*(Tabel1[WO No]=Table46[[#This Row],[WO No]])*(Tabel1[Total]))</f>
        <v>0</v>
      </c>
      <c r="H17" s="51" cm="1">
        <f t="array" ref="H17">SUMPRODUCT((Tabel1[Equipment]=Table46[[#This Row],[Equipment]])*(Tabel1[Facteur]=$D$8)*(Tabel1[Date]=H$13*1)*(Tabel1[WO No]=Table46[[#This Row],[WO No]])*(Tabel1[Total]))</f>
        <v>0</v>
      </c>
      <c r="I17" s="51" cm="1">
        <f t="array" ref="I17">SUMPRODUCT((Tabel1[Equipment]=Table46[[#This Row],[Equipment]])*(Tabel1[Facteur]=$D$8)*(Tabel1[Date]=I$13*1)*(Tabel1[WO No]=Table46[[#This Row],[WO No]])*(Tabel1[Total]))</f>
        <v>0</v>
      </c>
      <c r="J17" s="51" cm="1">
        <f t="array" ref="J17">SUMPRODUCT((Tabel1[Equipment]=Table46[[#This Row],[Equipment]])*(Tabel1[Facteur]=$D$8)*(Tabel1[Date]=J$13*1)*(Tabel1[WO No]=Table46[[#This Row],[WO No]])*(Tabel1[Total]))</f>
        <v>0</v>
      </c>
      <c r="K17" s="51" cm="1">
        <f t="array" ref="K17">SUMPRODUCT((Tabel1[Equipment]=Table46[[#This Row],[Equipment]])*(Tabel1[Facteur]=$D$8)*(Tabel1[Date]=K$13*1)*(Tabel1[WO No]=Table46[[#This Row],[WO No]])*(Tabel1[Total]))</f>
        <v>0</v>
      </c>
      <c r="L17" s="51" cm="1">
        <f t="array" ref="L17">SUMPRODUCT((Tabel1[Equipment]=Table46[[#This Row],[Equipment]])*(Tabel1[Facteur]=$D$8)*(Tabel1[Date]=L$13*1)*(Tabel1[WO No]=Table46[[#This Row],[WO No]])*(Tabel1[Total]))</f>
        <v>0</v>
      </c>
      <c r="M17" s="51" cm="1">
        <f t="array" ref="M17">SUMPRODUCT((Tabel1[Equipment]=Table46[[#This Row],[Equipment]])*(Tabel1[Facteur]=$D$8)*(Tabel1[Date]=M$13*1)*(Tabel1[WO No]=Table46[[#This Row],[WO No]])*(Tabel1[Total]))</f>
        <v>0</v>
      </c>
      <c r="N17" s="51" cm="1">
        <f t="array" ref="N17">SUMPRODUCT((Tabel1[Equipment]=Table46[[#This Row],[Equipment]])*(Tabel1[Facteur]=$D$8)*(Tabel1[Date]=N$13*1)*(Tabel1[WO No]=Table46[[#This Row],[WO No]])*(Tabel1[Total]))</f>
        <v>0</v>
      </c>
      <c r="O17" s="51" cm="1">
        <f t="array" ref="O17">SUMPRODUCT((Tabel1[Equipment]=Table46[[#This Row],[Equipment]])*(Tabel1[Facteur]=$D$8)*(Tabel1[Date]=O$13*1)*(Tabel1[WO No]=Table46[[#This Row],[WO No]])*(Tabel1[Total]))</f>
        <v>0</v>
      </c>
      <c r="P17" s="51" cm="1">
        <f t="array" ref="P17">SUMPRODUCT((Tabel1[Equipment]=Table46[[#This Row],[Equipment]])*(Tabel1[Facteur]=$D$8)*(Tabel1[Date]=P$13*1)*(Tabel1[WO No]=Table46[[#This Row],[WO No]])*(Tabel1[Total]))</f>
        <v>4</v>
      </c>
      <c r="Q17" s="51" cm="1">
        <f t="array" ref="Q17">SUMPRODUCT((Tabel1[Equipment]=Table46[[#This Row],[Equipment]])*(Tabel1[Facteur]=$D$8)*(Tabel1[Date]=Q$13*1)*(Tabel1[WO No]=Table46[[#This Row],[WO No]])*(Tabel1[Total]))</f>
        <v>0</v>
      </c>
      <c r="R17" s="51" cm="1">
        <f t="array" ref="R17">SUMPRODUCT((Tabel1[Equipment]=Table46[[#This Row],[Equipment]])*(Tabel1[Facteur]=$D$8)*(Tabel1[Date]=R$13*1)*(Tabel1[WO No]=Table46[[#This Row],[WO No]])*(Tabel1[Total]))</f>
        <v>0</v>
      </c>
      <c r="S17" s="51" cm="1">
        <f t="array" ref="S17">SUMPRODUCT((Tabel1[Equipment]=Table46[[#This Row],[Equipment]])*(Tabel1[Facteur]=$D$8)*(Tabel1[Date]=S$13*1)*(Tabel1[WO No]=Table46[[#This Row],[WO No]])*(Tabel1[Total]))</f>
        <v>0</v>
      </c>
      <c r="T17" s="51" cm="1">
        <f t="array" ref="T17">SUMPRODUCT((Tabel1[Equipment]=Table46[[#This Row],[Equipment]])*(Tabel1[Facteur]=$D$8)*(Tabel1[Date]=T$13*1)*(Tabel1[WO No]=Table46[[#This Row],[WO No]])*(Tabel1[Total]))</f>
        <v>0</v>
      </c>
      <c r="U17" s="51" cm="1">
        <f t="array" ref="U17">SUMPRODUCT((Tabel1[Equipment]=Table46[[#This Row],[Equipment]])*(Tabel1[Facteur]=$D$8)*(Tabel1[Date]=U$13*1)*(Tabel1[WO No]=Table46[[#This Row],[WO No]])*(Tabel1[Total]))</f>
        <v>0</v>
      </c>
      <c r="V17" s="51" cm="1">
        <f t="array" ref="V17">SUMPRODUCT((Tabel1[Equipment]=Table46[[#This Row],[Equipment]])*(Tabel1[Facteur]=$D$8)*(Tabel1[Date]=V$13*1)*(Tabel1[WO No]=Table46[[#This Row],[WO No]])*(Tabel1[Total]))</f>
        <v>0</v>
      </c>
      <c r="W17" s="51" cm="1">
        <f t="array" ref="W17">SUMPRODUCT((Tabel1[Equipment]=Table46[[#This Row],[Equipment]])*(Tabel1[Facteur]=$D$8)*(Tabel1[Date]=W$13*1)*(Tabel1[WO No]=Table46[[#This Row],[WO No]])*(Tabel1[Total]))</f>
        <v>0</v>
      </c>
      <c r="X17" s="51" cm="1">
        <f t="array" ref="X17">SUMPRODUCT((Tabel1[Equipment]=Table46[[#This Row],[Equipment]])*(Tabel1[Facteur]=$D$8)*(Tabel1[Date]=X$13*1)*(Tabel1[WO No]=Table46[[#This Row],[WO No]])*(Tabel1[Total]))</f>
        <v>0</v>
      </c>
      <c r="Y17" s="51" cm="1">
        <f t="array" ref="Y17">SUMPRODUCT((Tabel1[Equipment]=Table46[[#This Row],[Equipment]])*(Tabel1[Facteur]=$D$8)*(Tabel1[Date]=Y$13*1)*(Tabel1[WO No]=Table46[[#This Row],[WO No]])*(Tabel1[Total]))</f>
        <v>0</v>
      </c>
      <c r="Z17" s="51" cm="1">
        <f t="array" ref="Z17">SUMPRODUCT((Tabel1[Equipment]=Table46[[#This Row],[Equipment]])*(Tabel1[Facteur]=$D$8)*(Tabel1[Date]=Z$13*1)*(Tabel1[WO No]=Table46[[#This Row],[WO No]])*(Tabel1[Total]))</f>
        <v>0</v>
      </c>
      <c r="AA17" s="51" cm="1">
        <f t="array" ref="AA17">SUMPRODUCT((Tabel1[Equipment]=Table46[[#This Row],[Equipment]])*(Tabel1[Facteur]=$D$8)*(Tabel1[Date]=AA$13*1)*(Tabel1[WO No]=Table46[[#This Row],[WO No]])*(Tabel1[Total]))</f>
        <v>0</v>
      </c>
      <c r="AB17" s="51" cm="1">
        <f t="array" ref="AB17">SUMPRODUCT((Tabel1[Equipment]=Table46[[#This Row],[Equipment]])*(Tabel1[Facteur]=$D$8)*(Tabel1[Date]=AB$13*1)*(Tabel1[WO No]=Table46[[#This Row],[WO No]])*(Tabel1[Total]))</f>
        <v>0</v>
      </c>
      <c r="AC17" s="51" cm="1">
        <f t="array" ref="AC17">SUMPRODUCT((Tabel1[Equipment]=Table46[[#This Row],[Equipment]])*(Tabel1[Facteur]=$D$8)*(Tabel1[Date]=AC$13*1)*(Tabel1[WO No]=Table46[[#This Row],[WO No]])*(Tabel1[Total]))</f>
        <v>0</v>
      </c>
      <c r="AD17" s="51" cm="1">
        <f t="array" ref="AD17">SUMPRODUCT((Tabel1[Equipment]=Table46[[#This Row],[Equipment]])*(Tabel1[Facteur]=$D$8)*(Tabel1[Date]=AD$13*1)*(Tabel1[WO No]=Table46[[#This Row],[WO No]])*(Tabel1[Total]))</f>
        <v>0</v>
      </c>
      <c r="AE17" s="51" cm="1">
        <f t="array" ref="AE17">SUMPRODUCT((Tabel1[Equipment]=Table46[[#This Row],[Equipment]])*(Tabel1[Facteur]=$D$8)*(Tabel1[Date]=AE$13*1)*(Tabel1[WO No]=Table46[[#This Row],[WO No]])*(Tabel1[Total]))</f>
        <v>0</v>
      </c>
      <c r="AF17" s="51" cm="1">
        <f t="array" ref="AF17">SUMPRODUCT((Tabel1[Equipment]=Table46[[#This Row],[Equipment]])*(Tabel1[Facteur]=$D$8)*(Tabel1[Date]=AF$13*1)*(Tabel1[WO No]=Table46[[#This Row],[WO No]])*(Tabel1[Total]))</f>
        <v>0</v>
      </c>
      <c r="AG17" s="51" cm="1">
        <f t="array" ref="AG17">SUMPRODUCT((Tabel1[Equipment]=Table46[[#This Row],[Equipment]])*(Tabel1[Facteur]=$D$8)*(Tabel1[Date]=AG$13*1)*(Tabel1[WO No]=Table46[[#This Row],[WO No]])*(Tabel1[Total]))</f>
        <v>0</v>
      </c>
      <c r="AH17" s="51" cm="1">
        <f t="array" ref="AH17">SUMPRODUCT((Tabel1[Equipment]=Table46[[#This Row],[Equipment]])*(Tabel1[Facteur]=$D$8)*(Tabel1[Date]=AH$13*1)*(Tabel1[WO No]=Table46[[#This Row],[WO No]])*(Tabel1[Total]))</f>
        <v>0</v>
      </c>
      <c r="AI17" s="51" cm="1">
        <f t="array" ref="AI17">SUMPRODUCT((Tabel1[Equipment]=Table46[[#This Row],[Equipment]])*(Tabel1[Facteur]=$D$8)*(Tabel1[Date]=AI$13*1)*(Tabel1[WO No]=Table46[[#This Row],[WO No]])*(Tabel1[Total]))</f>
        <v>0</v>
      </c>
      <c r="AJ17" s="51" cm="1">
        <f t="array" ref="AJ17">SUMPRODUCT((Tabel1[Equipment]=Table46[[#This Row],[Equipment]])*(Tabel1[Facteur]=$D$8)*(Tabel1[Date]=AJ$13*1)*(Tabel1[WO No]=Table46[[#This Row],[WO No]])*(Tabel1[Total]))</f>
        <v>0</v>
      </c>
      <c r="AK17" s="51" cm="1">
        <f t="array" ref="AK17">SUMPRODUCT((Tabel1[Equipment]=Table46[[#This Row],[Equipment]])*(Tabel1[Facteur]=$D$8)*(Tabel1[Date]=AK$13*1)*(Tabel1[WO No]=Table46[[#This Row],[WO No]])*(Tabel1[Total]))</f>
        <v>0</v>
      </c>
      <c r="AL17" s="52">
        <f>SUM(Table46[[#This Row],[15/8]:[14/9]])</f>
        <v>4</v>
      </c>
      <c r="AM17" s="53">
        <f>IF(Table46[[#This Row],[Equipment]]="","",VLOOKUP(Table46[[#This Row],[Equipment]],Tableau2[[#All],[Equipment]:[PRICE]],4,0))</f>
        <v>1000</v>
      </c>
      <c r="AN17" s="54">
        <f>Table46[[#This Row],[Total Hrs]]* Table46[[#This Row],[Hourely Rate (MRU)]]</f>
        <v>4000</v>
      </c>
      <c r="AS17" s="36">
        <v>5252183</v>
      </c>
    </row>
    <row r="18" spans="1:45" ht="15.45" customHeight="1" x14ac:dyDescent="0.3">
      <c r="A18" s="50"/>
      <c r="B18" s="29" t="s">
        <v>34</v>
      </c>
      <c r="C18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18" s="31" t="s">
        <v>57</v>
      </c>
      <c r="E18" s="30" t="s">
        <v>56</v>
      </c>
      <c r="F18" s="63">
        <v>5239743</v>
      </c>
      <c r="G18" s="51" cm="1">
        <f t="array" ref="G18">SUMPRODUCT((Tabel1[Equipment]=Table46[[#This Row],[Equipment]])*(Tabel1[Facteur]=$D$8)*(Tabel1[Date]=G$13*1)*(Tabel1[WO No]=Table46[[#This Row],[WO No]])*(Tabel1[Total]))</f>
        <v>8</v>
      </c>
      <c r="H18" s="51" cm="1">
        <f t="array" ref="H18">SUMPRODUCT((Tabel1[Equipment]=Table46[[#This Row],[Equipment]])*(Tabel1[Facteur]=$D$8)*(Tabel1[Date]=H$13*1)*(Tabel1[WO No]=Table46[[#This Row],[WO No]])*(Tabel1[Total]))</f>
        <v>5</v>
      </c>
      <c r="I18" s="51" cm="1">
        <f t="array" ref="I18">SUMPRODUCT((Tabel1[Equipment]=Table46[[#This Row],[Equipment]])*(Tabel1[Facteur]=$D$8)*(Tabel1[Date]=I$13*1)*(Tabel1[WO No]=Table46[[#This Row],[WO No]])*(Tabel1[Total]))</f>
        <v>0</v>
      </c>
      <c r="J18" s="51" cm="1">
        <f t="array" ref="J18">SUMPRODUCT((Tabel1[Equipment]=Table46[[#This Row],[Equipment]])*(Tabel1[Facteur]=$D$8)*(Tabel1[Date]=J$13*1)*(Tabel1[WO No]=Table46[[#This Row],[WO No]])*(Tabel1[Total]))</f>
        <v>0</v>
      </c>
      <c r="K18" s="51" cm="1">
        <f t="array" ref="K18">SUMPRODUCT((Tabel1[Equipment]=Table46[[#This Row],[Equipment]])*(Tabel1[Facteur]=$D$8)*(Tabel1[Date]=K$13*1)*(Tabel1[WO No]=Table46[[#This Row],[WO No]])*(Tabel1[Total]))</f>
        <v>0</v>
      </c>
      <c r="L18" s="51" cm="1">
        <f t="array" ref="L18">SUMPRODUCT((Tabel1[Equipment]=Table46[[#This Row],[Equipment]])*(Tabel1[Facteur]=$D$8)*(Tabel1[Date]=L$13*1)*(Tabel1[WO No]=Table46[[#This Row],[WO No]])*(Tabel1[Total]))</f>
        <v>0</v>
      </c>
      <c r="M18" s="51" cm="1">
        <f t="array" ref="M18">SUMPRODUCT((Tabel1[Equipment]=Table46[[#This Row],[Equipment]])*(Tabel1[Facteur]=$D$8)*(Tabel1[Date]=M$13*1)*(Tabel1[WO No]=Table46[[#This Row],[WO No]])*(Tabel1[Total]))</f>
        <v>0</v>
      </c>
      <c r="N18" s="51" cm="1">
        <f t="array" ref="N18">SUMPRODUCT((Tabel1[Equipment]=Table46[[#This Row],[Equipment]])*(Tabel1[Facteur]=$D$8)*(Tabel1[Date]=N$13*1)*(Tabel1[WO No]=Table46[[#This Row],[WO No]])*(Tabel1[Total]))</f>
        <v>0</v>
      </c>
      <c r="O18" s="51" cm="1">
        <f t="array" ref="O18">SUMPRODUCT((Tabel1[Equipment]=Table46[[#This Row],[Equipment]])*(Tabel1[Facteur]=$D$8)*(Tabel1[Date]=O$13*1)*(Tabel1[WO No]=Table46[[#This Row],[WO No]])*(Tabel1[Total]))</f>
        <v>0</v>
      </c>
      <c r="P18" s="51" cm="1">
        <f t="array" ref="P18">SUMPRODUCT((Tabel1[Equipment]=Table46[[#This Row],[Equipment]])*(Tabel1[Facteur]=$D$8)*(Tabel1[Date]=P$13*1)*(Tabel1[WO No]=Table46[[#This Row],[WO No]])*(Tabel1[Total]))</f>
        <v>0</v>
      </c>
      <c r="Q18" s="51" cm="1">
        <f t="array" ref="Q18">SUMPRODUCT((Tabel1[Equipment]=Table46[[#This Row],[Equipment]])*(Tabel1[Facteur]=$D$8)*(Tabel1[Date]=Q$13*1)*(Tabel1[WO No]=Table46[[#This Row],[WO No]])*(Tabel1[Total]))</f>
        <v>0</v>
      </c>
      <c r="R18" s="51" cm="1">
        <f t="array" ref="R18">SUMPRODUCT((Tabel1[Equipment]=Table46[[#This Row],[Equipment]])*(Tabel1[Facteur]=$D$8)*(Tabel1[Date]=R$13*1)*(Tabel1[WO No]=Table46[[#This Row],[WO No]])*(Tabel1[Total]))</f>
        <v>0</v>
      </c>
      <c r="S18" s="51" cm="1">
        <f t="array" ref="S18">SUMPRODUCT((Tabel1[Equipment]=Table46[[#This Row],[Equipment]])*(Tabel1[Facteur]=$D$8)*(Tabel1[Date]=S$13*1)*(Tabel1[WO No]=Table46[[#This Row],[WO No]])*(Tabel1[Total]))</f>
        <v>0</v>
      </c>
      <c r="T18" s="51" cm="1">
        <f t="array" ref="T18">SUMPRODUCT((Tabel1[Equipment]=Table46[[#This Row],[Equipment]])*(Tabel1[Facteur]=$D$8)*(Tabel1[Date]=T$13*1)*(Tabel1[WO No]=Table46[[#This Row],[WO No]])*(Tabel1[Total]))</f>
        <v>0</v>
      </c>
      <c r="U18" s="51" cm="1">
        <f t="array" ref="U18">SUMPRODUCT((Tabel1[Equipment]=Table46[[#This Row],[Equipment]])*(Tabel1[Facteur]=$D$8)*(Tabel1[Date]=U$13*1)*(Tabel1[WO No]=Table46[[#This Row],[WO No]])*(Tabel1[Total]))</f>
        <v>0</v>
      </c>
      <c r="V18" s="51" cm="1">
        <f t="array" ref="V18">SUMPRODUCT((Tabel1[Equipment]=Table46[[#This Row],[Equipment]])*(Tabel1[Facteur]=$D$8)*(Tabel1[Date]=V$13*1)*(Tabel1[WO No]=Table46[[#This Row],[WO No]])*(Tabel1[Total]))</f>
        <v>0</v>
      </c>
      <c r="W18" s="51" cm="1">
        <f t="array" ref="W18">SUMPRODUCT((Tabel1[Equipment]=Table46[[#This Row],[Equipment]])*(Tabel1[Facteur]=$D$8)*(Tabel1[Date]=W$13*1)*(Tabel1[WO No]=Table46[[#This Row],[WO No]])*(Tabel1[Total]))</f>
        <v>0</v>
      </c>
      <c r="X18" s="51" cm="1">
        <f t="array" ref="X18">SUMPRODUCT((Tabel1[Equipment]=Table46[[#This Row],[Equipment]])*(Tabel1[Facteur]=$D$8)*(Tabel1[Date]=X$13*1)*(Tabel1[WO No]=Table46[[#This Row],[WO No]])*(Tabel1[Total]))</f>
        <v>0</v>
      </c>
      <c r="Y18" s="51" cm="1">
        <f t="array" ref="Y18">SUMPRODUCT((Tabel1[Equipment]=Table46[[#This Row],[Equipment]])*(Tabel1[Facteur]=$D$8)*(Tabel1[Date]=Y$13*1)*(Tabel1[WO No]=Table46[[#This Row],[WO No]])*(Tabel1[Total]))</f>
        <v>0</v>
      </c>
      <c r="Z18" s="51" cm="1">
        <f t="array" ref="Z18">SUMPRODUCT((Tabel1[Equipment]=Table46[[#This Row],[Equipment]])*(Tabel1[Facteur]=$D$8)*(Tabel1[Date]=Z$13*1)*(Tabel1[WO No]=Table46[[#This Row],[WO No]])*(Tabel1[Total]))</f>
        <v>0</v>
      </c>
      <c r="AA18" s="51" cm="1">
        <f t="array" ref="AA18">SUMPRODUCT((Tabel1[Equipment]=Table46[[#This Row],[Equipment]])*(Tabel1[Facteur]=$D$8)*(Tabel1[Date]=AA$13*1)*(Tabel1[WO No]=Table46[[#This Row],[WO No]])*(Tabel1[Total]))</f>
        <v>0</v>
      </c>
      <c r="AB18" s="51" cm="1">
        <f t="array" ref="AB18">SUMPRODUCT((Tabel1[Equipment]=Table46[[#This Row],[Equipment]])*(Tabel1[Facteur]=$D$8)*(Tabel1[Date]=AB$13*1)*(Tabel1[WO No]=Table46[[#This Row],[WO No]])*(Tabel1[Total]))</f>
        <v>0</v>
      </c>
      <c r="AC18" s="51" cm="1">
        <f t="array" ref="AC18">SUMPRODUCT((Tabel1[Equipment]=Table46[[#This Row],[Equipment]])*(Tabel1[Facteur]=$D$8)*(Tabel1[Date]=AC$13*1)*(Tabel1[WO No]=Table46[[#This Row],[WO No]])*(Tabel1[Total]))</f>
        <v>0</v>
      </c>
      <c r="AD18" s="51" cm="1">
        <f t="array" ref="AD18">SUMPRODUCT((Tabel1[Equipment]=Table46[[#This Row],[Equipment]])*(Tabel1[Facteur]=$D$8)*(Tabel1[Date]=AD$13*1)*(Tabel1[WO No]=Table46[[#This Row],[WO No]])*(Tabel1[Total]))</f>
        <v>0</v>
      </c>
      <c r="AE18" s="51" cm="1">
        <f t="array" ref="AE18">SUMPRODUCT((Tabel1[Equipment]=Table46[[#This Row],[Equipment]])*(Tabel1[Facteur]=$D$8)*(Tabel1[Date]=AE$13*1)*(Tabel1[WO No]=Table46[[#This Row],[WO No]])*(Tabel1[Total]))</f>
        <v>0</v>
      </c>
      <c r="AF18" s="51" cm="1">
        <f t="array" ref="AF18">SUMPRODUCT((Tabel1[Equipment]=Table46[[#This Row],[Equipment]])*(Tabel1[Facteur]=$D$8)*(Tabel1[Date]=AF$13*1)*(Tabel1[WO No]=Table46[[#This Row],[WO No]])*(Tabel1[Total]))</f>
        <v>0</v>
      </c>
      <c r="AG18" s="51" cm="1">
        <f t="array" ref="AG18">SUMPRODUCT((Tabel1[Equipment]=Table46[[#This Row],[Equipment]])*(Tabel1[Facteur]=$D$8)*(Tabel1[Date]=AG$13*1)*(Tabel1[WO No]=Table46[[#This Row],[WO No]])*(Tabel1[Total]))</f>
        <v>0</v>
      </c>
      <c r="AH18" s="51" cm="1">
        <f t="array" ref="AH18">SUMPRODUCT((Tabel1[Equipment]=Table46[[#This Row],[Equipment]])*(Tabel1[Facteur]=$D$8)*(Tabel1[Date]=AH$13*1)*(Tabel1[WO No]=Table46[[#This Row],[WO No]])*(Tabel1[Total]))</f>
        <v>0</v>
      </c>
      <c r="AI18" s="51" cm="1">
        <f t="array" ref="AI18">SUMPRODUCT((Tabel1[Equipment]=Table46[[#This Row],[Equipment]])*(Tabel1[Facteur]=$D$8)*(Tabel1[Date]=AI$13*1)*(Tabel1[WO No]=Table46[[#This Row],[WO No]])*(Tabel1[Total]))</f>
        <v>0</v>
      </c>
      <c r="AJ18" s="51" cm="1">
        <f t="array" ref="AJ18">SUMPRODUCT((Tabel1[Equipment]=Table46[[#This Row],[Equipment]])*(Tabel1[Facteur]=$D$8)*(Tabel1[Date]=AJ$13*1)*(Tabel1[WO No]=Table46[[#This Row],[WO No]])*(Tabel1[Total]))</f>
        <v>0</v>
      </c>
      <c r="AK18" s="51" cm="1">
        <f t="array" ref="AK18">SUMPRODUCT((Tabel1[Equipment]=Table46[[#This Row],[Equipment]])*(Tabel1[Facteur]=$D$8)*(Tabel1[Date]=AK$13*1)*(Tabel1[WO No]=Table46[[#This Row],[WO No]])*(Tabel1[Total]))</f>
        <v>0</v>
      </c>
      <c r="AL18" s="52">
        <f>SUM(Table46[[#This Row],[15/8]:[14/9]])</f>
        <v>13</v>
      </c>
      <c r="AM18" s="53">
        <f>IF(Table46[[#This Row],[Equipment]]="","",VLOOKUP(Table46[[#This Row],[Equipment]],Tableau2[[#All],[Equipment]:[PRICE]],4,0))</f>
        <v>970</v>
      </c>
      <c r="AN18" s="54">
        <f>Table46[[#This Row],[Total Hrs]]* Table46[[#This Row],[Hourely Rate (MRU)]]</f>
        <v>12610</v>
      </c>
    </row>
    <row r="19" spans="1:45" ht="15.45" customHeight="1" x14ac:dyDescent="0.3">
      <c r="A19" s="50"/>
      <c r="B19" s="29" t="s">
        <v>35</v>
      </c>
      <c r="C19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19" s="31" t="s">
        <v>57</v>
      </c>
      <c r="E19" s="30" t="s">
        <v>56</v>
      </c>
      <c r="F19" s="63">
        <v>5239743</v>
      </c>
      <c r="G19" s="51" cm="1">
        <f t="array" ref="G19">SUMPRODUCT((Tabel1[Equipment]=Table46[[#This Row],[Equipment]])*(Tabel1[Facteur]=$D$8)*(Tabel1[Date]=G$13*1)*(Tabel1[WO No]=Table46[[#This Row],[WO No]])*(Tabel1[Total]))</f>
        <v>8</v>
      </c>
      <c r="H19" s="51" cm="1">
        <f t="array" ref="H19">SUMPRODUCT((Tabel1[Equipment]=Table46[[#This Row],[Equipment]])*(Tabel1[Facteur]=$D$8)*(Tabel1[Date]=H$13*1)*(Tabel1[WO No]=Table46[[#This Row],[WO No]])*(Tabel1[Total]))</f>
        <v>5</v>
      </c>
      <c r="I19" s="51" cm="1">
        <f t="array" ref="I19">SUMPRODUCT((Tabel1[Equipment]=Table46[[#This Row],[Equipment]])*(Tabel1[Facteur]=$D$8)*(Tabel1[Date]=I$13*1)*(Tabel1[WO No]=Table46[[#This Row],[WO No]])*(Tabel1[Total]))</f>
        <v>0</v>
      </c>
      <c r="J19" s="51" cm="1">
        <f t="array" ref="J19">SUMPRODUCT((Tabel1[Equipment]=Table46[[#This Row],[Equipment]])*(Tabel1[Facteur]=$D$8)*(Tabel1[Date]=J$13*1)*(Tabel1[WO No]=Table46[[#This Row],[WO No]])*(Tabel1[Total]))</f>
        <v>0</v>
      </c>
      <c r="K19" s="51" cm="1">
        <f t="array" ref="K19">SUMPRODUCT((Tabel1[Equipment]=Table46[[#This Row],[Equipment]])*(Tabel1[Facteur]=$D$8)*(Tabel1[Date]=K$13*1)*(Tabel1[WO No]=Table46[[#This Row],[WO No]])*(Tabel1[Total]))</f>
        <v>0</v>
      </c>
      <c r="L19" s="51" cm="1">
        <f t="array" ref="L19">SUMPRODUCT((Tabel1[Equipment]=Table46[[#This Row],[Equipment]])*(Tabel1[Facteur]=$D$8)*(Tabel1[Date]=L$13*1)*(Tabel1[WO No]=Table46[[#This Row],[WO No]])*(Tabel1[Total]))</f>
        <v>0</v>
      </c>
      <c r="M19" s="51" cm="1">
        <f t="array" ref="M19">SUMPRODUCT((Tabel1[Equipment]=Table46[[#This Row],[Equipment]])*(Tabel1[Facteur]=$D$8)*(Tabel1[Date]=M$13*1)*(Tabel1[WO No]=Table46[[#This Row],[WO No]])*(Tabel1[Total]))</f>
        <v>0</v>
      </c>
      <c r="N19" s="51" cm="1">
        <f t="array" ref="N19">SUMPRODUCT((Tabel1[Equipment]=Table46[[#This Row],[Equipment]])*(Tabel1[Facteur]=$D$8)*(Tabel1[Date]=N$13*1)*(Tabel1[WO No]=Table46[[#This Row],[WO No]])*(Tabel1[Total]))</f>
        <v>0</v>
      </c>
      <c r="O19" s="51" cm="1">
        <f t="array" ref="O19">SUMPRODUCT((Tabel1[Equipment]=Table46[[#This Row],[Equipment]])*(Tabel1[Facteur]=$D$8)*(Tabel1[Date]=O$13*1)*(Tabel1[WO No]=Table46[[#This Row],[WO No]])*(Tabel1[Total]))</f>
        <v>0</v>
      </c>
      <c r="P19" s="51" cm="1">
        <f t="array" ref="P19">SUMPRODUCT((Tabel1[Equipment]=Table46[[#This Row],[Equipment]])*(Tabel1[Facteur]=$D$8)*(Tabel1[Date]=P$13*1)*(Tabel1[WO No]=Table46[[#This Row],[WO No]])*(Tabel1[Total]))</f>
        <v>0</v>
      </c>
      <c r="Q19" s="51" cm="1">
        <f t="array" ref="Q19">SUMPRODUCT((Tabel1[Equipment]=Table46[[#This Row],[Equipment]])*(Tabel1[Facteur]=$D$8)*(Tabel1[Date]=Q$13*1)*(Tabel1[WO No]=Table46[[#This Row],[WO No]])*(Tabel1[Total]))</f>
        <v>0</v>
      </c>
      <c r="R19" s="51" cm="1">
        <f t="array" ref="R19">SUMPRODUCT((Tabel1[Equipment]=Table46[[#This Row],[Equipment]])*(Tabel1[Facteur]=$D$8)*(Tabel1[Date]=R$13*1)*(Tabel1[WO No]=Table46[[#This Row],[WO No]])*(Tabel1[Total]))</f>
        <v>0</v>
      </c>
      <c r="S19" s="51" cm="1">
        <f t="array" ref="S19">SUMPRODUCT((Tabel1[Equipment]=Table46[[#This Row],[Equipment]])*(Tabel1[Facteur]=$D$8)*(Tabel1[Date]=S$13*1)*(Tabel1[WO No]=Table46[[#This Row],[WO No]])*(Tabel1[Total]))</f>
        <v>0</v>
      </c>
      <c r="T19" s="51" cm="1">
        <f t="array" ref="T19">SUMPRODUCT((Tabel1[Equipment]=Table46[[#This Row],[Equipment]])*(Tabel1[Facteur]=$D$8)*(Tabel1[Date]=T$13*1)*(Tabel1[WO No]=Table46[[#This Row],[WO No]])*(Tabel1[Total]))</f>
        <v>0</v>
      </c>
      <c r="U19" s="51" cm="1">
        <f t="array" ref="U19">SUMPRODUCT((Tabel1[Equipment]=Table46[[#This Row],[Equipment]])*(Tabel1[Facteur]=$D$8)*(Tabel1[Date]=U$13*1)*(Tabel1[WO No]=Table46[[#This Row],[WO No]])*(Tabel1[Total]))</f>
        <v>0</v>
      </c>
      <c r="V19" s="51" cm="1">
        <f t="array" ref="V19">SUMPRODUCT((Tabel1[Equipment]=Table46[[#This Row],[Equipment]])*(Tabel1[Facteur]=$D$8)*(Tabel1[Date]=V$13*1)*(Tabel1[WO No]=Table46[[#This Row],[WO No]])*(Tabel1[Total]))</f>
        <v>0</v>
      </c>
      <c r="W19" s="51" cm="1">
        <f t="array" ref="W19">SUMPRODUCT((Tabel1[Equipment]=Table46[[#This Row],[Equipment]])*(Tabel1[Facteur]=$D$8)*(Tabel1[Date]=W$13*1)*(Tabel1[WO No]=Table46[[#This Row],[WO No]])*(Tabel1[Total]))</f>
        <v>0</v>
      </c>
      <c r="X19" s="51" cm="1">
        <f t="array" ref="X19">SUMPRODUCT((Tabel1[Equipment]=Table46[[#This Row],[Equipment]])*(Tabel1[Facteur]=$D$8)*(Tabel1[Date]=X$13*1)*(Tabel1[WO No]=Table46[[#This Row],[WO No]])*(Tabel1[Total]))</f>
        <v>0</v>
      </c>
      <c r="Y19" s="51" cm="1">
        <f t="array" ref="Y19">SUMPRODUCT((Tabel1[Equipment]=Table46[[#This Row],[Equipment]])*(Tabel1[Facteur]=$D$8)*(Tabel1[Date]=Y$13*1)*(Tabel1[WO No]=Table46[[#This Row],[WO No]])*(Tabel1[Total]))</f>
        <v>0</v>
      </c>
      <c r="Z19" s="51" cm="1">
        <f t="array" ref="Z19">SUMPRODUCT((Tabel1[Equipment]=Table46[[#This Row],[Equipment]])*(Tabel1[Facteur]=$D$8)*(Tabel1[Date]=Z$13*1)*(Tabel1[WO No]=Table46[[#This Row],[WO No]])*(Tabel1[Total]))</f>
        <v>0</v>
      </c>
      <c r="AA19" s="51" cm="1">
        <f t="array" ref="AA19">SUMPRODUCT((Tabel1[Equipment]=Table46[[#This Row],[Equipment]])*(Tabel1[Facteur]=$D$8)*(Tabel1[Date]=AA$13*1)*(Tabel1[WO No]=Table46[[#This Row],[WO No]])*(Tabel1[Total]))</f>
        <v>0</v>
      </c>
      <c r="AB19" s="51" cm="1">
        <f t="array" ref="AB19">SUMPRODUCT((Tabel1[Equipment]=Table46[[#This Row],[Equipment]])*(Tabel1[Facteur]=$D$8)*(Tabel1[Date]=AB$13*1)*(Tabel1[WO No]=Table46[[#This Row],[WO No]])*(Tabel1[Total]))</f>
        <v>0</v>
      </c>
      <c r="AC19" s="51" cm="1">
        <f t="array" ref="AC19">SUMPRODUCT((Tabel1[Equipment]=Table46[[#This Row],[Equipment]])*(Tabel1[Facteur]=$D$8)*(Tabel1[Date]=AC$13*1)*(Tabel1[WO No]=Table46[[#This Row],[WO No]])*(Tabel1[Total]))</f>
        <v>0</v>
      </c>
      <c r="AD19" s="51" cm="1">
        <f t="array" ref="AD19">SUMPRODUCT((Tabel1[Equipment]=Table46[[#This Row],[Equipment]])*(Tabel1[Facteur]=$D$8)*(Tabel1[Date]=AD$13*1)*(Tabel1[WO No]=Table46[[#This Row],[WO No]])*(Tabel1[Total]))</f>
        <v>0</v>
      </c>
      <c r="AE19" s="51" cm="1">
        <f t="array" ref="AE19">SUMPRODUCT((Tabel1[Equipment]=Table46[[#This Row],[Equipment]])*(Tabel1[Facteur]=$D$8)*(Tabel1[Date]=AE$13*1)*(Tabel1[WO No]=Table46[[#This Row],[WO No]])*(Tabel1[Total]))</f>
        <v>0</v>
      </c>
      <c r="AF19" s="51" cm="1">
        <f t="array" ref="AF19">SUMPRODUCT((Tabel1[Equipment]=Table46[[#This Row],[Equipment]])*(Tabel1[Facteur]=$D$8)*(Tabel1[Date]=AF$13*1)*(Tabel1[WO No]=Table46[[#This Row],[WO No]])*(Tabel1[Total]))</f>
        <v>0</v>
      </c>
      <c r="AG19" s="51" cm="1">
        <f t="array" ref="AG19">SUMPRODUCT((Tabel1[Equipment]=Table46[[#This Row],[Equipment]])*(Tabel1[Facteur]=$D$8)*(Tabel1[Date]=AG$13*1)*(Tabel1[WO No]=Table46[[#This Row],[WO No]])*(Tabel1[Total]))</f>
        <v>0</v>
      </c>
      <c r="AH19" s="51" cm="1">
        <f t="array" ref="AH19">SUMPRODUCT((Tabel1[Equipment]=Table46[[#This Row],[Equipment]])*(Tabel1[Facteur]=$D$8)*(Tabel1[Date]=AH$13*1)*(Tabel1[WO No]=Table46[[#This Row],[WO No]])*(Tabel1[Total]))</f>
        <v>0</v>
      </c>
      <c r="AI19" s="51" cm="1">
        <f t="array" ref="AI19">SUMPRODUCT((Tabel1[Equipment]=Table46[[#This Row],[Equipment]])*(Tabel1[Facteur]=$D$8)*(Tabel1[Date]=AI$13*1)*(Tabel1[WO No]=Table46[[#This Row],[WO No]])*(Tabel1[Total]))</f>
        <v>0</v>
      </c>
      <c r="AJ19" s="51" cm="1">
        <f t="array" ref="AJ19">SUMPRODUCT((Tabel1[Equipment]=Table46[[#This Row],[Equipment]])*(Tabel1[Facteur]=$D$8)*(Tabel1[Date]=AJ$13*1)*(Tabel1[WO No]=Table46[[#This Row],[WO No]])*(Tabel1[Total]))</f>
        <v>0</v>
      </c>
      <c r="AK19" s="51" cm="1">
        <f t="array" ref="AK19">SUMPRODUCT((Tabel1[Equipment]=Table46[[#This Row],[Equipment]])*(Tabel1[Facteur]=$D$8)*(Tabel1[Date]=AK$13*1)*(Tabel1[WO No]=Table46[[#This Row],[WO No]])*(Tabel1[Total]))</f>
        <v>0</v>
      </c>
      <c r="AL19" s="52">
        <f>SUM(Table46[[#This Row],[15/8]:[14/9]])</f>
        <v>13</v>
      </c>
      <c r="AM19" s="53">
        <f>IF(Table46[[#This Row],[Equipment]]="","",VLOOKUP(Table46[[#This Row],[Equipment]],Tableau2[[#All],[Equipment]:[PRICE]],4,0))</f>
        <v>970</v>
      </c>
      <c r="AN19" s="54">
        <f>Table46[[#This Row],[Total Hrs]]* Table46[[#This Row],[Hourely Rate (MRU)]]</f>
        <v>12610</v>
      </c>
    </row>
    <row r="20" spans="1:45" ht="15.45" customHeight="1" x14ac:dyDescent="0.3">
      <c r="A20" s="50"/>
      <c r="B20" s="29" t="s">
        <v>36</v>
      </c>
      <c r="C20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0" s="31" t="s">
        <v>57</v>
      </c>
      <c r="E20" s="30" t="s">
        <v>56</v>
      </c>
      <c r="F20" s="63">
        <v>5239743</v>
      </c>
      <c r="G20" s="51" cm="1">
        <f t="array" ref="G20">SUMPRODUCT((Tabel1[Equipment]=Table46[[#This Row],[Equipment]])*(Tabel1[Facteur]=$D$8)*(Tabel1[Date]=G$13*1)*(Tabel1[WO No]=Table46[[#This Row],[WO No]])*(Tabel1[Total]))</f>
        <v>8</v>
      </c>
      <c r="H20" s="51" cm="1">
        <f t="array" ref="H20">SUMPRODUCT((Tabel1[Equipment]=Table46[[#This Row],[Equipment]])*(Tabel1[Facteur]=$D$8)*(Tabel1[Date]=H$13*1)*(Tabel1[WO No]=Table46[[#This Row],[WO No]])*(Tabel1[Total]))</f>
        <v>5</v>
      </c>
      <c r="I20" s="51" cm="1">
        <f t="array" ref="I20">SUMPRODUCT((Tabel1[Equipment]=Table46[[#This Row],[Equipment]])*(Tabel1[Facteur]=$D$8)*(Tabel1[Date]=I$13*1)*(Tabel1[WO No]=Table46[[#This Row],[WO No]])*(Tabel1[Total]))</f>
        <v>0</v>
      </c>
      <c r="J20" s="51" cm="1">
        <f t="array" ref="J20">SUMPRODUCT((Tabel1[Equipment]=Table46[[#This Row],[Equipment]])*(Tabel1[Facteur]=$D$8)*(Tabel1[Date]=J$13*1)*(Tabel1[WO No]=Table46[[#This Row],[WO No]])*(Tabel1[Total]))</f>
        <v>0</v>
      </c>
      <c r="K20" s="51" cm="1">
        <f t="array" ref="K20">SUMPRODUCT((Tabel1[Equipment]=Table46[[#This Row],[Equipment]])*(Tabel1[Facteur]=$D$8)*(Tabel1[Date]=K$13*1)*(Tabel1[WO No]=Table46[[#This Row],[WO No]])*(Tabel1[Total]))</f>
        <v>0</v>
      </c>
      <c r="L20" s="51" cm="1">
        <f t="array" ref="L20">SUMPRODUCT((Tabel1[Equipment]=Table46[[#This Row],[Equipment]])*(Tabel1[Facteur]=$D$8)*(Tabel1[Date]=L$13*1)*(Tabel1[WO No]=Table46[[#This Row],[WO No]])*(Tabel1[Total]))</f>
        <v>0</v>
      </c>
      <c r="M20" s="51" cm="1">
        <f t="array" ref="M20">SUMPRODUCT((Tabel1[Equipment]=Table46[[#This Row],[Equipment]])*(Tabel1[Facteur]=$D$8)*(Tabel1[Date]=M$13*1)*(Tabel1[WO No]=Table46[[#This Row],[WO No]])*(Tabel1[Total]))</f>
        <v>0</v>
      </c>
      <c r="N20" s="51" cm="1">
        <f t="array" ref="N20">SUMPRODUCT((Tabel1[Equipment]=Table46[[#This Row],[Equipment]])*(Tabel1[Facteur]=$D$8)*(Tabel1[Date]=N$13*1)*(Tabel1[WO No]=Table46[[#This Row],[WO No]])*(Tabel1[Total]))</f>
        <v>0</v>
      </c>
      <c r="O20" s="51" cm="1">
        <f t="array" ref="O20">SUMPRODUCT((Tabel1[Equipment]=Table46[[#This Row],[Equipment]])*(Tabel1[Facteur]=$D$8)*(Tabel1[Date]=O$13*1)*(Tabel1[WO No]=Table46[[#This Row],[WO No]])*(Tabel1[Total]))</f>
        <v>0</v>
      </c>
      <c r="P20" s="51" cm="1">
        <f t="array" ref="P20">SUMPRODUCT((Tabel1[Equipment]=Table46[[#This Row],[Equipment]])*(Tabel1[Facteur]=$D$8)*(Tabel1[Date]=P$13*1)*(Tabel1[WO No]=Table46[[#This Row],[WO No]])*(Tabel1[Total]))</f>
        <v>0</v>
      </c>
      <c r="Q20" s="51" cm="1">
        <f t="array" ref="Q20">SUMPRODUCT((Tabel1[Equipment]=Table46[[#This Row],[Equipment]])*(Tabel1[Facteur]=$D$8)*(Tabel1[Date]=Q$13*1)*(Tabel1[WO No]=Table46[[#This Row],[WO No]])*(Tabel1[Total]))</f>
        <v>0</v>
      </c>
      <c r="R20" s="51" cm="1">
        <f t="array" ref="R20">SUMPRODUCT((Tabel1[Equipment]=Table46[[#This Row],[Equipment]])*(Tabel1[Facteur]=$D$8)*(Tabel1[Date]=R$13*1)*(Tabel1[WO No]=Table46[[#This Row],[WO No]])*(Tabel1[Total]))</f>
        <v>0</v>
      </c>
      <c r="S20" s="51" cm="1">
        <f t="array" ref="S20">SUMPRODUCT((Tabel1[Equipment]=Table46[[#This Row],[Equipment]])*(Tabel1[Facteur]=$D$8)*(Tabel1[Date]=S$13*1)*(Tabel1[WO No]=Table46[[#This Row],[WO No]])*(Tabel1[Total]))</f>
        <v>0</v>
      </c>
      <c r="T20" s="51" cm="1">
        <f t="array" ref="T20">SUMPRODUCT((Tabel1[Equipment]=Table46[[#This Row],[Equipment]])*(Tabel1[Facteur]=$D$8)*(Tabel1[Date]=T$13*1)*(Tabel1[WO No]=Table46[[#This Row],[WO No]])*(Tabel1[Total]))</f>
        <v>0</v>
      </c>
      <c r="U20" s="51" cm="1">
        <f t="array" ref="U20">SUMPRODUCT((Tabel1[Equipment]=Table46[[#This Row],[Equipment]])*(Tabel1[Facteur]=$D$8)*(Tabel1[Date]=U$13*1)*(Tabel1[WO No]=Table46[[#This Row],[WO No]])*(Tabel1[Total]))</f>
        <v>0</v>
      </c>
      <c r="V20" s="51" cm="1">
        <f t="array" ref="V20">SUMPRODUCT((Tabel1[Equipment]=Table46[[#This Row],[Equipment]])*(Tabel1[Facteur]=$D$8)*(Tabel1[Date]=V$13*1)*(Tabel1[WO No]=Table46[[#This Row],[WO No]])*(Tabel1[Total]))</f>
        <v>0</v>
      </c>
      <c r="W20" s="51" cm="1">
        <f t="array" ref="W20">SUMPRODUCT((Tabel1[Equipment]=Table46[[#This Row],[Equipment]])*(Tabel1[Facteur]=$D$8)*(Tabel1[Date]=W$13*1)*(Tabel1[WO No]=Table46[[#This Row],[WO No]])*(Tabel1[Total]))</f>
        <v>0</v>
      </c>
      <c r="X20" s="51" cm="1">
        <f t="array" ref="X20">SUMPRODUCT((Tabel1[Equipment]=Table46[[#This Row],[Equipment]])*(Tabel1[Facteur]=$D$8)*(Tabel1[Date]=X$13*1)*(Tabel1[WO No]=Table46[[#This Row],[WO No]])*(Tabel1[Total]))</f>
        <v>0</v>
      </c>
      <c r="Y20" s="51" cm="1">
        <f t="array" ref="Y20">SUMPRODUCT((Tabel1[Equipment]=Table46[[#This Row],[Equipment]])*(Tabel1[Facteur]=$D$8)*(Tabel1[Date]=Y$13*1)*(Tabel1[WO No]=Table46[[#This Row],[WO No]])*(Tabel1[Total]))</f>
        <v>0</v>
      </c>
      <c r="Z20" s="51" cm="1">
        <f t="array" ref="Z20">SUMPRODUCT((Tabel1[Equipment]=Table46[[#This Row],[Equipment]])*(Tabel1[Facteur]=$D$8)*(Tabel1[Date]=Z$13*1)*(Tabel1[WO No]=Table46[[#This Row],[WO No]])*(Tabel1[Total]))</f>
        <v>0</v>
      </c>
      <c r="AA20" s="51" cm="1">
        <f t="array" ref="AA20">SUMPRODUCT((Tabel1[Equipment]=Table46[[#This Row],[Equipment]])*(Tabel1[Facteur]=$D$8)*(Tabel1[Date]=AA$13*1)*(Tabel1[WO No]=Table46[[#This Row],[WO No]])*(Tabel1[Total]))</f>
        <v>0</v>
      </c>
      <c r="AB20" s="51" cm="1">
        <f t="array" ref="AB20">SUMPRODUCT((Tabel1[Equipment]=Table46[[#This Row],[Equipment]])*(Tabel1[Facteur]=$D$8)*(Tabel1[Date]=AB$13*1)*(Tabel1[WO No]=Table46[[#This Row],[WO No]])*(Tabel1[Total]))</f>
        <v>0</v>
      </c>
      <c r="AC20" s="51" cm="1">
        <f t="array" ref="AC20">SUMPRODUCT((Tabel1[Equipment]=Table46[[#This Row],[Equipment]])*(Tabel1[Facteur]=$D$8)*(Tabel1[Date]=AC$13*1)*(Tabel1[WO No]=Table46[[#This Row],[WO No]])*(Tabel1[Total]))</f>
        <v>0</v>
      </c>
      <c r="AD20" s="51" cm="1">
        <f t="array" ref="AD20">SUMPRODUCT((Tabel1[Equipment]=Table46[[#This Row],[Equipment]])*(Tabel1[Facteur]=$D$8)*(Tabel1[Date]=AD$13*1)*(Tabel1[WO No]=Table46[[#This Row],[WO No]])*(Tabel1[Total]))</f>
        <v>0</v>
      </c>
      <c r="AE20" s="51" cm="1">
        <f t="array" ref="AE20">SUMPRODUCT((Tabel1[Equipment]=Table46[[#This Row],[Equipment]])*(Tabel1[Facteur]=$D$8)*(Tabel1[Date]=AE$13*1)*(Tabel1[WO No]=Table46[[#This Row],[WO No]])*(Tabel1[Total]))</f>
        <v>0</v>
      </c>
      <c r="AF20" s="51" cm="1">
        <f t="array" ref="AF20">SUMPRODUCT((Tabel1[Equipment]=Table46[[#This Row],[Equipment]])*(Tabel1[Facteur]=$D$8)*(Tabel1[Date]=AF$13*1)*(Tabel1[WO No]=Table46[[#This Row],[WO No]])*(Tabel1[Total]))</f>
        <v>0</v>
      </c>
      <c r="AG20" s="51" cm="1">
        <f t="array" ref="AG20">SUMPRODUCT((Tabel1[Equipment]=Table46[[#This Row],[Equipment]])*(Tabel1[Facteur]=$D$8)*(Tabel1[Date]=AG$13*1)*(Tabel1[WO No]=Table46[[#This Row],[WO No]])*(Tabel1[Total]))</f>
        <v>0</v>
      </c>
      <c r="AH20" s="51" cm="1">
        <f t="array" ref="AH20">SUMPRODUCT((Tabel1[Equipment]=Table46[[#This Row],[Equipment]])*(Tabel1[Facteur]=$D$8)*(Tabel1[Date]=AH$13*1)*(Tabel1[WO No]=Table46[[#This Row],[WO No]])*(Tabel1[Total]))</f>
        <v>0</v>
      </c>
      <c r="AI20" s="51" cm="1">
        <f t="array" ref="AI20">SUMPRODUCT((Tabel1[Equipment]=Table46[[#This Row],[Equipment]])*(Tabel1[Facteur]=$D$8)*(Tabel1[Date]=AI$13*1)*(Tabel1[WO No]=Table46[[#This Row],[WO No]])*(Tabel1[Total]))</f>
        <v>0</v>
      </c>
      <c r="AJ20" s="51" cm="1">
        <f t="array" ref="AJ20">SUMPRODUCT((Tabel1[Equipment]=Table46[[#This Row],[Equipment]])*(Tabel1[Facteur]=$D$8)*(Tabel1[Date]=AJ$13*1)*(Tabel1[WO No]=Table46[[#This Row],[WO No]])*(Tabel1[Total]))</f>
        <v>0</v>
      </c>
      <c r="AK20" s="51" cm="1">
        <f t="array" ref="AK20">SUMPRODUCT((Tabel1[Equipment]=Table46[[#This Row],[Equipment]])*(Tabel1[Facteur]=$D$8)*(Tabel1[Date]=AK$13*1)*(Tabel1[WO No]=Table46[[#This Row],[WO No]])*(Tabel1[Total]))</f>
        <v>0</v>
      </c>
      <c r="AL20" s="52">
        <f>SUM(Table46[[#This Row],[15/8]:[14/9]])</f>
        <v>13</v>
      </c>
      <c r="AM20" s="53">
        <f>IF(Table46[[#This Row],[Equipment]]="","",VLOOKUP(Table46[[#This Row],[Equipment]],Tableau2[[#All],[Equipment]:[PRICE]],4,0))</f>
        <v>970</v>
      </c>
      <c r="AN20" s="54">
        <f>Table46[[#This Row],[Total Hrs]]* Table46[[#This Row],[Hourely Rate (MRU)]]</f>
        <v>12610</v>
      </c>
    </row>
    <row r="21" spans="1:45" ht="30" x14ac:dyDescent="0.3">
      <c r="A21" s="50"/>
      <c r="B21" s="29" t="s">
        <v>37</v>
      </c>
      <c r="C21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1" s="31" t="s">
        <v>57</v>
      </c>
      <c r="E21" s="30" t="s">
        <v>56</v>
      </c>
      <c r="F21" s="63">
        <v>5239743</v>
      </c>
      <c r="G21" s="51" cm="1">
        <f t="array" ref="G21">SUMPRODUCT((Tabel1[Equipment]=Table46[[#This Row],[Equipment]])*(Tabel1[Facteur]=$D$8)*(Tabel1[Date]=G$13*1)*(Tabel1[WO No]=Table46[[#This Row],[WO No]])*(Tabel1[Total]))</f>
        <v>8</v>
      </c>
      <c r="H21" s="51" cm="1">
        <f t="array" ref="H21">SUMPRODUCT((Tabel1[Equipment]=Table46[[#This Row],[Equipment]])*(Tabel1[Facteur]=$D$8)*(Tabel1[Date]=H$13*1)*(Tabel1[WO No]=Table46[[#This Row],[WO No]])*(Tabel1[Total]))</f>
        <v>5</v>
      </c>
      <c r="I21" s="51" cm="1">
        <f t="array" ref="I21">SUMPRODUCT((Tabel1[Equipment]=Table46[[#This Row],[Equipment]])*(Tabel1[Facteur]=$D$8)*(Tabel1[Date]=I$13*1)*(Tabel1[WO No]=Table46[[#This Row],[WO No]])*(Tabel1[Total]))</f>
        <v>0</v>
      </c>
      <c r="J21" s="51" cm="1">
        <f t="array" ref="J21">SUMPRODUCT((Tabel1[Equipment]=Table46[[#This Row],[Equipment]])*(Tabel1[Facteur]=$D$8)*(Tabel1[Date]=J$13*1)*(Tabel1[WO No]=Table46[[#This Row],[WO No]])*(Tabel1[Total]))</f>
        <v>0</v>
      </c>
      <c r="K21" s="51" cm="1">
        <f t="array" ref="K21">SUMPRODUCT((Tabel1[Equipment]=Table46[[#This Row],[Equipment]])*(Tabel1[Facteur]=$D$8)*(Tabel1[Date]=K$13*1)*(Tabel1[WO No]=Table46[[#This Row],[WO No]])*(Tabel1[Total]))</f>
        <v>0</v>
      </c>
      <c r="L21" s="51" cm="1">
        <f t="array" ref="L21">SUMPRODUCT((Tabel1[Equipment]=Table46[[#This Row],[Equipment]])*(Tabel1[Facteur]=$D$8)*(Tabel1[Date]=L$13*1)*(Tabel1[WO No]=Table46[[#This Row],[WO No]])*(Tabel1[Total]))</f>
        <v>0</v>
      </c>
      <c r="M21" s="51" cm="1">
        <f t="array" ref="M21">SUMPRODUCT((Tabel1[Equipment]=Table46[[#This Row],[Equipment]])*(Tabel1[Facteur]=$D$8)*(Tabel1[Date]=M$13*1)*(Tabel1[WO No]=Table46[[#This Row],[WO No]])*(Tabel1[Total]))</f>
        <v>0</v>
      </c>
      <c r="N21" s="51" cm="1">
        <f t="array" ref="N21">SUMPRODUCT((Tabel1[Equipment]=Table46[[#This Row],[Equipment]])*(Tabel1[Facteur]=$D$8)*(Tabel1[Date]=N$13*1)*(Tabel1[WO No]=Table46[[#This Row],[WO No]])*(Tabel1[Total]))</f>
        <v>0</v>
      </c>
      <c r="O21" s="51" cm="1">
        <f t="array" ref="O21">SUMPRODUCT((Tabel1[Equipment]=Table46[[#This Row],[Equipment]])*(Tabel1[Facteur]=$D$8)*(Tabel1[Date]=O$13*1)*(Tabel1[WO No]=Table46[[#This Row],[WO No]])*(Tabel1[Total]))</f>
        <v>0</v>
      </c>
      <c r="P21" s="51" cm="1">
        <f t="array" ref="P21">SUMPRODUCT((Tabel1[Equipment]=Table46[[#This Row],[Equipment]])*(Tabel1[Facteur]=$D$8)*(Tabel1[Date]=P$13*1)*(Tabel1[WO No]=Table46[[#This Row],[WO No]])*(Tabel1[Total]))</f>
        <v>0</v>
      </c>
      <c r="Q21" s="51" cm="1">
        <f t="array" ref="Q21">SUMPRODUCT((Tabel1[Equipment]=Table46[[#This Row],[Equipment]])*(Tabel1[Facteur]=$D$8)*(Tabel1[Date]=Q$13*1)*(Tabel1[WO No]=Table46[[#This Row],[WO No]])*(Tabel1[Total]))</f>
        <v>0</v>
      </c>
      <c r="R21" s="51" cm="1">
        <f t="array" ref="R21">SUMPRODUCT((Tabel1[Equipment]=Table46[[#This Row],[Equipment]])*(Tabel1[Facteur]=$D$8)*(Tabel1[Date]=R$13*1)*(Tabel1[WO No]=Table46[[#This Row],[WO No]])*(Tabel1[Total]))</f>
        <v>0</v>
      </c>
      <c r="S21" s="51" cm="1">
        <f t="array" ref="S21">SUMPRODUCT((Tabel1[Equipment]=Table46[[#This Row],[Equipment]])*(Tabel1[Facteur]=$D$8)*(Tabel1[Date]=S$13*1)*(Tabel1[WO No]=Table46[[#This Row],[WO No]])*(Tabel1[Total]))</f>
        <v>0</v>
      </c>
      <c r="T21" s="51" cm="1">
        <f t="array" ref="T21">SUMPRODUCT((Tabel1[Equipment]=Table46[[#This Row],[Equipment]])*(Tabel1[Facteur]=$D$8)*(Tabel1[Date]=T$13*1)*(Tabel1[WO No]=Table46[[#This Row],[WO No]])*(Tabel1[Total]))</f>
        <v>0</v>
      </c>
      <c r="U21" s="51" cm="1">
        <f t="array" ref="U21">SUMPRODUCT((Tabel1[Equipment]=Table46[[#This Row],[Equipment]])*(Tabel1[Facteur]=$D$8)*(Tabel1[Date]=U$13*1)*(Tabel1[WO No]=Table46[[#This Row],[WO No]])*(Tabel1[Total]))</f>
        <v>0</v>
      </c>
      <c r="V21" s="51" cm="1">
        <f t="array" ref="V21">SUMPRODUCT((Tabel1[Equipment]=Table46[[#This Row],[Equipment]])*(Tabel1[Facteur]=$D$8)*(Tabel1[Date]=V$13*1)*(Tabel1[WO No]=Table46[[#This Row],[WO No]])*(Tabel1[Total]))</f>
        <v>0</v>
      </c>
      <c r="W21" s="51" cm="1">
        <f t="array" ref="W21">SUMPRODUCT((Tabel1[Equipment]=Table46[[#This Row],[Equipment]])*(Tabel1[Facteur]=$D$8)*(Tabel1[Date]=W$13*1)*(Tabel1[WO No]=Table46[[#This Row],[WO No]])*(Tabel1[Total]))</f>
        <v>0</v>
      </c>
      <c r="X21" s="51" cm="1">
        <f t="array" ref="X21">SUMPRODUCT((Tabel1[Equipment]=Table46[[#This Row],[Equipment]])*(Tabel1[Facteur]=$D$8)*(Tabel1[Date]=X$13*1)*(Tabel1[WO No]=Table46[[#This Row],[WO No]])*(Tabel1[Total]))</f>
        <v>0</v>
      </c>
      <c r="Y21" s="51" cm="1">
        <f t="array" ref="Y21">SUMPRODUCT((Tabel1[Equipment]=Table46[[#This Row],[Equipment]])*(Tabel1[Facteur]=$D$8)*(Tabel1[Date]=Y$13*1)*(Tabel1[WO No]=Table46[[#This Row],[WO No]])*(Tabel1[Total]))</f>
        <v>0</v>
      </c>
      <c r="Z21" s="51" cm="1">
        <f t="array" ref="Z21">SUMPRODUCT((Tabel1[Equipment]=Table46[[#This Row],[Equipment]])*(Tabel1[Facteur]=$D$8)*(Tabel1[Date]=Z$13*1)*(Tabel1[WO No]=Table46[[#This Row],[WO No]])*(Tabel1[Total]))</f>
        <v>0</v>
      </c>
      <c r="AA21" s="51" cm="1">
        <f t="array" ref="AA21">SUMPRODUCT((Tabel1[Equipment]=Table46[[#This Row],[Equipment]])*(Tabel1[Facteur]=$D$8)*(Tabel1[Date]=AA$13*1)*(Tabel1[WO No]=Table46[[#This Row],[WO No]])*(Tabel1[Total]))</f>
        <v>0</v>
      </c>
      <c r="AB21" s="51" cm="1">
        <f t="array" ref="AB21">SUMPRODUCT((Tabel1[Equipment]=Table46[[#This Row],[Equipment]])*(Tabel1[Facteur]=$D$8)*(Tabel1[Date]=AB$13*1)*(Tabel1[WO No]=Table46[[#This Row],[WO No]])*(Tabel1[Total]))</f>
        <v>0</v>
      </c>
      <c r="AC21" s="51" cm="1">
        <f t="array" ref="AC21">SUMPRODUCT((Tabel1[Equipment]=Table46[[#This Row],[Equipment]])*(Tabel1[Facteur]=$D$8)*(Tabel1[Date]=AC$13*1)*(Tabel1[WO No]=Table46[[#This Row],[WO No]])*(Tabel1[Total]))</f>
        <v>0</v>
      </c>
      <c r="AD21" s="51" cm="1">
        <f t="array" ref="AD21">SUMPRODUCT((Tabel1[Equipment]=Table46[[#This Row],[Equipment]])*(Tabel1[Facteur]=$D$8)*(Tabel1[Date]=AD$13*1)*(Tabel1[WO No]=Table46[[#This Row],[WO No]])*(Tabel1[Total]))</f>
        <v>0</v>
      </c>
      <c r="AE21" s="51" cm="1">
        <f t="array" ref="AE21">SUMPRODUCT((Tabel1[Equipment]=Table46[[#This Row],[Equipment]])*(Tabel1[Facteur]=$D$8)*(Tabel1[Date]=AE$13*1)*(Tabel1[WO No]=Table46[[#This Row],[WO No]])*(Tabel1[Total]))</f>
        <v>0</v>
      </c>
      <c r="AF21" s="51" cm="1">
        <f t="array" ref="AF21">SUMPRODUCT((Tabel1[Equipment]=Table46[[#This Row],[Equipment]])*(Tabel1[Facteur]=$D$8)*(Tabel1[Date]=AF$13*1)*(Tabel1[WO No]=Table46[[#This Row],[WO No]])*(Tabel1[Total]))</f>
        <v>0</v>
      </c>
      <c r="AG21" s="51" cm="1">
        <f t="array" ref="AG21">SUMPRODUCT((Tabel1[Equipment]=Table46[[#This Row],[Equipment]])*(Tabel1[Facteur]=$D$8)*(Tabel1[Date]=AG$13*1)*(Tabel1[WO No]=Table46[[#This Row],[WO No]])*(Tabel1[Total]))</f>
        <v>0</v>
      </c>
      <c r="AH21" s="51" cm="1">
        <f t="array" ref="AH21">SUMPRODUCT((Tabel1[Equipment]=Table46[[#This Row],[Equipment]])*(Tabel1[Facteur]=$D$8)*(Tabel1[Date]=AH$13*1)*(Tabel1[WO No]=Table46[[#This Row],[WO No]])*(Tabel1[Total]))</f>
        <v>0</v>
      </c>
      <c r="AI21" s="51" cm="1">
        <f t="array" ref="AI21">SUMPRODUCT((Tabel1[Equipment]=Table46[[#This Row],[Equipment]])*(Tabel1[Facteur]=$D$8)*(Tabel1[Date]=AI$13*1)*(Tabel1[WO No]=Table46[[#This Row],[WO No]])*(Tabel1[Total]))</f>
        <v>0</v>
      </c>
      <c r="AJ21" s="51" cm="1">
        <f t="array" ref="AJ21">SUMPRODUCT((Tabel1[Equipment]=Table46[[#This Row],[Equipment]])*(Tabel1[Facteur]=$D$8)*(Tabel1[Date]=AJ$13*1)*(Tabel1[WO No]=Table46[[#This Row],[WO No]])*(Tabel1[Total]))</f>
        <v>0</v>
      </c>
      <c r="AK21" s="51" cm="1">
        <f t="array" ref="AK21">SUMPRODUCT((Tabel1[Equipment]=Table46[[#This Row],[Equipment]])*(Tabel1[Facteur]=$D$8)*(Tabel1[Date]=AK$13*1)*(Tabel1[WO No]=Table46[[#This Row],[WO No]])*(Tabel1[Total]))</f>
        <v>0</v>
      </c>
      <c r="AL21" s="52">
        <f>SUM(Table46[[#This Row],[15/8]:[14/9]])</f>
        <v>13</v>
      </c>
      <c r="AM21" s="53">
        <f>IF(Table46[[#This Row],[Equipment]]="","",VLOOKUP(Table46[[#This Row],[Equipment]],Tableau2[[#All],[Equipment]:[PRICE]],4,0))</f>
        <v>970</v>
      </c>
      <c r="AN21" s="54">
        <f>Table46[[#This Row],[Total Hrs]]* Table46[[#This Row],[Hourely Rate (MRU)]]</f>
        <v>12610</v>
      </c>
    </row>
    <row r="22" spans="1:45" ht="30" x14ac:dyDescent="0.3">
      <c r="A22" s="50"/>
      <c r="B22" s="29" t="s">
        <v>63</v>
      </c>
      <c r="C22" s="30" t="str">
        <f>IF(Table46[[#This Row],[Equipment]]="", "",INDEX([1]!Tableau2[#Data],MATCH(Table46[[#This Row],[Equipment]],[1]!Tableau2[Equipment],0),MATCH(Table46[[#Headers],[Equipment Type]],[1]!Tableau2[#Headers],0)))</f>
        <v>Grader</v>
      </c>
      <c r="D22" s="31" t="s">
        <v>57</v>
      </c>
      <c r="E22" s="30" t="s">
        <v>56</v>
      </c>
      <c r="F22" s="63">
        <v>5239743</v>
      </c>
      <c r="G22" s="51" cm="1">
        <f t="array" ref="G22">SUMPRODUCT((Tabel1[Equipment]=Table46[[#This Row],[Equipment]])*(Tabel1[Facteur]=$D$8)*(Tabel1[Date]=G$13*1)*(Tabel1[WO No]=Table46[[#This Row],[WO No]])*(Tabel1[Total]))</f>
        <v>8</v>
      </c>
      <c r="H22" s="51" cm="1">
        <f t="array" ref="H22">SUMPRODUCT((Tabel1[Equipment]=Table46[[#This Row],[Equipment]])*(Tabel1[Facteur]=$D$8)*(Tabel1[Date]=H$13*1)*(Tabel1[WO No]=Table46[[#This Row],[WO No]])*(Tabel1[Total]))</f>
        <v>5</v>
      </c>
      <c r="I22" s="51" cm="1">
        <f t="array" ref="I22">SUMPRODUCT((Tabel1[Equipment]=Table46[[#This Row],[Equipment]])*(Tabel1[Facteur]=$D$8)*(Tabel1[Date]=I$13*1)*(Tabel1[WO No]=Table46[[#This Row],[WO No]])*(Tabel1[Total]))</f>
        <v>0</v>
      </c>
      <c r="J22" s="51" cm="1">
        <f t="array" ref="J22">SUMPRODUCT((Tabel1[Equipment]=Table46[[#This Row],[Equipment]])*(Tabel1[Facteur]=$D$8)*(Tabel1[Date]=J$13*1)*(Tabel1[WO No]=Table46[[#This Row],[WO No]])*(Tabel1[Total]))</f>
        <v>0</v>
      </c>
      <c r="K22" s="51" cm="1">
        <f t="array" ref="K22">SUMPRODUCT((Tabel1[Equipment]=Table46[[#This Row],[Equipment]])*(Tabel1[Facteur]=$D$8)*(Tabel1[Date]=K$13*1)*(Tabel1[WO No]=Table46[[#This Row],[WO No]])*(Tabel1[Total]))</f>
        <v>0</v>
      </c>
      <c r="L22" s="51" cm="1">
        <f t="array" ref="L22">SUMPRODUCT((Tabel1[Equipment]=Table46[[#This Row],[Equipment]])*(Tabel1[Facteur]=$D$8)*(Tabel1[Date]=L$13*1)*(Tabel1[WO No]=Table46[[#This Row],[WO No]])*(Tabel1[Total]))</f>
        <v>0</v>
      </c>
      <c r="M22" s="51" cm="1">
        <f t="array" ref="M22">SUMPRODUCT((Tabel1[Equipment]=Table46[[#This Row],[Equipment]])*(Tabel1[Facteur]=$D$8)*(Tabel1[Date]=M$13*1)*(Tabel1[WO No]=Table46[[#This Row],[WO No]])*(Tabel1[Total]))</f>
        <v>0</v>
      </c>
      <c r="N22" s="51" cm="1">
        <f t="array" ref="N22">SUMPRODUCT((Tabel1[Equipment]=Table46[[#This Row],[Equipment]])*(Tabel1[Facteur]=$D$8)*(Tabel1[Date]=N$13*1)*(Tabel1[WO No]=Table46[[#This Row],[WO No]])*(Tabel1[Total]))</f>
        <v>0</v>
      </c>
      <c r="O22" s="51" cm="1">
        <f t="array" ref="O22">SUMPRODUCT((Tabel1[Equipment]=Table46[[#This Row],[Equipment]])*(Tabel1[Facteur]=$D$8)*(Tabel1[Date]=O$13*1)*(Tabel1[WO No]=Table46[[#This Row],[WO No]])*(Tabel1[Total]))</f>
        <v>0</v>
      </c>
      <c r="P22" s="51" cm="1">
        <f t="array" ref="P22">SUMPRODUCT((Tabel1[Equipment]=Table46[[#This Row],[Equipment]])*(Tabel1[Facteur]=$D$8)*(Tabel1[Date]=P$13*1)*(Tabel1[WO No]=Table46[[#This Row],[WO No]])*(Tabel1[Total]))</f>
        <v>0</v>
      </c>
      <c r="Q22" s="51" cm="1">
        <f t="array" ref="Q22">SUMPRODUCT((Tabel1[Equipment]=Table46[[#This Row],[Equipment]])*(Tabel1[Facteur]=$D$8)*(Tabel1[Date]=Q$13*1)*(Tabel1[WO No]=Table46[[#This Row],[WO No]])*(Tabel1[Total]))</f>
        <v>0</v>
      </c>
      <c r="R22" s="51" cm="1">
        <f t="array" ref="R22">SUMPRODUCT((Tabel1[Equipment]=Table46[[#This Row],[Equipment]])*(Tabel1[Facteur]=$D$8)*(Tabel1[Date]=R$13*1)*(Tabel1[WO No]=Table46[[#This Row],[WO No]])*(Tabel1[Total]))</f>
        <v>0</v>
      </c>
      <c r="S22" s="51" cm="1">
        <f t="array" ref="S22">SUMPRODUCT((Tabel1[Equipment]=Table46[[#This Row],[Equipment]])*(Tabel1[Facteur]=$D$8)*(Tabel1[Date]=S$13*1)*(Tabel1[WO No]=Table46[[#This Row],[WO No]])*(Tabel1[Total]))</f>
        <v>0</v>
      </c>
      <c r="T22" s="51" cm="1">
        <f t="array" ref="T22">SUMPRODUCT((Tabel1[Equipment]=Table46[[#This Row],[Equipment]])*(Tabel1[Facteur]=$D$8)*(Tabel1[Date]=T$13*1)*(Tabel1[WO No]=Table46[[#This Row],[WO No]])*(Tabel1[Total]))</f>
        <v>0</v>
      </c>
      <c r="U22" s="51" cm="1">
        <f t="array" ref="U22">SUMPRODUCT((Tabel1[Equipment]=Table46[[#This Row],[Equipment]])*(Tabel1[Facteur]=$D$8)*(Tabel1[Date]=U$13*1)*(Tabel1[WO No]=Table46[[#This Row],[WO No]])*(Tabel1[Total]))</f>
        <v>0</v>
      </c>
      <c r="V22" s="51" cm="1">
        <f t="array" ref="V22">SUMPRODUCT((Tabel1[Equipment]=Table46[[#This Row],[Equipment]])*(Tabel1[Facteur]=$D$8)*(Tabel1[Date]=V$13*1)*(Tabel1[WO No]=Table46[[#This Row],[WO No]])*(Tabel1[Total]))</f>
        <v>0</v>
      </c>
      <c r="W22" s="51" cm="1">
        <f t="array" ref="W22">SUMPRODUCT((Tabel1[Equipment]=Table46[[#This Row],[Equipment]])*(Tabel1[Facteur]=$D$8)*(Tabel1[Date]=W$13*1)*(Tabel1[WO No]=Table46[[#This Row],[WO No]])*(Tabel1[Total]))</f>
        <v>0</v>
      </c>
      <c r="X22" s="51" cm="1">
        <f t="array" ref="X22">SUMPRODUCT((Tabel1[Equipment]=Table46[[#This Row],[Equipment]])*(Tabel1[Facteur]=$D$8)*(Tabel1[Date]=X$13*1)*(Tabel1[WO No]=Table46[[#This Row],[WO No]])*(Tabel1[Total]))</f>
        <v>0</v>
      </c>
      <c r="Y22" s="51" cm="1">
        <f t="array" ref="Y22">SUMPRODUCT((Tabel1[Equipment]=Table46[[#This Row],[Equipment]])*(Tabel1[Facteur]=$D$8)*(Tabel1[Date]=Y$13*1)*(Tabel1[WO No]=Table46[[#This Row],[WO No]])*(Tabel1[Total]))</f>
        <v>0</v>
      </c>
      <c r="Z22" s="51" cm="1">
        <f t="array" ref="Z22">SUMPRODUCT((Tabel1[Equipment]=Table46[[#This Row],[Equipment]])*(Tabel1[Facteur]=$D$8)*(Tabel1[Date]=Z$13*1)*(Tabel1[WO No]=Table46[[#This Row],[WO No]])*(Tabel1[Total]))</f>
        <v>0</v>
      </c>
      <c r="AA22" s="51" cm="1">
        <f t="array" ref="AA22">SUMPRODUCT((Tabel1[Equipment]=Table46[[#This Row],[Equipment]])*(Tabel1[Facteur]=$D$8)*(Tabel1[Date]=AA$13*1)*(Tabel1[WO No]=Table46[[#This Row],[WO No]])*(Tabel1[Total]))</f>
        <v>0</v>
      </c>
      <c r="AB22" s="51" cm="1">
        <f t="array" ref="AB22">SUMPRODUCT((Tabel1[Equipment]=Table46[[#This Row],[Equipment]])*(Tabel1[Facteur]=$D$8)*(Tabel1[Date]=AB$13*1)*(Tabel1[WO No]=Table46[[#This Row],[WO No]])*(Tabel1[Total]))</f>
        <v>0</v>
      </c>
      <c r="AC22" s="51" cm="1">
        <f t="array" ref="AC22">SUMPRODUCT((Tabel1[Equipment]=Table46[[#This Row],[Equipment]])*(Tabel1[Facteur]=$D$8)*(Tabel1[Date]=AC$13*1)*(Tabel1[WO No]=Table46[[#This Row],[WO No]])*(Tabel1[Total]))</f>
        <v>0</v>
      </c>
      <c r="AD22" s="51" cm="1">
        <f t="array" ref="AD22">SUMPRODUCT((Tabel1[Equipment]=Table46[[#This Row],[Equipment]])*(Tabel1[Facteur]=$D$8)*(Tabel1[Date]=AD$13*1)*(Tabel1[WO No]=Table46[[#This Row],[WO No]])*(Tabel1[Total]))</f>
        <v>0</v>
      </c>
      <c r="AE22" s="51" cm="1">
        <f t="array" ref="AE22">SUMPRODUCT((Tabel1[Equipment]=Table46[[#This Row],[Equipment]])*(Tabel1[Facteur]=$D$8)*(Tabel1[Date]=AE$13*1)*(Tabel1[WO No]=Table46[[#This Row],[WO No]])*(Tabel1[Total]))</f>
        <v>0</v>
      </c>
      <c r="AF22" s="51" cm="1">
        <f t="array" ref="AF22">SUMPRODUCT((Tabel1[Equipment]=Table46[[#This Row],[Equipment]])*(Tabel1[Facteur]=$D$8)*(Tabel1[Date]=AF$13*1)*(Tabel1[WO No]=Table46[[#This Row],[WO No]])*(Tabel1[Total]))</f>
        <v>0</v>
      </c>
      <c r="AG22" s="51" cm="1">
        <f t="array" ref="AG22">SUMPRODUCT((Tabel1[Equipment]=Table46[[#This Row],[Equipment]])*(Tabel1[Facteur]=$D$8)*(Tabel1[Date]=AG$13*1)*(Tabel1[WO No]=Table46[[#This Row],[WO No]])*(Tabel1[Total]))</f>
        <v>0</v>
      </c>
      <c r="AH22" s="51" cm="1">
        <f t="array" ref="AH22">SUMPRODUCT((Tabel1[Equipment]=Table46[[#This Row],[Equipment]])*(Tabel1[Facteur]=$D$8)*(Tabel1[Date]=AH$13*1)*(Tabel1[WO No]=Table46[[#This Row],[WO No]])*(Tabel1[Total]))</f>
        <v>0</v>
      </c>
      <c r="AI22" s="51" cm="1">
        <f t="array" ref="AI22">SUMPRODUCT((Tabel1[Equipment]=Table46[[#This Row],[Equipment]])*(Tabel1[Facteur]=$D$8)*(Tabel1[Date]=AI$13*1)*(Tabel1[WO No]=Table46[[#This Row],[WO No]])*(Tabel1[Total]))</f>
        <v>0</v>
      </c>
      <c r="AJ22" s="51" cm="1">
        <f t="array" ref="AJ22">SUMPRODUCT((Tabel1[Equipment]=Table46[[#This Row],[Equipment]])*(Tabel1[Facteur]=$D$8)*(Tabel1[Date]=AJ$13*1)*(Tabel1[WO No]=Table46[[#This Row],[WO No]])*(Tabel1[Total]))</f>
        <v>0</v>
      </c>
      <c r="AK22" s="51" cm="1">
        <f t="array" ref="AK22">SUMPRODUCT((Tabel1[Equipment]=Table46[[#This Row],[Equipment]])*(Tabel1[Facteur]=$D$8)*(Tabel1[Date]=AK$13*1)*(Tabel1[WO No]=Table46[[#This Row],[WO No]])*(Tabel1[Total]))</f>
        <v>0</v>
      </c>
      <c r="AL22" s="52">
        <f>SUM(Table46[[#This Row],[15/8]:[14/9]])</f>
        <v>13</v>
      </c>
      <c r="AM22" s="53">
        <f>IF(Table46[[#This Row],[Equipment]]="","",VLOOKUP(Table46[[#This Row],[Equipment]],Tableau2[[#All],[Equipment]:[PRICE]],4,0))</f>
        <v>1650</v>
      </c>
      <c r="AN22" s="54">
        <f>Table46[[#This Row],[Total Hrs]]* Table46[[#This Row],[Hourely Rate (MRU)]]</f>
        <v>21450</v>
      </c>
    </row>
    <row r="23" spans="1:45" ht="18" customHeight="1" x14ac:dyDescent="0.3">
      <c r="A23" s="50"/>
      <c r="B23" s="29" t="s">
        <v>39</v>
      </c>
      <c r="C23" s="30" t="str">
        <f>IF(Table46[[#This Row],[Equipment]]="", "",INDEX([1]!Tableau2[#Data],MATCH(Table46[[#This Row],[Equipment]],[1]!Tableau2[Equipment],0),MATCH(Table46[[#Headers],[Equipment Type]],[1]!Tableau2[#Headers],0)))</f>
        <v>Grader</v>
      </c>
      <c r="D23" s="31" t="s">
        <v>57</v>
      </c>
      <c r="E23" s="30" t="s">
        <v>56</v>
      </c>
      <c r="F23" s="63">
        <v>5239743</v>
      </c>
      <c r="G23" s="51" cm="1">
        <f t="array" ref="G23">SUMPRODUCT((Tabel1[Equipment]=Table46[[#This Row],[Equipment]])*(Tabel1[Facteur]=$D$8)*(Tabel1[Date]=G$13*1)*(Tabel1[WO No]=Table46[[#This Row],[WO No]])*(Tabel1[Total]))</f>
        <v>8</v>
      </c>
      <c r="H23" s="51" cm="1">
        <f t="array" ref="H23">SUMPRODUCT((Tabel1[Equipment]=Table46[[#This Row],[Equipment]])*(Tabel1[Facteur]=$D$8)*(Tabel1[Date]=H$13*1)*(Tabel1[WO No]=Table46[[#This Row],[WO No]])*(Tabel1[Total]))</f>
        <v>5</v>
      </c>
      <c r="I23" s="51" cm="1">
        <f t="array" ref="I23">SUMPRODUCT((Tabel1[Equipment]=Table46[[#This Row],[Equipment]])*(Tabel1[Facteur]=$D$8)*(Tabel1[Date]=I$13*1)*(Tabel1[WO No]=Table46[[#This Row],[WO No]])*(Tabel1[Total]))</f>
        <v>0</v>
      </c>
      <c r="J23" s="51" cm="1">
        <f t="array" ref="J23">SUMPRODUCT((Tabel1[Equipment]=Table46[[#This Row],[Equipment]])*(Tabel1[Facteur]=$D$8)*(Tabel1[Date]=J$13*1)*(Tabel1[WO No]=Table46[[#This Row],[WO No]])*(Tabel1[Total]))</f>
        <v>0</v>
      </c>
      <c r="K23" s="51" cm="1">
        <f t="array" ref="K23">SUMPRODUCT((Tabel1[Equipment]=Table46[[#This Row],[Equipment]])*(Tabel1[Facteur]=$D$8)*(Tabel1[Date]=K$13*1)*(Tabel1[WO No]=Table46[[#This Row],[WO No]])*(Tabel1[Total]))</f>
        <v>0</v>
      </c>
      <c r="L23" s="51" cm="1">
        <f t="array" ref="L23">SUMPRODUCT((Tabel1[Equipment]=Table46[[#This Row],[Equipment]])*(Tabel1[Facteur]=$D$8)*(Tabel1[Date]=L$13*1)*(Tabel1[WO No]=Table46[[#This Row],[WO No]])*(Tabel1[Total]))</f>
        <v>0</v>
      </c>
      <c r="M23" s="51" cm="1">
        <f t="array" ref="M23">SUMPRODUCT((Tabel1[Equipment]=Table46[[#This Row],[Equipment]])*(Tabel1[Facteur]=$D$8)*(Tabel1[Date]=M$13*1)*(Tabel1[WO No]=Table46[[#This Row],[WO No]])*(Tabel1[Total]))</f>
        <v>0</v>
      </c>
      <c r="N23" s="51" cm="1">
        <f t="array" ref="N23">SUMPRODUCT((Tabel1[Equipment]=Table46[[#This Row],[Equipment]])*(Tabel1[Facteur]=$D$8)*(Tabel1[Date]=N$13*1)*(Tabel1[WO No]=Table46[[#This Row],[WO No]])*(Tabel1[Total]))</f>
        <v>0</v>
      </c>
      <c r="O23" s="51" cm="1">
        <f t="array" ref="O23">SUMPRODUCT((Tabel1[Equipment]=Table46[[#This Row],[Equipment]])*(Tabel1[Facteur]=$D$8)*(Tabel1[Date]=O$13*1)*(Tabel1[WO No]=Table46[[#This Row],[WO No]])*(Tabel1[Total]))</f>
        <v>0</v>
      </c>
      <c r="P23" s="51" cm="1">
        <f t="array" ref="P23">SUMPRODUCT((Tabel1[Equipment]=Table46[[#This Row],[Equipment]])*(Tabel1[Facteur]=$D$8)*(Tabel1[Date]=P$13*1)*(Tabel1[WO No]=Table46[[#This Row],[WO No]])*(Tabel1[Total]))</f>
        <v>0</v>
      </c>
      <c r="Q23" s="51" cm="1">
        <f t="array" ref="Q23">SUMPRODUCT((Tabel1[Equipment]=Table46[[#This Row],[Equipment]])*(Tabel1[Facteur]=$D$8)*(Tabel1[Date]=Q$13*1)*(Tabel1[WO No]=Table46[[#This Row],[WO No]])*(Tabel1[Total]))</f>
        <v>0</v>
      </c>
      <c r="R23" s="51" cm="1">
        <f t="array" ref="R23">SUMPRODUCT((Tabel1[Equipment]=Table46[[#This Row],[Equipment]])*(Tabel1[Facteur]=$D$8)*(Tabel1[Date]=R$13*1)*(Tabel1[WO No]=Table46[[#This Row],[WO No]])*(Tabel1[Total]))</f>
        <v>0</v>
      </c>
      <c r="S23" s="51" cm="1">
        <f t="array" ref="S23">SUMPRODUCT((Tabel1[Equipment]=Table46[[#This Row],[Equipment]])*(Tabel1[Facteur]=$D$8)*(Tabel1[Date]=S$13*1)*(Tabel1[WO No]=Table46[[#This Row],[WO No]])*(Tabel1[Total]))</f>
        <v>0</v>
      </c>
      <c r="T23" s="51" cm="1">
        <f t="array" ref="T23">SUMPRODUCT((Tabel1[Equipment]=Table46[[#This Row],[Equipment]])*(Tabel1[Facteur]=$D$8)*(Tabel1[Date]=T$13*1)*(Tabel1[WO No]=Table46[[#This Row],[WO No]])*(Tabel1[Total]))</f>
        <v>0</v>
      </c>
      <c r="U23" s="51" cm="1">
        <f t="array" ref="U23">SUMPRODUCT((Tabel1[Equipment]=Table46[[#This Row],[Equipment]])*(Tabel1[Facteur]=$D$8)*(Tabel1[Date]=U$13*1)*(Tabel1[WO No]=Table46[[#This Row],[WO No]])*(Tabel1[Total]))</f>
        <v>0</v>
      </c>
      <c r="V23" s="51" cm="1">
        <f t="array" ref="V23">SUMPRODUCT((Tabel1[Equipment]=Table46[[#This Row],[Equipment]])*(Tabel1[Facteur]=$D$8)*(Tabel1[Date]=V$13*1)*(Tabel1[WO No]=Table46[[#This Row],[WO No]])*(Tabel1[Total]))</f>
        <v>0</v>
      </c>
      <c r="W23" s="51" cm="1">
        <f t="array" ref="W23">SUMPRODUCT((Tabel1[Equipment]=Table46[[#This Row],[Equipment]])*(Tabel1[Facteur]=$D$8)*(Tabel1[Date]=W$13*1)*(Tabel1[WO No]=Table46[[#This Row],[WO No]])*(Tabel1[Total]))</f>
        <v>0</v>
      </c>
      <c r="X23" s="51" cm="1">
        <f t="array" ref="X23">SUMPRODUCT((Tabel1[Equipment]=Table46[[#This Row],[Equipment]])*(Tabel1[Facteur]=$D$8)*(Tabel1[Date]=X$13*1)*(Tabel1[WO No]=Table46[[#This Row],[WO No]])*(Tabel1[Total]))</f>
        <v>0</v>
      </c>
      <c r="Y23" s="51" cm="1">
        <f t="array" ref="Y23">SUMPRODUCT((Tabel1[Equipment]=Table46[[#This Row],[Equipment]])*(Tabel1[Facteur]=$D$8)*(Tabel1[Date]=Y$13*1)*(Tabel1[WO No]=Table46[[#This Row],[WO No]])*(Tabel1[Total]))</f>
        <v>0</v>
      </c>
      <c r="Z23" s="51" cm="1">
        <f t="array" ref="Z23">SUMPRODUCT((Tabel1[Equipment]=Table46[[#This Row],[Equipment]])*(Tabel1[Facteur]=$D$8)*(Tabel1[Date]=Z$13*1)*(Tabel1[WO No]=Table46[[#This Row],[WO No]])*(Tabel1[Total]))</f>
        <v>0</v>
      </c>
      <c r="AA23" s="51" cm="1">
        <f t="array" ref="AA23">SUMPRODUCT((Tabel1[Equipment]=Table46[[#This Row],[Equipment]])*(Tabel1[Facteur]=$D$8)*(Tabel1[Date]=AA$13*1)*(Tabel1[WO No]=Table46[[#This Row],[WO No]])*(Tabel1[Total]))</f>
        <v>0</v>
      </c>
      <c r="AB23" s="51" cm="1">
        <f t="array" ref="AB23">SUMPRODUCT((Tabel1[Equipment]=Table46[[#This Row],[Equipment]])*(Tabel1[Facteur]=$D$8)*(Tabel1[Date]=AB$13*1)*(Tabel1[WO No]=Table46[[#This Row],[WO No]])*(Tabel1[Total]))</f>
        <v>0</v>
      </c>
      <c r="AC23" s="51" cm="1">
        <f t="array" ref="AC23">SUMPRODUCT((Tabel1[Equipment]=Table46[[#This Row],[Equipment]])*(Tabel1[Facteur]=$D$8)*(Tabel1[Date]=AC$13*1)*(Tabel1[WO No]=Table46[[#This Row],[WO No]])*(Tabel1[Total]))</f>
        <v>0</v>
      </c>
      <c r="AD23" s="51" cm="1">
        <f t="array" ref="AD23">SUMPRODUCT((Tabel1[Equipment]=Table46[[#This Row],[Equipment]])*(Tabel1[Facteur]=$D$8)*(Tabel1[Date]=AD$13*1)*(Tabel1[WO No]=Table46[[#This Row],[WO No]])*(Tabel1[Total]))</f>
        <v>0</v>
      </c>
      <c r="AE23" s="51" cm="1">
        <f t="array" ref="AE23">SUMPRODUCT((Tabel1[Equipment]=Table46[[#This Row],[Equipment]])*(Tabel1[Facteur]=$D$8)*(Tabel1[Date]=AE$13*1)*(Tabel1[WO No]=Table46[[#This Row],[WO No]])*(Tabel1[Total]))</f>
        <v>0</v>
      </c>
      <c r="AF23" s="51" cm="1">
        <f t="array" ref="AF23">SUMPRODUCT((Tabel1[Equipment]=Table46[[#This Row],[Equipment]])*(Tabel1[Facteur]=$D$8)*(Tabel1[Date]=AF$13*1)*(Tabel1[WO No]=Table46[[#This Row],[WO No]])*(Tabel1[Total]))</f>
        <v>0</v>
      </c>
      <c r="AG23" s="51" cm="1">
        <f t="array" ref="AG23">SUMPRODUCT((Tabel1[Equipment]=Table46[[#This Row],[Equipment]])*(Tabel1[Facteur]=$D$8)*(Tabel1[Date]=AG$13*1)*(Tabel1[WO No]=Table46[[#This Row],[WO No]])*(Tabel1[Total]))</f>
        <v>0</v>
      </c>
      <c r="AH23" s="51" cm="1">
        <f t="array" ref="AH23">SUMPRODUCT((Tabel1[Equipment]=Table46[[#This Row],[Equipment]])*(Tabel1[Facteur]=$D$8)*(Tabel1[Date]=AH$13*1)*(Tabel1[WO No]=Table46[[#This Row],[WO No]])*(Tabel1[Total]))</f>
        <v>0</v>
      </c>
      <c r="AI23" s="51" cm="1">
        <f t="array" ref="AI23">SUMPRODUCT((Tabel1[Equipment]=Table46[[#This Row],[Equipment]])*(Tabel1[Facteur]=$D$8)*(Tabel1[Date]=AI$13*1)*(Tabel1[WO No]=Table46[[#This Row],[WO No]])*(Tabel1[Total]))</f>
        <v>0</v>
      </c>
      <c r="AJ23" s="51" cm="1">
        <f t="array" ref="AJ23">SUMPRODUCT((Tabel1[Equipment]=Table46[[#This Row],[Equipment]])*(Tabel1[Facteur]=$D$8)*(Tabel1[Date]=AJ$13*1)*(Tabel1[WO No]=Table46[[#This Row],[WO No]])*(Tabel1[Total]))</f>
        <v>0</v>
      </c>
      <c r="AK23" s="51" cm="1">
        <f t="array" ref="AK23">SUMPRODUCT((Tabel1[Equipment]=Table46[[#This Row],[Equipment]])*(Tabel1[Facteur]=$D$8)*(Tabel1[Date]=AK$13*1)*(Tabel1[WO No]=Table46[[#This Row],[WO No]])*(Tabel1[Total]))</f>
        <v>0</v>
      </c>
      <c r="AL23" s="52">
        <f>SUM(Table46[[#This Row],[15/8]:[14/9]])</f>
        <v>13</v>
      </c>
      <c r="AM23" s="53">
        <f>IF(Table46[[#This Row],[Equipment]]="","",VLOOKUP(Table46[[#This Row],[Equipment]],Tableau2[[#All],[Equipment]:[PRICE]],4,0))</f>
        <v>1650</v>
      </c>
      <c r="AN23" s="54">
        <f>Table46[[#This Row],[Total Hrs]]* Table46[[#This Row],[Hourely Rate (MRU)]]</f>
        <v>21450</v>
      </c>
    </row>
    <row r="24" spans="1:45" ht="30" x14ac:dyDescent="0.3">
      <c r="A24" s="50"/>
      <c r="B24" s="29" t="s">
        <v>40</v>
      </c>
      <c r="C24" s="30" t="str">
        <f>IF(Table46[[#This Row],[Equipment]]="", "",INDEX([1]!Tableau2[#Data],MATCH(Table46[[#This Row],[Equipment]],[1]!Tableau2[Equipment],0),MATCH(Table46[[#Headers],[Equipment Type]],[1]!Tableau2[#Headers],0)))</f>
        <v>Loader</v>
      </c>
      <c r="D24" s="31" t="s">
        <v>57</v>
      </c>
      <c r="E24" s="30" t="s">
        <v>56</v>
      </c>
      <c r="F24" s="63">
        <v>5239743</v>
      </c>
      <c r="G24" s="51" cm="1">
        <f t="array" ref="G24">SUMPRODUCT((Tabel1[Equipment]=Table46[[#This Row],[Equipment]])*(Tabel1[Facteur]=$D$8)*(Tabel1[Date]=G$13*1)*(Tabel1[WO No]=Table46[[#This Row],[WO No]])*(Tabel1[Total]))</f>
        <v>8</v>
      </c>
      <c r="H24" s="51" cm="1">
        <f t="array" ref="H24">SUMPRODUCT((Tabel1[Equipment]=Table46[[#This Row],[Equipment]])*(Tabel1[Facteur]=$D$8)*(Tabel1[Date]=H$13*1)*(Tabel1[WO No]=Table46[[#This Row],[WO No]])*(Tabel1[Total]))</f>
        <v>5</v>
      </c>
      <c r="I24" s="51" cm="1">
        <f t="array" ref="I24">SUMPRODUCT((Tabel1[Equipment]=Table46[[#This Row],[Equipment]])*(Tabel1[Facteur]=$D$8)*(Tabel1[Date]=I$13*1)*(Tabel1[WO No]=Table46[[#This Row],[WO No]])*(Tabel1[Total]))</f>
        <v>0</v>
      </c>
      <c r="J24" s="51" cm="1">
        <f t="array" ref="J24">SUMPRODUCT((Tabel1[Equipment]=Table46[[#This Row],[Equipment]])*(Tabel1[Facteur]=$D$8)*(Tabel1[Date]=J$13*1)*(Tabel1[WO No]=Table46[[#This Row],[WO No]])*(Tabel1[Total]))</f>
        <v>0</v>
      </c>
      <c r="K24" s="51" cm="1">
        <f t="array" ref="K24">SUMPRODUCT((Tabel1[Equipment]=Table46[[#This Row],[Equipment]])*(Tabel1[Facteur]=$D$8)*(Tabel1[Date]=K$13*1)*(Tabel1[WO No]=Table46[[#This Row],[WO No]])*(Tabel1[Total]))</f>
        <v>0</v>
      </c>
      <c r="L24" s="51" cm="1">
        <f t="array" ref="L24">SUMPRODUCT((Tabel1[Equipment]=Table46[[#This Row],[Equipment]])*(Tabel1[Facteur]=$D$8)*(Tabel1[Date]=L$13*1)*(Tabel1[WO No]=Table46[[#This Row],[WO No]])*(Tabel1[Total]))</f>
        <v>0</v>
      </c>
      <c r="M24" s="51" cm="1">
        <f t="array" ref="M24">SUMPRODUCT((Tabel1[Equipment]=Table46[[#This Row],[Equipment]])*(Tabel1[Facteur]=$D$8)*(Tabel1[Date]=M$13*1)*(Tabel1[WO No]=Table46[[#This Row],[WO No]])*(Tabel1[Total]))</f>
        <v>0</v>
      </c>
      <c r="N24" s="51" cm="1">
        <f t="array" ref="N24">SUMPRODUCT((Tabel1[Equipment]=Table46[[#This Row],[Equipment]])*(Tabel1[Facteur]=$D$8)*(Tabel1[Date]=N$13*1)*(Tabel1[WO No]=Table46[[#This Row],[WO No]])*(Tabel1[Total]))</f>
        <v>0</v>
      </c>
      <c r="O24" s="51" cm="1">
        <f t="array" ref="O24">SUMPRODUCT((Tabel1[Equipment]=Table46[[#This Row],[Equipment]])*(Tabel1[Facteur]=$D$8)*(Tabel1[Date]=O$13*1)*(Tabel1[WO No]=Table46[[#This Row],[WO No]])*(Tabel1[Total]))</f>
        <v>0</v>
      </c>
      <c r="P24" s="51" cm="1">
        <f t="array" ref="P24">SUMPRODUCT((Tabel1[Equipment]=Table46[[#This Row],[Equipment]])*(Tabel1[Facteur]=$D$8)*(Tabel1[Date]=P$13*1)*(Tabel1[WO No]=Table46[[#This Row],[WO No]])*(Tabel1[Total]))</f>
        <v>0</v>
      </c>
      <c r="Q24" s="51" cm="1">
        <f t="array" ref="Q24">SUMPRODUCT((Tabel1[Equipment]=Table46[[#This Row],[Equipment]])*(Tabel1[Facteur]=$D$8)*(Tabel1[Date]=Q$13*1)*(Tabel1[WO No]=Table46[[#This Row],[WO No]])*(Tabel1[Total]))</f>
        <v>0</v>
      </c>
      <c r="R24" s="51" cm="1">
        <f t="array" ref="R24">SUMPRODUCT((Tabel1[Equipment]=Table46[[#This Row],[Equipment]])*(Tabel1[Facteur]=$D$8)*(Tabel1[Date]=R$13*1)*(Tabel1[WO No]=Table46[[#This Row],[WO No]])*(Tabel1[Total]))</f>
        <v>0</v>
      </c>
      <c r="S24" s="51" cm="1">
        <f t="array" ref="S24">SUMPRODUCT((Tabel1[Equipment]=Table46[[#This Row],[Equipment]])*(Tabel1[Facteur]=$D$8)*(Tabel1[Date]=S$13*1)*(Tabel1[WO No]=Table46[[#This Row],[WO No]])*(Tabel1[Total]))</f>
        <v>0</v>
      </c>
      <c r="T24" s="51" cm="1">
        <f t="array" ref="T24">SUMPRODUCT((Tabel1[Equipment]=Table46[[#This Row],[Equipment]])*(Tabel1[Facteur]=$D$8)*(Tabel1[Date]=T$13*1)*(Tabel1[WO No]=Table46[[#This Row],[WO No]])*(Tabel1[Total]))</f>
        <v>0</v>
      </c>
      <c r="U24" s="51" cm="1">
        <f t="array" ref="U24">SUMPRODUCT((Tabel1[Equipment]=Table46[[#This Row],[Equipment]])*(Tabel1[Facteur]=$D$8)*(Tabel1[Date]=U$13*1)*(Tabel1[WO No]=Table46[[#This Row],[WO No]])*(Tabel1[Total]))</f>
        <v>0</v>
      </c>
      <c r="V24" s="51" cm="1">
        <f t="array" ref="V24">SUMPRODUCT((Tabel1[Equipment]=Table46[[#This Row],[Equipment]])*(Tabel1[Facteur]=$D$8)*(Tabel1[Date]=V$13*1)*(Tabel1[WO No]=Table46[[#This Row],[WO No]])*(Tabel1[Total]))</f>
        <v>0</v>
      </c>
      <c r="W24" s="51" cm="1">
        <f t="array" ref="W24">SUMPRODUCT((Tabel1[Equipment]=Table46[[#This Row],[Equipment]])*(Tabel1[Facteur]=$D$8)*(Tabel1[Date]=W$13*1)*(Tabel1[WO No]=Table46[[#This Row],[WO No]])*(Tabel1[Total]))</f>
        <v>0</v>
      </c>
      <c r="X24" s="51" cm="1">
        <f t="array" ref="X24">SUMPRODUCT((Tabel1[Equipment]=Table46[[#This Row],[Equipment]])*(Tabel1[Facteur]=$D$8)*(Tabel1[Date]=X$13*1)*(Tabel1[WO No]=Table46[[#This Row],[WO No]])*(Tabel1[Total]))</f>
        <v>0</v>
      </c>
      <c r="Y24" s="51" cm="1">
        <f t="array" ref="Y24">SUMPRODUCT((Tabel1[Equipment]=Table46[[#This Row],[Equipment]])*(Tabel1[Facteur]=$D$8)*(Tabel1[Date]=Y$13*1)*(Tabel1[WO No]=Table46[[#This Row],[WO No]])*(Tabel1[Total]))</f>
        <v>0</v>
      </c>
      <c r="Z24" s="51" cm="1">
        <f t="array" ref="Z24">SUMPRODUCT((Tabel1[Equipment]=Table46[[#This Row],[Equipment]])*(Tabel1[Facteur]=$D$8)*(Tabel1[Date]=Z$13*1)*(Tabel1[WO No]=Table46[[#This Row],[WO No]])*(Tabel1[Total]))</f>
        <v>0</v>
      </c>
      <c r="AA24" s="51" cm="1">
        <f t="array" ref="AA24">SUMPRODUCT((Tabel1[Equipment]=Table46[[#This Row],[Equipment]])*(Tabel1[Facteur]=$D$8)*(Tabel1[Date]=AA$13*1)*(Tabel1[WO No]=Table46[[#This Row],[WO No]])*(Tabel1[Total]))</f>
        <v>0</v>
      </c>
      <c r="AB24" s="51" cm="1">
        <f t="array" ref="AB24">SUMPRODUCT((Tabel1[Equipment]=Table46[[#This Row],[Equipment]])*(Tabel1[Facteur]=$D$8)*(Tabel1[Date]=AB$13*1)*(Tabel1[WO No]=Table46[[#This Row],[WO No]])*(Tabel1[Total]))</f>
        <v>0</v>
      </c>
      <c r="AC24" s="51" cm="1">
        <f t="array" ref="AC24">SUMPRODUCT((Tabel1[Equipment]=Table46[[#This Row],[Equipment]])*(Tabel1[Facteur]=$D$8)*(Tabel1[Date]=AC$13*1)*(Tabel1[WO No]=Table46[[#This Row],[WO No]])*(Tabel1[Total]))</f>
        <v>0</v>
      </c>
      <c r="AD24" s="51" cm="1">
        <f t="array" ref="AD24">SUMPRODUCT((Tabel1[Equipment]=Table46[[#This Row],[Equipment]])*(Tabel1[Facteur]=$D$8)*(Tabel1[Date]=AD$13*1)*(Tabel1[WO No]=Table46[[#This Row],[WO No]])*(Tabel1[Total]))</f>
        <v>0</v>
      </c>
      <c r="AE24" s="51" cm="1">
        <f t="array" ref="AE24">SUMPRODUCT((Tabel1[Equipment]=Table46[[#This Row],[Equipment]])*(Tabel1[Facteur]=$D$8)*(Tabel1[Date]=AE$13*1)*(Tabel1[WO No]=Table46[[#This Row],[WO No]])*(Tabel1[Total]))</f>
        <v>0</v>
      </c>
      <c r="AF24" s="51" cm="1">
        <f t="array" ref="AF24">SUMPRODUCT((Tabel1[Equipment]=Table46[[#This Row],[Equipment]])*(Tabel1[Facteur]=$D$8)*(Tabel1[Date]=AF$13*1)*(Tabel1[WO No]=Table46[[#This Row],[WO No]])*(Tabel1[Total]))</f>
        <v>0</v>
      </c>
      <c r="AG24" s="51" cm="1">
        <f t="array" ref="AG24">SUMPRODUCT((Tabel1[Equipment]=Table46[[#This Row],[Equipment]])*(Tabel1[Facteur]=$D$8)*(Tabel1[Date]=AG$13*1)*(Tabel1[WO No]=Table46[[#This Row],[WO No]])*(Tabel1[Total]))</f>
        <v>0</v>
      </c>
      <c r="AH24" s="51" cm="1">
        <f t="array" ref="AH24">SUMPRODUCT((Tabel1[Equipment]=Table46[[#This Row],[Equipment]])*(Tabel1[Facteur]=$D$8)*(Tabel1[Date]=AH$13*1)*(Tabel1[WO No]=Table46[[#This Row],[WO No]])*(Tabel1[Total]))</f>
        <v>0</v>
      </c>
      <c r="AI24" s="51" cm="1">
        <f t="array" ref="AI24">SUMPRODUCT((Tabel1[Equipment]=Table46[[#This Row],[Equipment]])*(Tabel1[Facteur]=$D$8)*(Tabel1[Date]=AI$13*1)*(Tabel1[WO No]=Table46[[#This Row],[WO No]])*(Tabel1[Total]))</f>
        <v>0</v>
      </c>
      <c r="AJ24" s="51" cm="1">
        <f t="array" ref="AJ24">SUMPRODUCT((Tabel1[Equipment]=Table46[[#This Row],[Equipment]])*(Tabel1[Facteur]=$D$8)*(Tabel1[Date]=AJ$13*1)*(Tabel1[WO No]=Table46[[#This Row],[WO No]])*(Tabel1[Total]))</f>
        <v>0</v>
      </c>
      <c r="AK24" s="51" cm="1">
        <f t="array" ref="AK24">SUMPRODUCT((Tabel1[Equipment]=Table46[[#This Row],[Equipment]])*(Tabel1[Facteur]=$D$8)*(Tabel1[Date]=AK$13*1)*(Tabel1[WO No]=Table46[[#This Row],[WO No]])*(Tabel1[Total]))</f>
        <v>0</v>
      </c>
      <c r="AL24" s="52">
        <f>SUM(Table46[[#This Row],[15/8]:[14/9]])</f>
        <v>13</v>
      </c>
      <c r="AM24" s="53">
        <f>IF(Table46[[#This Row],[Equipment]]="","",VLOOKUP(Table46[[#This Row],[Equipment]],Tableau2[[#All],[Equipment]:[PRICE]],4,0))</f>
        <v>1750</v>
      </c>
      <c r="AN24" s="54">
        <f>Table46[[#This Row],[Total Hrs]]* Table46[[#This Row],[Hourely Rate (MRU)]]</f>
        <v>22750</v>
      </c>
    </row>
    <row r="25" spans="1:45" ht="30" x14ac:dyDescent="0.3">
      <c r="A25" s="50"/>
      <c r="B25" s="29" t="s">
        <v>34</v>
      </c>
      <c r="C25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5" s="31" t="s">
        <v>57</v>
      </c>
      <c r="E25" s="30" t="s">
        <v>56</v>
      </c>
      <c r="F25" s="63">
        <v>5246135</v>
      </c>
      <c r="G25" s="51" cm="1">
        <f t="array" ref="G25">SUMPRODUCT((Tabel1[Equipment]=Table46[[#This Row],[Equipment]])*(Tabel1[Facteur]=$D$8)*(Tabel1[Date]=G$13*1)*(Tabel1[WO No]=Table46[[#This Row],[WO No]])*(Tabel1[Total]))</f>
        <v>0</v>
      </c>
      <c r="H25" s="51" cm="1">
        <f t="array" ref="H25">SUMPRODUCT((Tabel1[Equipment]=Table46[[#This Row],[Equipment]])*(Tabel1[Facteur]=$D$8)*(Tabel1[Date]=H$13*1)*(Tabel1[WO No]=Table46[[#This Row],[WO No]])*(Tabel1[Total]))</f>
        <v>0</v>
      </c>
      <c r="I25" s="51" cm="1">
        <f t="array" ref="I25">SUMPRODUCT((Tabel1[Equipment]=Table46[[#This Row],[Equipment]])*(Tabel1[Facteur]=$D$8)*(Tabel1[Date]=I$13*1)*(Tabel1[WO No]=Table46[[#This Row],[WO No]])*(Tabel1[Total]))</f>
        <v>8</v>
      </c>
      <c r="J25" s="51" cm="1">
        <f t="array" ref="J25">SUMPRODUCT((Tabel1[Equipment]=Table46[[#This Row],[Equipment]])*(Tabel1[Facteur]=$D$8)*(Tabel1[Date]=J$13*1)*(Tabel1[WO No]=Table46[[#This Row],[WO No]])*(Tabel1[Total]))</f>
        <v>8</v>
      </c>
      <c r="K25" s="51" cm="1">
        <f t="array" ref="K25">SUMPRODUCT((Tabel1[Equipment]=Table46[[#This Row],[Equipment]])*(Tabel1[Facteur]=$D$8)*(Tabel1[Date]=K$13*1)*(Tabel1[WO No]=Table46[[#This Row],[WO No]])*(Tabel1[Total]))</f>
        <v>8</v>
      </c>
      <c r="L25" s="51" cm="1">
        <f t="array" ref="L25">SUMPRODUCT((Tabel1[Equipment]=Table46[[#This Row],[Equipment]])*(Tabel1[Facteur]=$D$8)*(Tabel1[Date]=L$13*1)*(Tabel1[WO No]=Table46[[#This Row],[WO No]])*(Tabel1[Total]))</f>
        <v>8</v>
      </c>
      <c r="M25" s="51" cm="1">
        <f t="array" ref="M25">SUMPRODUCT((Tabel1[Equipment]=Table46[[#This Row],[Equipment]])*(Tabel1[Facteur]=$D$8)*(Tabel1[Date]=M$13*1)*(Tabel1[WO No]=Table46[[#This Row],[WO No]])*(Tabel1[Total]))</f>
        <v>8</v>
      </c>
      <c r="N25" s="51" cm="1">
        <f t="array" ref="N25">SUMPRODUCT((Tabel1[Equipment]=Table46[[#This Row],[Equipment]])*(Tabel1[Facteur]=$D$8)*(Tabel1[Date]=N$13*1)*(Tabel1[WO No]=Table46[[#This Row],[WO No]])*(Tabel1[Total]))</f>
        <v>8</v>
      </c>
      <c r="O25" s="51" cm="1">
        <f t="array" ref="O25">SUMPRODUCT((Tabel1[Equipment]=Table46[[#This Row],[Equipment]])*(Tabel1[Facteur]=$D$8)*(Tabel1[Date]=O$13*1)*(Tabel1[WO No]=Table46[[#This Row],[WO No]])*(Tabel1[Total]))</f>
        <v>5</v>
      </c>
      <c r="P25" s="51" cm="1">
        <f t="array" ref="P25">SUMPRODUCT((Tabel1[Equipment]=Table46[[#This Row],[Equipment]])*(Tabel1[Facteur]=$D$8)*(Tabel1[Date]=P$13*1)*(Tabel1[WO No]=Table46[[#This Row],[WO No]])*(Tabel1[Total]))</f>
        <v>0</v>
      </c>
      <c r="Q25" s="51" cm="1">
        <f t="array" ref="Q25">SUMPRODUCT((Tabel1[Equipment]=Table46[[#This Row],[Equipment]])*(Tabel1[Facteur]=$D$8)*(Tabel1[Date]=Q$13*1)*(Tabel1[WO No]=Table46[[#This Row],[WO No]])*(Tabel1[Total]))</f>
        <v>0</v>
      </c>
      <c r="R25" s="51" cm="1">
        <f t="array" ref="R25">SUMPRODUCT((Tabel1[Equipment]=Table46[[#This Row],[Equipment]])*(Tabel1[Facteur]=$D$8)*(Tabel1[Date]=R$13*1)*(Tabel1[WO No]=Table46[[#This Row],[WO No]])*(Tabel1[Total]))</f>
        <v>0</v>
      </c>
      <c r="S25" s="51" cm="1">
        <f t="array" ref="S25">SUMPRODUCT((Tabel1[Equipment]=Table46[[#This Row],[Equipment]])*(Tabel1[Facteur]=$D$8)*(Tabel1[Date]=S$13*1)*(Tabel1[WO No]=Table46[[#This Row],[WO No]])*(Tabel1[Total]))</f>
        <v>0</v>
      </c>
      <c r="T25" s="51" cm="1">
        <f t="array" ref="T25">SUMPRODUCT((Tabel1[Equipment]=Table46[[#This Row],[Equipment]])*(Tabel1[Facteur]=$D$8)*(Tabel1[Date]=T$13*1)*(Tabel1[WO No]=Table46[[#This Row],[WO No]])*(Tabel1[Total]))</f>
        <v>0</v>
      </c>
      <c r="U25" s="51" cm="1">
        <f t="array" ref="U25">SUMPRODUCT((Tabel1[Equipment]=Table46[[#This Row],[Equipment]])*(Tabel1[Facteur]=$D$8)*(Tabel1[Date]=U$13*1)*(Tabel1[WO No]=Table46[[#This Row],[WO No]])*(Tabel1[Total]))</f>
        <v>0</v>
      </c>
      <c r="V25" s="51" cm="1">
        <f t="array" ref="V25">SUMPRODUCT((Tabel1[Equipment]=Table46[[#This Row],[Equipment]])*(Tabel1[Facteur]=$D$8)*(Tabel1[Date]=V$13*1)*(Tabel1[WO No]=Table46[[#This Row],[WO No]])*(Tabel1[Total]))</f>
        <v>0</v>
      </c>
      <c r="W25" s="51" cm="1">
        <f t="array" ref="W25">SUMPRODUCT((Tabel1[Equipment]=Table46[[#This Row],[Equipment]])*(Tabel1[Facteur]=$D$8)*(Tabel1[Date]=W$13*1)*(Tabel1[WO No]=Table46[[#This Row],[WO No]])*(Tabel1[Total]))</f>
        <v>0</v>
      </c>
      <c r="X25" s="51" cm="1">
        <f t="array" ref="X25">SUMPRODUCT((Tabel1[Equipment]=Table46[[#This Row],[Equipment]])*(Tabel1[Facteur]=$D$8)*(Tabel1[Date]=X$13*1)*(Tabel1[WO No]=Table46[[#This Row],[WO No]])*(Tabel1[Total]))</f>
        <v>0</v>
      </c>
      <c r="Y25" s="51" cm="1">
        <f t="array" ref="Y25">SUMPRODUCT((Tabel1[Equipment]=Table46[[#This Row],[Equipment]])*(Tabel1[Facteur]=$D$8)*(Tabel1[Date]=Y$13*1)*(Tabel1[WO No]=Table46[[#This Row],[WO No]])*(Tabel1[Total]))</f>
        <v>0</v>
      </c>
      <c r="Z25" s="51" cm="1">
        <f t="array" ref="Z25">SUMPRODUCT((Tabel1[Equipment]=Table46[[#This Row],[Equipment]])*(Tabel1[Facteur]=$D$8)*(Tabel1[Date]=Z$13*1)*(Tabel1[WO No]=Table46[[#This Row],[WO No]])*(Tabel1[Total]))</f>
        <v>0</v>
      </c>
      <c r="AA25" s="51" cm="1">
        <f t="array" ref="AA25">SUMPRODUCT((Tabel1[Equipment]=Table46[[#This Row],[Equipment]])*(Tabel1[Facteur]=$D$8)*(Tabel1[Date]=AA$13*1)*(Tabel1[WO No]=Table46[[#This Row],[WO No]])*(Tabel1[Total]))</f>
        <v>0</v>
      </c>
      <c r="AB25" s="51" cm="1">
        <f t="array" ref="AB25">SUMPRODUCT((Tabel1[Equipment]=Table46[[#This Row],[Equipment]])*(Tabel1[Facteur]=$D$8)*(Tabel1[Date]=AB$13*1)*(Tabel1[WO No]=Table46[[#This Row],[WO No]])*(Tabel1[Total]))</f>
        <v>0</v>
      </c>
      <c r="AC25" s="51" cm="1">
        <f t="array" ref="AC25">SUMPRODUCT((Tabel1[Equipment]=Table46[[#This Row],[Equipment]])*(Tabel1[Facteur]=$D$8)*(Tabel1[Date]=AC$13*1)*(Tabel1[WO No]=Table46[[#This Row],[WO No]])*(Tabel1[Total]))</f>
        <v>0</v>
      </c>
      <c r="AD25" s="51" cm="1">
        <f t="array" ref="AD25">SUMPRODUCT((Tabel1[Equipment]=Table46[[#This Row],[Equipment]])*(Tabel1[Facteur]=$D$8)*(Tabel1[Date]=AD$13*1)*(Tabel1[WO No]=Table46[[#This Row],[WO No]])*(Tabel1[Total]))</f>
        <v>0</v>
      </c>
      <c r="AE25" s="51" cm="1">
        <f t="array" ref="AE25">SUMPRODUCT((Tabel1[Equipment]=Table46[[#This Row],[Equipment]])*(Tabel1[Facteur]=$D$8)*(Tabel1[Date]=AE$13*1)*(Tabel1[WO No]=Table46[[#This Row],[WO No]])*(Tabel1[Total]))</f>
        <v>0</v>
      </c>
      <c r="AF25" s="51" cm="1">
        <f t="array" ref="AF25">SUMPRODUCT((Tabel1[Equipment]=Table46[[#This Row],[Equipment]])*(Tabel1[Facteur]=$D$8)*(Tabel1[Date]=AF$13*1)*(Tabel1[WO No]=Table46[[#This Row],[WO No]])*(Tabel1[Total]))</f>
        <v>0</v>
      </c>
      <c r="AG25" s="51" cm="1">
        <f t="array" ref="AG25">SUMPRODUCT((Tabel1[Equipment]=Table46[[#This Row],[Equipment]])*(Tabel1[Facteur]=$D$8)*(Tabel1[Date]=AG$13*1)*(Tabel1[WO No]=Table46[[#This Row],[WO No]])*(Tabel1[Total]))</f>
        <v>0</v>
      </c>
      <c r="AH25" s="51" cm="1">
        <f t="array" ref="AH25">SUMPRODUCT((Tabel1[Equipment]=Table46[[#This Row],[Equipment]])*(Tabel1[Facteur]=$D$8)*(Tabel1[Date]=AH$13*1)*(Tabel1[WO No]=Table46[[#This Row],[WO No]])*(Tabel1[Total]))</f>
        <v>0</v>
      </c>
      <c r="AI25" s="51" cm="1">
        <f t="array" ref="AI25">SUMPRODUCT((Tabel1[Equipment]=Table46[[#This Row],[Equipment]])*(Tabel1[Facteur]=$D$8)*(Tabel1[Date]=AI$13*1)*(Tabel1[WO No]=Table46[[#This Row],[WO No]])*(Tabel1[Total]))</f>
        <v>0</v>
      </c>
      <c r="AJ25" s="51" cm="1">
        <f t="array" ref="AJ25">SUMPRODUCT((Tabel1[Equipment]=Table46[[#This Row],[Equipment]])*(Tabel1[Facteur]=$D$8)*(Tabel1[Date]=AJ$13*1)*(Tabel1[WO No]=Table46[[#This Row],[WO No]])*(Tabel1[Total]))</f>
        <v>0</v>
      </c>
      <c r="AK25" s="51" cm="1">
        <f t="array" ref="AK25">SUMPRODUCT((Tabel1[Equipment]=Table46[[#This Row],[Equipment]])*(Tabel1[Facteur]=$D$8)*(Tabel1[Date]=AK$13*1)*(Tabel1[WO No]=Table46[[#This Row],[WO No]])*(Tabel1[Total]))</f>
        <v>0</v>
      </c>
      <c r="AL25" s="52">
        <f>SUM(Table46[[#This Row],[15/8]:[14/9]])</f>
        <v>53</v>
      </c>
      <c r="AM25" s="53">
        <f>IF(Table46[[#This Row],[Equipment]]="","",VLOOKUP(Table46[[#This Row],[Equipment]],Tableau2[[#All],[Equipment]:[PRICE]],4,0))</f>
        <v>970</v>
      </c>
      <c r="AN25" s="54">
        <f>Table46[[#This Row],[Total Hrs]]* Table46[[#This Row],[Hourely Rate (MRU)]]</f>
        <v>51410</v>
      </c>
    </row>
    <row r="26" spans="1:45" ht="30" x14ac:dyDescent="0.3">
      <c r="A26" s="50"/>
      <c r="B26" s="29" t="s">
        <v>35</v>
      </c>
      <c r="C26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6" s="31" t="s">
        <v>57</v>
      </c>
      <c r="E26" s="30" t="s">
        <v>56</v>
      </c>
      <c r="F26" s="63">
        <v>5246135</v>
      </c>
      <c r="G26" s="51" cm="1">
        <f t="array" ref="G26">SUMPRODUCT((Tabel1[Equipment]=Table46[[#This Row],[Equipment]])*(Tabel1[Facteur]=$D$8)*(Tabel1[Date]=G$13*1)*(Tabel1[WO No]=Table46[[#This Row],[WO No]])*(Tabel1[Total]))</f>
        <v>0</v>
      </c>
      <c r="H26" s="51" cm="1">
        <f t="array" ref="H26">SUMPRODUCT((Tabel1[Equipment]=Table46[[#This Row],[Equipment]])*(Tabel1[Facteur]=$D$8)*(Tabel1[Date]=H$13*1)*(Tabel1[WO No]=Table46[[#This Row],[WO No]])*(Tabel1[Total]))</f>
        <v>0</v>
      </c>
      <c r="I26" s="51" cm="1">
        <f t="array" ref="I26">SUMPRODUCT((Tabel1[Equipment]=Table46[[#This Row],[Equipment]])*(Tabel1[Facteur]=$D$8)*(Tabel1[Date]=I$13*1)*(Tabel1[WO No]=Table46[[#This Row],[WO No]])*(Tabel1[Total]))</f>
        <v>8</v>
      </c>
      <c r="J26" s="51" cm="1">
        <f t="array" ref="J26">SUMPRODUCT((Tabel1[Equipment]=Table46[[#This Row],[Equipment]])*(Tabel1[Facteur]=$D$8)*(Tabel1[Date]=J$13*1)*(Tabel1[WO No]=Table46[[#This Row],[WO No]])*(Tabel1[Total]))</f>
        <v>8</v>
      </c>
      <c r="K26" s="51" cm="1">
        <f t="array" ref="K26">SUMPRODUCT((Tabel1[Equipment]=Table46[[#This Row],[Equipment]])*(Tabel1[Facteur]=$D$8)*(Tabel1[Date]=K$13*1)*(Tabel1[WO No]=Table46[[#This Row],[WO No]])*(Tabel1[Total]))</f>
        <v>8</v>
      </c>
      <c r="L26" s="51" cm="1">
        <f t="array" ref="L26">SUMPRODUCT((Tabel1[Equipment]=Table46[[#This Row],[Equipment]])*(Tabel1[Facteur]=$D$8)*(Tabel1[Date]=L$13*1)*(Tabel1[WO No]=Table46[[#This Row],[WO No]])*(Tabel1[Total]))</f>
        <v>8</v>
      </c>
      <c r="M26" s="51" cm="1">
        <f t="array" ref="M26">SUMPRODUCT((Tabel1[Equipment]=Table46[[#This Row],[Equipment]])*(Tabel1[Facteur]=$D$8)*(Tabel1[Date]=M$13*1)*(Tabel1[WO No]=Table46[[#This Row],[WO No]])*(Tabel1[Total]))</f>
        <v>8</v>
      </c>
      <c r="N26" s="51" cm="1">
        <f t="array" ref="N26">SUMPRODUCT((Tabel1[Equipment]=Table46[[#This Row],[Equipment]])*(Tabel1[Facteur]=$D$8)*(Tabel1[Date]=N$13*1)*(Tabel1[WO No]=Table46[[#This Row],[WO No]])*(Tabel1[Total]))</f>
        <v>8</v>
      </c>
      <c r="O26" s="51" cm="1">
        <f t="array" ref="O26">SUMPRODUCT((Tabel1[Equipment]=Table46[[#This Row],[Equipment]])*(Tabel1[Facteur]=$D$8)*(Tabel1[Date]=O$13*1)*(Tabel1[WO No]=Table46[[#This Row],[WO No]])*(Tabel1[Total]))</f>
        <v>5</v>
      </c>
      <c r="P26" s="51" cm="1">
        <f t="array" ref="P26">SUMPRODUCT((Tabel1[Equipment]=Table46[[#This Row],[Equipment]])*(Tabel1[Facteur]=$D$8)*(Tabel1[Date]=P$13*1)*(Tabel1[WO No]=Table46[[#This Row],[WO No]])*(Tabel1[Total]))</f>
        <v>0</v>
      </c>
      <c r="Q26" s="51" cm="1">
        <f t="array" ref="Q26">SUMPRODUCT((Tabel1[Equipment]=Table46[[#This Row],[Equipment]])*(Tabel1[Facteur]=$D$8)*(Tabel1[Date]=Q$13*1)*(Tabel1[WO No]=Table46[[#This Row],[WO No]])*(Tabel1[Total]))</f>
        <v>0</v>
      </c>
      <c r="R26" s="51" cm="1">
        <f t="array" ref="R26">SUMPRODUCT((Tabel1[Equipment]=Table46[[#This Row],[Equipment]])*(Tabel1[Facteur]=$D$8)*(Tabel1[Date]=R$13*1)*(Tabel1[WO No]=Table46[[#This Row],[WO No]])*(Tabel1[Total]))</f>
        <v>0</v>
      </c>
      <c r="S26" s="51" cm="1">
        <f t="array" ref="S26">SUMPRODUCT((Tabel1[Equipment]=Table46[[#This Row],[Equipment]])*(Tabel1[Facteur]=$D$8)*(Tabel1[Date]=S$13*1)*(Tabel1[WO No]=Table46[[#This Row],[WO No]])*(Tabel1[Total]))</f>
        <v>0</v>
      </c>
      <c r="T26" s="51" cm="1">
        <f t="array" ref="T26">SUMPRODUCT((Tabel1[Equipment]=Table46[[#This Row],[Equipment]])*(Tabel1[Facteur]=$D$8)*(Tabel1[Date]=T$13*1)*(Tabel1[WO No]=Table46[[#This Row],[WO No]])*(Tabel1[Total]))</f>
        <v>0</v>
      </c>
      <c r="U26" s="51" cm="1">
        <f t="array" ref="U26">SUMPRODUCT((Tabel1[Equipment]=Table46[[#This Row],[Equipment]])*(Tabel1[Facteur]=$D$8)*(Tabel1[Date]=U$13*1)*(Tabel1[WO No]=Table46[[#This Row],[WO No]])*(Tabel1[Total]))</f>
        <v>0</v>
      </c>
      <c r="V26" s="51" cm="1">
        <f t="array" ref="V26">SUMPRODUCT((Tabel1[Equipment]=Table46[[#This Row],[Equipment]])*(Tabel1[Facteur]=$D$8)*(Tabel1[Date]=V$13*1)*(Tabel1[WO No]=Table46[[#This Row],[WO No]])*(Tabel1[Total]))</f>
        <v>0</v>
      </c>
      <c r="W26" s="51" cm="1">
        <f t="array" ref="W26">SUMPRODUCT((Tabel1[Equipment]=Table46[[#This Row],[Equipment]])*(Tabel1[Facteur]=$D$8)*(Tabel1[Date]=W$13*1)*(Tabel1[WO No]=Table46[[#This Row],[WO No]])*(Tabel1[Total]))</f>
        <v>0</v>
      </c>
      <c r="X26" s="51" cm="1">
        <f t="array" ref="X26">SUMPRODUCT((Tabel1[Equipment]=Table46[[#This Row],[Equipment]])*(Tabel1[Facteur]=$D$8)*(Tabel1[Date]=X$13*1)*(Tabel1[WO No]=Table46[[#This Row],[WO No]])*(Tabel1[Total]))</f>
        <v>0</v>
      </c>
      <c r="Y26" s="51" cm="1">
        <f t="array" ref="Y26">SUMPRODUCT((Tabel1[Equipment]=Table46[[#This Row],[Equipment]])*(Tabel1[Facteur]=$D$8)*(Tabel1[Date]=Y$13*1)*(Tabel1[WO No]=Table46[[#This Row],[WO No]])*(Tabel1[Total]))</f>
        <v>0</v>
      </c>
      <c r="Z26" s="51" cm="1">
        <f t="array" ref="Z26">SUMPRODUCT((Tabel1[Equipment]=Table46[[#This Row],[Equipment]])*(Tabel1[Facteur]=$D$8)*(Tabel1[Date]=Z$13*1)*(Tabel1[WO No]=Table46[[#This Row],[WO No]])*(Tabel1[Total]))</f>
        <v>0</v>
      </c>
      <c r="AA26" s="51" cm="1">
        <f t="array" ref="AA26">SUMPRODUCT((Tabel1[Equipment]=Table46[[#This Row],[Equipment]])*(Tabel1[Facteur]=$D$8)*(Tabel1[Date]=AA$13*1)*(Tabel1[WO No]=Table46[[#This Row],[WO No]])*(Tabel1[Total]))</f>
        <v>0</v>
      </c>
      <c r="AB26" s="51" cm="1">
        <f t="array" ref="AB26">SUMPRODUCT((Tabel1[Equipment]=Table46[[#This Row],[Equipment]])*(Tabel1[Facteur]=$D$8)*(Tabel1[Date]=AB$13*1)*(Tabel1[WO No]=Table46[[#This Row],[WO No]])*(Tabel1[Total]))</f>
        <v>0</v>
      </c>
      <c r="AC26" s="51" cm="1">
        <f t="array" ref="AC26">SUMPRODUCT((Tabel1[Equipment]=Table46[[#This Row],[Equipment]])*(Tabel1[Facteur]=$D$8)*(Tabel1[Date]=AC$13*1)*(Tabel1[WO No]=Table46[[#This Row],[WO No]])*(Tabel1[Total]))</f>
        <v>0</v>
      </c>
      <c r="AD26" s="51" cm="1">
        <f t="array" ref="AD26">SUMPRODUCT((Tabel1[Equipment]=Table46[[#This Row],[Equipment]])*(Tabel1[Facteur]=$D$8)*(Tabel1[Date]=AD$13*1)*(Tabel1[WO No]=Table46[[#This Row],[WO No]])*(Tabel1[Total]))</f>
        <v>0</v>
      </c>
      <c r="AE26" s="51" cm="1">
        <f t="array" ref="AE26">SUMPRODUCT((Tabel1[Equipment]=Table46[[#This Row],[Equipment]])*(Tabel1[Facteur]=$D$8)*(Tabel1[Date]=AE$13*1)*(Tabel1[WO No]=Table46[[#This Row],[WO No]])*(Tabel1[Total]))</f>
        <v>0</v>
      </c>
      <c r="AF26" s="51" cm="1">
        <f t="array" ref="AF26">SUMPRODUCT((Tabel1[Equipment]=Table46[[#This Row],[Equipment]])*(Tabel1[Facteur]=$D$8)*(Tabel1[Date]=AF$13*1)*(Tabel1[WO No]=Table46[[#This Row],[WO No]])*(Tabel1[Total]))</f>
        <v>0</v>
      </c>
      <c r="AG26" s="51" cm="1">
        <f t="array" ref="AG26">SUMPRODUCT((Tabel1[Equipment]=Table46[[#This Row],[Equipment]])*(Tabel1[Facteur]=$D$8)*(Tabel1[Date]=AG$13*1)*(Tabel1[WO No]=Table46[[#This Row],[WO No]])*(Tabel1[Total]))</f>
        <v>0</v>
      </c>
      <c r="AH26" s="51" cm="1">
        <f t="array" ref="AH26">SUMPRODUCT((Tabel1[Equipment]=Table46[[#This Row],[Equipment]])*(Tabel1[Facteur]=$D$8)*(Tabel1[Date]=AH$13*1)*(Tabel1[WO No]=Table46[[#This Row],[WO No]])*(Tabel1[Total]))</f>
        <v>0</v>
      </c>
      <c r="AI26" s="51" cm="1">
        <f t="array" ref="AI26">SUMPRODUCT((Tabel1[Equipment]=Table46[[#This Row],[Equipment]])*(Tabel1[Facteur]=$D$8)*(Tabel1[Date]=AI$13*1)*(Tabel1[WO No]=Table46[[#This Row],[WO No]])*(Tabel1[Total]))</f>
        <v>0</v>
      </c>
      <c r="AJ26" s="51" cm="1">
        <f t="array" ref="AJ26">SUMPRODUCT((Tabel1[Equipment]=Table46[[#This Row],[Equipment]])*(Tabel1[Facteur]=$D$8)*(Tabel1[Date]=AJ$13*1)*(Tabel1[WO No]=Table46[[#This Row],[WO No]])*(Tabel1[Total]))</f>
        <v>0</v>
      </c>
      <c r="AK26" s="51" cm="1">
        <f t="array" ref="AK26">SUMPRODUCT((Tabel1[Equipment]=Table46[[#This Row],[Equipment]])*(Tabel1[Facteur]=$D$8)*(Tabel1[Date]=AK$13*1)*(Tabel1[WO No]=Table46[[#This Row],[WO No]])*(Tabel1[Total]))</f>
        <v>0</v>
      </c>
      <c r="AL26" s="52">
        <f>SUM(Table46[[#This Row],[15/8]:[14/9]])</f>
        <v>53</v>
      </c>
      <c r="AM26" s="53">
        <f>IF(Table46[[#This Row],[Equipment]]="","",VLOOKUP(Table46[[#This Row],[Equipment]],Tableau2[[#All],[Equipment]:[PRICE]],4,0))</f>
        <v>970</v>
      </c>
      <c r="AN26" s="54">
        <f>Table46[[#This Row],[Total Hrs]]* Table46[[#This Row],[Hourely Rate (MRU)]]</f>
        <v>51410</v>
      </c>
    </row>
    <row r="27" spans="1:45" ht="30" x14ac:dyDescent="0.3">
      <c r="A27" s="50"/>
      <c r="B27" s="29" t="s">
        <v>36</v>
      </c>
      <c r="C27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7" s="31" t="s">
        <v>57</v>
      </c>
      <c r="E27" s="30" t="s">
        <v>56</v>
      </c>
      <c r="F27" s="63">
        <v>5246135</v>
      </c>
      <c r="G27" s="51" cm="1">
        <f t="array" ref="G27">SUMPRODUCT((Tabel1[Equipment]=Table46[[#This Row],[Equipment]])*(Tabel1[Facteur]=$D$8)*(Tabel1[Date]=G$13*1)*(Tabel1[WO No]=Table46[[#This Row],[WO No]])*(Tabel1[Total]))</f>
        <v>0</v>
      </c>
      <c r="H27" s="51" cm="1">
        <f t="array" ref="H27">SUMPRODUCT((Tabel1[Equipment]=Table46[[#This Row],[Equipment]])*(Tabel1[Facteur]=$D$8)*(Tabel1[Date]=H$13*1)*(Tabel1[WO No]=Table46[[#This Row],[WO No]])*(Tabel1[Total]))</f>
        <v>0</v>
      </c>
      <c r="I27" s="51" cm="1">
        <f t="array" ref="I27">SUMPRODUCT((Tabel1[Equipment]=Table46[[#This Row],[Equipment]])*(Tabel1[Facteur]=$D$8)*(Tabel1[Date]=I$13*1)*(Tabel1[WO No]=Table46[[#This Row],[WO No]])*(Tabel1[Total]))</f>
        <v>8</v>
      </c>
      <c r="J27" s="51" cm="1">
        <f t="array" ref="J27">SUMPRODUCT((Tabel1[Equipment]=Table46[[#This Row],[Equipment]])*(Tabel1[Facteur]=$D$8)*(Tabel1[Date]=J$13*1)*(Tabel1[WO No]=Table46[[#This Row],[WO No]])*(Tabel1[Total]))</f>
        <v>8</v>
      </c>
      <c r="K27" s="51" cm="1">
        <f t="array" ref="K27">SUMPRODUCT((Tabel1[Equipment]=Table46[[#This Row],[Equipment]])*(Tabel1[Facteur]=$D$8)*(Tabel1[Date]=K$13*1)*(Tabel1[WO No]=Table46[[#This Row],[WO No]])*(Tabel1[Total]))</f>
        <v>8</v>
      </c>
      <c r="L27" s="51" cm="1">
        <f t="array" ref="L27">SUMPRODUCT((Tabel1[Equipment]=Table46[[#This Row],[Equipment]])*(Tabel1[Facteur]=$D$8)*(Tabel1[Date]=L$13*1)*(Tabel1[WO No]=Table46[[#This Row],[WO No]])*(Tabel1[Total]))</f>
        <v>8</v>
      </c>
      <c r="M27" s="51" cm="1">
        <f t="array" ref="M27">SUMPRODUCT((Tabel1[Equipment]=Table46[[#This Row],[Equipment]])*(Tabel1[Facteur]=$D$8)*(Tabel1[Date]=M$13*1)*(Tabel1[WO No]=Table46[[#This Row],[WO No]])*(Tabel1[Total]))</f>
        <v>8</v>
      </c>
      <c r="N27" s="51" cm="1">
        <f t="array" ref="N27">SUMPRODUCT((Tabel1[Equipment]=Table46[[#This Row],[Equipment]])*(Tabel1[Facteur]=$D$8)*(Tabel1[Date]=N$13*1)*(Tabel1[WO No]=Table46[[#This Row],[WO No]])*(Tabel1[Total]))</f>
        <v>8</v>
      </c>
      <c r="O27" s="51" cm="1">
        <f t="array" ref="O27">SUMPRODUCT((Tabel1[Equipment]=Table46[[#This Row],[Equipment]])*(Tabel1[Facteur]=$D$8)*(Tabel1[Date]=O$13*1)*(Tabel1[WO No]=Table46[[#This Row],[WO No]])*(Tabel1[Total]))</f>
        <v>5</v>
      </c>
      <c r="P27" s="51" cm="1">
        <f t="array" ref="P27">SUMPRODUCT((Tabel1[Equipment]=Table46[[#This Row],[Equipment]])*(Tabel1[Facteur]=$D$8)*(Tabel1[Date]=P$13*1)*(Tabel1[WO No]=Table46[[#This Row],[WO No]])*(Tabel1[Total]))</f>
        <v>0</v>
      </c>
      <c r="Q27" s="51" cm="1">
        <f t="array" ref="Q27">SUMPRODUCT((Tabel1[Equipment]=Table46[[#This Row],[Equipment]])*(Tabel1[Facteur]=$D$8)*(Tabel1[Date]=Q$13*1)*(Tabel1[WO No]=Table46[[#This Row],[WO No]])*(Tabel1[Total]))</f>
        <v>0</v>
      </c>
      <c r="R27" s="51" cm="1">
        <f t="array" ref="R27">SUMPRODUCT((Tabel1[Equipment]=Table46[[#This Row],[Equipment]])*(Tabel1[Facteur]=$D$8)*(Tabel1[Date]=R$13*1)*(Tabel1[WO No]=Table46[[#This Row],[WO No]])*(Tabel1[Total]))</f>
        <v>0</v>
      </c>
      <c r="S27" s="51" cm="1">
        <f t="array" ref="S27">SUMPRODUCT((Tabel1[Equipment]=Table46[[#This Row],[Equipment]])*(Tabel1[Facteur]=$D$8)*(Tabel1[Date]=S$13*1)*(Tabel1[WO No]=Table46[[#This Row],[WO No]])*(Tabel1[Total]))</f>
        <v>0</v>
      </c>
      <c r="T27" s="51" cm="1">
        <f t="array" ref="T27">SUMPRODUCT((Tabel1[Equipment]=Table46[[#This Row],[Equipment]])*(Tabel1[Facteur]=$D$8)*(Tabel1[Date]=T$13*1)*(Tabel1[WO No]=Table46[[#This Row],[WO No]])*(Tabel1[Total]))</f>
        <v>0</v>
      </c>
      <c r="U27" s="51" cm="1">
        <f t="array" ref="U27">SUMPRODUCT((Tabel1[Equipment]=Table46[[#This Row],[Equipment]])*(Tabel1[Facteur]=$D$8)*(Tabel1[Date]=U$13*1)*(Tabel1[WO No]=Table46[[#This Row],[WO No]])*(Tabel1[Total]))</f>
        <v>0</v>
      </c>
      <c r="V27" s="51" cm="1">
        <f t="array" ref="V27">SUMPRODUCT((Tabel1[Equipment]=Table46[[#This Row],[Equipment]])*(Tabel1[Facteur]=$D$8)*(Tabel1[Date]=V$13*1)*(Tabel1[WO No]=Table46[[#This Row],[WO No]])*(Tabel1[Total]))</f>
        <v>0</v>
      </c>
      <c r="W27" s="51" cm="1">
        <f t="array" ref="W27">SUMPRODUCT((Tabel1[Equipment]=Table46[[#This Row],[Equipment]])*(Tabel1[Facteur]=$D$8)*(Tabel1[Date]=W$13*1)*(Tabel1[WO No]=Table46[[#This Row],[WO No]])*(Tabel1[Total]))</f>
        <v>0</v>
      </c>
      <c r="X27" s="51" cm="1">
        <f t="array" ref="X27">SUMPRODUCT((Tabel1[Equipment]=Table46[[#This Row],[Equipment]])*(Tabel1[Facteur]=$D$8)*(Tabel1[Date]=X$13*1)*(Tabel1[WO No]=Table46[[#This Row],[WO No]])*(Tabel1[Total]))</f>
        <v>0</v>
      </c>
      <c r="Y27" s="51" cm="1">
        <f t="array" ref="Y27">SUMPRODUCT((Tabel1[Equipment]=Table46[[#This Row],[Equipment]])*(Tabel1[Facteur]=$D$8)*(Tabel1[Date]=Y$13*1)*(Tabel1[WO No]=Table46[[#This Row],[WO No]])*(Tabel1[Total]))</f>
        <v>0</v>
      </c>
      <c r="Z27" s="51" cm="1">
        <f t="array" ref="Z27">SUMPRODUCT((Tabel1[Equipment]=Table46[[#This Row],[Equipment]])*(Tabel1[Facteur]=$D$8)*(Tabel1[Date]=Z$13*1)*(Tabel1[WO No]=Table46[[#This Row],[WO No]])*(Tabel1[Total]))</f>
        <v>0</v>
      </c>
      <c r="AA27" s="51" cm="1">
        <f t="array" ref="AA27">SUMPRODUCT((Tabel1[Equipment]=Table46[[#This Row],[Equipment]])*(Tabel1[Facteur]=$D$8)*(Tabel1[Date]=AA$13*1)*(Tabel1[WO No]=Table46[[#This Row],[WO No]])*(Tabel1[Total]))</f>
        <v>0</v>
      </c>
      <c r="AB27" s="51" cm="1">
        <f t="array" ref="AB27">SUMPRODUCT((Tabel1[Equipment]=Table46[[#This Row],[Equipment]])*(Tabel1[Facteur]=$D$8)*(Tabel1[Date]=AB$13*1)*(Tabel1[WO No]=Table46[[#This Row],[WO No]])*(Tabel1[Total]))</f>
        <v>0</v>
      </c>
      <c r="AC27" s="51" cm="1">
        <f t="array" ref="AC27">SUMPRODUCT((Tabel1[Equipment]=Table46[[#This Row],[Equipment]])*(Tabel1[Facteur]=$D$8)*(Tabel1[Date]=AC$13*1)*(Tabel1[WO No]=Table46[[#This Row],[WO No]])*(Tabel1[Total]))</f>
        <v>0</v>
      </c>
      <c r="AD27" s="51" cm="1">
        <f t="array" ref="AD27">SUMPRODUCT((Tabel1[Equipment]=Table46[[#This Row],[Equipment]])*(Tabel1[Facteur]=$D$8)*(Tabel1[Date]=AD$13*1)*(Tabel1[WO No]=Table46[[#This Row],[WO No]])*(Tabel1[Total]))</f>
        <v>0</v>
      </c>
      <c r="AE27" s="51" cm="1">
        <f t="array" ref="AE27">SUMPRODUCT((Tabel1[Equipment]=Table46[[#This Row],[Equipment]])*(Tabel1[Facteur]=$D$8)*(Tabel1[Date]=AE$13*1)*(Tabel1[WO No]=Table46[[#This Row],[WO No]])*(Tabel1[Total]))</f>
        <v>0</v>
      </c>
      <c r="AF27" s="51" cm="1">
        <f t="array" ref="AF27">SUMPRODUCT((Tabel1[Equipment]=Table46[[#This Row],[Equipment]])*(Tabel1[Facteur]=$D$8)*(Tabel1[Date]=AF$13*1)*(Tabel1[WO No]=Table46[[#This Row],[WO No]])*(Tabel1[Total]))</f>
        <v>0</v>
      </c>
      <c r="AG27" s="51" cm="1">
        <f t="array" ref="AG27">SUMPRODUCT((Tabel1[Equipment]=Table46[[#This Row],[Equipment]])*(Tabel1[Facteur]=$D$8)*(Tabel1[Date]=AG$13*1)*(Tabel1[WO No]=Table46[[#This Row],[WO No]])*(Tabel1[Total]))</f>
        <v>0</v>
      </c>
      <c r="AH27" s="51" cm="1">
        <f t="array" ref="AH27">SUMPRODUCT((Tabel1[Equipment]=Table46[[#This Row],[Equipment]])*(Tabel1[Facteur]=$D$8)*(Tabel1[Date]=AH$13*1)*(Tabel1[WO No]=Table46[[#This Row],[WO No]])*(Tabel1[Total]))</f>
        <v>0</v>
      </c>
      <c r="AI27" s="51" cm="1">
        <f t="array" ref="AI27">SUMPRODUCT((Tabel1[Equipment]=Table46[[#This Row],[Equipment]])*(Tabel1[Facteur]=$D$8)*(Tabel1[Date]=AI$13*1)*(Tabel1[WO No]=Table46[[#This Row],[WO No]])*(Tabel1[Total]))</f>
        <v>0</v>
      </c>
      <c r="AJ27" s="51" cm="1">
        <f t="array" ref="AJ27">SUMPRODUCT((Tabel1[Equipment]=Table46[[#This Row],[Equipment]])*(Tabel1[Facteur]=$D$8)*(Tabel1[Date]=AJ$13*1)*(Tabel1[WO No]=Table46[[#This Row],[WO No]])*(Tabel1[Total]))</f>
        <v>0</v>
      </c>
      <c r="AK27" s="51" cm="1">
        <f t="array" ref="AK27">SUMPRODUCT((Tabel1[Equipment]=Table46[[#This Row],[Equipment]])*(Tabel1[Facteur]=$D$8)*(Tabel1[Date]=AK$13*1)*(Tabel1[WO No]=Table46[[#This Row],[WO No]])*(Tabel1[Total]))</f>
        <v>0</v>
      </c>
      <c r="AL27" s="52">
        <f>SUM(Table46[[#This Row],[15/8]:[14/9]])</f>
        <v>53</v>
      </c>
      <c r="AM27" s="53">
        <f>IF(Table46[[#This Row],[Equipment]]="","",VLOOKUP(Table46[[#This Row],[Equipment]],Tableau2[[#All],[Equipment]:[PRICE]],4,0))</f>
        <v>970</v>
      </c>
      <c r="AN27" s="54">
        <f>Table46[[#This Row],[Total Hrs]]* Table46[[#This Row],[Hourely Rate (MRU)]]</f>
        <v>51410</v>
      </c>
    </row>
    <row r="28" spans="1:45" ht="30" x14ac:dyDescent="0.3">
      <c r="A28" s="50"/>
      <c r="B28" s="29" t="s">
        <v>37</v>
      </c>
      <c r="C28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8" s="31" t="s">
        <v>57</v>
      </c>
      <c r="E28" s="30" t="s">
        <v>56</v>
      </c>
      <c r="F28" s="63">
        <v>5246135</v>
      </c>
      <c r="G28" s="51" cm="1">
        <f t="array" ref="G28">SUMPRODUCT((Tabel1[Equipment]=Table46[[#This Row],[Equipment]])*(Tabel1[Facteur]=$D$8)*(Tabel1[Date]=G$13*1)*(Tabel1[WO No]=Table46[[#This Row],[WO No]])*(Tabel1[Total]))</f>
        <v>0</v>
      </c>
      <c r="H28" s="51" cm="1">
        <f t="array" ref="H28">SUMPRODUCT((Tabel1[Equipment]=Table46[[#This Row],[Equipment]])*(Tabel1[Facteur]=$D$8)*(Tabel1[Date]=H$13*1)*(Tabel1[WO No]=Table46[[#This Row],[WO No]])*(Tabel1[Total]))</f>
        <v>0</v>
      </c>
      <c r="I28" s="51" cm="1">
        <f t="array" ref="I28">SUMPRODUCT((Tabel1[Equipment]=Table46[[#This Row],[Equipment]])*(Tabel1[Facteur]=$D$8)*(Tabel1[Date]=I$13*1)*(Tabel1[WO No]=Table46[[#This Row],[WO No]])*(Tabel1[Total]))</f>
        <v>8</v>
      </c>
      <c r="J28" s="51" cm="1">
        <f t="array" ref="J28">SUMPRODUCT((Tabel1[Equipment]=Table46[[#This Row],[Equipment]])*(Tabel1[Facteur]=$D$8)*(Tabel1[Date]=J$13*1)*(Tabel1[WO No]=Table46[[#This Row],[WO No]])*(Tabel1[Total]))</f>
        <v>8</v>
      </c>
      <c r="K28" s="51" cm="1">
        <f t="array" ref="K28">SUMPRODUCT((Tabel1[Equipment]=Table46[[#This Row],[Equipment]])*(Tabel1[Facteur]=$D$8)*(Tabel1[Date]=K$13*1)*(Tabel1[WO No]=Table46[[#This Row],[WO No]])*(Tabel1[Total]))</f>
        <v>8</v>
      </c>
      <c r="L28" s="51" cm="1">
        <f t="array" ref="L28">SUMPRODUCT((Tabel1[Equipment]=Table46[[#This Row],[Equipment]])*(Tabel1[Facteur]=$D$8)*(Tabel1[Date]=L$13*1)*(Tabel1[WO No]=Table46[[#This Row],[WO No]])*(Tabel1[Total]))</f>
        <v>8</v>
      </c>
      <c r="M28" s="51" cm="1">
        <f t="array" ref="M28">SUMPRODUCT((Tabel1[Equipment]=Table46[[#This Row],[Equipment]])*(Tabel1[Facteur]=$D$8)*(Tabel1[Date]=M$13*1)*(Tabel1[WO No]=Table46[[#This Row],[WO No]])*(Tabel1[Total]))</f>
        <v>8</v>
      </c>
      <c r="N28" s="51" cm="1">
        <f t="array" ref="N28">SUMPRODUCT((Tabel1[Equipment]=Table46[[#This Row],[Equipment]])*(Tabel1[Facteur]=$D$8)*(Tabel1[Date]=N$13*1)*(Tabel1[WO No]=Table46[[#This Row],[WO No]])*(Tabel1[Total]))</f>
        <v>8</v>
      </c>
      <c r="O28" s="51" cm="1">
        <f t="array" ref="O28">SUMPRODUCT((Tabel1[Equipment]=Table46[[#This Row],[Equipment]])*(Tabel1[Facteur]=$D$8)*(Tabel1[Date]=O$13*1)*(Tabel1[WO No]=Table46[[#This Row],[WO No]])*(Tabel1[Total]))</f>
        <v>5</v>
      </c>
      <c r="P28" s="51" cm="1">
        <f t="array" ref="P28">SUMPRODUCT((Tabel1[Equipment]=Table46[[#This Row],[Equipment]])*(Tabel1[Facteur]=$D$8)*(Tabel1[Date]=P$13*1)*(Tabel1[WO No]=Table46[[#This Row],[WO No]])*(Tabel1[Total]))</f>
        <v>0</v>
      </c>
      <c r="Q28" s="51" cm="1">
        <f t="array" ref="Q28">SUMPRODUCT((Tabel1[Equipment]=Table46[[#This Row],[Equipment]])*(Tabel1[Facteur]=$D$8)*(Tabel1[Date]=Q$13*1)*(Tabel1[WO No]=Table46[[#This Row],[WO No]])*(Tabel1[Total]))</f>
        <v>0</v>
      </c>
      <c r="R28" s="51" cm="1">
        <f t="array" ref="R28">SUMPRODUCT((Tabel1[Equipment]=Table46[[#This Row],[Equipment]])*(Tabel1[Facteur]=$D$8)*(Tabel1[Date]=R$13*1)*(Tabel1[WO No]=Table46[[#This Row],[WO No]])*(Tabel1[Total]))</f>
        <v>0</v>
      </c>
      <c r="S28" s="51" cm="1">
        <f t="array" ref="S28">SUMPRODUCT((Tabel1[Equipment]=Table46[[#This Row],[Equipment]])*(Tabel1[Facteur]=$D$8)*(Tabel1[Date]=S$13*1)*(Tabel1[WO No]=Table46[[#This Row],[WO No]])*(Tabel1[Total]))</f>
        <v>0</v>
      </c>
      <c r="T28" s="51" cm="1">
        <f t="array" ref="T28">SUMPRODUCT((Tabel1[Equipment]=Table46[[#This Row],[Equipment]])*(Tabel1[Facteur]=$D$8)*(Tabel1[Date]=T$13*1)*(Tabel1[WO No]=Table46[[#This Row],[WO No]])*(Tabel1[Total]))</f>
        <v>0</v>
      </c>
      <c r="U28" s="51" cm="1">
        <f t="array" ref="U28">SUMPRODUCT((Tabel1[Equipment]=Table46[[#This Row],[Equipment]])*(Tabel1[Facteur]=$D$8)*(Tabel1[Date]=U$13*1)*(Tabel1[WO No]=Table46[[#This Row],[WO No]])*(Tabel1[Total]))</f>
        <v>0</v>
      </c>
      <c r="V28" s="51" cm="1">
        <f t="array" ref="V28">SUMPRODUCT((Tabel1[Equipment]=Table46[[#This Row],[Equipment]])*(Tabel1[Facteur]=$D$8)*(Tabel1[Date]=V$13*1)*(Tabel1[WO No]=Table46[[#This Row],[WO No]])*(Tabel1[Total]))</f>
        <v>0</v>
      </c>
      <c r="W28" s="51" cm="1">
        <f t="array" ref="W28">SUMPRODUCT((Tabel1[Equipment]=Table46[[#This Row],[Equipment]])*(Tabel1[Facteur]=$D$8)*(Tabel1[Date]=W$13*1)*(Tabel1[WO No]=Table46[[#This Row],[WO No]])*(Tabel1[Total]))</f>
        <v>0</v>
      </c>
      <c r="X28" s="51" cm="1">
        <f t="array" ref="X28">SUMPRODUCT((Tabel1[Equipment]=Table46[[#This Row],[Equipment]])*(Tabel1[Facteur]=$D$8)*(Tabel1[Date]=X$13*1)*(Tabel1[WO No]=Table46[[#This Row],[WO No]])*(Tabel1[Total]))</f>
        <v>0</v>
      </c>
      <c r="Y28" s="51" cm="1">
        <f t="array" ref="Y28">SUMPRODUCT((Tabel1[Equipment]=Table46[[#This Row],[Equipment]])*(Tabel1[Facteur]=$D$8)*(Tabel1[Date]=Y$13*1)*(Tabel1[WO No]=Table46[[#This Row],[WO No]])*(Tabel1[Total]))</f>
        <v>0</v>
      </c>
      <c r="Z28" s="51" cm="1">
        <f t="array" ref="Z28">SUMPRODUCT((Tabel1[Equipment]=Table46[[#This Row],[Equipment]])*(Tabel1[Facteur]=$D$8)*(Tabel1[Date]=Z$13*1)*(Tabel1[WO No]=Table46[[#This Row],[WO No]])*(Tabel1[Total]))</f>
        <v>0</v>
      </c>
      <c r="AA28" s="51" cm="1">
        <f t="array" ref="AA28">SUMPRODUCT((Tabel1[Equipment]=Table46[[#This Row],[Equipment]])*(Tabel1[Facteur]=$D$8)*(Tabel1[Date]=AA$13*1)*(Tabel1[WO No]=Table46[[#This Row],[WO No]])*(Tabel1[Total]))</f>
        <v>0</v>
      </c>
      <c r="AB28" s="51" cm="1">
        <f t="array" ref="AB28">SUMPRODUCT((Tabel1[Equipment]=Table46[[#This Row],[Equipment]])*(Tabel1[Facteur]=$D$8)*(Tabel1[Date]=AB$13*1)*(Tabel1[WO No]=Table46[[#This Row],[WO No]])*(Tabel1[Total]))</f>
        <v>0</v>
      </c>
      <c r="AC28" s="51" cm="1">
        <f t="array" ref="AC28">SUMPRODUCT((Tabel1[Equipment]=Table46[[#This Row],[Equipment]])*(Tabel1[Facteur]=$D$8)*(Tabel1[Date]=AC$13*1)*(Tabel1[WO No]=Table46[[#This Row],[WO No]])*(Tabel1[Total]))</f>
        <v>0</v>
      </c>
      <c r="AD28" s="51" cm="1">
        <f t="array" ref="AD28">SUMPRODUCT((Tabel1[Equipment]=Table46[[#This Row],[Equipment]])*(Tabel1[Facteur]=$D$8)*(Tabel1[Date]=AD$13*1)*(Tabel1[WO No]=Table46[[#This Row],[WO No]])*(Tabel1[Total]))</f>
        <v>0</v>
      </c>
      <c r="AE28" s="51" cm="1">
        <f t="array" ref="AE28">SUMPRODUCT((Tabel1[Equipment]=Table46[[#This Row],[Equipment]])*(Tabel1[Facteur]=$D$8)*(Tabel1[Date]=AE$13*1)*(Tabel1[WO No]=Table46[[#This Row],[WO No]])*(Tabel1[Total]))</f>
        <v>0</v>
      </c>
      <c r="AF28" s="51" cm="1">
        <f t="array" ref="AF28">SUMPRODUCT((Tabel1[Equipment]=Table46[[#This Row],[Equipment]])*(Tabel1[Facteur]=$D$8)*(Tabel1[Date]=AF$13*1)*(Tabel1[WO No]=Table46[[#This Row],[WO No]])*(Tabel1[Total]))</f>
        <v>0</v>
      </c>
      <c r="AG28" s="51" cm="1">
        <f t="array" ref="AG28">SUMPRODUCT((Tabel1[Equipment]=Table46[[#This Row],[Equipment]])*(Tabel1[Facteur]=$D$8)*(Tabel1[Date]=AG$13*1)*(Tabel1[WO No]=Table46[[#This Row],[WO No]])*(Tabel1[Total]))</f>
        <v>0</v>
      </c>
      <c r="AH28" s="51" cm="1">
        <f t="array" ref="AH28">SUMPRODUCT((Tabel1[Equipment]=Table46[[#This Row],[Equipment]])*(Tabel1[Facteur]=$D$8)*(Tabel1[Date]=AH$13*1)*(Tabel1[WO No]=Table46[[#This Row],[WO No]])*(Tabel1[Total]))</f>
        <v>0</v>
      </c>
      <c r="AI28" s="51" cm="1">
        <f t="array" ref="AI28">SUMPRODUCT((Tabel1[Equipment]=Table46[[#This Row],[Equipment]])*(Tabel1[Facteur]=$D$8)*(Tabel1[Date]=AI$13*1)*(Tabel1[WO No]=Table46[[#This Row],[WO No]])*(Tabel1[Total]))</f>
        <v>0</v>
      </c>
      <c r="AJ28" s="51" cm="1">
        <f t="array" ref="AJ28">SUMPRODUCT((Tabel1[Equipment]=Table46[[#This Row],[Equipment]])*(Tabel1[Facteur]=$D$8)*(Tabel1[Date]=AJ$13*1)*(Tabel1[WO No]=Table46[[#This Row],[WO No]])*(Tabel1[Total]))</f>
        <v>0</v>
      </c>
      <c r="AK28" s="51" cm="1">
        <f t="array" ref="AK28">SUMPRODUCT((Tabel1[Equipment]=Table46[[#This Row],[Equipment]])*(Tabel1[Facteur]=$D$8)*(Tabel1[Date]=AK$13*1)*(Tabel1[WO No]=Table46[[#This Row],[WO No]])*(Tabel1[Total]))</f>
        <v>0</v>
      </c>
      <c r="AL28" s="52">
        <f>SUM(Table46[[#This Row],[15/8]:[14/9]])</f>
        <v>53</v>
      </c>
      <c r="AM28" s="53">
        <f>IF(Table46[[#This Row],[Equipment]]="","",VLOOKUP(Table46[[#This Row],[Equipment]],Tableau2[[#All],[Equipment]:[PRICE]],4,0))</f>
        <v>970</v>
      </c>
      <c r="AN28" s="54">
        <f>Table46[[#This Row],[Total Hrs]]* Table46[[#This Row],[Hourely Rate (MRU)]]</f>
        <v>51410</v>
      </c>
    </row>
    <row r="29" spans="1:45" ht="30" x14ac:dyDescent="0.3">
      <c r="A29" s="50"/>
      <c r="B29" s="29" t="s">
        <v>63</v>
      </c>
      <c r="C29" s="30" t="str">
        <f>IF(Table46[[#This Row],[Equipment]]="", "",INDEX([1]!Tableau2[#Data],MATCH(Table46[[#This Row],[Equipment]],[1]!Tableau2[Equipment],0),MATCH(Table46[[#Headers],[Equipment Type]],[1]!Tableau2[#Headers],0)))</f>
        <v>Grader</v>
      </c>
      <c r="D29" s="31" t="s">
        <v>57</v>
      </c>
      <c r="E29" s="30" t="s">
        <v>56</v>
      </c>
      <c r="F29" s="63">
        <v>5246135</v>
      </c>
      <c r="G29" s="51" cm="1">
        <f t="array" ref="G29">SUMPRODUCT((Tabel1[Equipment]=Table46[[#This Row],[Equipment]])*(Tabel1[Facteur]=$D$8)*(Tabel1[Date]=G$13*1)*(Tabel1[WO No]=Table46[[#This Row],[WO No]])*(Tabel1[Total]))</f>
        <v>0</v>
      </c>
      <c r="H29" s="51" cm="1">
        <f t="array" ref="H29">SUMPRODUCT((Tabel1[Equipment]=Table46[[#This Row],[Equipment]])*(Tabel1[Facteur]=$D$8)*(Tabel1[Date]=H$13*1)*(Tabel1[WO No]=Table46[[#This Row],[WO No]])*(Tabel1[Total]))</f>
        <v>0</v>
      </c>
      <c r="I29" s="51" cm="1">
        <f t="array" ref="I29">SUMPRODUCT((Tabel1[Equipment]=Table46[[#This Row],[Equipment]])*(Tabel1[Facteur]=$D$8)*(Tabel1[Date]=I$13*1)*(Tabel1[WO No]=Table46[[#This Row],[WO No]])*(Tabel1[Total]))</f>
        <v>8</v>
      </c>
      <c r="J29" s="51" cm="1">
        <f t="array" ref="J29">SUMPRODUCT((Tabel1[Equipment]=Table46[[#This Row],[Equipment]])*(Tabel1[Facteur]=$D$8)*(Tabel1[Date]=J$13*1)*(Tabel1[WO No]=Table46[[#This Row],[WO No]])*(Tabel1[Total]))</f>
        <v>8</v>
      </c>
      <c r="K29" s="51" cm="1">
        <f t="array" ref="K29">SUMPRODUCT((Tabel1[Equipment]=Table46[[#This Row],[Equipment]])*(Tabel1[Facteur]=$D$8)*(Tabel1[Date]=K$13*1)*(Tabel1[WO No]=Table46[[#This Row],[WO No]])*(Tabel1[Total]))</f>
        <v>8</v>
      </c>
      <c r="L29" s="51" cm="1">
        <f t="array" ref="L29">SUMPRODUCT((Tabel1[Equipment]=Table46[[#This Row],[Equipment]])*(Tabel1[Facteur]=$D$8)*(Tabel1[Date]=L$13*1)*(Tabel1[WO No]=Table46[[#This Row],[WO No]])*(Tabel1[Total]))</f>
        <v>8</v>
      </c>
      <c r="M29" s="51" cm="1">
        <f t="array" ref="M29">SUMPRODUCT((Tabel1[Equipment]=Table46[[#This Row],[Equipment]])*(Tabel1[Facteur]=$D$8)*(Tabel1[Date]=M$13*1)*(Tabel1[WO No]=Table46[[#This Row],[WO No]])*(Tabel1[Total]))</f>
        <v>8</v>
      </c>
      <c r="N29" s="51" cm="1">
        <f t="array" ref="N29">SUMPRODUCT((Tabel1[Equipment]=Table46[[#This Row],[Equipment]])*(Tabel1[Facteur]=$D$8)*(Tabel1[Date]=N$13*1)*(Tabel1[WO No]=Table46[[#This Row],[WO No]])*(Tabel1[Total]))</f>
        <v>8</v>
      </c>
      <c r="O29" s="51" cm="1">
        <f t="array" ref="O29">SUMPRODUCT((Tabel1[Equipment]=Table46[[#This Row],[Equipment]])*(Tabel1[Facteur]=$D$8)*(Tabel1[Date]=O$13*1)*(Tabel1[WO No]=Table46[[#This Row],[WO No]])*(Tabel1[Total]))</f>
        <v>5</v>
      </c>
      <c r="P29" s="51" cm="1">
        <f t="array" ref="P29">SUMPRODUCT((Tabel1[Equipment]=Table46[[#This Row],[Equipment]])*(Tabel1[Facteur]=$D$8)*(Tabel1[Date]=P$13*1)*(Tabel1[WO No]=Table46[[#This Row],[WO No]])*(Tabel1[Total]))</f>
        <v>0</v>
      </c>
      <c r="Q29" s="51" cm="1">
        <f t="array" ref="Q29">SUMPRODUCT((Tabel1[Equipment]=Table46[[#This Row],[Equipment]])*(Tabel1[Facteur]=$D$8)*(Tabel1[Date]=Q$13*1)*(Tabel1[WO No]=Table46[[#This Row],[WO No]])*(Tabel1[Total]))</f>
        <v>0</v>
      </c>
      <c r="R29" s="51" cm="1">
        <f t="array" ref="R29">SUMPRODUCT((Tabel1[Equipment]=Table46[[#This Row],[Equipment]])*(Tabel1[Facteur]=$D$8)*(Tabel1[Date]=R$13*1)*(Tabel1[WO No]=Table46[[#This Row],[WO No]])*(Tabel1[Total]))</f>
        <v>0</v>
      </c>
      <c r="S29" s="51" cm="1">
        <f t="array" ref="S29">SUMPRODUCT((Tabel1[Equipment]=Table46[[#This Row],[Equipment]])*(Tabel1[Facteur]=$D$8)*(Tabel1[Date]=S$13*1)*(Tabel1[WO No]=Table46[[#This Row],[WO No]])*(Tabel1[Total]))</f>
        <v>0</v>
      </c>
      <c r="T29" s="51" cm="1">
        <f t="array" ref="T29">SUMPRODUCT((Tabel1[Equipment]=Table46[[#This Row],[Equipment]])*(Tabel1[Facteur]=$D$8)*(Tabel1[Date]=T$13*1)*(Tabel1[WO No]=Table46[[#This Row],[WO No]])*(Tabel1[Total]))</f>
        <v>0</v>
      </c>
      <c r="U29" s="51" cm="1">
        <f t="array" ref="U29">SUMPRODUCT((Tabel1[Equipment]=Table46[[#This Row],[Equipment]])*(Tabel1[Facteur]=$D$8)*(Tabel1[Date]=U$13*1)*(Tabel1[WO No]=Table46[[#This Row],[WO No]])*(Tabel1[Total]))</f>
        <v>0</v>
      </c>
      <c r="V29" s="51" cm="1">
        <f t="array" ref="V29">SUMPRODUCT((Tabel1[Equipment]=Table46[[#This Row],[Equipment]])*(Tabel1[Facteur]=$D$8)*(Tabel1[Date]=V$13*1)*(Tabel1[WO No]=Table46[[#This Row],[WO No]])*(Tabel1[Total]))</f>
        <v>0</v>
      </c>
      <c r="W29" s="51" cm="1">
        <f t="array" ref="W29">SUMPRODUCT((Tabel1[Equipment]=Table46[[#This Row],[Equipment]])*(Tabel1[Facteur]=$D$8)*(Tabel1[Date]=W$13*1)*(Tabel1[WO No]=Table46[[#This Row],[WO No]])*(Tabel1[Total]))</f>
        <v>0</v>
      </c>
      <c r="X29" s="51" cm="1">
        <f t="array" ref="X29">SUMPRODUCT((Tabel1[Equipment]=Table46[[#This Row],[Equipment]])*(Tabel1[Facteur]=$D$8)*(Tabel1[Date]=X$13*1)*(Tabel1[WO No]=Table46[[#This Row],[WO No]])*(Tabel1[Total]))</f>
        <v>0</v>
      </c>
      <c r="Y29" s="51" cm="1">
        <f t="array" ref="Y29">SUMPRODUCT((Tabel1[Equipment]=Table46[[#This Row],[Equipment]])*(Tabel1[Facteur]=$D$8)*(Tabel1[Date]=Y$13*1)*(Tabel1[WO No]=Table46[[#This Row],[WO No]])*(Tabel1[Total]))</f>
        <v>0</v>
      </c>
      <c r="Z29" s="51" cm="1">
        <f t="array" ref="Z29">SUMPRODUCT((Tabel1[Equipment]=Table46[[#This Row],[Equipment]])*(Tabel1[Facteur]=$D$8)*(Tabel1[Date]=Z$13*1)*(Tabel1[WO No]=Table46[[#This Row],[WO No]])*(Tabel1[Total]))</f>
        <v>0</v>
      </c>
      <c r="AA29" s="51" cm="1">
        <f t="array" ref="AA29">SUMPRODUCT((Tabel1[Equipment]=Table46[[#This Row],[Equipment]])*(Tabel1[Facteur]=$D$8)*(Tabel1[Date]=AA$13*1)*(Tabel1[WO No]=Table46[[#This Row],[WO No]])*(Tabel1[Total]))</f>
        <v>0</v>
      </c>
      <c r="AB29" s="51" cm="1">
        <f t="array" ref="AB29">SUMPRODUCT((Tabel1[Equipment]=Table46[[#This Row],[Equipment]])*(Tabel1[Facteur]=$D$8)*(Tabel1[Date]=AB$13*1)*(Tabel1[WO No]=Table46[[#This Row],[WO No]])*(Tabel1[Total]))</f>
        <v>0</v>
      </c>
      <c r="AC29" s="51" cm="1">
        <f t="array" ref="AC29">SUMPRODUCT((Tabel1[Equipment]=Table46[[#This Row],[Equipment]])*(Tabel1[Facteur]=$D$8)*(Tabel1[Date]=AC$13*1)*(Tabel1[WO No]=Table46[[#This Row],[WO No]])*(Tabel1[Total]))</f>
        <v>0</v>
      </c>
      <c r="AD29" s="51" cm="1">
        <f t="array" ref="AD29">SUMPRODUCT((Tabel1[Equipment]=Table46[[#This Row],[Equipment]])*(Tabel1[Facteur]=$D$8)*(Tabel1[Date]=AD$13*1)*(Tabel1[WO No]=Table46[[#This Row],[WO No]])*(Tabel1[Total]))</f>
        <v>0</v>
      </c>
      <c r="AE29" s="51" cm="1">
        <f t="array" ref="AE29">SUMPRODUCT((Tabel1[Equipment]=Table46[[#This Row],[Equipment]])*(Tabel1[Facteur]=$D$8)*(Tabel1[Date]=AE$13*1)*(Tabel1[WO No]=Table46[[#This Row],[WO No]])*(Tabel1[Total]))</f>
        <v>0</v>
      </c>
      <c r="AF29" s="51" cm="1">
        <f t="array" ref="AF29">SUMPRODUCT((Tabel1[Equipment]=Table46[[#This Row],[Equipment]])*(Tabel1[Facteur]=$D$8)*(Tabel1[Date]=AF$13*1)*(Tabel1[WO No]=Table46[[#This Row],[WO No]])*(Tabel1[Total]))</f>
        <v>0</v>
      </c>
      <c r="AG29" s="51" cm="1">
        <f t="array" ref="AG29">SUMPRODUCT((Tabel1[Equipment]=Table46[[#This Row],[Equipment]])*(Tabel1[Facteur]=$D$8)*(Tabel1[Date]=AG$13*1)*(Tabel1[WO No]=Table46[[#This Row],[WO No]])*(Tabel1[Total]))</f>
        <v>0</v>
      </c>
      <c r="AH29" s="51" cm="1">
        <f t="array" ref="AH29">SUMPRODUCT((Tabel1[Equipment]=Table46[[#This Row],[Equipment]])*(Tabel1[Facteur]=$D$8)*(Tabel1[Date]=AH$13*1)*(Tabel1[WO No]=Table46[[#This Row],[WO No]])*(Tabel1[Total]))</f>
        <v>0</v>
      </c>
      <c r="AI29" s="51" cm="1">
        <f t="array" ref="AI29">SUMPRODUCT((Tabel1[Equipment]=Table46[[#This Row],[Equipment]])*(Tabel1[Facteur]=$D$8)*(Tabel1[Date]=AI$13*1)*(Tabel1[WO No]=Table46[[#This Row],[WO No]])*(Tabel1[Total]))</f>
        <v>0</v>
      </c>
      <c r="AJ29" s="51" cm="1">
        <f t="array" ref="AJ29">SUMPRODUCT((Tabel1[Equipment]=Table46[[#This Row],[Equipment]])*(Tabel1[Facteur]=$D$8)*(Tabel1[Date]=AJ$13*1)*(Tabel1[WO No]=Table46[[#This Row],[WO No]])*(Tabel1[Total]))</f>
        <v>0</v>
      </c>
      <c r="AK29" s="51" cm="1">
        <f t="array" ref="AK29">SUMPRODUCT((Tabel1[Equipment]=Table46[[#This Row],[Equipment]])*(Tabel1[Facteur]=$D$8)*(Tabel1[Date]=AK$13*1)*(Tabel1[WO No]=Table46[[#This Row],[WO No]])*(Tabel1[Total]))</f>
        <v>0</v>
      </c>
      <c r="AL29" s="52">
        <f>SUM(Table46[[#This Row],[15/8]:[14/9]])</f>
        <v>53</v>
      </c>
      <c r="AM29" s="53">
        <f>IF(Table46[[#This Row],[Equipment]]="","",VLOOKUP(Table46[[#This Row],[Equipment]],Tableau2[[#All],[Equipment]:[PRICE]],4,0))</f>
        <v>1650</v>
      </c>
      <c r="AN29" s="54">
        <f>Table46[[#This Row],[Total Hrs]]* Table46[[#This Row],[Hourely Rate (MRU)]]</f>
        <v>87450</v>
      </c>
    </row>
    <row r="30" spans="1:45" ht="30" x14ac:dyDescent="0.3">
      <c r="A30" s="50"/>
      <c r="B30" s="29" t="s">
        <v>39</v>
      </c>
      <c r="C30" s="30" t="str">
        <f>IF(Table46[[#This Row],[Equipment]]="", "",INDEX([1]!Tableau2[#Data],MATCH(Table46[[#This Row],[Equipment]],[1]!Tableau2[Equipment],0),MATCH(Table46[[#Headers],[Equipment Type]],[1]!Tableau2[#Headers],0)))</f>
        <v>Grader</v>
      </c>
      <c r="D30" s="31" t="s">
        <v>57</v>
      </c>
      <c r="E30" s="30" t="s">
        <v>56</v>
      </c>
      <c r="F30" s="63">
        <v>5246135</v>
      </c>
      <c r="G30" s="51" cm="1">
        <f t="array" ref="G30">SUMPRODUCT((Tabel1[Equipment]=Table46[[#This Row],[Equipment]])*(Tabel1[Facteur]=$D$8)*(Tabel1[Date]=G$13*1)*(Tabel1[WO No]=Table46[[#This Row],[WO No]])*(Tabel1[Total]))</f>
        <v>0</v>
      </c>
      <c r="H30" s="51" cm="1">
        <f t="array" ref="H30">SUMPRODUCT((Tabel1[Equipment]=Table46[[#This Row],[Equipment]])*(Tabel1[Facteur]=$D$8)*(Tabel1[Date]=H$13*1)*(Tabel1[WO No]=Table46[[#This Row],[WO No]])*(Tabel1[Total]))</f>
        <v>0</v>
      </c>
      <c r="I30" s="51" cm="1">
        <f t="array" ref="I30">SUMPRODUCT((Tabel1[Equipment]=Table46[[#This Row],[Equipment]])*(Tabel1[Facteur]=$D$8)*(Tabel1[Date]=I$13*1)*(Tabel1[WO No]=Table46[[#This Row],[WO No]])*(Tabel1[Total]))</f>
        <v>8</v>
      </c>
      <c r="J30" s="51" cm="1">
        <f t="array" ref="J30">SUMPRODUCT((Tabel1[Equipment]=Table46[[#This Row],[Equipment]])*(Tabel1[Facteur]=$D$8)*(Tabel1[Date]=J$13*1)*(Tabel1[WO No]=Table46[[#This Row],[WO No]])*(Tabel1[Total]))</f>
        <v>8</v>
      </c>
      <c r="K30" s="51" cm="1">
        <f t="array" ref="K30">SUMPRODUCT((Tabel1[Equipment]=Table46[[#This Row],[Equipment]])*(Tabel1[Facteur]=$D$8)*(Tabel1[Date]=K$13*1)*(Tabel1[WO No]=Table46[[#This Row],[WO No]])*(Tabel1[Total]))</f>
        <v>8</v>
      </c>
      <c r="L30" s="51" cm="1">
        <f t="array" ref="L30">SUMPRODUCT((Tabel1[Equipment]=Table46[[#This Row],[Equipment]])*(Tabel1[Facteur]=$D$8)*(Tabel1[Date]=L$13*1)*(Tabel1[WO No]=Table46[[#This Row],[WO No]])*(Tabel1[Total]))</f>
        <v>8</v>
      </c>
      <c r="M30" s="51" cm="1">
        <f t="array" ref="M30">SUMPRODUCT((Tabel1[Equipment]=Table46[[#This Row],[Equipment]])*(Tabel1[Facteur]=$D$8)*(Tabel1[Date]=M$13*1)*(Tabel1[WO No]=Table46[[#This Row],[WO No]])*(Tabel1[Total]))</f>
        <v>8</v>
      </c>
      <c r="N30" s="51" cm="1">
        <f t="array" ref="N30">SUMPRODUCT((Tabel1[Equipment]=Table46[[#This Row],[Equipment]])*(Tabel1[Facteur]=$D$8)*(Tabel1[Date]=N$13*1)*(Tabel1[WO No]=Table46[[#This Row],[WO No]])*(Tabel1[Total]))</f>
        <v>3</v>
      </c>
      <c r="O30" s="51" cm="1">
        <f t="array" ref="O30">SUMPRODUCT((Tabel1[Equipment]=Table46[[#This Row],[Equipment]])*(Tabel1[Facteur]=$D$8)*(Tabel1[Date]=O$13*1)*(Tabel1[WO No]=Table46[[#This Row],[WO No]])*(Tabel1[Total]))</f>
        <v>0</v>
      </c>
      <c r="P30" s="51" cm="1">
        <f t="array" ref="P30">SUMPRODUCT((Tabel1[Equipment]=Table46[[#This Row],[Equipment]])*(Tabel1[Facteur]=$D$8)*(Tabel1[Date]=P$13*1)*(Tabel1[WO No]=Table46[[#This Row],[WO No]])*(Tabel1[Total]))</f>
        <v>0</v>
      </c>
      <c r="Q30" s="51" cm="1">
        <f t="array" ref="Q30">SUMPRODUCT((Tabel1[Equipment]=Table46[[#This Row],[Equipment]])*(Tabel1[Facteur]=$D$8)*(Tabel1[Date]=Q$13*1)*(Tabel1[WO No]=Table46[[#This Row],[WO No]])*(Tabel1[Total]))</f>
        <v>0</v>
      </c>
      <c r="R30" s="51" cm="1">
        <f t="array" ref="R30">SUMPRODUCT((Tabel1[Equipment]=Table46[[#This Row],[Equipment]])*(Tabel1[Facteur]=$D$8)*(Tabel1[Date]=R$13*1)*(Tabel1[WO No]=Table46[[#This Row],[WO No]])*(Tabel1[Total]))</f>
        <v>0</v>
      </c>
      <c r="S30" s="51" cm="1">
        <f t="array" ref="S30">SUMPRODUCT((Tabel1[Equipment]=Table46[[#This Row],[Equipment]])*(Tabel1[Facteur]=$D$8)*(Tabel1[Date]=S$13*1)*(Tabel1[WO No]=Table46[[#This Row],[WO No]])*(Tabel1[Total]))</f>
        <v>0</v>
      </c>
      <c r="T30" s="51" cm="1">
        <f t="array" ref="T30">SUMPRODUCT((Tabel1[Equipment]=Table46[[#This Row],[Equipment]])*(Tabel1[Facteur]=$D$8)*(Tabel1[Date]=T$13*1)*(Tabel1[WO No]=Table46[[#This Row],[WO No]])*(Tabel1[Total]))</f>
        <v>0</v>
      </c>
      <c r="U30" s="51" cm="1">
        <f t="array" ref="U30">SUMPRODUCT((Tabel1[Equipment]=Table46[[#This Row],[Equipment]])*(Tabel1[Facteur]=$D$8)*(Tabel1[Date]=U$13*1)*(Tabel1[WO No]=Table46[[#This Row],[WO No]])*(Tabel1[Total]))</f>
        <v>0</v>
      </c>
      <c r="V30" s="51" cm="1">
        <f t="array" ref="V30">SUMPRODUCT((Tabel1[Equipment]=Table46[[#This Row],[Equipment]])*(Tabel1[Facteur]=$D$8)*(Tabel1[Date]=V$13*1)*(Tabel1[WO No]=Table46[[#This Row],[WO No]])*(Tabel1[Total]))</f>
        <v>0</v>
      </c>
      <c r="W30" s="51" cm="1">
        <f t="array" ref="W30">SUMPRODUCT((Tabel1[Equipment]=Table46[[#This Row],[Equipment]])*(Tabel1[Facteur]=$D$8)*(Tabel1[Date]=W$13*1)*(Tabel1[WO No]=Table46[[#This Row],[WO No]])*(Tabel1[Total]))</f>
        <v>0</v>
      </c>
      <c r="X30" s="51" cm="1">
        <f t="array" ref="X30">SUMPRODUCT((Tabel1[Equipment]=Table46[[#This Row],[Equipment]])*(Tabel1[Facteur]=$D$8)*(Tabel1[Date]=X$13*1)*(Tabel1[WO No]=Table46[[#This Row],[WO No]])*(Tabel1[Total]))</f>
        <v>0</v>
      </c>
      <c r="Y30" s="51" cm="1">
        <f t="array" ref="Y30">SUMPRODUCT((Tabel1[Equipment]=Table46[[#This Row],[Equipment]])*(Tabel1[Facteur]=$D$8)*(Tabel1[Date]=Y$13*1)*(Tabel1[WO No]=Table46[[#This Row],[WO No]])*(Tabel1[Total]))</f>
        <v>0</v>
      </c>
      <c r="Z30" s="51" cm="1">
        <f t="array" ref="Z30">SUMPRODUCT((Tabel1[Equipment]=Table46[[#This Row],[Equipment]])*(Tabel1[Facteur]=$D$8)*(Tabel1[Date]=Z$13*1)*(Tabel1[WO No]=Table46[[#This Row],[WO No]])*(Tabel1[Total]))</f>
        <v>0</v>
      </c>
      <c r="AA30" s="51" cm="1">
        <f t="array" ref="AA30">SUMPRODUCT((Tabel1[Equipment]=Table46[[#This Row],[Equipment]])*(Tabel1[Facteur]=$D$8)*(Tabel1[Date]=AA$13*1)*(Tabel1[WO No]=Table46[[#This Row],[WO No]])*(Tabel1[Total]))</f>
        <v>0</v>
      </c>
      <c r="AB30" s="51" cm="1">
        <f t="array" ref="AB30">SUMPRODUCT((Tabel1[Equipment]=Table46[[#This Row],[Equipment]])*(Tabel1[Facteur]=$D$8)*(Tabel1[Date]=AB$13*1)*(Tabel1[WO No]=Table46[[#This Row],[WO No]])*(Tabel1[Total]))</f>
        <v>0</v>
      </c>
      <c r="AC30" s="51" cm="1">
        <f t="array" ref="AC30">SUMPRODUCT((Tabel1[Equipment]=Table46[[#This Row],[Equipment]])*(Tabel1[Facteur]=$D$8)*(Tabel1[Date]=AC$13*1)*(Tabel1[WO No]=Table46[[#This Row],[WO No]])*(Tabel1[Total]))</f>
        <v>0</v>
      </c>
      <c r="AD30" s="51" cm="1">
        <f t="array" ref="AD30">SUMPRODUCT((Tabel1[Equipment]=Table46[[#This Row],[Equipment]])*(Tabel1[Facteur]=$D$8)*(Tabel1[Date]=AD$13*1)*(Tabel1[WO No]=Table46[[#This Row],[WO No]])*(Tabel1[Total]))</f>
        <v>0</v>
      </c>
      <c r="AE30" s="51" cm="1">
        <f t="array" ref="AE30">SUMPRODUCT((Tabel1[Equipment]=Table46[[#This Row],[Equipment]])*(Tabel1[Facteur]=$D$8)*(Tabel1[Date]=AE$13*1)*(Tabel1[WO No]=Table46[[#This Row],[WO No]])*(Tabel1[Total]))</f>
        <v>0</v>
      </c>
      <c r="AF30" s="51" cm="1">
        <f t="array" ref="AF30">SUMPRODUCT((Tabel1[Equipment]=Table46[[#This Row],[Equipment]])*(Tabel1[Facteur]=$D$8)*(Tabel1[Date]=AF$13*1)*(Tabel1[WO No]=Table46[[#This Row],[WO No]])*(Tabel1[Total]))</f>
        <v>0</v>
      </c>
      <c r="AG30" s="51" cm="1">
        <f t="array" ref="AG30">SUMPRODUCT((Tabel1[Equipment]=Table46[[#This Row],[Equipment]])*(Tabel1[Facteur]=$D$8)*(Tabel1[Date]=AG$13*1)*(Tabel1[WO No]=Table46[[#This Row],[WO No]])*(Tabel1[Total]))</f>
        <v>0</v>
      </c>
      <c r="AH30" s="51" cm="1">
        <f t="array" ref="AH30">SUMPRODUCT((Tabel1[Equipment]=Table46[[#This Row],[Equipment]])*(Tabel1[Facteur]=$D$8)*(Tabel1[Date]=AH$13*1)*(Tabel1[WO No]=Table46[[#This Row],[WO No]])*(Tabel1[Total]))</f>
        <v>0</v>
      </c>
      <c r="AI30" s="51" cm="1">
        <f t="array" ref="AI30">SUMPRODUCT((Tabel1[Equipment]=Table46[[#This Row],[Equipment]])*(Tabel1[Facteur]=$D$8)*(Tabel1[Date]=AI$13*1)*(Tabel1[WO No]=Table46[[#This Row],[WO No]])*(Tabel1[Total]))</f>
        <v>0</v>
      </c>
      <c r="AJ30" s="51" cm="1">
        <f t="array" ref="AJ30">SUMPRODUCT((Tabel1[Equipment]=Table46[[#This Row],[Equipment]])*(Tabel1[Facteur]=$D$8)*(Tabel1[Date]=AJ$13*1)*(Tabel1[WO No]=Table46[[#This Row],[WO No]])*(Tabel1[Total]))</f>
        <v>0</v>
      </c>
      <c r="AK30" s="51" cm="1">
        <f t="array" ref="AK30">SUMPRODUCT((Tabel1[Equipment]=Table46[[#This Row],[Equipment]])*(Tabel1[Facteur]=$D$8)*(Tabel1[Date]=AK$13*1)*(Tabel1[WO No]=Table46[[#This Row],[WO No]])*(Tabel1[Total]))</f>
        <v>0</v>
      </c>
      <c r="AL30" s="52">
        <f>SUM(Table46[[#This Row],[15/8]:[14/9]])</f>
        <v>43</v>
      </c>
      <c r="AM30" s="53">
        <f>IF(Table46[[#This Row],[Equipment]]="","",VLOOKUP(Table46[[#This Row],[Equipment]],Tableau2[[#All],[Equipment]:[PRICE]],4,0))</f>
        <v>1650</v>
      </c>
      <c r="AN30" s="54">
        <f>Table46[[#This Row],[Total Hrs]]* Table46[[#This Row],[Hourely Rate (MRU)]]</f>
        <v>70950</v>
      </c>
    </row>
    <row r="31" spans="1:45" ht="30" x14ac:dyDescent="0.3">
      <c r="B31" s="29" t="s">
        <v>40</v>
      </c>
      <c r="C31" s="30" t="str">
        <f>IF(Table46[[#This Row],[Equipment]]="", "",INDEX([1]!Tableau2[#Data],MATCH(Table46[[#This Row],[Equipment]],[1]!Tableau2[Equipment],0),MATCH(Table46[[#Headers],[Equipment Type]],[1]!Tableau2[#Headers],0)))</f>
        <v>Loader</v>
      </c>
      <c r="D31" s="55" t="s">
        <v>57</v>
      </c>
      <c r="E31" s="56" t="s">
        <v>56</v>
      </c>
      <c r="F31" s="63">
        <v>5246135</v>
      </c>
      <c r="G31" s="51" cm="1">
        <f t="array" ref="G31">SUMPRODUCT((Tabel1[Equipment]=Table46[[#This Row],[Equipment]])*(Tabel1[Facteur]=$D$8)*(Tabel1[Date]=G$13*1)*(Tabel1[WO No]=Table46[[#This Row],[WO No]])*(Tabel1[Total]))</f>
        <v>0</v>
      </c>
      <c r="H31" s="51" cm="1">
        <f t="array" ref="H31">SUMPRODUCT((Tabel1[Equipment]=Table46[[#This Row],[Equipment]])*(Tabel1[Facteur]=$D$8)*(Tabel1[Date]=H$13*1)*(Tabel1[WO No]=Table46[[#This Row],[WO No]])*(Tabel1[Total]))</f>
        <v>0</v>
      </c>
      <c r="I31" s="51" cm="1">
        <f t="array" ref="I31">SUMPRODUCT((Tabel1[Equipment]=Table46[[#This Row],[Equipment]])*(Tabel1[Facteur]=$D$8)*(Tabel1[Date]=I$13*1)*(Tabel1[WO No]=Table46[[#This Row],[WO No]])*(Tabel1[Total]))</f>
        <v>10</v>
      </c>
      <c r="J31" s="51" cm="1">
        <f t="array" ref="J31">SUMPRODUCT((Tabel1[Equipment]=Table46[[#This Row],[Equipment]])*(Tabel1[Facteur]=$D$8)*(Tabel1[Date]=J$13*1)*(Tabel1[WO No]=Table46[[#This Row],[WO No]])*(Tabel1[Total]))</f>
        <v>8</v>
      </c>
      <c r="K31" s="51" cm="1">
        <f t="array" ref="K31">SUMPRODUCT((Tabel1[Equipment]=Table46[[#This Row],[Equipment]])*(Tabel1[Facteur]=$D$8)*(Tabel1[Date]=K$13*1)*(Tabel1[WO No]=Table46[[#This Row],[WO No]])*(Tabel1[Total]))</f>
        <v>8</v>
      </c>
      <c r="L31" s="51" cm="1">
        <f t="array" ref="L31">SUMPRODUCT((Tabel1[Equipment]=Table46[[#This Row],[Equipment]])*(Tabel1[Facteur]=$D$8)*(Tabel1[Date]=L$13*1)*(Tabel1[WO No]=Table46[[#This Row],[WO No]])*(Tabel1[Total]))</f>
        <v>5</v>
      </c>
      <c r="M31" s="51" cm="1">
        <f t="array" ref="M31">SUMPRODUCT((Tabel1[Equipment]=Table46[[#This Row],[Equipment]])*(Tabel1[Facteur]=$D$8)*(Tabel1[Date]=M$13*1)*(Tabel1[WO No]=Table46[[#This Row],[WO No]])*(Tabel1[Total]))</f>
        <v>8</v>
      </c>
      <c r="N31" s="51" cm="1">
        <f t="array" ref="N31">SUMPRODUCT((Tabel1[Equipment]=Table46[[#This Row],[Equipment]])*(Tabel1[Facteur]=$D$8)*(Tabel1[Date]=N$13*1)*(Tabel1[WO No]=Table46[[#This Row],[WO No]])*(Tabel1[Total]))</f>
        <v>8</v>
      </c>
      <c r="O31" s="51" cm="1">
        <f t="array" ref="O31">SUMPRODUCT((Tabel1[Equipment]=Table46[[#This Row],[Equipment]])*(Tabel1[Facteur]=$D$8)*(Tabel1[Date]=O$13*1)*(Tabel1[WO No]=Table46[[#This Row],[WO No]])*(Tabel1[Total]))</f>
        <v>5</v>
      </c>
      <c r="P31" s="51" cm="1">
        <f t="array" ref="P31">SUMPRODUCT((Tabel1[Equipment]=Table46[[#This Row],[Equipment]])*(Tabel1[Facteur]=$D$8)*(Tabel1[Date]=P$13*1)*(Tabel1[WO No]=Table46[[#This Row],[WO No]])*(Tabel1[Total]))</f>
        <v>0</v>
      </c>
      <c r="Q31" s="51" cm="1">
        <f t="array" ref="Q31">SUMPRODUCT((Tabel1[Equipment]=Table46[[#This Row],[Equipment]])*(Tabel1[Facteur]=$D$8)*(Tabel1[Date]=Q$13*1)*(Tabel1[WO No]=Table46[[#This Row],[WO No]])*(Tabel1[Total]))</f>
        <v>0</v>
      </c>
      <c r="R31" s="51" cm="1">
        <f t="array" ref="R31">SUMPRODUCT((Tabel1[Equipment]=Table46[[#This Row],[Equipment]])*(Tabel1[Facteur]=$D$8)*(Tabel1[Date]=R$13*1)*(Tabel1[WO No]=Table46[[#This Row],[WO No]])*(Tabel1[Total]))</f>
        <v>0</v>
      </c>
      <c r="S31" s="51" cm="1">
        <f t="array" ref="S31">SUMPRODUCT((Tabel1[Equipment]=Table46[[#This Row],[Equipment]])*(Tabel1[Facteur]=$D$8)*(Tabel1[Date]=S$13*1)*(Tabel1[WO No]=Table46[[#This Row],[WO No]])*(Tabel1[Total]))</f>
        <v>0</v>
      </c>
      <c r="T31" s="51" cm="1">
        <f t="array" ref="T31">SUMPRODUCT((Tabel1[Equipment]=Table46[[#This Row],[Equipment]])*(Tabel1[Facteur]=$D$8)*(Tabel1[Date]=T$13*1)*(Tabel1[WO No]=Table46[[#This Row],[WO No]])*(Tabel1[Total]))</f>
        <v>0</v>
      </c>
      <c r="U31" s="51" cm="1">
        <f t="array" ref="U31">SUMPRODUCT((Tabel1[Equipment]=Table46[[#This Row],[Equipment]])*(Tabel1[Facteur]=$D$8)*(Tabel1[Date]=U$13*1)*(Tabel1[WO No]=Table46[[#This Row],[WO No]])*(Tabel1[Total]))</f>
        <v>0</v>
      </c>
      <c r="V31" s="51" cm="1">
        <f t="array" ref="V31">SUMPRODUCT((Tabel1[Equipment]=Table46[[#This Row],[Equipment]])*(Tabel1[Facteur]=$D$8)*(Tabel1[Date]=V$13*1)*(Tabel1[WO No]=Table46[[#This Row],[WO No]])*(Tabel1[Total]))</f>
        <v>0</v>
      </c>
      <c r="W31" s="51" cm="1">
        <f t="array" ref="W31">SUMPRODUCT((Tabel1[Equipment]=Table46[[#This Row],[Equipment]])*(Tabel1[Facteur]=$D$8)*(Tabel1[Date]=W$13*1)*(Tabel1[WO No]=Table46[[#This Row],[WO No]])*(Tabel1[Total]))</f>
        <v>0</v>
      </c>
      <c r="X31" s="51" cm="1">
        <f t="array" ref="X31">SUMPRODUCT((Tabel1[Equipment]=Table46[[#This Row],[Equipment]])*(Tabel1[Facteur]=$D$8)*(Tabel1[Date]=X$13*1)*(Tabel1[WO No]=Table46[[#This Row],[WO No]])*(Tabel1[Total]))</f>
        <v>0</v>
      </c>
      <c r="Y31" s="51" cm="1">
        <f t="array" ref="Y31">SUMPRODUCT((Tabel1[Equipment]=Table46[[#This Row],[Equipment]])*(Tabel1[Facteur]=$D$8)*(Tabel1[Date]=Y$13*1)*(Tabel1[WO No]=Table46[[#This Row],[WO No]])*(Tabel1[Total]))</f>
        <v>0</v>
      </c>
      <c r="Z31" s="51" cm="1">
        <f t="array" ref="Z31">SUMPRODUCT((Tabel1[Equipment]=Table46[[#This Row],[Equipment]])*(Tabel1[Facteur]=$D$8)*(Tabel1[Date]=Z$13*1)*(Tabel1[WO No]=Table46[[#This Row],[WO No]])*(Tabel1[Total]))</f>
        <v>0</v>
      </c>
      <c r="AA31" s="51" cm="1">
        <f t="array" ref="AA31">SUMPRODUCT((Tabel1[Equipment]=Table46[[#This Row],[Equipment]])*(Tabel1[Facteur]=$D$8)*(Tabel1[Date]=AA$13*1)*(Tabel1[WO No]=Table46[[#This Row],[WO No]])*(Tabel1[Total]))</f>
        <v>0</v>
      </c>
      <c r="AB31" s="51" cm="1">
        <f t="array" ref="AB31">SUMPRODUCT((Tabel1[Equipment]=Table46[[#This Row],[Equipment]])*(Tabel1[Facteur]=$D$8)*(Tabel1[Date]=AB$13*1)*(Tabel1[WO No]=Table46[[#This Row],[WO No]])*(Tabel1[Total]))</f>
        <v>0</v>
      </c>
      <c r="AC31" s="51" cm="1">
        <f t="array" ref="AC31">SUMPRODUCT((Tabel1[Equipment]=Table46[[#This Row],[Equipment]])*(Tabel1[Facteur]=$D$8)*(Tabel1[Date]=AC$13*1)*(Tabel1[WO No]=Table46[[#This Row],[WO No]])*(Tabel1[Total]))</f>
        <v>0</v>
      </c>
      <c r="AD31" s="51" cm="1">
        <f t="array" ref="AD31">SUMPRODUCT((Tabel1[Equipment]=Table46[[#This Row],[Equipment]])*(Tabel1[Facteur]=$D$8)*(Tabel1[Date]=AD$13*1)*(Tabel1[WO No]=Table46[[#This Row],[WO No]])*(Tabel1[Total]))</f>
        <v>0</v>
      </c>
      <c r="AE31" s="51" cm="1">
        <f t="array" ref="AE31">SUMPRODUCT((Tabel1[Equipment]=Table46[[#This Row],[Equipment]])*(Tabel1[Facteur]=$D$8)*(Tabel1[Date]=AE$13*1)*(Tabel1[WO No]=Table46[[#This Row],[WO No]])*(Tabel1[Total]))</f>
        <v>0</v>
      </c>
      <c r="AF31" s="51" cm="1">
        <f t="array" ref="AF31">SUMPRODUCT((Tabel1[Equipment]=Table46[[#This Row],[Equipment]])*(Tabel1[Facteur]=$D$8)*(Tabel1[Date]=AF$13*1)*(Tabel1[WO No]=Table46[[#This Row],[WO No]])*(Tabel1[Total]))</f>
        <v>0</v>
      </c>
      <c r="AG31" s="51" cm="1">
        <f t="array" ref="AG31">SUMPRODUCT((Tabel1[Equipment]=Table46[[#This Row],[Equipment]])*(Tabel1[Facteur]=$D$8)*(Tabel1[Date]=AG$13*1)*(Tabel1[WO No]=Table46[[#This Row],[WO No]])*(Tabel1[Total]))</f>
        <v>0</v>
      </c>
      <c r="AH31" s="51" cm="1">
        <f t="array" ref="AH31">SUMPRODUCT((Tabel1[Equipment]=Table46[[#This Row],[Equipment]])*(Tabel1[Facteur]=$D$8)*(Tabel1[Date]=AH$13*1)*(Tabel1[WO No]=Table46[[#This Row],[WO No]])*(Tabel1[Total]))</f>
        <v>0</v>
      </c>
      <c r="AI31" s="51" cm="1">
        <f t="array" ref="AI31">SUMPRODUCT((Tabel1[Equipment]=Table46[[#This Row],[Equipment]])*(Tabel1[Facteur]=$D$8)*(Tabel1[Date]=AI$13*1)*(Tabel1[WO No]=Table46[[#This Row],[WO No]])*(Tabel1[Total]))</f>
        <v>0</v>
      </c>
      <c r="AJ31" s="51" cm="1">
        <f t="array" ref="AJ31">SUMPRODUCT((Tabel1[Equipment]=Table46[[#This Row],[Equipment]])*(Tabel1[Facteur]=$D$8)*(Tabel1[Date]=AJ$13*1)*(Tabel1[WO No]=Table46[[#This Row],[WO No]])*(Tabel1[Total]))</f>
        <v>0</v>
      </c>
      <c r="AK31" s="51" cm="1">
        <f t="array" ref="AK31">SUMPRODUCT((Tabel1[Equipment]=Table46[[#This Row],[Equipment]])*(Tabel1[Facteur]=$D$8)*(Tabel1[Date]=AK$13*1)*(Tabel1[WO No]=Table46[[#This Row],[WO No]])*(Tabel1[Total]))</f>
        <v>0</v>
      </c>
      <c r="AL31" s="57">
        <f>SUM(Table46[[#This Row],[15/8]:[14/9]])</f>
        <v>52</v>
      </c>
      <c r="AM31" s="53">
        <f>IF(Table46[[#This Row],[Equipment]]="","",VLOOKUP(Table46[[#This Row],[Equipment]],Tableau2[[#All],[Equipment]:[PRICE]],4,0))</f>
        <v>1750</v>
      </c>
      <c r="AN31" s="58">
        <f>Table46[[#This Row],[Total Hrs]]* Table46[[#This Row],[Hourely Rate (MRU)]]</f>
        <v>91000</v>
      </c>
    </row>
    <row r="32" spans="1:45" ht="30" x14ac:dyDescent="0.3">
      <c r="B32" s="29" t="s">
        <v>34</v>
      </c>
      <c r="C32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2" s="55" t="s">
        <v>57</v>
      </c>
      <c r="E32" s="56" t="s">
        <v>56</v>
      </c>
      <c r="F32" s="63">
        <v>5252183</v>
      </c>
      <c r="G32" s="51" cm="1">
        <f t="array" ref="G32">SUMPRODUCT((Tabel1[Equipment]=Table46[[#This Row],[Equipment]])*(Tabel1[Facteur]=$D$8)*(Tabel1[Date]=G$13*1)*(Tabel1[WO No]=Table46[[#This Row],[WO No]])*(Tabel1[Total]))</f>
        <v>0</v>
      </c>
      <c r="H32" s="51" cm="1">
        <f t="array" ref="H32">SUMPRODUCT((Tabel1[Equipment]=Table46[[#This Row],[Equipment]])*(Tabel1[Facteur]=$D$8)*(Tabel1[Date]=H$13*1)*(Tabel1[WO No]=Table46[[#This Row],[WO No]])*(Tabel1[Total]))</f>
        <v>0</v>
      </c>
      <c r="I32" s="51" cm="1">
        <f t="array" ref="I32">SUMPRODUCT((Tabel1[Equipment]=Table46[[#This Row],[Equipment]])*(Tabel1[Facteur]=$D$8)*(Tabel1[Date]=I$13*1)*(Tabel1[WO No]=Table46[[#This Row],[WO No]])*(Tabel1[Total]))</f>
        <v>0</v>
      </c>
      <c r="J32" s="51" cm="1">
        <f t="array" ref="J32">SUMPRODUCT((Tabel1[Equipment]=Table46[[#This Row],[Equipment]])*(Tabel1[Facteur]=$D$8)*(Tabel1[Date]=J$13*1)*(Tabel1[WO No]=Table46[[#This Row],[WO No]])*(Tabel1[Total]))</f>
        <v>0</v>
      </c>
      <c r="K32" s="51" cm="1">
        <f t="array" ref="K32">SUMPRODUCT((Tabel1[Equipment]=Table46[[#This Row],[Equipment]])*(Tabel1[Facteur]=$D$8)*(Tabel1[Date]=K$13*1)*(Tabel1[WO No]=Table46[[#This Row],[WO No]])*(Tabel1[Total]))</f>
        <v>0</v>
      </c>
      <c r="L32" s="51" cm="1">
        <f t="array" ref="L32">SUMPRODUCT((Tabel1[Equipment]=Table46[[#This Row],[Equipment]])*(Tabel1[Facteur]=$D$8)*(Tabel1[Date]=L$13*1)*(Tabel1[WO No]=Table46[[#This Row],[WO No]])*(Tabel1[Total]))</f>
        <v>0</v>
      </c>
      <c r="M32" s="51" cm="1">
        <f t="array" ref="M32">SUMPRODUCT((Tabel1[Equipment]=Table46[[#This Row],[Equipment]])*(Tabel1[Facteur]=$D$8)*(Tabel1[Date]=M$13*1)*(Tabel1[WO No]=Table46[[#This Row],[WO No]])*(Tabel1[Total]))</f>
        <v>0</v>
      </c>
      <c r="N32" s="51" cm="1">
        <f t="array" ref="N32">SUMPRODUCT((Tabel1[Equipment]=Table46[[#This Row],[Equipment]])*(Tabel1[Facteur]=$D$8)*(Tabel1[Date]=N$13*1)*(Tabel1[WO No]=Table46[[#This Row],[WO No]])*(Tabel1[Total]))</f>
        <v>0</v>
      </c>
      <c r="O32" s="51" cm="1">
        <f t="array" ref="O32">SUMPRODUCT((Tabel1[Equipment]=Table46[[#This Row],[Equipment]])*(Tabel1[Facteur]=$D$8)*(Tabel1[Date]=O$13*1)*(Tabel1[WO No]=Table46[[#This Row],[WO No]])*(Tabel1[Total]))</f>
        <v>0</v>
      </c>
      <c r="P32" s="51" cm="1">
        <f t="array" ref="P32">SUMPRODUCT((Tabel1[Equipment]=Table46[[#This Row],[Equipment]])*(Tabel1[Facteur]=$D$8)*(Tabel1[Date]=P$13*1)*(Tabel1[WO No]=Table46[[#This Row],[WO No]])*(Tabel1[Total]))</f>
        <v>8</v>
      </c>
      <c r="Q32" s="51" cm="1">
        <f t="array" ref="Q32">SUMPRODUCT((Tabel1[Equipment]=Table46[[#This Row],[Equipment]])*(Tabel1[Facteur]=$D$8)*(Tabel1[Date]=Q$13*1)*(Tabel1[WO No]=Table46[[#This Row],[WO No]])*(Tabel1[Total]))</f>
        <v>8</v>
      </c>
      <c r="R32" s="51" cm="1">
        <f t="array" ref="R32">SUMPRODUCT((Tabel1[Equipment]=Table46[[#This Row],[Equipment]])*(Tabel1[Facteur]=$D$8)*(Tabel1[Date]=R$13*1)*(Tabel1[WO No]=Table46[[#This Row],[WO No]])*(Tabel1[Total]))</f>
        <v>0</v>
      </c>
      <c r="S32" s="51" cm="1">
        <f t="array" ref="S32">SUMPRODUCT((Tabel1[Equipment]=Table46[[#This Row],[Equipment]])*(Tabel1[Facteur]=$D$8)*(Tabel1[Date]=S$13*1)*(Tabel1[WO No]=Table46[[#This Row],[WO No]])*(Tabel1[Total]))</f>
        <v>0</v>
      </c>
      <c r="T32" s="51" cm="1">
        <f t="array" ref="T32">SUMPRODUCT((Tabel1[Equipment]=Table46[[#This Row],[Equipment]])*(Tabel1[Facteur]=$D$8)*(Tabel1[Date]=T$13*1)*(Tabel1[WO No]=Table46[[#This Row],[WO No]])*(Tabel1[Total]))</f>
        <v>0</v>
      </c>
      <c r="U32" s="51" cm="1">
        <f t="array" ref="U32">SUMPRODUCT((Tabel1[Equipment]=Table46[[#This Row],[Equipment]])*(Tabel1[Facteur]=$D$8)*(Tabel1[Date]=U$13*1)*(Tabel1[WO No]=Table46[[#This Row],[WO No]])*(Tabel1[Total]))</f>
        <v>0</v>
      </c>
      <c r="V32" s="51" cm="1">
        <f t="array" ref="V32">SUMPRODUCT((Tabel1[Equipment]=Table46[[#This Row],[Equipment]])*(Tabel1[Facteur]=$D$8)*(Tabel1[Date]=V$13*1)*(Tabel1[WO No]=Table46[[#This Row],[WO No]])*(Tabel1[Total]))</f>
        <v>0</v>
      </c>
      <c r="W32" s="51" cm="1">
        <f t="array" ref="W32">SUMPRODUCT((Tabel1[Equipment]=Table46[[#This Row],[Equipment]])*(Tabel1[Facteur]=$D$8)*(Tabel1[Date]=W$13*1)*(Tabel1[WO No]=Table46[[#This Row],[WO No]])*(Tabel1[Total]))</f>
        <v>0</v>
      </c>
      <c r="X32" s="51" cm="1">
        <f t="array" ref="X32">SUMPRODUCT((Tabel1[Equipment]=Table46[[#This Row],[Equipment]])*(Tabel1[Facteur]=$D$8)*(Tabel1[Date]=X$13*1)*(Tabel1[WO No]=Table46[[#This Row],[WO No]])*(Tabel1[Total]))</f>
        <v>0</v>
      </c>
      <c r="Y32" s="51" cm="1">
        <f t="array" ref="Y32">SUMPRODUCT((Tabel1[Equipment]=Table46[[#This Row],[Equipment]])*(Tabel1[Facteur]=$D$8)*(Tabel1[Date]=Y$13*1)*(Tabel1[WO No]=Table46[[#This Row],[WO No]])*(Tabel1[Total]))</f>
        <v>0</v>
      </c>
      <c r="Z32" s="51" cm="1">
        <f t="array" ref="Z32">SUMPRODUCT((Tabel1[Equipment]=Table46[[#This Row],[Equipment]])*(Tabel1[Facteur]=$D$8)*(Tabel1[Date]=Z$13*1)*(Tabel1[WO No]=Table46[[#This Row],[WO No]])*(Tabel1[Total]))</f>
        <v>0</v>
      </c>
      <c r="AA32" s="51" cm="1">
        <f t="array" ref="AA32">SUMPRODUCT((Tabel1[Equipment]=Table46[[#This Row],[Equipment]])*(Tabel1[Facteur]=$D$8)*(Tabel1[Date]=AA$13*1)*(Tabel1[WO No]=Table46[[#This Row],[WO No]])*(Tabel1[Total]))</f>
        <v>0</v>
      </c>
      <c r="AB32" s="51" cm="1">
        <f t="array" ref="AB32">SUMPRODUCT((Tabel1[Equipment]=Table46[[#This Row],[Equipment]])*(Tabel1[Facteur]=$D$8)*(Tabel1[Date]=AB$13*1)*(Tabel1[WO No]=Table46[[#This Row],[WO No]])*(Tabel1[Total]))</f>
        <v>0</v>
      </c>
      <c r="AC32" s="51" cm="1">
        <f t="array" ref="AC32">SUMPRODUCT((Tabel1[Equipment]=Table46[[#This Row],[Equipment]])*(Tabel1[Facteur]=$D$8)*(Tabel1[Date]=AC$13*1)*(Tabel1[WO No]=Table46[[#This Row],[WO No]])*(Tabel1[Total]))</f>
        <v>0</v>
      </c>
      <c r="AD32" s="51" cm="1">
        <f t="array" ref="AD32">SUMPRODUCT((Tabel1[Equipment]=Table46[[#This Row],[Equipment]])*(Tabel1[Facteur]=$D$8)*(Tabel1[Date]=AD$13*1)*(Tabel1[WO No]=Table46[[#This Row],[WO No]])*(Tabel1[Total]))</f>
        <v>0</v>
      </c>
      <c r="AE32" s="51" cm="1">
        <f t="array" ref="AE32">SUMPRODUCT((Tabel1[Equipment]=Table46[[#This Row],[Equipment]])*(Tabel1[Facteur]=$D$8)*(Tabel1[Date]=AE$13*1)*(Tabel1[WO No]=Table46[[#This Row],[WO No]])*(Tabel1[Total]))</f>
        <v>0</v>
      </c>
      <c r="AF32" s="51" cm="1">
        <f t="array" ref="AF32">SUMPRODUCT((Tabel1[Equipment]=Table46[[#This Row],[Equipment]])*(Tabel1[Facteur]=$D$8)*(Tabel1[Date]=AF$13*1)*(Tabel1[WO No]=Table46[[#This Row],[WO No]])*(Tabel1[Total]))</f>
        <v>0</v>
      </c>
      <c r="AG32" s="51" cm="1">
        <f t="array" ref="AG32">SUMPRODUCT((Tabel1[Equipment]=Table46[[#This Row],[Equipment]])*(Tabel1[Facteur]=$D$8)*(Tabel1[Date]=AG$13*1)*(Tabel1[WO No]=Table46[[#This Row],[WO No]])*(Tabel1[Total]))</f>
        <v>0</v>
      </c>
      <c r="AH32" s="51" cm="1">
        <f t="array" ref="AH32">SUMPRODUCT((Tabel1[Equipment]=Table46[[#This Row],[Equipment]])*(Tabel1[Facteur]=$D$8)*(Tabel1[Date]=AH$13*1)*(Tabel1[WO No]=Table46[[#This Row],[WO No]])*(Tabel1[Total]))</f>
        <v>0</v>
      </c>
      <c r="AI32" s="51" cm="1">
        <f t="array" ref="AI32">SUMPRODUCT((Tabel1[Equipment]=Table46[[#This Row],[Equipment]])*(Tabel1[Facteur]=$D$8)*(Tabel1[Date]=AI$13*1)*(Tabel1[WO No]=Table46[[#This Row],[WO No]])*(Tabel1[Total]))</f>
        <v>0</v>
      </c>
      <c r="AJ32" s="51" cm="1">
        <f t="array" ref="AJ32">SUMPRODUCT((Tabel1[Equipment]=Table46[[#This Row],[Equipment]])*(Tabel1[Facteur]=$D$8)*(Tabel1[Date]=AJ$13*1)*(Tabel1[WO No]=Table46[[#This Row],[WO No]])*(Tabel1[Total]))</f>
        <v>0</v>
      </c>
      <c r="AK32" s="51" cm="1">
        <f t="array" ref="AK32">SUMPRODUCT((Tabel1[Equipment]=Table46[[#This Row],[Equipment]])*(Tabel1[Facteur]=$D$8)*(Tabel1[Date]=AK$13*1)*(Tabel1[WO No]=Table46[[#This Row],[WO No]])*(Tabel1[Total]))</f>
        <v>0</v>
      </c>
      <c r="AL32" s="52">
        <f>SUM(Table46[[#This Row],[15/8]:[14/9]])</f>
        <v>16</v>
      </c>
      <c r="AM32" s="53">
        <f>IF(Table46[[#This Row],[Equipment]]="","",VLOOKUP(Table46[[#This Row],[Equipment]],Tableau2[[#All],[Equipment]:[PRICE]],4,0))</f>
        <v>970</v>
      </c>
      <c r="AN32" s="54">
        <f>Table46[[#This Row],[Total Hrs]]* Table46[[#This Row],[Hourely Rate (MRU)]]</f>
        <v>15520</v>
      </c>
    </row>
    <row r="33" spans="2:40" ht="30" x14ac:dyDescent="0.3">
      <c r="B33" s="29" t="s">
        <v>35</v>
      </c>
      <c r="C33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3" s="55" t="s">
        <v>57</v>
      </c>
      <c r="E33" s="56" t="s">
        <v>56</v>
      </c>
      <c r="F33" s="63">
        <v>5252183</v>
      </c>
      <c r="G33" s="51" cm="1">
        <f t="array" ref="G33">SUMPRODUCT((Tabel1[Equipment]=Table46[[#This Row],[Equipment]])*(Tabel1[Facteur]=$D$8)*(Tabel1[Date]=G$13*1)*(Tabel1[WO No]=Table46[[#This Row],[WO No]])*(Tabel1[Total]))</f>
        <v>0</v>
      </c>
      <c r="H33" s="51" cm="1">
        <f t="array" ref="H33">SUMPRODUCT((Tabel1[Equipment]=Table46[[#This Row],[Equipment]])*(Tabel1[Facteur]=$D$8)*(Tabel1[Date]=H$13*1)*(Tabel1[WO No]=Table46[[#This Row],[WO No]])*(Tabel1[Total]))</f>
        <v>0</v>
      </c>
      <c r="I33" s="51" cm="1">
        <f t="array" ref="I33">SUMPRODUCT((Tabel1[Equipment]=Table46[[#This Row],[Equipment]])*(Tabel1[Facteur]=$D$8)*(Tabel1[Date]=I$13*1)*(Tabel1[WO No]=Table46[[#This Row],[WO No]])*(Tabel1[Total]))</f>
        <v>0</v>
      </c>
      <c r="J33" s="51" cm="1">
        <f t="array" ref="J33">SUMPRODUCT((Tabel1[Equipment]=Table46[[#This Row],[Equipment]])*(Tabel1[Facteur]=$D$8)*(Tabel1[Date]=J$13*1)*(Tabel1[WO No]=Table46[[#This Row],[WO No]])*(Tabel1[Total]))</f>
        <v>0</v>
      </c>
      <c r="K33" s="51" cm="1">
        <f t="array" ref="K33">SUMPRODUCT((Tabel1[Equipment]=Table46[[#This Row],[Equipment]])*(Tabel1[Facteur]=$D$8)*(Tabel1[Date]=K$13*1)*(Tabel1[WO No]=Table46[[#This Row],[WO No]])*(Tabel1[Total]))</f>
        <v>0</v>
      </c>
      <c r="L33" s="51" cm="1">
        <f t="array" ref="L33">SUMPRODUCT((Tabel1[Equipment]=Table46[[#This Row],[Equipment]])*(Tabel1[Facteur]=$D$8)*(Tabel1[Date]=L$13*1)*(Tabel1[WO No]=Table46[[#This Row],[WO No]])*(Tabel1[Total]))</f>
        <v>0</v>
      </c>
      <c r="M33" s="51" cm="1">
        <f t="array" ref="M33">SUMPRODUCT((Tabel1[Equipment]=Table46[[#This Row],[Equipment]])*(Tabel1[Facteur]=$D$8)*(Tabel1[Date]=M$13*1)*(Tabel1[WO No]=Table46[[#This Row],[WO No]])*(Tabel1[Total]))</f>
        <v>0</v>
      </c>
      <c r="N33" s="51" cm="1">
        <f t="array" ref="N33">SUMPRODUCT((Tabel1[Equipment]=Table46[[#This Row],[Equipment]])*(Tabel1[Facteur]=$D$8)*(Tabel1[Date]=N$13*1)*(Tabel1[WO No]=Table46[[#This Row],[WO No]])*(Tabel1[Total]))</f>
        <v>0</v>
      </c>
      <c r="O33" s="51" cm="1">
        <f t="array" ref="O33">SUMPRODUCT((Tabel1[Equipment]=Table46[[#This Row],[Equipment]])*(Tabel1[Facteur]=$D$8)*(Tabel1[Date]=O$13*1)*(Tabel1[WO No]=Table46[[#This Row],[WO No]])*(Tabel1[Total]))</f>
        <v>0</v>
      </c>
      <c r="P33" s="51" cm="1">
        <f t="array" ref="P33">SUMPRODUCT((Tabel1[Equipment]=Table46[[#This Row],[Equipment]])*(Tabel1[Facteur]=$D$8)*(Tabel1[Date]=P$13*1)*(Tabel1[WO No]=Table46[[#This Row],[WO No]])*(Tabel1[Total]))</f>
        <v>8</v>
      </c>
      <c r="Q33" s="51" cm="1">
        <f t="array" ref="Q33">SUMPRODUCT((Tabel1[Equipment]=Table46[[#This Row],[Equipment]])*(Tabel1[Facteur]=$D$8)*(Tabel1[Date]=Q$13*1)*(Tabel1[WO No]=Table46[[#This Row],[WO No]])*(Tabel1[Total]))</f>
        <v>8</v>
      </c>
      <c r="R33" s="51" cm="1">
        <f t="array" ref="R33">SUMPRODUCT((Tabel1[Equipment]=Table46[[#This Row],[Equipment]])*(Tabel1[Facteur]=$D$8)*(Tabel1[Date]=R$13*1)*(Tabel1[WO No]=Table46[[#This Row],[WO No]])*(Tabel1[Total]))</f>
        <v>0</v>
      </c>
      <c r="S33" s="51" cm="1">
        <f t="array" ref="S33">SUMPRODUCT((Tabel1[Equipment]=Table46[[#This Row],[Equipment]])*(Tabel1[Facteur]=$D$8)*(Tabel1[Date]=S$13*1)*(Tabel1[WO No]=Table46[[#This Row],[WO No]])*(Tabel1[Total]))</f>
        <v>0</v>
      </c>
      <c r="T33" s="51" cm="1">
        <f t="array" ref="T33">SUMPRODUCT((Tabel1[Equipment]=Table46[[#This Row],[Equipment]])*(Tabel1[Facteur]=$D$8)*(Tabel1[Date]=T$13*1)*(Tabel1[WO No]=Table46[[#This Row],[WO No]])*(Tabel1[Total]))</f>
        <v>0</v>
      </c>
      <c r="U33" s="51" cm="1">
        <f t="array" ref="U33">SUMPRODUCT((Tabel1[Equipment]=Table46[[#This Row],[Equipment]])*(Tabel1[Facteur]=$D$8)*(Tabel1[Date]=U$13*1)*(Tabel1[WO No]=Table46[[#This Row],[WO No]])*(Tabel1[Total]))</f>
        <v>0</v>
      </c>
      <c r="V33" s="51" cm="1">
        <f t="array" ref="V33">SUMPRODUCT((Tabel1[Equipment]=Table46[[#This Row],[Equipment]])*(Tabel1[Facteur]=$D$8)*(Tabel1[Date]=V$13*1)*(Tabel1[WO No]=Table46[[#This Row],[WO No]])*(Tabel1[Total]))</f>
        <v>0</v>
      </c>
      <c r="W33" s="51" cm="1">
        <f t="array" ref="W33">SUMPRODUCT((Tabel1[Equipment]=Table46[[#This Row],[Equipment]])*(Tabel1[Facteur]=$D$8)*(Tabel1[Date]=W$13*1)*(Tabel1[WO No]=Table46[[#This Row],[WO No]])*(Tabel1[Total]))</f>
        <v>0</v>
      </c>
      <c r="X33" s="51" cm="1">
        <f t="array" ref="X33">SUMPRODUCT((Tabel1[Equipment]=Table46[[#This Row],[Equipment]])*(Tabel1[Facteur]=$D$8)*(Tabel1[Date]=X$13*1)*(Tabel1[WO No]=Table46[[#This Row],[WO No]])*(Tabel1[Total]))</f>
        <v>0</v>
      </c>
      <c r="Y33" s="51" cm="1">
        <f t="array" ref="Y33">SUMPRODUCT((Tabel1[Equipment]=Table46[[#This Row],[Equipment]])*(Tabel1[Facteur]=$D$8)*(Tabel1[Date]=Y$13*1)*(Tabel1[WO No]=Table46[[#This Row],[WO No]])*(Tabel1[Total]))</f>
        <v>0</v>
      </c>
      <c r="Z33" s="51" cm="1">
        <f t="array" ref="Z33">SUMPRODUCT((Tabel1[Equipment]=Table46[[#This Row],[Equipment]])*(Tabel1[Facteur]=$D$8)*(Tabel1[Date]=Z$13*1)*(Tabel1[WO No]=Table46[[#This Row],[WO No]])*(Tabel1[Total]))</f>
        <v>0</v>
      </c>
      <c r="AA33" s="51" cm="1">
        <f t="array" ref="AA33">SUMPRODUCT((Tabel1[Equipment]=Table46[[#This Row],[Equipment]])*(Tabel1[Facteur]=$D$8)*(Tabel1[Date]=AA$13*1)*(Tabel1[WO No]=Table46[[#This Row],[WO No]])*(Tabel1[Total]))</f>
        <v>0</v>
      </c>
      <c r="AB33" s="51" cm="1">
        <f t="array" ref="AB33">SUMPRODUCT((Tabel1[Equipment]=Table46[[#This Row],[Equipment]])*(Tabel1[Facteur]=$D$8)*(Tabel1[Date]=AB$13*1)*(Tabel1[WO No]=Table46[[#This Row],[WO No]])*(Tabel1[Total]))</f>
        <v>0</v>
      </c>
      <c r="AC33" s="51" cm="1">
        <f t="array" ref="AC33">SUMPRODUCT((Tabel1[Equipment]=Table46[[#This Row],[Equipment]])*(Tabel1[Facteur]=$D$8)*(Tabel1[Date]=AC$13*1)*(Tabel1[WO No]=Table46[[#This Row],[WO No]])*(Tabel1[Total]))</f>
        <v>0</v>
      </c>
      <c r="AD33" s="51" cm="1">
        <f t="array" ref="AD33">SUMPRODUCT((Tabel1[Equipment]=Table46[[#This Row],[Equipment]])*(Tabel1[Facteur]=$D$8)*(Tabel1[Date]=AD$13*1)*(Tabel1[WO No]=Table46[[#This Row],[WO No]])*(Tabel1[Total]))</f>
        <v>0</v>
      </c>
      <c r="AE33" s="51" cm="1">
        <f t="array" ref="AE33">SUMPRODUCT((Tabel1[Equipment]=Table46[[#This Row],[Equipment]])*(Tabel1[Facteur]=$D$8)*(Tabel1[Date]=AE$13*1)*(Tabel1[WO No]=Table46[[#This Row],[WO No]])*(Tabel1[Total]))</f>
        <v>0</v>
      </c>
      <c r="AF33" s="51" cm="1">
        <f t="array" ref="AF33">SUMPRODUCT((Tabel1[Equipment]=Table46[[#This Row],[Equipment]])*(Tabel1[Facteur]=$D$8)*(Tabel1[Date]=AF$13*1)*(Tabel1[WO No]=Table46[[#This Row],[WO No]])*(Tabel1[Total]))</f>
        <v>0</v>
      </c>
      <c r="AG33" s="51" cm="1">
        <f t="array" ref="AG33">SUMPRODUCT((Tabel1[Equipment]=Table46[[#This Row],[Equipment]])*(Tabel1[Facteur]=$D$8)*(Tabel1[Date]=AG$13*1)*(Tabel1[WO No]=Table46[[#This Row],[WO No]])*(Tabel1[Total]))</f>
        <v>0</v>
      </c>
      <c r="AH33" s="51" cm="1">
        <f t="array" ref="AH33">SUMPRODUCT((Tabel1[Equipment]=Table46[[#This Row],[Equipment]])*(Tabel1[Facteur]=$D$8)*(Tabel1[Date]=AH$13*1)*(Tabel1[WO No]=Table46[[#This Row],[WO No]])*(Tabel1[Total]))</f>
        <v>0</v>
      </c>
      <c r="AI33" s="51" cm="1">
        <f t="array" ref="AI33">SUMPRODUCT((Tabel1[Equipment]=Table46[[#This Row],[Equipment]])*(Tabel1[Facteur]=$D$8)*(Tabel1[Date]=AI$13*1)*(Tabel1[WO No]=Table46[[#This Row],[WO No]])*(Tabel1[Total]))</f>
        <v>0</v>
      </c>
      <c r="AJ33" s="51" cm="1">
        <f t="array" ref="AJ33">SUMPRODUCT((Tabel1[Equipment]=Table46[[#This Row],[Equipment]])*(Tabel1[Facteur]=$D$8)*(Tabel1[Date]=AJ$13*1)*(Tabel1[WO No]=Table46[[#This Row],[WO No]])*(Tabel1[Total]))</f>
        <v>0</v>
      </c>
      <c r="AK33" s="51" cm="1">
        <f t="array" ref="AK33">SUMPRODUCT((Tabel1[Equipment]=Table46[[#This Row],[Equipment]])*(Tabel1[Facteur]=$D$8)*(Tabel1[Date]=AK$13*1)*(Tabel1[WO No]=Table46[[#This Row],[WO No]])*(Tabel1[Total]))</f>
        <v>0</v>
      </c>
      <c r="AL33" s="52">
        <f>SUM(Table46[[#This Row],[15/8]:[14/9]])</f>
        <v>16</v>
      </c>
      <c r="AM33" s="53">
        <f>IF(Table46[[#This Row],[Equipment]]="","",VLOOKUP(Table46[[#This Row],[Equipment]],Tableau2[[#All],[Equipment]:[PRICE]],4,0))</f>
        <v>970</v>
      </c>
      <c r="AN33" s="54">
        <f>Table46[[#This Row],[Total Hrs]]* Table46[[#This Row],[Hourely Rate (MRU)]]</f>
        <v>15520</v>
      </c>
    </row>
    <row r="34" spans="2:40" ht="30" x14ac:dyDescent="0.3">
      <c r="B34" s="29" t="s">
        <v>36</v>
      </c>
      <c r="C34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4" s="55" t="s">
        <v>57</v>
      </c>
      <c r="E34" s="56" t="s">
        <v>56</v>
      </c>
      <c r="F34" s="63">
        <v>5252183</v>
      </c>
      <c r="G34" s="51" cm="1">
        <f t="array" ref="G34">SUMPRODUCT((Tabel1[Equipment]=Table46[[#This Row],[Equipment]])*(Tabel1[Facteur]=$D$8)*(Tabel1[Date]=G$13*1)*(Tabel1[WO No]=Table46[[#This Row],[WO No]])*(Tabel1[Total]))</f>
        <v>0</v>
      </c>
      <c r="H34" s="51" cm="1">
        <f t="array" ref="H34">SUMPRODUCT((Tabel1[Equipment]=Table46[[#This Row],[Equipment]])*(Tabel1[Facteur]=$D$8)*(Tabel1[Date]=H$13*1)*(Tabel1[WO No]=Table46[[#This Row],[WO No]])*(Tabel1[Total]))</f>
        <v>0</v>
      </c>
      <c r="I34" s="51" cm="1">
        <f t="array" ref="I34">SUMPRODUCT((Tabel1[Equipment]=Table46[[#This Row],[Equipment]])*(Tabel1[Facteur]=$D$8)*(Tabel1[Date]=I$13*1)*(Tabel1[WO No]=Table46[[#This Row],[WO No]])*(Tabel1[Total]))</f>
        <v>0</v>
      </c>
      <c r="J34" s="51" cm="1">
        <f t="array" ref="J34">SUMPRODUCT((Tabel1[Equipment]=Table46[[#This Row],[Equipment]])*(Tabel1[Facteur]=$D$8)*(Tabel1[Date]=J$13*1)*(Tabel1[WO No]=Table46[[#This Row],[WO No]])*(Tabel1[Total]))</f>
        <v>0</v>
      </c>
      <c r="K34" s="51" cm="1">
        <f t="array" ref="K34">SUMPRODUCT((Tabel1[Equipment]=Table46[[#This Row],[Equipment]])*(Tabel1[Facteur]=$D$8)*(Tabel1[Date]=K$13*1)*(Tabel1[WO No]=Table46[[#This Row],[WO No]])*(Tabel1[Total]))</f>
        <v>0</v>
      </c>
      <c r="L34" s="51" cm="1">
        <f t="array" ref="L34">SUMPRODUCT((Tabel1[Equipment]=Table46[[#This Row],[Equipment]])*(Tabel1[Facteur]=$D$8)*(Tabel1[Date]=L$13*1)*(Tabel1[WO No]=Table46[[#This Row],[WO No]])*(Tabel1[Total]))</f>
        <v>0</v>
      </c>
      <c r="M34" s="51" cm="1">
        <f t="array" ref="M34">SUMPRODUCT((Tabel1[Equipment]=Table46[[#This Row],[Equipment]])*(Tabel1[Facteur]=$D$8)*(Tabel1[Date]=M$13*1)*(Tabel1[WO No]=Table46[[#This Row],[WO No]])*(Tabel1[Total]))</f>
        <v>0</v>
      </c>
      <c r="N34" s="51" cm="1">
        <f t="array" ref="N34">SUMPRODUCT((Tabel1[Equipment]=Table46[[#This Row],[Equipment]])*(Tabel1[Facteur]=$D$8)*(Tabel1[Date]=N$13*1)*(Tabel1[WO No]=Table46[[#This Row],[WO No]])*(Tabel1[Total]))</f>
        <v>0</v>
      </c>
      <c r="O34" s="51" cm="1">
        <f t="array" ref="O34">SUMPRODUCT((Tabel1[Equipment]=Table46[[#This Row],[Equipment]])*(Tabel1[Facteur]=$D$8)*(Tabel1[Date]=O$13*1)*(Tabel1[WO No]=Table46[[#This Row],[WO No]])*(Tabel1[Total]))</f>
        <v>0</v>
      </c>
      <c r="P34" s="51" cm="1">
        <f t="array" ref="P34">SUMPRODUCT((Tabel1[Equipment]=Table46[[#This Row],[Equipment]])*(Tabel1[Facteur]=$D$8)*(Tabel1[Date]=P$13*1)*(Tabel1[WO No]=Table46[[#This Row],[WO No]])*(Tabel1[Total]))</f>
        <v>8</v>
      </c>
      <c r="Q34" s="51" cm="1">
        <f t="array" ref="Q34">SUMPRODUCT((Tabel1[Equipment]=Table46[[#This Row],[Equipment]])*(Tabel1[Facteur]=$D$8)*(Tabel1[Date]=Q$13*1)*(Tabel1[WO No]=Table46[[#This Row],[WO No]])*(Tabel1[Total]))</f>
        <v>8</v>
      </c>
      <c r="R34" s="51" cm="1">
        <f t="array" ref="R34">SUMPRODUCT((Tabel1[Equipment]=Table46[[#This Row],[Equipment]])*(Tabel1[Facteur]=$D$8)*(Tabel1[Date]=R$13*1)*(Tabel1[WO No]=Table46[[#This Row],[WO No]])*(Tabel1[Total]))</f>
        <v>0</v>
      </c>
      <c r="S34" s="51" cm="1">
        <f t="array" ref="S34">SUMPRODUCT((Tabel1[Equipment]=Table46[[#This Row],[Equipment]])*(Tabel1[Facteur]=$D$8)*(Tabel1[Date]=S$13*1)*(Tabel1[WO No]=Table46[[#This Row],[WO No]])*(Tabel1[Total]))</f>
        <v>0</v>
      </c>
      <c r="T34" s="51" cm="1">
        <f t="array" ref="T34">SUMPRODUCT((Tabel1[Equipment]=Table46[[#This Row],[Equipment]])*(Tabel1[Facteur]=$D$8)*(Tabel1[Date]=T$13*1)*(Tabel1[WO No]=Table46[[#This Row],[WO No]])*(Tabel1[Total]))</f>
        <v>0</v>
      </c>
      <c r="U34" s="51" cm="1">
        <f t="array" ref="U34">SUMPRODUCT((Tabel1[Equipment]=Table46[[#This Row],[Equipment]])*(Tabel1[Facteur]=$D$8)*(Tabel1[Date]=U$13*1)*(Tabel1[WO No]=Table46[[#This Row],[WO No]])*(Tabel1[Total]))</f>
        <v>0</v>
      </c>
      <c r="V34" s="51" cm="1">
        <f t="array" ref="V34">SUMPRODUCT((Tabel1[Equipment]=Table46[[#This Row],[Equipment]])*(Tabel1[Facteur]=$D$8)*(Tabel1[Date]=V$13*1)*(Tabel1[WO No]=Table46[[#This Row],[WO No]])*(Tabel1[Total]))</f>
        <v>0</v>
      </c>
      <c r="W34" s="51" cm="1">
        <f t="array" ref="W34">SUMPRODUCT((Tabel1[Equipment]=Table46[[#This Row],[Equipment]])*(Tabel1[Facteur]=$D$8)*(Tabel1[Date]=W$13*1)*(Tabel1[WO No]=Table46[[#This Row],[WO No]])*(Tabel1[Total]))</f>
        <v>0</v>
      </c>
      <c r="X34" s="51" cm="1">
        <f t="array" ref="X34">SUMPRODUCT((Tabel1[Equipment]=Table46[[#This Row],[Equipment]])*(Tabel1[Facteur]=$D$8)*(Tabel1[Date]=X$13*1)*(Tabel1[WO No]=Table46[[#This Row],[WO No]])*(Tabel1[Total]))</f>
        <v>0</v>
      </c>
      <c r="Y34" s="51" cm="1">
        <f t="array" ref="Y34">SUMPRODUCT((Tabel1[Equipment]=Table46[[#This Row],[Equipment]])*(Tabel1[Facteur]=$D$8)*(Tabel1[Date]=Y$13*1)*(Tabel1[WO No]=Table46[[#This Row],[WO No]])*(Tabel1[Total]))</f>
        <v>0</v>
      </c>
      <c r="Z34" s="51" cm="1">
        <f t="array" ref="Z34">SUMPRODUCT((Tabel1[Equipment]=Table46[[#This Row],[Equipment]])*(Tabel1[Facteur]=$D$8)*(Tabel1[Date]=Z$13*1)*(Tabel1[WO No]=Table46[[#This Row],[WO No]])*(Tabel1[Total]))</f>
        <v>0</v>
      </c>
      <c r="AA34" s="51" cm="1">
        <f t="array" ref="AA34">SUMPRODUCT((Tabel1[Equipment]=Table46[[#This Row],[Equipment]])*(Tabel1[Facteur]=$D$8)*(Tabel1[Date]=AA$13*1)*(Tabel1[WO No]=Table46[[#This Row],[WO No]])*(Tabel1[Total]))</f>
        <v>0</v>
      </c>
      <c r="AB34" s="51" cm="1">
        <f t="array" ref="AB34">SUMPRODUCT((Tabel1[Equipment]=Table46[[#This Row],[Equipment]])*(Tabel1[Facteur]=$D$8)*(Tabel1[Date]=AB$13*1)*(Tabel1[WO No]=Table46[[#This Row],[WO No]])*(Tabel1[Total]))</f>
        <v>0</v>
      </c>
      <c r="AC34" s="51" cm="1">
        <f t="array" ref="AC34">SUMPRODUCT((Tabel1[Equipment]=Table46[[#This Row],[Equipment]])*(Tabel1[Facteur]=$D$8)*(Tabel1[Date]=AC$13*1)*(Tabel1[WO No]=Table46[[#This Row],[WO No]])*(Tabel1[Total]))</f>
        <v>0</v>
      </c>
      <c r="AD34" s="51" cm="1">
        <f t="array" ref="AD34">SUMPRODUCT((Tabel1[Equipment]=Table46[[#This Row],[Equipment]])*(Tabel1[Facteur]=$D$8)*(Tabel1[Date]=AD$13*1)*(Tabel1[WO No]=Table46[[#This Row],[WO No]])*(Tabel1[Total]))</f>
        <v>0</v>
      </c>
      <c r="AE34" s="51" cm="1">
        <f t="array" ref="AE34">SUMPRODUCT((Tabel1[Equipment]=Table46[[#This Row],[Equipment]])*(Tabel1[Facteur]=$D$8)*(Tabel1[Date]=AE$13*1)*(Tabel1[WO No]=Table46[[#This Row],[WO No]])*(Tabel1[Total]))</f>
        <v>0</v>
      </c>
      <c r="AF34" s="51" cm="1">
        <f t="array" ref="AF34">SUMPRODUCT((Tabel1[Equipment]=Table46[[#This Row],[Equipment]])*(Tabel1[Facteur]=$D$8)*(Tabel1[Date]=AF$13*1)*(Tabel1[WO No]=Table46[[#This Row],[WO No]])*(Tabel1[Total]))</f>
        <v>0</v>
      </c>
      <c r="AG34" s="51" cm="1">
        <f t="array" ref="AG34">SUMPRODUCT((Tabel1[Equipment]=Table46[[#This Row],[Equipment]])*(Tabel1[Facteur]=$D$8)*(Tabel1[Date]=AG$13*1)*(Tabel1[WO No]=Table46[[#This Row],[WO No]])*(Tabel1[Total]))</f>
        <v>0</v>
      </c>
      <c r="AH34" s="51" cm="1">
        <f t="array" ref="AH34">SUMPRODUCT((Tabel1[Equipment]=Table46[[#This Row],[Equipment]])*(Tabel1[Facteur]=$D$8)*(Tabel1[Date]=AH$13*1)*(Tabel1[WO No]=Table46[[#This Row],[WO No]])*(Tabel1[Total]))</f>
        <v>0</v>
      </c>
      <c r="AI34" s="51" cm="1">
        <f t="array" ref="AI34">SUMPRODUCT((Tabel1[Equipment]=Table46[[#This Row],[Equipment]])*(Tabel1[Facteur]=$D$8)*(Tabel1[Date]=AI$13*1)*(Tabel1[WO No]=Table46[[#This Row],[WO No]])*(Tabel1[Total]))</f>
        <v>0</v>
      </c>
      <c r="AJ34" s="51" cm="1">
        <f t="array" ref="AJ34">SUMPRODUCT((Tabel1[Equipment]=Table46[[#This Row],[Equipment]])*(Tabel1[Facteur]=$D$8)*(Tabel1[Date]=AJ$13*1)*(Tabel1[WO No]=Table46[[#This Row],[WO No]])*(Tabel1[Total]))</f>
        <v>0</v>
      </c>
      <c r="AK34" s="51" cm="1">
        <f t="array" ref="AK34">SUMPRODUCT((Tabel1[Equipment]=Table46[[#This Row],[Equipment]])*(Tabel1[Facteur]=$D$8)*(Tabel1[Date]=AK$13*1)*(Tabel1[WO No]=Table46[[#This Row],[WO No]])*(Tabel1[Total]))</f>
        <v>0</v>
      </c>
      <c r="AL34" s="52">
        <f>SUM(Table46[[#This Row],[15/8]:[14/9]])</f>
        <v>16</v>
      </c>
      <c r="AM34" s="53">
        <f>IF(Table46[[#This Row],[Equipment]]="","",VLOOKUP(Table46[[#This Row],[Equipment]],Tableau2[[#All],[Equipment]:[PRICE]],4,0))</f>
        <v>970</v>
      </c>
      <c r="AN34" s="54">
        <f>Table46[[#This Row],[Total Hrs]]* Table46[[#This Row],[Hourely Rate (MRU)]]</f>
        <v>15520</v>
      </c>
    </row>
    <row r="35" spans="2:40" ht="30" x14ac:dyDescent="0.3">
      <c r="B35" s="29" t="s">
        <v>37</v>
      </c>
      <c r="C35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5" s="55" t="s">
        <v>57</v>
      </c>
      <c r="E35" s="56" t="s">
        <v>56</v>
      </c>
      <c r="F35" s="63">
        <v>5252183</v>
      </c>
      <c r="G35" s="51" cm="1">
        <f t="array" ref="G35">SUMPRODUCT((Tabel1[Equipment]=Table46[[#This Row],[Equipment]])*(Tabel1[Facteur]=$D$8)*(Tabel1[Date]=G$13*1)*(Tabel1[WO No]=Table46[[#This Row],[WO No]])*(Tabel1[Total]))</f>
        <v>0</v>
      </c>
      <c r="H35" s="51" cm="1">
        <f t="array" ref="H35">SUMPRODUCT((Tabel1[Equipment]=Table46[[#This Row],[Equipment]])*(Tabel1[Facteur]=$D$8)*(Tabel1[Date]=H$13*1)*(Tabel1[WO No]=Table46[[#This Row],[WO No]])*(Tabel1[Total]))</f>
        <v>0</v>
      </c>
      <c r="I35" s="51" cm="1">
        <f t="array" ref="I35">SUMPRODUCT((Tabel1[Equipment]=Table46[[#This Row],[Equipment]])*(Tabel1[Facteur]=$D$8)*(Tabel1[Date]=I$13*1)*(Tabel1[WO No]=Table46[[#This Row],[WO No]])*(Tabel1[Total]))</f>
        <v>0</v>
      </c>
      <c r="J35" s="51" cm="1">
        <f t="array" ref="J35">SUMPRODUCT((Tabel1[Equipment]=Table46[[#This Row],[Equipment]])*(Tabel1[Facteur]=$D$8)*(Tabel1[Date]=J$13*1)*(Tabel1[WO No]=Table46[[#This Row],[WO No]])*(Tabel1[Total]))</f>
        <v>0</v>
      </c>
      <c r="K35" s="51" cm="1">
        <f t="array" ref="K35">SUMPRODUCT((Tabel1[Equipment]=Table46[[#This Row],[Equipment]])*(Tabel1[Facteur]=$D$8)*(Tabel1[Date]=K$13*1)*(Tabel1[WO No]=Table46[[#This Row],[WO No]])*(Tabel1[Total]))</f>
        <v>0</v>
      </c>
      <c r="L35" s="51" cm="1">
        <f t="array" ref="L35">SUMPRODUCT((Tabel1[Equipment]=Table46[[#This Row],[Equipment]])*(Tabel1[Facteur]=$D$8)*(Tabel1[Date]=L$13*1)*(Tabel1[WO No]=Table46[[#This Row],[WO No]])*(Tabel1[Total]))</f>
        <v>0</v>
      </c>
      <c r="M35" s="51" cm="1">
        <f t="array" ref="M35">SUMPRODUCT((Tabel1[Equipment]=Table46[[#This Row],[Equipment]])*(Tabel1[Facteur]=$D$8)*(Tabel1[Date]=M$13*1)*(Tabel1[WO No]=Table46[[#This Row],[WO No]])*(Tabel1[Total]))</f>
        <v>0</v>
      </c>
      <c r="N35" s="51" cm="1">
        <f t="array" ref="N35">SUMPRODUCT((Tabel1[Equipment]=Table46[[#This Row],[Equipment]])*(Tabel1[Facteur]=$D$8)*(Tabel1[Date]=N$13*1)*(Tabel1[WO No]=Table46[[#This Row],[WO No]])*(Tabel1[Total]))</f>
        <v>0</v>
      </c>
      <c r="O35" s="51" cm="1">
        <f t="array" ref="O35">SUMPRODUCT((Tabel1[Equipment]=Table46[[#This Row],[Equipment]])*(Tabel1[Facteur]=$D$8)*(Tabel1[Date]=O$13*1)*(Tabel1[WO No]=Table46[[#This Row],[WO No]])*(Tabel1[Total]))</f>
        <v>0</v>
      </c>
      <c r="P35" s="51" cm="1">
        <f t="array" ref="P35">SUMPRODUCT((Tabel1[Equipment]=Table46[[#This Row],[Equipment]])*(Tabel1[Facteur]=$D$8)*(Tabel1[Date]=P$13*1)*(Tabel1[WO No]=Table46[[#This Row],[WO No]])*(Tabel1[Total]))</f>
        <v>2</v>
      </c>
      <c r="Q35" s="51" cm="1">
        <f t="array" ref="Q35">SUMPRODUCT((Tabel1[Equipment]=Table46[[#This Row],[Equipment]])*(Tabel1[Facteur]=$D$8)*(Tabel1[Date]=Q$13*1)*(Tabel1[WO No]=Table46[[#This Row],[WO No]])*(Tabel1[Total]))</f>
        <v>0</v>
      </c>
      <c r="R35" s="51" cm="1">
        <f t="array" ref="R35">SUMPRODUCT((Tabel1[Equipment]=Table46[[#This Row],[Equipment]])*(Tabel1[Facteur]=$D$8)*(Tabel1[Date]=R$13*1)*(Tabel1[WO No]=Table46[[#This Row],[WO No]])*(Tabel1[Total]))</f>
        <v>0</v>
      </c>
      <c r="S35" s="51" cm="1">
        <f t="array" ref="S35">SUMPRODUCT((Tabel1[Equipment]=Table46[[#This Row],[Equipment]])*(Tabel1[Facteur]=$D$8)*(Tabel1[Date]=S$13*1)*(Tabel1[WO No]=Table46[[#This Row],[WO No]])*(Tabel1[Total]))</f>
        <v>0</v>
      </c>
      <c r="T35" s="51" cm="1">
        <f t="array" ref="T35">SUMPRODUCT((Tabel1[Equipment]=Table46[[#This Row],[Equipment]])*(Tabel1[Facteur]=$D$8)*(Tabel1[Date]=T$13*1)*(Tabel1[WO No]=Table46[[#This Row],[WO No]])*(Tabel1[Total]))</f>
        <v>0</v>
      </c>
      <c r="U35" s="51" cm="1">
        <f t="array" ref="U35">SUMPRODUCT((Tabel1[Equipment]=Table46[[#This Row],[Equipment]])*(Tabel1[Facteur]=$D$8)*(Tabel1[Date]=U$13*1)*(Tabel1[WO No]=Table46[[#This Row],[WO No]])*(Tabel1[Total]))</f>
        <v>0</v>
      </c>
      <c r="V35" s="51" cm="1">
        <f t="array" ref="V35">SUMPRODUCT((Tabel1[Equipment]=Table46[[#This Row],[Equipment]])*(Tabel1[Facteur]=$D$8)*(Tabel1[Date]=V$13*1)*(Tabel1[WO No]=Table46[[#This Row],[WO No]])*(Tabel1[Total]))</f>
        <v>0</v>
      </c>
      <c r="W35" s="51" cm="1">
        <f t="array" ref="W35">SUMPRODUCT((Tabel1[Equipment]=Table46[[#This Row],[Equipment]])*(Tabel1[Facteur]=$D$8)*(Tabel1[Date]=W$13*1)*(Tabel1[WO No]=Table46[[#This Row],[WO No]])*(Tabel1[Total]))</f>
        <v>0</v>
      </c>
      <c r="X35" s="51" cm="1">
        <f t="array" ref="X35">SUMPRODUCT((Tabel1[Equipment]=Table46[[#This Row],[Equipment]])*(Tabel1[Facteur]=$D$8)*(Tabel1[Date]=X$13*1)*(Tabel1[WO No]=Table46[[#This Row],[WO No]])*(Tabel1[Total]))</f>
        <v>0</v>
      </c>
      <c r="Y35" s="51" cm="1">
        <f t="array" ref="Y35">SUMPRODUCT((Tabel1[Equipment]=Table46[[#This Row],[Equipment]])*(Tabel1[Facteur]=$D$8)*(Tabel1[Date]=Y$13*1)*(Tabel1[WO No]=Table46[[#This Row],[WO No]])*(Tabel1[Total]))</f>
        <v>0</v>
      </c>
      <c r="Z35" s="51" cm="1">
        <f t="array" ref="Z35">SUMPRODUCT((Tabel1[Equipment]=Table46[[#This Row],[Equipment]])*(Tabel1[Facteur]=$D$8)*(Tabel1[Date]=Z$13*1)*(Tabel1[WO No]=Table46[[#This Row],[WO No]])*(Tabel1[Total]))</f>
        <v>0</v>
      </c>
      <c r="AA35" s="51" cm="1">
        <f t="array" ref="AA35">SUMPRODUCT((Tabel1[Equipment]=Table46[[#This Row],[Equipment]])*(Tabel1[Facteur]=$D$8)*(Tabel1[Date]=AA$13*1)*(Tabel1[WO No]=Table46[[#This Row],[WO No]])*(Tabel1[Total]))</f>
        <v>0</v>
      </c>
      <c r="AB35" s="51" cm="1">
        <f t="array" ref="AB35">SUMPRODUCT((Tabel1[Equipment]=Table46[[#This Row],[Equipment]])*(Tabel1[Facteur]=$D$8)*(Tabel1[Date]=AB$13*1)*(Tabel1[WO No]=Table46[[#This Row],[WO No]])*(Tabel1[Total]))</f>
        <v>0</v>
      </c>
      <c r="AC35" s="51" cm="1">
        <f t="array" ref="AC35">SUMPRODUCT((Tabel1[Equipment]=Table46[[#This Row],[Equipment]])*(Tabel1[Facteur]=$D$8)*(Tabel1[Date]=AC$13*1)*(Tabel1[WO No]=Table46[[#This Row],[WO No]])*(Tabel1[Total]))</f>
        <v>0</v>
      </c>
      <c r="AD35" s="51" cm="1">
        <f t="array" ref="AD35">SUMPRODUCT((Tabel1[Equipment]=Table46[[#This Row],[Equipment]])*(Tabel1[Facteur]=$D$8)*(Tabel1[Date]=AD$13*1)*(Tabel1[WO No]=Table46[[#This Row],[WO No]])*(Tabel1[Total]))</f>
        <v>0</v>
      </c>
      <c r="AE35" s="51" cm="1">
        <f t="array" ref="AE35">SUMPRODUCT((Tabel1[Equipment]=Table46[[#This Row],[Equipment]])*(Tabel1[Facteur]=$D$8)*(Tabel1[Date]=AE$13*1)*(Tabel1[WO No]=Table46[[#This Row],[WO No]])*(Tabel1[Total]))</f>
        <v>0</v>
      </c>
      <c r="AF35" s="51" cm="1">
        <f t="array" ref="AF35">SUMPRODUCT((Tabel1[Equipment]=Table46[[#This Row],[Equipment]])*(Tabel1[Facteur]=$D$8)*(Tabel1[Date]=AF$13*1)*(Tabel1[WO No]=Table46[[#This Row],[WO No]])*(Tabel1[Total]))</f>
        <v>0</v>
      </c>
      <c r="AG35" s="51" cm="1">
        <f t="array" ref="AG35">SUMPRODUCT((Tabel1[Equipment]=Table46[[#This Row],[Equipment]])*(Tabel1[Facteur]=$D$8)*(Tabel1[Date]=AG$13*1)*(Tabel1[WO No]=Table46[[#This Row],[WO No]])*(Tabel1[Total]))</f>
        <v>0</v>
      </c>
      <c r="AH35" s="51" cm="1">
        <f t="array" ref="AH35">SUMPRODUCT((Tabel1[Equipment]=Table46[[#This Row],[Equipment]])*(Tabel1[Facteur]=$D$8)*(Tabel1[Date]=AH$13*1)*(Tabel1[WO No]=Table46[[#This Row],[WO No]])*(Tabel1[Total]))</f>
        <v>0</v>
      </c>
      <c r="AI35" s="51" cm="1">
        <f t="array" ref="AI35">SUMPRODUCT((Tabel1[Equipment]=Table46[[#This Row],[Equipment]])*(Tabel1[Facteur]=$D$8)*(Tabel1[Date]=AI$13*1)*(Tabel1[WO No]=Table46[[#This Row],[WO No]])*(Tabel1[Total]))</f>
        <v>0</v>
      </c>
      <c r="AJ35" s="51" cm="1">
        <f t="array" ref="AJ35">SUMPRODUCT((Tabel1[Equipment]=Table46[[#This Row],[Equipment]])*(Tabel1[Facteur]=$D$8)*(Tabel1[Date]=AJ$13*1)*(Tabel1[WO No]=Table46[[#This Row],[WO No]])*(Tabel1[Total]))</f>
        <v>0</v>
      </c>
      <c r="AK35" s="51" cm="1">
        <f t="array" ref="AK35">SUMPRODUCT((Tabel1[Equipment]=Table46[[#This Row],[Equipment]])*(Tabel1[Facteur]=$D$8)*(Tabel1[Date]=AK$13*1)*(Tabel1[WO No]=Table46[[#This Row],[WO No]])*(Tabel1[Total]))</f>
        <v>0</v>
      </c>
      <c r="AL35" s="52">
        <f>SUM(Table46[[#This Row],[15/8]:[14/9]])</f>
        <v>2</v>
      </c>
      <c r="AM35" s="53">
        <f>IF(Table46[[#This Row],[Equipment]]="","",VLOOKUP(Table46[[#This Row],[Equipment]],Tableau2[[#All],[Equipment]:[PRICE]],4,0))</f>
        <v>970</v>
      </c>
      <c r="AN35" s="54">
        <f>Table46[[#This Row],[Total Hrs]]* Table46[[#This Row],[Hourely Rate (MRU)]]</f>
        <v>1940</v>
      </c>
    </row>
    <row r="36" spans="2:40" ht="30" x14ac:dyDescent="0.3">
      <c r="B36" s="29" t="s">
        <v>63</v>
      </c>
      <c r="C36" s="30" t="str">
        <f>IF(Table46[[#This Row],[Equipment]]="", "",INDEX([1]!Tableau2[#Data],MATCH(Table46[[#This Row],[Equipment]],[1]!Tableau2[Equipment],0),MATCH(Table46[[#Headers],[Equipment Type]],[1]!Tableau2[#Headers],0)))</f>
        <v>Grader</v>
      </c>
      <c r="D36" s="55" t="s">
        <v>57</v>
      </c>
      <c r="E36" s="56" t="s">
        <v>56</v>
      </c>
      <c r="F36" s="63">
        <v>5252183</v>
      </c>
      <c r="G36" s="51" cm="1">
        <f t="array" ref="G36">SUMPRODUCT((Tabel1[Equipment]=Table46[[#This Row],[Equipment]])*(Tabel1[Facteur]=$D$8)*(Tabel1[Date]=G$13*1)*(Tabel1[WO No]=Table46[[#This Row],[WO No]])*(Tabel1[Total]))</f>
        <v>0</v>
      </c>
      <c r="H36" s="51" cm="1">
        <f t="array" ref="H36">SUMPRODUCT((Tabel1[Equipment]=Table46[[#This Row],[Equipment]])*(Tabel1[Facteur]=$D$8)*(Tabel1[Date]=H$13*1)*(Tabel1[WO No]=Table46[[#This Row],[WO No]])*(Tabel1[Total]))</f>
        <v>0</v>
      </c>
      <c r="I36" s="51" cm="1">
        <f t="array" ref="I36">SUMPRODUCT((Tabel1[Equipment]=Table46[[#This Row],[Equipment]])*(Tabel1[Facteur]=$D$8)*(Tabel1[Date]=I$13*1)*(Tabel1[WO No]=Table46[[#This Row],[WO No]])*(Tabel1[Total]))</f>
        <v>0</v>
      </c>
      <c r="J36" s="51" cm="1">
        <f t="array" ref="J36">SUMPRODUCT((Tabel1[Equipment]=Table46[[#This Row],[Equipment]])*(Tabel1[Facteur]=$D$8)*(Tabel1[Date]=J$13*1)*(Tabel1[WO No]=Table46[[#This Row],[WO No]])*(Tabel1[Total]))</f>
        <v>0</v>
      </c>
      <c r="K36" s="51" cm="1">
        <f t="array" ref="K36">SUMPRODUCT((Tabel1[Equipment]=Table46[[#This Row],[Equipment]])*(Tabel1[Facteur]=$D$8)*(Tabel1[Date]=K$13*1)*(Tabel1[WO No]=Table46[[#This Row],[WO No]])*(Tabel1[Total]))</f>
        <v>0</v>
      </c>
      <c r="L36" s="51" cm="1">
        <f t="array" ref="L36">SUMPRODUCT((Tabel1[Equipment]=Table46[[#This Row],[Equipment]])*(Tabel1[Facteur]=$D$8)*(Tabel1[Date]=L$13*1)*(Tabel1[WO No]=Table46[[#This Row],[WO No]])*(Tabel1[Total]))</f>
        <v>0</v>
      </c>
      <c r="M36" s="51" cm="1">
        <f t="array" ref="M36">SUMPRODUCT((Tabel1[Equipment]=Table46[[#This Row],[Equipment]])*(Tabel1[Facteur]=$D$8)*(Tabel1[Date]=M$13*1)*(Tabel1[WO No]=Table46[[#This Row],[WO No]])*(Tabel1[Total]))</f>
        <v>0</v>
      </c>
      <c r="N36" s="51" cm="1">
        <f t="array" ref="N36">SUMPRODUCT((Tabel1[Equipment]=Table46[[#This Row],[Equipment]])*(Tabel1[Facteur]=$D$8)*(Tabel1[Date]=N$13*1)*(Tabel1[WO No]=Table46[[#This Row],[WO No]])*(Tabel1[Total]))</f>
        <v>0</v>
      </c>
      <c r="O36" s="51" cm="1">
        <f t="array" ref="O36">SUMPRODUCT((Tabel1[Equipment]=Table46[[#This Row],[Equipment]])*(Tabel1[Facteur]=$D$8)*(Tabel1[Date]=O$13*1)*(Tabel1[WO No]=Table46[[#This Row],[WO No]])*(Tabel1[Total]))</f>
        <v>0</v>
      </c>
      <c r="P36" s="51" cm="1">
        <f t="array" ref="P36">SUMPRODUCT((Tabel1[Equipment]=Table46[[#This Row],[Equipment]])*(Tabel1[Facteur]=$D$8)*(Tabel1[Date]=P$13*1)*(Tabel1[WO No]=Table46[[#This Row],[WO No]])*(Tabel1[Total]))</f>
        <v>8</v>
      </c>
      <c r="Q36" s="51" cm="1">
        <f t="array" ref="Q36">SUMPRODUCT((Tabel1[Equipment]=Table46[[#This Row],[Equipment]])*(Tabel1[Facteur]=$D$8)*(Tabel1[Date]=Q$13*1)*(Tabel1[WO No]=Table46[[#This Row],[WO No]])*(Tabel1[Total]))</f>
        <v>8</v>
      </c>
      <c r="R36" s="51" cm="1">
        <f t="array" ref="R36">SUMPRODUCT((Tabel1[Equipment]=Table46[[#This Row],[Equipment]])*(Tabel1[Facteur]=$D$8)*(Tabel1[Date]=R$13*1)*(Tabel1[WO No]=Table46[[#This Row],[WO No]])*(Tabel1[Total]))</f>
        <v>0</v>
      </c>
      <c r="S36" s="51" cm="1">
        <f t="array" ref="S36">SUMPRODUCT((Tabel1[Equipment]=Table46[[#This Row],[Equipment]])*(Tabel1[Facteur]=$D$8)*(Tabel1[Date]=S$13*1)*(Tabel1[WO No]=Table46[[#This Row],[WO No]])*(Tabel1[Total]))</f>
        <v>0</v>
      </c>
      <c r="T36" s="51" cm="1">
        <f t="array" ref="T36">SUMPRODUCT((Tabel1[Equipment]=Table46[[#This Row],[Equipment]])*(Tabel1[Facteur]=$D$8)*(Tabel1[Date]=T$13*1)*(Tabel1[WO No]=Table46[[#This Row],[WO No]])*(Tabel1[Total]))</f>
        <v>0</v>
      </c>
      <c r="U36" s="51" cm="1">
        <f t="array" ref="U36">SUMPRODUCT((Tabel1[Equipment]=Table46[[#This Row],[Equipment]])*(Tabel1[Facteur]=$D$8)*(Tabel1[Date]=U$13*1)*(Tabel1[WO No]=Table46[[#This Row],[WO No]])*(Tabel1[Total]))</f>
        <v>0</v>
      </c>
      <c r="V36" s="51" cm="1">
        <f t="array" ref="V36">SUMPRODUCT((Tabel1[Equipment]=Table46[[#This Row],[Equipment]])*(Tabel1[Facteur]=$D$8)*(Tabel1[Date]=V$13*1)*(Tabel1[WO No]=Table46[[#This Row],[WO No]])*(Tabel1[Total]))</f>
        <v>0</v>
      </c>
      <c r="W36" s="51" cm="1">
        <f t="array" ref="W36">SUMPRODUCT((Tabel1[Equipment]=Table46[[#This Row],[Equipment]])*(Tabel1[Facteur]=$D$8)*(Tabel1[Date]=W$13*1)*(Tabel1[WO No]=Table46[[#This Row],[WO No]])*(Tabel1[Total]))</f>
        <v>0</v>
      </c>
      <c r="X36" s="51" cm="1">
        <f t="array" ref="X36">SUMPRODUCT((Tabel1[Equipment]=Table46[[#This Row],[Equipment]])*(Tabel1[Facteur]=$D$8)*(Tabel1[Date]=X$13*1)*(Tabel1[WO No]=Table46[[#This Row],[WO No]])*(Tabel1[Total]))</f>
        <v>0</v>
      </c>
      <c r="Y36" s="51" cm="1">
        <f t="array" ref="Y36">SUMPRODUCT((Tabel1[Equipment]=Table46[[#This Row],[Equipment]])*(Tabel1[Facteur]=$D$8)*(Tabel1[Date]=Y$13*1)*(Tabel1[WO No]=Table46[[#This Row],[WO No]])*(Tabel1[Total]))</f>
        <v>0</v>
      </c>
      <c r="Z36" s="51" cm="1">
        <f t="array" ref="Z36">SUMPRODUCT((Tabel1[Equipment]=Table46[[#This Row],[Equipment]])*(Tabel1[Facteur]=$D$8)*(Tabel1[Date]=Z$13*1)*(Tabel1[WO No]=Table46[[#This Row],[WO No]])*(Tabel1[Total]))</f>
        <v>0</v>
      </c>
      <c r="AA36" s="51" cm="1">
        <f t="array" ref="AA36">SUMPRODUCT((Tabel1[Equipment]=Table46[[#This Row],[Equipment]])*(Tabel1[Facteur]=$D$8)*(Tabel1[Date]=AA$13*1)*(Tabel1[WO No]=Table46[[#This Row],[WO No]])*(Tabel1[Total]))</f>
        <v>0</v>
      </c>
      <c r="AB36" s="51" cm="1">
        <f t="array" ref="AB36">SUMPRODUCT((Tabel1[Equipment]=Table46[[#This Row],[Equipment]])*(Tabel1[Facteur]=$D$8)*(Tabel1[Date]=AB$13*1)*(Tabel1[WO No]=Table46[[#This Row],[WO No]])*(Tabel1[Total]))</f>
        <v>0</v>
      </c>
      <c r="AC36" s="51" cm="1">
        <f t="array" ref="AC36">SUMPRODUCT((Tabel1[Equipment]=Table46[[#This Row],[Equipment]])*(Tabel1[Facteur]=$D$8)*(Tabel1[Date]=AC$13*1)*(Tabel1[WO No]=Table46[[#This Row],[WO No]])*(Tabel1[Total]))</f>
        <v>0</v>
      </c>
      <c r="AD36" s="51" cm="1">
        <f t="array" ref="AD36">SUMPRODUCT((Tabel1[Equipment]=Table46[[#This Row],[Equipment]])*(Tabel1[Facteur]=$D$8)*(Tabel1[Date]=AD$13*1)*(Tabel1[WO No]=Table46[[#This Row],[WO No]])*(Tabel1[Total]))</f>
        <v>0</v>
      </c>
      <c r="AE36" s="51" cm="1">
        <f t="array" ref="AE36">SUMPRODUCT((Tabel1[Equipment]=Table46[[#This Row],[Equipment]])*(Tabel1[Facteur]=$D$8)*(Tabel1[Date]=AE$13*1)*(Tabel1[WO No]=Table46[[#This Row],[WO No]])*(Tabel1[Total]))</f>
        <v>0</v>
      </c>
      <c r="AF36" s="51" cm="1">
        <f t="array" ref="AF36">SUMPRODUCT((Tabel1[Equipment]=Table46[[#This Row],[Equipment]])*(Tabel1[Facteur]=$D$8)*(Tabel1[Date]=AF$13*1)*(Tabel1[WO No]=Table46[[#This Row],[WO No]])*(Tabel1[Total]))</f>
        <v>0</v>
      </c>
      <c r="AG36" s="51" cm="1">
        <f t="array" ref="AG36">SUMPRODUCT((Tabel1[Equipment]=Table46[[#This Row],[Equipment]])*(Tabel1[Facteur]=$D$8)*(Tabel1[Date]=AG$13*1)*(Tabel1[WO No]=Table46[[#This Row],[WO No]])*(Tabel1[Total]))</f>
        <v>0</v>
      </c>
      <c r="AH36" s="51" cm="1">
        <f t="array" ref="AH36">SUMPRODUCT((Tabel1[Equipment]=Table46[[#This Row],[Equipment]])*(Tabel1[Facteur]=$D$8)*(Tabel1[Date]=AH$13*1)*(Tabel1[WO No]=Table46[[#This Row],[WO No]])*(Tabel1[Total]))</f>
        <v>0</v>
      </c>
      <c r="AI36" s="51" cm="1">
        <f t="array" ref="AI36">SUMPRODUCT((Tabel1[Equipment]=Table46[[#This Row],[Equipment]])*(Tabel1[Facteur]=$D$8)*(Tabel1[Date]=AI$13*1)*(Tabel1[WO No]=Table46[[#This Row],[WO No]])*(Tabel1[Total]))</f>
        <v>0</v>
      </c>
      <c r="AJ36" s="51" cm="1">
        <f t="array" ref="AJ36">SUMPRODUCT((Tabel1[Equipment]=Table46[[#This Row],[Equipment]])*(Tabel1[Facteur]=$D$8)*(Tabel1[Date]=AJ$13*1)*(Tabel1[WO No]=Table46[[#This Row],[WO No]])*(Tabel1[Total]))</f>
        <v>0</v>
      </c>
      <c r="AK36" s="51" cm="1">
        <f t="array" ref="AK36">SUMPRODUCT((Tabel1[Equipment]=Table46[[#This Row],[Equipment]])*(Tabel1[Facteur]=$D$8)*(Tabel1[Date]=AK$13*1)*(Tabel1[WO No]=Table46[[#This Row],[WO No]])*(Tabel1[Total]))</f>
        <v>0</v>
      </c>
      <c r="AL36" s="52">
        <f>SUM(Table46[[#This Row],[15/8]:[14/9]])</f>
        <v>16</v>
      </c>
      <c r="AM36" s="53">
        <f>IF(Table46[[#This Row],[Equipment]]="","",VLOOKUP(Table46[[#This Row],[Equipment]],Tableau2[[#All],[Equipment]:[PRICE]],4,0))</f>
        <v>1650</v>
      </c>
      <c r="AN36" s="54">
        <f>Table46[[#This Row],[Total Hrs]]* Table46[[#This Row],[Hourely Rate (MRU)]]</f>
        <v>26400</v>
      </c>
    </row>
    <row r="37" spans="2:40" ht="30.6" thickBot="1" x14ac:dyDescent="0.35">
      <c r="B37" s="29" t="s">
        <v>40</v>
      </c>
      <c r="C37" s="30" t="str">
        <f>IF(Table46[[#This Row],[Equipment]]="", "",INDEX([1]!Tableau2[#Data],MATCH(Table46[[#This Row],[Equipment]],[1]!Tableau2[Equipment],0),MATCH(Table46[[#Headers],[Equipment Type]],[1]!Tableau2[#Headers],0)))</f>
        <v>Loader</v>
      </c>
      <c r="D37" s="55" t="s">
        <v>57</v>
      </c>
      <c r="E37" s="56" t="s">
        <v>56</v>
      </c>
      <c r="F37" s="63">
        <v>5252183</v>
      </c>
      <c r="G37" s="51" cm="1">
        <f t="array" ref="G37">SUMPRODUCT((Tabel1[Equipment]=Table46[[#This Row],[Equipment]])*(Tabel1[Facteur]=$D$8)*(Tabel1[Date]=G$13*1)*(Tabel1[WO No]=Table46[[#This Row],[WO No]])*(Tabel1[Total]))</f>
        <v>0</v>
      </c>
      <c r="H37" s="51" cm="1">
        <f t="array" ref="H37">SUMPRODUCT((Tabel1[Equipment]=Table46[[#This Row],[Equipment]])*(Tabel1[Facteur]=$D$8)*(Tabel1[Date]=H$13*1)*(Tabel1[WO No]=Table46[[#This Row],[WO No]])*(Tabel1[Total]))</f>
        <v>0</v>
      </c>
      <c r="I37" s="51" cm="1">
        <f t="array" ref="I37">SUMPRODUCT((Tabel1[Equipment]=Table46[[#This Row],[Equipment]])*(Tabel1[Facteur]=$D$8)*(Tabel1[Date]=I$13*1)*(Tabel1[WO No]=Table46[[#This Row],[WO No]])*(Tabel1[Total]))</f>
        <v>0</v>
      </c>
      <c r="J37" s="51" cm="1">
        <f t="array" ref="J37">SUMPRODUCT((Tabel1[Equipment]=Table46[[#This Row],[Equipment]])*(Tabel1[Facteur]=$D$8)*(Tabel1[Date]=J$13*1)*(Tabel1[WO No]=Table46[[#This Row],[WO No]])*(Tabel1[Total]))</f>
        <v>0</v>
      </c>
      <c r="K37" s="51" cm="1">
        <f t="array" ref="K37">SUMPRODUCT((Tabel1[Equipment]=Table46[[#This Row],[Equipment]])*(Tabel1[Facteur]=$D$8)*(Tabel1[Date]=K$13*1)*(Tabel1[WO No]=Table46[[#This Row],[WO No]])*(Tabel1[Total]))</f>
        <v>0</v>
      </c>
      <c r="L37" s="51" cm="1">
        <f t="array" ref="L37">SUMPRODUCT((Tabel1[Equipment]=Table46[[#This Row],[Equipment]])*(Tabel1[Facteur]=$D$8)*(Tabel1[Date]=L$13*1)*(Tabel1[WO No]=Table46[[#This Row],[WO No]])*(Tabel1[Total]))</f>
        <v>0</v>
      </c>
      <c r="M37" s="51" cm="1">
        <f t="array" ref="M37">SUMPRODUCT((Tabel1[Equipment]=Table46[[#This Row],[Equipment]])*(Tabel1[Facteur]=$D$8)*(Tabel1[Date]=M$13*1)*(Tabel1[WO No]=Table46[[#This Row],[WO No]])*(Tabel1[Total]))</f>
        <v>0</v>
      </c>
      <c r="N37" s="51" cm="1">
        <f t="array" ref="N37">SUMPRODUCT((Tabel1[Equipment]=Table46[[#This Row],[Equipment]])*(Tabel1[Facteur]=$D$8)*(Tabel1[Date]=N$13*1)*(Tabel1[WO No]=Table46[[#This Row],[WO No]])*(Tabel1[Total]))</f>
        <v>0</v>
      </c>
      <c r="O37" s="51" cm="1">
        <f t="array" ref="O37">SUMPRODUCT((Tabel1[Equipment]=Table46[[#This Row],[Equipment]])*(Tabel1[Facteur]=$D$8)*(Tabel1[Date]=O$13*1)*(Tabel1[WO No]=Table46[[#This Row],[WO No]])*(Tabel1[Total]))</f>
        <v>0</v>
      </c>
      <c r="P37" s="51" cm="1">
        <f t="array" ref="P37">SUMPRODUCT((Tabel1[Equipment]=Table46[[#This Row],[Equipment]])*(Tabel1[Facteur]=$D$8)*(Tabel1[Date]=P$13*1)*(Tabel1[WO No]=Table46[[#This Row],[WO No]])*(Tabel1[Total]))</f>
        <v>8</v>
      </c>
      <c r="Q37" s="51" cm="1">
        <f t="array" ref="Q37">SUMPRODUCT((Tabel1[Equipment]=Table46[[#This Row],[Equipment]])*(Tabel1[Facteur]=$D$8)*(Tabel1[Date]=Q$13*1)*(Tabel1[WO No]=Table46[[#This Row],[WO No]])*(Tabel1[Total]))</f>
        <v>8</v>
      </c>
      <c r="R37" s="51" cm="1">
        <f t="array" ref="R37">SUMPRODUCT((Tabel1[Equipment]=Table46[[#This Row],[Equipment]])*(Tabel1[Facteur]=$D$8)*(Tabel1[Date]=R$13*1)*(Tabel1[WO No]=Table46[[#This Row],[WO No]])*(Tabel1[Total]))</f>
        <v>0</v>
      </c>
      <c r="S37" s="51" cm="1">
        <f t="array" ref="S37">SUMPRODUCT((Tabel1[Equipment]=Table46[[#This Row],[Equipment]])*(Tabel1[Facteur]=$D$8)*(Tabel1[Date]=S$13*1)*(Tabel1[WO No]=Table46[[#This Row],[WO No]])*(Tabel1[Total]))</f>
        <v>0</v>
      </c>
      <c r="T37" s="51" cm="1">
        <f t="array" ref="T37">SUMPRODUCT((Tabel1[Equipment]=Table46[[#This Row],[Equipment]])*(Tabel1[Facteur]=$D$8)*(Tabel1[Date]=T$13*1)*(Tabel1[WO No]=Table46[[#This Row],[WO No]])*(Tabel1[Total]))</f>
        <v>0</v>
      </c>
      <c r="U37" s="51" cm="1">
        <f t="array" ref="U37">SUMPRODUCT((Tabel1[Equipment]=Table46[[#This Row],[Equipment]])*(Tabel1[Facteur]=$D$8)*(Tabel1[Date]=U$13*1)*(Tabel1[WO No]=Table46[[#This Row],[WO No]])*(Tabel1[Total]))</f>
        <v>0</v>
      </c>
      <c r="V37" s="51" cm="1">
        <f t="array" ref="V37">SUMPRODUCT((Tabel1[Equipment]=Table46[[#This Row],[Equipment]])*(Tabel1[Facteur]=$D$8)*(Tabel1[Date]=V$13*1)*(Tabel1[WO No]=Table46[[#This Row],[WO No]])*(Tabel1[Total]))</f>
        <v>0</v>
      </c>
      <c r="W37" s="51" cm="1">
        <f t="array" ref="W37">SUMPRODUCT((Tabel1[Equipment]=Table46[[#This Row],[Equipment]])*(Tabel1[Facteur]=$D$8)*(Tabel1[Date]=W$13*1)*(Tabel1[WO No]=Table46[[#This Row],[WO No]])*(Tabel1[Total]))</f>
        <v>0</v>
      </c>
      <c r="X37" s="51" cm="1">
        <f t="array" ref="X37">SUMPRODUCT((Tabel1[Equipment]=Table46[[#This Row],[Equipment]])*(Tabel1[Facteur]=$D$8)*(Tabel1[Date]=X$13*1)*(Tabel1[WO No]=Table46[[#This Row],[WO No]])*(Tabel1[Total]))</f>
        <v>0</v>
      </c>
      <c r="Y37" s="51" cm="1">
        <f t="array" ref="Y37">SUMPRODUCT((Tabel1[Equipment]=Table46[[#This Row],[Equipment]])*(Tabel1[Facteur]=$D$8)*(Tabel1[Date]=Y$13*1)*(Tabel1[WO No]=Table46[[#This Row],[WO No]])*(Tabel1[Total]))</f>
        <v>0</v>
      </c>
      <c r="Z37" s="51" cm="1">
        <f t="array" ref="Z37">SUMPRODUCT((Tabel1[Equipment]=Table46[[#This Row],[Equipment]])*(Tabel1[Facteur]=$D$8)*(Tabel1[Date]=Z$13*1)*(Tabel1[WO No]=Table46[[#This Row],[WO No]])*(Tabel1[Total]))</f>
        <v>0</v>
      </c>
      <c r="AA37" s="51" cm="1">
        <f t="array" ref="AA37">SUMPRODUCT((Tabel1[Equipment]=Table46[[#This Row],[Equipment]])*(Tabel1[Facteur]=$D$8)*(Tabel1[Date]=AA$13*1)*(Tabel1[WO No]=Table46[[#This Row],[WO No]])*(Tabel1[Total]))</f>
        <v>0</v>
      </c>
      <c r="AB37" s="51" cm="1">
        <f t="array" ref="AB37">SUMPRODUCT((Tabel1[Equipment]=Table46[[#This Row],[Equipment]])*(Tabel1[Facteur]=$D$8)*(Tabel1[Date]=AB$13*1)*(Tabel1[WO No]=Table46[[#This Row],[WO No]])*(Tabel1[Total]))</f>
        <v>0</v>
      </c>
      <c r="AC37" s="51" cm="1">
        <f t="array" ref="AC37">SUMPRODUCT((Tabel1[Equipment]=Table46[[#This Row],[Equipment]])*(Tabel1[Facteur]=$D$8)*(Tabel1[Date]=AC$13*1)*(Tabel1[WO No]=Table46[[#This Row],[WO No]])*(Tabel1[Total]))</f>
        <v>0</v>
      </c>
      <c r="AD37" s="51" cm="1">
        <f t="array" ref="AD37">SUMPRODUCT((Tabel1[Equipment]=Table46[[#This Row],[Equipment]])*(Tabel1[Facteur]=$D$8)*(Tabel1[Date]=AD$13*1)*(Tabel1[WO No]=Table46[[#This Row],[WO No]])*(Tabel1[Total]))</f>
        <v>0</v>
      </c>
      <c r="AE37" s="51" cm="1">
        <f t="array" ref="AE37">SUMPRODUCT((Tabel1[Equipment]=Table46[[#This Row],[Equipment]])*(Tabel1[Facteur]=$D$8)*(Tabel1[Date]=AE$13*1)*(Tabel1[WO No]=Table46[[#This Row],[WO No]])*(Tabel1[Total]))</f>
        <v>0</v>
      </c>
      <c r="AF37" s="51" cm="1">
        <f t="array" ref="AF37">SUMPRODUCT((Tabel1[Equipment]=Table46[[#This Row],[Equipment]])*(Tabel1[Facteur]=$D$8)*(Tabel1[Date]=AF$13*1)*(Tabel1[WO No]=Table46[[#This Row],[WO No]])*(Tabel1[Total]))</f>
        <v>0</v>
      </c>
      <c r="AG37" s="51" cm="1">
        <f t="array" ref="AG37">SUMPRODUCT((Tabel1[Equipment]=Table46[[#This Row],[Equipment]])*(Tabel1[Facteur]=$D$8)*(Tabel1[Date]=AG$13*1)*(Tabel1[WO No]=Table46[[#This Row],[WO No]])*(Tabel1[Total]))</f>
        <v>0</v>
      </c>
      <c r="AH37" s="51" cm="1">
        <f t="array" ref="AH37">SUMPRODUCT((Tabel1[Equipment]=Table46[[#This Row],[Equipment]])*(Tabel1[Facteur]=$D$8)*(Tabel1[Date]=AH$13*1)*(Tabel1[WO No]=Table46[[#This Row],[WO No]])*(Tabel1[Total]))</f>
        <v>0</v>
      </c>
      <c r="AI37" s="51" cm="1">
        <f t="array" ref="AI37">SUMPRODUCT((Tabel1[Equipment]=Table46[[#This Row],[Equipment]])*(Tabel1[Facteur]=$D$8)*(Tabel1[Date]=AI$13*1)*(Tabel1[WO No]=Table46[[#This Row],[WO No]])*(Tabel1[Total]))</f>
        <v>0</v>
      </c>
      <c r="AJ37" s="51" cm="1">
        <f t="array" ref="AJ37">SUMPRODUCT((Tabel1[Equipment]=Table46[[#This Row],[Equipment]])*(Tabel1[Facteur]=$D$8)*(Tabel1[Date]=AJ$13*1)*(Tabel1[WO No]=Table46[[#This Row],[WO No]])*(Tabel1[Total]))</f>
        <v>0</v>
      </c>
      <c r="AK37" s="51" cm="1">
        <f t="array" ref="AK37">SUMPRODUCT((Tabel1[Equipment]=Table46[[#This Row],[Equipment]])*(Tabel1[Facteur]=$D$8)*(Tabel1[Date]=AK$13*1)*(Tabel1[WO No]=Table46[[#This Row],[WO No]])*(Tabel1[Total]))</f>
        <v>0</v>
      </c>
      <c r="AL37" s="52">
        <f>SUM(Table46[[#This Row],[15/8]:[14/9]])</f>
        <v>16</v>
      </c>
      <c r="AM37" s="53">
        <f>IF(Table46[[#This Row],[Equipment]]="","",VLOOKUP(Table46[[#This Row],[Equipment]],Tableau2[[#All],[Equipment]:[PRICE]],4,0))</f>
        <v>1750</v>
      </c>
      <c r="AN37" s="54">
        <f>Table46[[#This Row],[Total Hrs]]* Table46[[#This Row],[Hourely Rate (MRU)]]</f>
        <v>28000</v>
      </c>
    </row>
    <row r="38" spans="2:40" ht="16.2" thickBot="1" x14ac:dyDescent="0.35">
      <c r="B38" s="25" t="s">
        <v>148</v>
      </c>
      <c r="C38" s="26"/>
      <c r="D38" s="26"/>
      <c r="E38" s="26"/>
      <c r="F38" s="27"/>
      <c r="G38" s="59">
        <f>SUM(Table46[15/8])</f>
        <v>64</v>
      </c>
      <c r="H38" s="59">
        <f>SUM(Table46[16/8])</f>
        <v>39</v>
      </c>
      <c r="I38" s="59">
        <f>SUM(Table46[17/8])</f>
        <v>66</v>
      </c>
      <c r="J38" s="59">
        <f>SUM(Table46[18/8])</f>
        <v>62</v>
      </c>
      <c r="K38" s="59">
        <f>SUM(Table46[19/8])</f>
        <v>64</v>
      </c>
      <c r="L38" s="59">
        <f>SUM(Table46[20/8])</f>
        <v>61</v>
      </c>
      <c r="M38" s="59">
        <f>SUM(Table46[21/8])</f>
        <v>64</v>
      </c>
      <c r="N38" s="59">
        <f>SUM(Table46[22/8])</f>
        <v>59</v>
      </c>
      <c r="O38" s="59">
        <f>SUM(Table46[23/8])</f>
        <v>35</v>
      </c>
      <c r="P38" s="59">
        <f>SUM(Table46[24/8])</f>
        <v>53</v>
      </c>
      <c r="Q38" s="59">
        <f>SUM(Table46[25/8])</f>
        <v>48</v>
      </c>
      <c r="R38" s="59">
        <f>SUM(Table46[26/8])</f>
        <v>0</v>
      </c>
      <c r="S38" s="59">
        <f>SUM(Table46[27/8])</f>
        <v>0</v>
      </c>
      <c r="T38" s="59">
        <f>SUM(Table46[28/8])</f>
        <v>0</v>
      </c>
      <c r="U38" s="59">
        <f>SUM(Table46[29/8])</f>
        <v>0</v>
      </c>
      <c r="V38" s="59">
        <f>SUM(Table46[30/8])</f>
        <v>0</v>
      </c>
      <c r="W38" s="59">
        <f>SUM(Table46[31/8])</f>
        <v>0</v>
      </c>
      <c r="X38" s="59">
        <f>SUM(Table46[1/9])</f>
        <v>0</v>
      </c>
      <c r="Y38" s="59">
        <f>SUM(Table46[2/9])</f>
        <v>0</v>
      </c>
      <c r="Z38" s="59">
        <f>SUM(Table46[3/9])</f>
        <v>0</v>
      </c>
      <c r="AA38" s="59">
        <f>SUM(Table46[4/9])</f>
        <v>0</v>
      </c>
      <c r="AB38" s="59">
        <f>SUM(Table46[5/9])</f>
        <v>0</v>
      </c>
      <c r="AC38" s="59">
        <f>SUM(Table46[6/9])</f>
        <v>0</v>
      </c>
      <c r="AD38" s="59">
        <f>SUM(Table46[7/9])</f>
        <v>0</v>
      </c>
      <c r="AE38" s="59">
        <f>SUM(Table46[8/9])</f>
        <v>0</v>
      </c>
      <c r="AF38" s="59">
        <f>SUM(Table46[9/9])</f>
        <v>0</v>
      </c>
      <c r="AG38" s="59">
        <f>SUM(Table46[10/9])</f>
        <v>0</v>
      </c>
      <c r="AH38" s="59">
        <f>SUM(Table46[11/9])</f>
        <v>0</v>
      </c>
      <c r="AI38" s="59">
        <f>SUM(Table46[12/9])</f>
        <v>0</v>
      </c>
      <c r="AJ38" s="59">
        <f>SUM(Table46[13/9])</f>
        <v>0</v>
      </c>
      <c r="AK38" s="59">
        <f>SUM(Table46[14/9])</f>
        <v>0</v>
      </c>
      <c r="AL38" s="60">
        <f>SUM(Table46[Total Hrs])</f>
        <v>615</v>
      </c>
      <c r="AM38" s="60">
        <f>SUM(Table46[Hourely Rate (MRU)])</f>
        <v>35140</v>
      </c>
      <c r="AN38" s="61">
        <f>SUM(Table46[ Total Cost (MRU)])</f>
        <v>912030</v>
      </c>
    </row>
    <row r="40" spans="2:40" ht="17.399999999999999" x14ac:dyDescent="0.3">
      <c r="C40" s="74" t="s">
        <v>133</v>
      </c>
      <c r="D40" s="74"/>
      <c r="E40" s="62"/>
      <c r="F40" s="62"/>
      <c r="AH40" s="75" t="s">
        <v>134</v>
      </c>
      <c r="AI40" s="75"/>
      <c r="AJ40" s="75"/>
      <c r="AK40" s="75"/>
      <c r="AL40" s="75"/>
      <c r="AM40" s="75"/>
    </row>
    <row r="43" spans="2:40" x14ac:dyDescent="0.3">
      <c r="E43" s="36" t="s">
        <v>149</v>
      </c>
    </row>
  </sheetData>
  <mergeCells count="10">
    <mergeCell ref="C40:D40"/>
    <mergeCell ref="AH40:AM40"/>
    <mergeCell ref="B1:AN3"/>
    <mergeCell ref="B7:C7"/>
    <mergeCell ref="B8:C8"/>
    <mergeCell ref="B9:C9"/>
    <mergeCell ref="B11:F12"/>
    <mergeCell ref="G11:AK11"/>
    <mergeCell ref="G12:W12"/>
    <mergeCell ref="X12:AK12"/>
  </mergeCells>
  <phoneticPr fontId="3" type="noConversion"/>
  <conditionalFormatting sqref="G13:AK13">
    <cfRule type="duplicateValues" dxfId="47" priority="5"/>
  </conditionalFormatting>
  <conditionalFormatting sqref="G14:AK37">
    <cfRule type="cellIs" dxfId="46" priority="3" operator="greaterThan">
      <formula>0</formula>
    </cfRule>
  </conditionalFormatting>
  <conditionalFormatting sqref="G14:AK37">
    <cfRule type="cellIs" dxfId="45" priority="2" operator="greaterThan">
      <formula>0</formula>
    </cfRule>
  </conditionalFormatting>
  <conditionalFormatting sqref="AL13:AN13">
    <cfRule type="duplicateValues" dxfId="44" priority="1"/>
  </conditionalFormatting>
  <conditionalFormatting sqref="AM14:AM37">
    <cfRule type="cellIs" dxfId="43" priority="4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21A4494-21F9-4E23-B8F6-CE76EC0972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17</vt:i4>
      </vt:variant>
    </vt:vector>
  </HeadingPairs>
  <TitlesOfParts>
    <vt:vector size="24" baseType="lpstr">
      <vt:lpstr>Legand</vt:lpstr>
      <vt:lpstr>Tabel1</vt:lpstr>
      <vt:lpstr>Line1</vt:lpstr>
      <vt:lpstr>Line2</vt:lpstr>
      <vt:lpstr>LineVide</vt:lpstr>
      <vt:lpstr>Timesheet Record</vt:lpstr>
      <vt:lpstr>Line #1</vt:lpstr>
      <vt:lpstr>'Line #1'!Equipment</vt:lpstr>
      <vt:lpstr>Line2!Equipment</vt:lpstr>
      <vt:lpstr>LineVide!Equipment</vt:lpstr>
      <vt:lpstr>Equipment</vt:lpstr>
      <vt:lpstr>'Line #1'!Extraire</vt:lpstr>
      <vt:lpstr>'Line #1'!Model</vt:lpstr>
      <vt:lpstr>Line2!Model</vt:lpstr>
      <vt:lpstr>LineVide!Model</vt:lpstr>
      <vt:lpstr>Model</vt:lpstr>
      <vt:lpstr>'Line #1'!Parking_number</vt:lpstr>
      <vt:lpstr>Line2!Parking_number</vt:lpstr>
      <vt:lpstr>LineVide!Parking_number</vt:lpstr>
      <vt:lpstr>Parking_number</vt:lpstr>
      <vt:lpstr>'Line #1'!Type</vt:lpstr>
      <vt:lpstr>Line2!Type</vt:lpstr>
      <vt:lpstr>LineVide!Type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Damaste .</cp:lastModifiedBy>
  <dcterms:created xsi:type="dcterms:W3CDTF">2024-07-16T05:10:08Z</dcterms:created>
  <dcterms:modified xsi:type="dcterms:W3CDTF">2024-09-01T01:31:13Z</dcterms:modified>
</cp:coreProperties>
</file>