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A27A234E-2AA8-4C48-ACAA-311A1831287A}" xr6:coauthVersionLast="47" xr6:coauthVersionMax="47" xr10:uidLastSave="{00000000-0000-0000-0000-000000000000}"/>
  <bookViews>
    <workbookView xWindow="-108" yWindow="-108" windowWidth="23256" windowHeight="12576" tabRatio="753" firstSheet="1" activeTab="1" xr2:uid="{00000000-000D-0000-FFFF-FFFF00000000}"/>
  </bookViews>
  <sheets>
    <sheet name="Informations" sheetId="20" state="hidden" r:id="rId1"/>
    <sheet name="BDD_PRESTA_ESTIME 2023" sheetId="16" r:id="rId2"/>
    <sheet name="PLANNING_PRESTA" sheetId="2" r:id="rId3"/>
    <sheet name="Etat des commandes passé par IO" sheetId="19" r:id="rId4"/>
    <sheet name="Paramètres" sheetId="14" r:id="rId5"/>
    <sheet name="Liste déroulante" sheetId="11" state="hidden" r:id="rId6"/>
  </sheets>
  <definedNames>
    <definedName name="_Choix">'BDD_PRESTA_ESTIME 2023'!$B$2</definedName>
    <definedName name="_Feries">Tableau3[2023]</definedName>
    <definedName name="_xlnm._FilterDatabase" localSheetId="3" hidden="1">'Etat des commandes passé par IO'!$A$3:$U$12</definedName>
    <definedName name="DonnéesExternes_1" localSheetId="1" hidden="1">'BDD_PRESTA_ESTIME 2023'!$B$4:$S$18</definedName>
    <definedName name="fériés">OFFSET(Paramètres!#REF!,,,COUNTA(Paramètres!#REF!)-1)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9" i="16" l="1"/>
  <c r="K19" i="16"/>
  <c r="L19" i="16"/>
  <c r="M19" i="16"/>
  <c r="N19" i="16"/>
  <c r="O19" i="16"/>
  <c r="P19" i="16"/>
  <c r="Q19" i="16"/>
  <c r="G2" i="14" a="1"/>
  <c r="G2" i="14" s="1"/>
  <c r="U5" i="19" l="1"/>
  <c r="U6" i="19"/>
  <c r="U7" i="19"/>
  <c r="U8" i="19"/>
  <c r="U9" i="19"/>
  <c r="U10" i="19"/>
  <c r="U4" i="19"/>
  <c r="J15" i="2"/>
  <c r="K15" i="2" s="1"/>
  <c r="L15" i="2"/>
  <c r="J16" i="2"/>
  <c r="K16" i="2" s="1"/>
  <c r="J17" i="2"/>
  <c r="K17" i="2" s="1"/>
  <c r="L16" i="2"/>
  <c r="L17" i="2"/>
  <c r="F5" i="19"/>
  <c r="T12" i="19" l="1"/>
  <c r="J6" i="2" l="1"/>
  <c r="K6" i="2" s="1"/>
  <c r="L6" i="2"/>
  <c r="F12" i="19"/>
  <c r="N12" i="19"/>
  <c r="O12" i="19"/>
  <c r="P12" i="19"/>
  <c r="Q12" i="19"/>
  <c r="R12" i="19" l="1"/>
  <c r="G12" i="19" l="1"/>
  <c r="H12" i="19"/>
  <c r="I12" i="19"/>
  <c r="J12" i="19"/>
  <c r="K12" i="19"/>
  <c r="L12" i="19"/>
  <c r="M12" i="19"/>
  <c r="J3" i="2" l="1"/>
  <c r="K3" i="2" s="1"/>
  <c r="J4" i="2"/>
  <c r="K4" i="2" s="1"/>
  <c r="K5" i="2"/>
  <c r="L5" i="2"/>
  <c r="L3" i="2"/>
  <c r="L4" i="2"/>
  <c r="J19" i="2" l="1"/>
  <c r="K19" i="2" s="1"/>
  <c r="L19" i="2"/>
  <c r="J10" i="2"/>
  <c r="K10" i="2" s="1"/>
  <c r="L10" i="2"/>
  <c r="J8" i="2"/>
  <c r="K8" i="2" s="1"/>
  <c r="L8" i="2"/>
  <c r="J7" i="2" l="1"/>
  <c r="K7" i="2" s="1"/>
  <c r="J9" i="2"/>
  <c r="K9" i="2" s="1"/>
  <c r="J11" i="2"/>
  <c r="K11" i="2" s="1"/>
  <c r="J12" i="2"/>
  <c r="K12" i="2" s="1"/>
  <c r="J13" i="2"/>
  <c r="K13" i="2" s="1"/>
  <c r="J14" i="2"/>
  <c r="K14" i="2" s="1"/>
  <c r="J18" i="2"/>
  <c r="K18" i="2" s="1"/>
  <c r="L7" i="2"/>
  <c r="L9" i="2"/>
  <c r="L11" i="2"/>
  <c r="L12" i="2"/>
  <c r="L13" i="2"/>
  <c r="L14" i="2"/>
  <c r="L18" i="2"/>
  <c r="C4" i="14" l="1"/>
  <c r="C10" i="14" s="1"/>
  <c r="C15" i="14"/>
  <c r="C14" i="14"/>
  <c r="C13" i="14"/>
  <c r="C12" i="14"/>
  <c r="C11" i="14"/>
  <c r="C7" i="14"/>
  <c r="C6" i="14"/>
  <c r="C3" i="14"/>
  <c r="C5" i="14" l="1"/>
  <c r="F15" i="2" s="1"/>
  <c r="C9" i="14"/>
  <c r="C8" i="14"/>
  <c r="F14" i="2" s="1"/>
  <c r="F10" i="2" l="1"/>
  <c r="F17" i="2"/>
  <c r="F13" i="2"/>
  <c r="F7" i="2"/>
  <c r="F9" i="2"/>
  <c r="F19" i="2"/>
  <c r="F16" i="2"/>
  <c r="F11" i="2"/>
  <c r="F12" i="2"/>
  <c r="F18" i="2"/>
  <c r="F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Royer, Elodie</author>
  </authors>
  <commentList>
    <comment ref="O7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Royer, Elodie:</t>
        </r>
        <r>
          <rPr>
            <sz val="9"/>
            <color indexed="81"/>
            <rFont val="Tahoma"/>
            <family val="2"/>
          </rPr>
          <t xml:space="preserve">
Réception sur commande 2022
</t>
        </r>
      </text>
    </comment>
    <comment ref="O9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Royer, Elodie:</t>
        </r>
        <r>
          <rPr>
            <sz val="9"/>
            <color indexed="81"/>
            <rFont val="Tahoma"/>
            <family val="2"/>
          </rPr>
          <t xml:space="preserve">
Réception sur commande 2022
</t>
        </r>
      </text>
    </comment>
    <comment ref="O18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Royer, Elodie:</t>
        </r>
        <r>
          <rPr>
            <sz val="9"/>
            <color indexed="81"/>
            <rFont val="Tahoma"/>
            <family val="2"/>
          </rPr>
          <t xml:space="preserve">
4,5 jours sur commande 2022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620AA65-6548-47FC-A0F4-6D271A451A2F}" keepAlive="1" name="Requête - _Choix" description="Connexion à la requête « _Choix » dans le classeur." type="5" refreshedVersion="0" background="1">
    <dbPr connection="Provider=Microsoft.Mashup.OleDb.1;Data Source=$Workbook$;Location=_Choix;Extended Properties=&quot;&quot;" command="SELECT * FROM [_Choix]"/>
  </connection>
  <connection id="2" xr16:uid="{00000000-0015-0000-FFFF-FFFF00000000}" keepAlive="1" name="Requête - BDD_PRESTA_ESTIME3" description="Connexion à la requête « BDD_PRESTA_ESTIME3 » dans le classeur." type="5" refreshedVersion="8" background="1" saveData="1">
    <dbPr connection="Provider=Microsoft.Mashup.OleDb.1;Data Source=$Workbook$;Location=BDD_PRESTA_ESTIME3;Extended Properties=&quot;&quot;" command="SELECT * FROM [BDD_PRESTA_ESTIME3]"/>
  </connection>
  <connection id="3" xr16:uid="{00000000-0015-0000-FFFF-FFFF01000000}" keepAlive="1" name="Requête - Fériés" description="Connexion à la requête « Fériés » dans le classeur." type="5" refreshedVersion="0" background="1">
    <dbPr connection="Provider=Microsoft.Mashup.OleDb.1;Data Source=$Workbook$;Location=Fériés;Extended Properties=&quot;&quot;" command="SELECT * FROM [Fériés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<sst xmlns="http://schemas.openxmlformats.org/spreadsheetml/2006/main" count="255" uniqueCount="149">
  <si>
    <t>PO</t>
  </si>
  <si>
    <t>Société</t>
  </si>
  <si>
    <t>Prestataires</t>
  </si>
  <si>
    <t>601004 - PAS-X</t>
  </si>
  <si>
    <t>601000 - SAP 4 HANA</t>
  </si>
  <si>
    <t>601079 - Modernisation B80 L2 - 2022</t>
  </si>
  <si>
    <t>601005 - INFRA IT</t>
  </si>
  <si>
    <t>601007 - GLIMS</t>
  </si>
  <si>
    <t>601008 - EMPOWER</t>
  </si>
  <si>
    <t>600716 - Equipement Production OFM</t>
  </si>
  <si>
    <t>601072 - PILOTAGE</t>
  </si>
  <si>
    <t>601006 - MASTER CONTROL</t>
  </si>
  <si>
    <t>601009 - ONGUARD</t>
  </si>
  <si>
    <t xml:space="preserve">601006 - MASTER CONTROL </t>
  </si>
  <si>
    <t>601068 - PROCAL</t>
  </si>
  <si>
    <t>TJM</t>
  </si>
  <si>
    <t>Début</t>
  </si>
  <si>
    <t>Fin</t>
  </si>
  <si>
    <t>Total</t>
  </si>
  <si>
    <t>Projet</t>
  </si>
  <si>
    <t>Colonne1</t>
  </si>
  <si>
    <t>Reliquat 2022</t>
  </si>
  <si>
    <t>Jours Fériés</t>
  </si>
  <si>
    <t>Jour de l'An</t>
  </si>
  <si>
    <t>Lundi de Pâques</t>
  </si>
  <si>
    <t>Fête du travail</t>
  </si>
  <si>
    <t>Armistice 1945</t>
  </si>
  <si>
    <t>Ascension</t>
  </si>
  <si>
    <t>Lundi de Pentecôte</t>
  </si>
  <si>
    <t>Fête nationale</t>
  </si>
  <si>
    <t>Assomption</t>
  </si>
  <si>
    <t>Toussaint</t>
  </si>
  <si>
    <t>Armistice 1918</t>
  </si>
  <si>
    <t>Noël</t>
  </si>
  <si>
    <t>prév Janv</t>
  </si>
  <si>
    <t>Reçu Janv</t>
  </si>
  <si>
    <t>prév Fév</t>
  </si>
  <si>
    <t>Reçu Fév</t>
  </si>
  <si>
    <t>Prév Mars</t>
  </si>
  <si>
    <t>Prév Avr</t>
  </si>
  <si>
    <t>Reçu Avr</t>
  </si>
  <si>
    <t>Prév Mai</t>
  </si>
  <si>
    <t>Prév Juin</t>
  </si>
  <si>
    <t>Prév Juil</t>
  </si>
  <si>
    <t>Reçu Juil</t>
  </si>
  <si>
    <t>Prév Août</t>
  </si>
  <si>
    <t>Reçu Août</t>
  </si>
  <si>
    <t>Prév Sept</t>
  </si>
  <si>
    <t>Reçu Sept</t>
  </si>
  <si>
    <t>Prév Oct</t>
  </si>
  <si>
    <t>Reçu Oct</t>
  </si>
  <si>
    <t>Prév Nov</t>
  </si>
  <si>
    <t>Reçu Nov</t>
  </si>
  <si>
    <t>Prév Déc</t>
  </si>
  <si>
    <t>Reçu Déc</t>
  </si>
  <si>
    <t>Reçu Mars</t>
  </si>
  <si>
    <t>Reçu Mai</t>
  </si>
  <si>
    <t>Reçu Juin</t>
  </si>
  <si>
    <t>Jours prév</t>
  </si>
  <si>
    <t>Jours trav</t>
  </si>
  <si>
    <t>Jours rest</t>
  </si>
  <si>
    <t>Pâques</t>
  </si>
  <si>
    <t>Pentecôte</t>
  </si>
  <si>
    <t>2023</t>
  </si>
  <si>
    <t>janvier</t>
  </si>
  <si>
    <t>février</t>
  </si>
  <si>
    <t>mars</t>
  </si>
  <si>
    <t>avril</t>
  </si>
  <si>
    <t>PO-22-1161-01932</t>
  </si>
  <si>
    <t>PO-23-1161-00086</t>
  </si>
  <si>
    <t>PO-23-1161-00080</t>
  </si>
  <si>
    <t>PO-23-1161-00015</t>
  </si>
  <si>
    <t>mai</t>
  </si>
  <si>
    <t>juin</t>
  </si>
  <si>
    <t>juillet</t>
  </si>
  <si>
    <t>août</t>
  </si>
  <si>
    <t>Légende</t>
  </si>
  <si>
    <t>Cde en cours</t>
  </si>
  <si>
    <t>Cde close</t>
  </si>
  <si>
    <t>formules</t>
  </si>
  <si>
    <t>PO-23-1161-00135</t>
  </si>
  <si>
    <t>estimation</t>
  </si>
  <si>
    <t xml:space="preserve">Cde en attente </t>
  </si>
  <si>
    <t>PO-23-1161-00206</t>
  </si>
  <si>
    <t>PO-22-1161-02250</t>
  </si>
  <si>
    <t>PO-23-1161-00137</t>
  </si>
  <si>
    <t>PO-22-1161-00162</t>
  </si>
  <si>
    <t>N° Ordre Interne</t>
  </si>
  <si>
    <t>Désignation de l'IO</t>
  </si>
  <si>
    <t>Montant total</t>
  </si>
  <si>
    <t>Date de création</t>
  </si>
  <si>
    <t>Date de Mise en Service prévue</t>
  </si>
  <si>
    <t>Totaux:</t>
  </si>
  <si>
    <t>Janvier</t>
  </si>
  <si>
    <t>Février</t>
  </si>
  <si>
    <t>Mars</t>
  </si>
  <si>
    <t xml:space="preserve">Avril </t>
  </si>
  <si>
    <t>Mai</t>
  </si>
  <si>
    <t>Juin</t>
  </si>
  <si>
    <t>Juillet</t>
  </si>
  <si>
    <t>Aout</t>
  </si>
  <si>
    <t>Septembre</t>
  </si>
  <si>
    <t>estimé</t>
  </si>
  <si>
    <t>réel</t>
  </si>
  <si>
    <t>Octobre</t>
  </si>
  <si>
    <t>Novembre</t>
  </si>
  <si>
    <t>Décembre</t>
  </si>
  <si>
    <t>PO-23-1161-00312</t>
  </si>
  <si>
    <t>septembre</t>
  </si>
  <si>
    <t>PO-22-1161-02030</t>
  </si>
  <si>
    <t>PO-22-1161-02065</t>
  </si>
  <si>
    <t>PO-22-1161-00711</t>
  </si>
  <si>
    <t>Facturées IO au 31/01/2023</t>
  </si>
  <si>
    <t>reste à dépenser au 31/01/2023</t>
  </si>
  <si>
    <t>Liste dépenses engagées</t>
  </si>
  <si>
    <t>Dépenses engagées IO</t>
  </si>
  <si>
    <t>Réel IO au 31/12/2022</t>
  </si>
  <si>
    <t>sommes figées au 31/12/2022</t>
  </si>
  <si>
    <t>sélectionner une date dans la liste déroulante et reporter le total de la colonne AA + le total correspondant au budget de la période sélectionnée dans le tableau Power query</t>
  </si>
  <si>
    <t>exemple je sélectionne la date au 01/03/2023 cela m'affiche = AA4 + somme de Janvier à Février soit 607198€</t>
  </si>
  <si>
    <t>à calculer</t>
  </si>
  <si>
    <t>Matériel</t>
  </si>
  <si>
    <t xml:space="preserve">prestation </t>
  </si>
  <si>
    <t>contrat</t>
  </si>
  <si>
    <t>application</t>
  </si>
  <si>
    <t>Elodie</t>
  </si>
  <si>
    <t>Marion</t>
  </si>
  <si>
    <t>Sara</t>
  </si>
  <si>
    <t>Audric</t>
  </si>
  <si>
    <t>Bernard</t>
  </si>
  <si>
    <t>Johann</t>
  </si>
  <si>
    <t>ICL</t>
  </si>
  <si>
    <t>RENAUD</t>
  </si>
  <si>
    <t>ALIAGE</t>
  </si>
  <si>
    <t>SUPRE</t>
  </si>
  <si>
    <t>LONTAR</t>
  </si>
  <si>
    <t>Coût forfaitaire</t>
  </si>
  <si>
    <t>601000</t>
  </si>
  <si>
    <t>601004</t>
  </si>
  <si>
    <t>601006</t>
  </si>
  <si>
    <t>600716</t>
  </si>
  <si>
    <t>Application SAP</t>
  </si>
  <si>
    <t>Application TRUC</t>
  </si>
  <si>
    <t>Application MACHIN</t>
  </si>
  <si>
    <t>Application BIDULE</t>
  </si>
  <si>
    <t>CADRAGE</t>
  </si>
  <si>
    <t>GUIN</t>
  </si>
  <si>
    <t>Application ONGER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</si>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</sst>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[$-40C]mmmm\-yy;@"/>
    <numFmt numFmtId="166" formatCode="#,##0\ &quot;€&quot;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4"/>
      <color rgb="FF0061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7CE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79082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theme="9"/>
      </patternFill>
    </fill>
  </fills>
  <borders count="8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theme="9"/>
      </top>
      <bottom style="thin">
        <color theme="9"/>
      </bottom>
      <diagonal/>
    </border>
    <border>
      <left style="thin">
        <color theme="9"/>
      </left>
      <right/>
      <top style="thin">
        <color theme="9"/>
      </top>
      <bottom/>
      <diagonal/>
    </border>
  </borders>
  <cellStyleXfs count="8">
    <xf numFmtId="0" fontId="0" fillId="0" borderId="0"/>
    <xf numFmtId="0" fontId="7" fillId="4" borderId="0" applyNumberFormat="0" applyBorder="0" applyAlignment="0" applyProtection="0"/>
    <xf numFmtId="44" fontId="11" fillId="0" borderId="0" applyFont="0" applyFill="0" applyBorder="0" applyAlignment="0" applyProtection="0"/>
    <xf numFmtId="0" fontId="15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9" borderId="0" applyNumberFormat="0" applyBorder="0" applyAlignment="0" applyProtection="0"/>
    <xf numFmtId="0" fontId="22" fillId="10" borderId="0" applyNumberFormat="0" applyBorder="0" applyAlignment="0" applyProtection="0"/>
  </cellStyleXfs>
  <cellXfs count="133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left"/>
    </xf>
    <xf numFmtId="2" fontId="0" fillId="0" borderId="0" xfId="0" applyNumberFormat="1"/>
    <xf numFmtId="2" fontId="3" fillId="0" borderId="0" xfId="0" applyNumberFormat="1" applyFont="1"/>
    <xf numFmtId="2" fontId="2" fillId="0" borderId="0" xfId="0" applyNumberFormat="1" applyFont="1"/>
    <xf numFmtId="14" fontId="0" fillId="0" borderId="0" xfId="0" applyNumberFormat="1" applyAlignment="1">
      <alignment horizontal="left"/>
    </xf>
    <xf numFmtId="2" fontId="1" fillId="0" borderId="0" xfId="0" applyNumberFormat="1" applyFont="1" applyAlignment="1">
      <alignment horizontal="left"/>
    </xf>
    <xf numFmtId="0" fontId="5" fillId="3" borderId="0" xfId="0" applyFont="1" applyFill="1" applyAlignment="1">
      <alignment horizontal="left" vertical="center" wrapText="1"/>
    </xf>
    <xf numFmtId="49" fontId="5" fillId="3" borderId="0" xfId="0" applyNumberFormat="1" applyFont="1" applyFill="1" applyAlignment="1">
      <alignment horizontal="left" vertical="center" wrapText="1"/>
    </xf>
    <xf numFmtId="14" fontId="5" fillId="3" borderId="0" xfId="0" applyNumberFormat="1" applyFont="1" applyFill="1" applyAlignment="1">
      <alignment horizontal="left" vertical="center" wrapText="1"/>
    </xf>
    <xf numFmtId="0" fontId="5" fillId="3" borderId="0" xfId="0" applyFont="1" applyFill="1" applyAlignment="1">
      <alignment horizontal="center" vertical="center" wrapText="1"/>
    </xf>
    <xf numFmtId="165" fontId="5" fillId="3" borderId="0" xfId="0" applyNumberFormat="1" applyFont="1" applyFill="1" applyAlignment="1">
      <alignment horizontal="left" vertical="center" wrapText="1"/>
    </xf>
    <xf numFmtId="165" fontId="6" fillId="3" borderId="0" xfId="0" applyNumberFormat="1" applyFont="1" applyFill="1" applyAlignment="1">
      <alignment horizontal="left" vertical="center" wrapText="1"/>
    </xf>
    <xf numFmtId="0" fontId="5" fillId="3" borderId="0" xfId="0" applyFont="1" applyFill="1" applyAlignment="1">
      <alignment vertical="center" wrapText="1"/>
    </xf>
    <xf numFmtId="164" fontId="5" fillId="3" borderId="0" xfId="0" applyNumberFormat="1" applyFont="1" applyFill="1" applyAlignment="1">
      <alignment horizontal="left" vertical="center" wrapText="1"/>
    </xf>
    <xf numFmtId="2" fontId="5" fillId="3" borderId="0" xfId="0" applyNumberFormat="1" applyFont="1" applyFill="1" applyAlignment="1">
      <alignment horizontal="left" vertical="center" wrapText="1"/>
    </xf>
    <xf numFmtId="0" fontId="8" fillId="2" borderId="0" xfId="0" applyFont="1" applyFill="1" applyAlignment="1">
      <alignment horizontal="left"/>
    </xf>
    <xf numFmtId="49" fontId="8" fillId="2" borderId="0" xfId="0" applyNumberFormat="1" applyFont="1" applyFill="1" applyAlignment="1">
      <alignment horizontal="left"/>
    </xf>
    <xf numFmtId="0" fontId="9" fillId="2" borderId="0" xfId="0" applyFont="1" applyFill="1" applyAlignment="1">
      <alignment horizontal="left"/>
    </xf>
    <xf numFmtId="0" fontId="8" fillId="2" borderId="0" xfId="0" applyFont="1" applyFill="1" applyAlignment="1">
      <alignment horizontal="center"/>
    </xf>
    <xf numFmtId="164" fontId="9" fillId="2" borderId="0" xfId="0" applyNumberFormat="1" applyFont="1" applyFill="1" applyAlignment="1">
      <alignment horizontal="left"/>
    </xf>
    <xf numFmtId="2" fontId="9" fillId="2" borderId="0" xfId="0" applyNumberFormat="1" applyFont="1" applyFill="1" applyAlignment="1">
      <alignment horizontal="left"/>
    </xf>
    <xf numFmtId="0" fontId="8" fillId="2" borderId="0" xfId="0" applyFont="1" applyFill="1"/>
    <xf numFmtId="2" fontId="8" fillId="2" borderId="0" xfId="0" applyNumberFormat="1" applyFont="1" applyFill="1"/>
    <xf numFmtId="2" fontId="8" fillId="2" borderId="0" xfId="0" applyNumberFormat="1" applyFont="1" applyFill="1" applyAlignment="1">
      <alignment horizontal="left"/>
    </xf>
    <xf numFmtId="2" fontId="9" fillId="5" borderId="0" xfId="0" applyNumberFormat="1" applyFont="1" applyFill="1" applyAlignment="1">
      <alignment horizontal="left"/>
    </xf>
    <xf numFmtId="2" fontId="8" fillId="5" borderId="0" xfId="0" applyNumberFormat="1" applyFont="1" applyFill="1" applyAlignment="1">
      <alignment horizontal="left"/>
    </xf>
    <xf numFmtId="14" fontId="9" fillId="2" borderId="0" xfId="0" applyNumberFormat="1" applyFont="1" applyFill="1" applyAlignment="1">
      <alignment horizontal="left"/>
    </xf>
    <xf numFmtId="14" fontId="9" fillId="2" borderId="0" xfId="1" applyNumberFormat="1" applyFont="1" applyFill="1" applyAlignment="1">
      <alignment horizontal="left"/>
    </xf>
    <xf numFmtId="0" fontId="1" fillId="0" borderId="0" xfId="0" applyFont="1" applyAlignment="1">
      <alignment horizontal="left"/>
    </xf>
    <xf numFmtId="0" fontId="10" fillId="3" borderId="0" xfId="0" applyFont="1" applyFill="1" applyAlignment="1">
      <alignment horizontal="left" vertical="center" wrapText="1"/>
    </xf>
    <xf numFmtId="14" fontId="0" fillId="0" borderId="0" xfId="0" applyNumberFormat="1" applyAlignment="1">
      <alignment horizontal="center"/>
    </xf>
    <xf numFmtId="44" fontId="0" fillId="0" borderId="0" xfId="2" applyFont="1"/>
    <xf numFmtId="0" fontId="0" fillId="0" borderId="0" xfId="0" applyNumberFormat="1"/>
    <xf numFmtId="0" fontId="8" fillId="2" borderId="0" xfId="0" applyNumberFormat="1" applyFont="1" applyFill="1" applyAlignment="1">
      <alignment horizontal="center"/>
    </xf>
    <xf numFmtId="0" fontId="0" fillId="0" borderId="0" xfId="2" applyNumberFormat="1" applyFont="1"/>
    <xf numFmtId="2" fontId="0" fillId="0" borderId="0" xfId="0" applyNumberFormat="1" applyFill="1"/>
    <xf numFmtId="165" fontId="5" fillId="0" borderId="0" xfId="0" applyNumberFormat="1" applyFont="1" applyFill="1" applyAlignment="1">
      <alignment horizontal="left" vertical="center" wrapText="1"/>
    </xf>
    <xf numFmtId="2" fontId="8" fillId="0" borderId="0" xfId="0" applyNumberFormat="1" applyFont="1" applyFill="1" applyAlignment="1">
      <alignment horizontal="left"/>
    </xf>
    <xf numFmtId="2" fontId="1" fillId="0" borderId="0" xfId="0" applyNumberFormat="1" applyFont="1" applyFill="1" applyAlignment="1">
      <alignment horizontal="left"/>
    </xf>
    <xf numFmtId="164" fontId="0" fillId="0" borderId="0" xfId="0" applyNumberFormat="1" applyFill="1" applyAlignment="1">
      <alignment horizontal="left"/>
    </xf>
    <xf numFmtId="164" fontId="5" fillId="0" borderId="0" xfId="0" applyNumberFormat="1" applyFont="1" applyFill="1" applyAlignment="1">
      <alignment horizontal="left" vertical="center" wrapText="1"/>
    </xf>
    <xf numFmtId="164" fontId="9" fillId="0" borderId="0" xfId="0" applyNumberFormat="1" applyFont="1" applyFill="1" applyAlignment="1">
      <alignment horizontal="left"/>
    </xf>
    <xf numFmtId="164" fontId="0" fillId="0" borderId="0" xfId="0" applyNumberFormat="1" applyFill="1" applyAlignment="1">
      <alignment horizontal="center"/>
    </xf>
    <xf numFmtId="44" fontId="0" fillId="0" borderId="0" xfId="2" applyFont="1" applyAlignment="1">
      <alignment horizontal="center"/>
    </xf>
    <xf numFmtId="0" fontId="14" fillId="0" borderId="0" xfId="0" applyFont="1" applyAlignment="1">
      <alignment horizontal="left"/>
    </xf>
    <xf numFmtId="0" fontId="0" fillId="6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0" xfId="0" applyFill="1"/>
    <xf numFmtId="14" fontId="15" fillId="0" borderId="0" xfId="3" applyNumberFormat="1" applyAlignment="1">
      <alignment horizontal="left"/>
    </xf>
    <xf numFmtId="14" fontId="17" fillId="2" borderId="0" xfId="1" applyNumberFormat="1" applyFont="1" applyFill="1" applyAlignment="1">
      <alignment horizontal="left"/>
    </xf>
    <xf numFmtId="14" fontId="17" fillId="2" borderId="0" xfId="0" applyNumberFormat="1" applyFont="1" applyFill="1" applyAlignment="1">
      <alignment horizontal="left"/>
    </xf>
    <xf numFmtId="0" fontId="16" fillId="2" borderId="0" xfId="0" applyFont="1" applyFill="1" applyAlignment="1">
      <alignment horizontal="center"/>
    </xf>
    <xf numFmtId="0" fontId="16" fillId="2" borderId="0" xfId="0" applyNumberFormat="1" applyFont="1" applyFill="1" applyAlignment="1">
      <alignment horizontal="center"/>
    </xf>
    <xf numFmtId="164" fontId="17" fillId="2" borderId="0" xfId="0" applyNumberFormat="1" applyFont="1" applyFill="1" applyAlignment="1">
      <alignment horizontal="left"/>
    </xf>
    <xf numFmtId="2" fontId="17" fillId="2" borderId="0" xfId="0" applyNumberFormat="1" applyFont="1" applyFill="1" applyAlignment="1">
      <alignment horizontal="left"/>
    </xf>
    <xf numFmtId="2" fontId="16" fillId="0" borderId="0" xfId="0" applyNumberFormat="1" applyFont="1" applyFill="1" applyAlignment="1">
      <alignment horizontal="left"/>
    </xf>
    <xf numFmtId="2" fontId="16" fillId="2" borderId="0" xfId="0" applyNumberFormat="1" applyFont="1" applyFill="1" applyAlignment="1">
      <alignment horizontal="left"/>
    </xf>
    <xf numFmtId="2" fontId="16" fillId="7" borderId="0" xfId="0" applyNumberFormat="1" applyFont="1" applyFill="1" applyAlignment="1">
      <alignment horizontal="left"/>
    </xf>
    <xf numFmtId="0" fontId="0" fillId="7" borderId="0" xfId="0" applyFill="1" applyAlignment="1">
      <alignment horizontal="left"/>
    </xf>
    <xf numFmtId="0" fontId="18" fillId="2" borderId="0" xfId="0" applyFont="1" applyFill="1" applyAlignment="1">
      <alignment horizontal="left"/>
    </xf>
    <xf numFmtId="49" fontId="18" fillId="2" borderId="0" xfId="0" applyNumberFormat="1" applyFont="1" applyFill="1" applyAlignment="1">
      <alignment horizontal="left"/>
    </xf>
    <xf numFmtId="0" fontId="18" fillId="2" borderId="0" xfId="0" applyFont="1" applyFill="1" applyAlignment="1">
      <alignment horizontal="center"/>
    </xf>
    <xf numFmtId="164" fontId="19" fillId="2" borderId="0" xfId="0" applyNumberFormat="1" applyFont="1" applyFill="1" applyAlignment="1">
      <alignment horizontal="left"/>
    </xf>
    <xf numFmtId="2" fontId="19" fillId="2" borderId="0" xfId="0" applyNumberFormat="1" applyFont="1" applyFill="1" applyAlignment="1">
      <alignment horizontal="left"/>
    </xf>
    <xf numFmtId="2" fontId="18" fillId="0" borderId="0" xfId="0" applyNumberFormat="1" applyFont="1" applyFill="1" applyAlignment="1">
      <alignment horizontal="left"/>
    </xf>
    <xf numFmtId="2" fontId="18" fillId="2" borderId="0" xfId="0" applyNumberFormat="1" applyFont="1" applyFill="1" applyAlignment="1">
      <alignment horizontal="left"/>
    </xf>
    <xf numFmtId="0" fontId="18" fillId="2" borderId="0" xfId="0" applyNumberFormat="1" applyFont="1" applyFill="1" applyAlignment="1">
      <alignment horizontal="center"/>
    </xf>
    <xf numFmtId="14" fontId="19" fillId="2" borderId="0" xfId="0" applyNumberFormat="1" applyFont="1" applyFill="1" applyAlignment="1">
      <alignment horizontal="left"/>
    </xf>
    <xf numFmtId="164" fontId="19" fillId="0" borderId="0" xfId="0" applyNumberFormat="1" applyFont="1" applyFill="1" applyAlignment="1">
      <alignment horizontal="left"/>
    </xf>
    <xf numFmtId="14" fontId="19" fillId="2" borderId="0" xfId="0" applyNumberFormat="1" applyFont="1" applyFill="1" applyAlignment="1">
      <alignment horizontal="left" vertical="center" wrapText="1"/>
    </xf>
    <xf numFmtId="0" fontId="19" fillId="2" borderId="0" xfId="0" applyFont="1" applyFill="1" applyAlignment="1">
      <alignment horizontal="left" vertical="center" wrapText="1"/>
    </xf>
    <xf numFmtId="0" fontId="18" fillId="2" borderId="0" xfId="0" applyFont="1" applyFill="1" applyAlignment="1">
      <alignment horizontal="center" wrapText="1"/>
    </xf>
    <xf numFmtId="164" fontId="19" fillId="2" borderId="0" xfId="0" applyNumberFormat="1" applyFont="1" applyFill="1" applyAlignment="1">
      <alignment horizontal="left" vertical="center" wrapText="1"/>
    </xf>
    <xf numFmtId="2" fontId="18" fillId="0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horizontal="left" vertical="center" wrapText="1"/>
    </xf>
    <xf numFmtId="0" fontId="18" fillId="2" borderId="0" xfId="0" applyFont="1" applyFill="1" applyAlignment="1">
      <alignment vertical="center" wrapText="1"/>
    </xf>
    <xf numFmtId="0" fontId="18" fillId="2" borderId="0" xfId="0" applyFont="1" applyFill="1" applyAlignment="1">
      <alignment horizontal="left" vertical="center" wrapText="1"/>
    </xf>
    <xf numFmtId="49" fontId="8" fillId="8" borderId="0" xfId="0" applyNumberFormat="1" applyFont="1" applyFill="1" applyAlignment="1">
      <alignment horizontal="left"/>
    </xf>
    <xf numFmtId="14" fontId="9" fillId="8" borderId="0" xfId="1" applyNumberFormat="1" applyFont="1" applyFill="1" applyAlignment="1">
      <alignment horizontal="left"/>
    </xf>
    <xf numFmtId="14" fontId="9" fillId="8" borderId="0" xfId="0" applyNumberFormat="1" applyFont="1" applyFill="1" applyAlignment="1">
      <alignment horizontal="left"/>
    </xf>
    <xf numFmtId="0" fontId="9" fillId="8" borderId="0" xfId="0" applyFont="1" applyFill="1" applyAlignment="1">
      <alignment horizontal="left"/>
    </xf>
    <xf numFmtId="164" fontId="9" fillId="8" borderId="0" xfId="0" applyNumberFormat="1" applyFont="1" applyFill="1" applyAlignment="1">
      <alignment horizontal="left"/>
    </xf>
    <xf numFmtId="0" fontId="8" fillId="8" borderId="0" xfId="0" applyFont="1" applyFill="1" applyAlignment="1">
      <alignment horizontal="center"/>
    </xf>
    <xf numFmtId="0" fontId="8" fillId="8" borderId="0" xfId="0" applyNumberFormat="1" applyFont="1" applyFill="1" applyAlignment="1">
      <alignment horizontal="center"/>
    </xf>
    <xf numFmtId="2" fontId="9" fillId="8" borderId="0" xfId="0" applyNumberFormat="1" applyFont="1" applyFill="1" applyAlignment="1">
      <alignment horizontal="left"/>
    </xf>
    <xf numFmtId="2" fontId="8" fillId="8" borderId="0" xfId="0" applyNumberFormat="1" applyFont="1" applyFill="1" applyAlignment="1">
      <alignment horizontal="left"/>
    </xf>
    <xf numFmtId="0" fontId="8" fillId="8" borderId="0" xfId="0" applyFont="1" applyFill="1"/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166" fontId="0" fillId="0" borderId="2" xfId="0" applyNumberForma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2" xfId="0" applyFill="1" applyBorder="1" applyAlignment="1">
      <alignment horizontal="center" vertical="center" wrapText="1"/>
    </xf>
    <xf numFmtId="14" fontId="0" fillId="0" borderId="2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25" fillId="11" borderId="2" xfId="0" applyFont="1" applyFill="1" applyBorder="1" applyAlignment="1">
      <alignment horizontal="center" vertical="center" wrapText="1"/>
    </xf>
    <xf numFmtId="0" fontId="23" fillId="14" borderId="3" xfId="0" applyFont="1" applyFill="1" applyBorder="1" applyAlignment="1">
      <alignment horizontal="center" vertical="center" wrapText="1"/>
    </xf>
    <xf numFmtId="0" fontId="1" fillId="13" borderId="2" xfId="0" applyFont="1" applyFill="1" applyBorder="1" applyAlignment="1">
      <alignment horizontal="center" vertical="center" wrapText="1"/>
    </xf>
    <xf numFmtId="166" fontId="22" fillId="10" borderId="2" xfId="7" applyNumberFormat="1" applyBorder="1" applyAlignment="1">
      <alignment horizontal="center" vertical="center" wrapText="1"/>
    </xf>
    <xf numFmtId="166" fontId="21" fillId="9" borderId="2" xfId="6" applyNumberFormat="1" applyBorder="1" applyAlignment="1">
      <alignment horizontal="center" vertical="center" wrapText="1"/>
    </xf>
    <xf numFmtId="44" fontId="15" fillId="0" borderId="0" xfId="2" applyFont="1" applyAlignment="1">
      <alignment horizontal="left" vertical="center" wrapText="1"/>
    </xf>
    <xf numFmtId="44" fontId="24" fillId="13" borderId="0" xfId="2" applyFont="1" applyFill="1" applyAlignment="1">
      <alignment vertical="center" wrapText="1"/>
    </xf>
    <xf numFmtId="44" fontId="1" fillId="13" borderId="0" xfId="2" applyFont="1" applyFill="1" applyAlignment="1">
      <alignment horizontal="center" vertical="center" wrapText="1"/>
    </xf>
    <xf numFmtId="44" fontId="0" fillId="0" borderId="0" xfId="2" applyFont="1" applyAlignment="1">
      <alignment vertical="center" wrapText="1"/>
    </xf>
    <xf numFmtId="44" fontId="0" fillId="12" borderId="0" xfId="2" applyFont="1" applyFill="1" applyAlignment="1">
      <alignment vertical="center" wrapText="1"/>
    </xf>
    <xf numFmtId="44" fontId="21" fillId="9" borderId="0" xfId="2" applyFont="1" applyFill="1" applyAlignment="1">
      <alignment vertical="center" wrapText="1"/>
    </xf>
    <xf numFmtId="44" fontId="21" fillId="9" borderId="0" xfId="2" applyFont="1" applyFill="1" applyAlignment="1">
      <alignment horizontal="center" vertical="center" wrapText="1"/>
    </xf>
    <xf numFmtId="0" fontId="26" fillId="0" borderId="0" xfId="5" applyFont="1" applyAlignment="1">
      <alignment vertical="center" wrapText="1"/>
    </xf>
    <xf numFmtId="0" fontId="23" fillId="14" borderId="4" xfId="0" applyFont="1" applyFill="1" applyBorder="1" applyAlignment="1">
      <alignment horizontal="center" vertical="center" wrapText="1"/>
    </xf>
    <xf numFmtId="0" fontId="23" fillId="14" borderId="5" xfId="0" applyFont="1" applyFill="1" applyBorder="1" applyAlignment="1">
      <alignment horizontal="center" vertical="center" wrapText="1"/>
    </xf>
    <xf numFmtId="166" fontId="0" fillId="7" borderId="2" xfId="0" applyNumberFormat="1" applyFill="1" applyBorder="1" applyAlignment="1">
      <alignment horizontal="center" vertical="center" wrapText="1"/>
    </xf>
    <xf numFmtId="49" fontId="8" fillId="12" borderId="0" xfId="0" applyNumberFormat="1" applyFont="1" applyFill="1" applyAlignment="1">
      <alignment horizontal="left"/>
    </xf>
    <xf numFmtId="44" fontId="18" fillId="0" borderId="0" xfId="2" applyFont="1" applyFill="1" applyAlignment="1">
      <alignment horizontal="left" vertical="center" wrapText="1"/>
    </xf>
    <xf numFmtId="14" fontId="19" fillId="2" borderId="0" xfId="1" applyNumberFormat="1" applyFont="1" applyFill="1" applyAlignment="1">
      <alignment horizontal="left"/>
    </xf>
    <xf numFmtId="44" fontId="21" fillId="9" borderId="0" xfId="6" applyNumberFormat="1" applyAlignment="1">
      <alignment vertical="center" wrapText="1"/>
    </xf>
    <xf numFmtId="44" fontId="21" fillId="9" borderId="0" xfId="6" applyNumberFormat="1"/>
    <xf numFmtId="44" fontId="21" fillId="9" borderId="6" xfId="6" applyNumberFormat="1" applyBorder="1"/>
    <xf numFmtId="14" fontId="0" fillId="0" borderId="0" xfId="0" applyNumberFormat="1"/>
    <xf numFmtId="14" fontId="27" fillId="9" borderId="2" xfId="6" applyNumberFormat="1" applyFont="1" applyBorder="1" applyAlignment="1">
      <alignment horizontal="center" vertical="center" wrapText="1"/>
    </xf>
    <xf numFmtId="44" fontId="28" fillId="0" borderId="0" xfId="2" applyFont="1" applyAlignment="1">
      <alignment horizontal="left" vertical="center" wrapText="1"/>
    </xf>
    <xf numFmtId="0" fontId="0" fillId="0" borderId="0" xfId="0" applyFont="1"/>
    <xf numFmtId="0" fontId="9" fillId="2" borderId="0" xfId="0" applyFont="1" applyFill="1" applyAlignment="1">
      <alignment horizontal="left" vertical="center" wrapText="1"/>
    </xf>
    <xf numFmtId="14" fontId="8" fillId="2" borderId="0" xfId="0" applyNumberFormat="1" applyFont="1" applyFill="1" applyAlignment="1">
      <alignment horizontal="left"/>
    </xf>
    <xf numFmtId="164" fontId="8" fillId="0" borderId="0" xfId="0" applyNumberFormat="1" applyFont="1" applyFill="1" applyAlignment="1">
      <alignment horizontal="left"/>
    </xf>
    <xf numFmtId="164" fontId="8" fillId="2" borderId="0" xfId="0" applyNumberFormat="1" applyFont="1" applyFill="1" applyAlignment="1">
      <alignment horizontal="center"/>
    </xf>
    <xf numFmtId="44" fontId="0" fillId="0" borderId="0" xfId="0" applyNumberFormat="1" applyFont="1"/>
    <xf numFmtId="0" fontId="23" fillId="15" borderId="7" xfId="0" applyFont="1" applyFill="1" applyBorder="1"/>
  </cellXfs>
  <cellStyles count="8">
    <cellStyle name="Insatisfaisant" xfId="1" builtinId="27"/>
    <cellStyle name="Monétaire" xfId="2" builtinId="4"/>
    <cellStyle name="Monétaire 2" xfId="4" xr:uid="{00000000-0005-0000-0000-000003000000}"/>
    <cellStyle name="Neutre" xfId="7" builtinId="28"/>
    <cellStyle name="Normal" xfId="0" builtinId="0"/>
    <cellStyle name="Satisfaisant" xfId="6" builtinId="26"/>
    <cellStyle name="Texte explicatif" xfId="3" builtinId="53"/>
    <cellStyle name="Titre" xfId="5" builtinId="15"/>
  </cellStyles>
  <dxfs count="1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alignment horizontal="left" textRotation="0" indent="0" justifyLastLine="0" shrinkToFit="0" readingOrder="0"/>
    </dxf>
    <dxf>
      <numFmt numFmtId="19" formatCode="dd/mm/yyyy"/>
    </dxf>
    <dxf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left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bottom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/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alignment horizontal="left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name val="Calibri"/>
        <scheme val="minor"/>
      </font>
      <fill>
        <patternFill>
          <fgColor indexed="64"/>
          <bgColor theme="0" tint="-0.249977111117893"/>
        </patternFill>
      </fill>
      <alignment horizontal="general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A1FD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628650</xdr:colOff>
      <xdr:row>1</xdr:row>
      <xdr:rowOff>19050</xdr:rowOff>
    </xdr:from>
    <xdr:to>
      <xdr:col>14</xdr:col>
      <xdr:colOff>485775</xdr:colOff>
      <xdr:row>16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28650" y="209550"/>
          <a:ext cx="10525125" cy="285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1- Ajout</a:t>
          </a:r>
          <a:r>
            <a:rPr lang="fr-FR" sz="1100" b="1" u="sng" baseline="0"/>
            <a:t> d'une nouvelle commande: </a:t>
          </a:r>
        </a:p>
        <a:p>
          <a:r>
            <a:rPr lang="fr-FR" sz="1100" baseline="0"/>
            <a:t>insérer une ligne dans le tableau "PLANNING_PRESTA" et compléter la date de début à partir de laquelle la réception est estimée dans Basware : cela permettra d'alimenter automatiquement le tableau "BDD_PRESTA_ESTIME 2023" </a:t>
          </a:r>
          <a:r>
            <a:rPr lang="fr-FR" sz="1100" b="1" baseline="0"/>
            <a:t>à partir du mois de la réception saisie. </a:t>
          </a:r>
        </a:p>
        <a:p>
          <a:r>
            <a:rPr lang="fr-FR" sz="1100" b="0" baseline="0"/>
            <a:t>Le tableau calculera alors automatiquement les montants estimées mois par mois tel un tableau d'amortissement.</a:t>
          </a:r>
        </a:p>
        <a:p>
          <a:r>
            <a:rPr lang="fr-FR" sz="1100" b="0" u="sng" baseline="0"/>
            <a:t>exemple:</a:t>
          </a:r>
          <a:r>
            <a:rPr lang="fr-FR" sz="1100" b="0" baseline="0"/>
            <a:t> une commande de matériel a été créée le 01/12/2022 mais la réception est prévue le 10/03/2023 alors saisir le </a:t>
          </a:r>
          <a:r>
            <a:rPr lang="fr-FR" sz="1100" b="1" baseline="0"/>
            <a:t>10/03/2023</a:t>
          </a:r>
          <a:r>
            <a:rPr lang="fr-FR" sz="1100" b="0" baseline="0"/>
            <a:t> dans la date de début.</a:t>
          </a:r>
        </a:p>
        <a:p>
          <a:r>
            <a:rPr lang="fr-FR" sz="1100" b="0" baseline="0"/>
            <a:t>Renseigner le nombre de jours :</a:t>
          </a:r>
        </a:p>
        <a:p>
          <a:r>
            <a:rPr lang="fr-FR" sz="1100" b="0" baseline="0"/>
            <a:t>Pour une prestation : nombre de jours estimée de la prestation</a:t>
          </a:r>
        </a:p>
        <a:p>
          <a:r>
            <a:rPr lang="fr-FR" sz="1100" b="0" baseline="0"/>
            <a:t>Pour du matériel : noter le jour exact de la réception </a:t>
          </a:r>
        </a:p>
        <a:p>
          <a:r>
            <a:rPr lang="fr-FR" sz="1100" b="0" baseline="0"/>
            <a:t>Pour un contrat: nombre de jours à partir de la date de début du contrat</a:t>
          </a:r>
        </a:p>
        <a:p>
          <a:endParaRPr lang="fr-FR" sz="1100" b="0" baseline="0"/>
        </a:p>
        <a:p>
          <a:endParaRPr lang="fr-FR" sz="1100" b="0" baseline="0"/>
        </a:p>
        <a:p>
          <a:endParaRPr lang="fr-FR" sz="1100" b="1" baseline="0"/>
        </a:p>
        <a:p>
          <a:endParaRPr lang="fr-FR" sz="1100" b="1" baseline="0"/>
        </a:p>
        <a:p>
          <a:endParaRPr lang="fr-FR" sz="1100" baseline="0"/>
        </a:p>
        <a:p>
          <a:endParaRPr lang="fr-FR" sz="1100" baseline="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00000000-0016-0000-0100-000000000000}" autoFormatId="16" applyNumberFormats="0" applyBorderFormats="0" applyFontFormats="0" applyPatternFormats="0" applyAlignmentFormats="0" applyWidthHeightFormats="0">
  <queryTableRefresh nextId="35">
    <queryTableFields count="18">
      <queryTableField id="1" name="Projet" tableColumnId="1"/>
      <queryTableField id="2" name="PO" tableColumnId="2"/>
      <queryTableField id="3" name="Société" tableColumnId="3"/>
      <queryTableField id="4" name="Prestataires" tableColumnId="4"/>
      <queryTableField id="5" name="Début" tableColumnId="5"/>
      <queryTableField id="6" name="Fin" tableColumnId="6"/>
      <queryTableField id="30" name="Reliquat 2022" tableColumnId="11"/>
      <queryTableField id="16" name="TJM" tableColumnId="12"/>
      <queryTableField id="8" name="Janvier" tableColumnId="8"/>
      <queryTableField id="9" name="Février" tableColumnId="9"/>
      <queryTableField id="10" name="Mars" tableColumnId="10"/>
      <queryTableField id="19" name="avril" tableColumnId="13"/>
      <queryTableField id="22" name="mai" tableColumnId="14"/>
      <queryTableField id="23" name="juin" tableColumnId="15"/>
      <queryTableField id="24" name="juillet" tableColumnId="16"/>
      <queryTableField id="27" name="août" tableColumnId="19"/>
      <queryTableField id="29" name="septembre" tableColumnId="7"/>
      <queryTableField id="31" name="Total" tableColumnId="17"/>
    </queryTableFields>
    <queryTableDeletedFields count="2">
      <deletedField name="Total"/>
      <deletedField name="Reliquat 2022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BDD_PRESTA_ESTIME3_2" displayName="BDD_PRESTA_ESTIME3_2" ref="B4:S19" tableType="queryTable" totalsRowCount="1" headerRowDxfId="109">
  <autoFilter ref="B4:S18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00000000-0010-0000-0000-000001000000}" uniqueName="1" name="Projet" totalsRowLabel="Total" queryTableFieldId="1" dataDxfId="15"/>
    <tableColumn id="2" xr3:uid="{00000000-0010-0000-0000-000002000000}" uniqueName="2" name="PO" queryTableFieldId="2"/>
    <tableColumn id="3" xr3:uid="{00000000-0010-0000-0000-000003000000}" uniqueName="3" name="Société" queryTableFieldId="3"/>
    <tableColumn id="4" xr3:uid="{00000000-0010-0000-0000-000004000000}" uniqueName="4" name="Prestataires" queryTableFieldId="4" dataDxfId="14"/>
    <tableColumn id="5" xr3:uid="{00000000-0010-0000-0000-000005000000}" uniqueName="5" name="Début" queryTableFieldId="5" dataDxfId="13" totalsRowDxfId="18"/>
    <tableColumn id="6" xr3:uid="{00000000-0010-0000-0000-000006000000}" uniqueName="6" name="Fin" queryTableFieldId="6" dataDxfId="12" totalsRowDxfId="19"/>
    <tableColumn id="11" xr3:uid="{18F6F0C4-BB4E-44F5-9CC8-C37B298CCE48}" uniqueName="11" name="Reliquat 2022" queryTableFieldId="30" dataDxfId="11" dataCellStyle="Monétaire"/>
    <tableColumn id="12" xr3:uid="{00000000-0010-0000-0000-00000C000000}" uniqueName="12" name="TJM" queryTableFieldId="16" dataDxfId="10" totalsRowDxfId="20" dataCellStyle="Monétaire"/>
    <tableColumn id="8" xr3:uid="{00000000-0010-0000-0000-000008000000}" uniqueName="8" name="janvier" totalsRowFunction="sum" queryTableFieldId="8" dataDxfId="9" totalsRowDxfId="21" dataCellStyle="Monétaire"/>
    <tableColumn id="9" xr3:uid="{00000000-0010-0000-0000-000009000000}" uniqueName="9" name="février" totalsRowFunction="sum" queryTableFieldId="9" dataDxfId="8" totalsRowDxfId="22" dataCellStyle="Monétaire"/>
    <tableColumn id="10" xr3:uid="{00000000-0010-0000-0000-00000A000000}" uniqueName="10" name="mars" totalsRowFunction="sum" queryTableFieldId="10" dataDxfId="7" totalsRowDxfId="23" dataCellStyle="Monétaire"/>
    <tableColumn id="13" xr3:uid="{00000000-0010-0000-0000-00000D000000}" uniqueName="13" name="avril" totalsRowFunction="sum" queryTableFieldId="19" dataDxfId="6" totalsRowDxfId="24" dataCellStyle="Monétaire"/>
    <tableColumn id="14" xr3:uid="{00000000-0010-0000-0000-00000E000000}" uniqueName="14" name="mai" totalsRowFunction="sum" queryTableFieldId="22" dataDxfId="5" totalsRowDxfId="25" dataCellStyle="Monétaire"/>
    <tableColumn id="15" xr3:uid="{00000000-0010-0000-0000-00000F000000}" uniqueName="15" name="juin" totalsRowFunction="sum" queryTableFieldId="23" dataDxfId="4" totalsRowDxfId="26" dataCellStyle="Monétaire"/>
    <tableColumn id="16" xr3:uid="{00000000-0010-0000-0000-000010000000}" uniqueName="16" name="juillet" totalsRowFunction="sum" queryTableFieldId="24" dataDxfId="3" totalsRowDxfId="27" dataCellStyle="Monétaire"/>
    <tableColumn id="19" xr3:uid="{00000000-0010-0000-0000-000013000000}" uniqueName="19" name="août" totalsRowFunction="sum" queryTableFieldId="27" dataDxfId="2" totalsRowDxfId="28" dataCellStyle="Monétaire"/>
    <tableColumn id="7" xr3:uid="{00000000-0010-0000-0000-000007000000}" uniqueName="7" name="septembre" queryTableFieldId="29" dataDxfId="1" totalsRowDxfId="29" dataCellStyle="Monétaire"/>
    <tableColumn id="17" xr3:uid="{0118C9B8-4CFF-4645-A528-10D8A43168F1}" uniqueName="17" name="Total" queryTableFieldId="31" dataDxfId="0" dataCellStyle="Monétaire"/>
  </tableColumns>
  <tableStyleInfo name="TableStyleLight14" showFirstColumn="0" showLastColumn="0" showRowStripes="1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BDD_PRESTA_ESTIME3" displayName="BDD_PRESTA_ESTIME3" ref="A2:AK20" totalsRowCount="1" headerRowDxfId="108" dataDxfId="107" totalsRowDxfId="106">
  <autoFilter ref="A2:AK19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</autoFilter>
  <tableColumns count="37">
    <tableColumn id="3" xr3:uid="{87D6954F-917A-4731-A5C9-31105E6506A0}" name="Type" dataDxfId="67" totalsRowDxfId="66"/>
    <tableColumn id="1" xr3:uid="{00000000-0010-0000-0100-000001000000}" name="Projet" dataDxfId="105" totalsRowDxfId="65"/>
    <tableColumn id="2" xr3:uid="{00000000-0010-0000-0100-000002000000}" name="PO" dataDxfId="104" totalsRowDxfId="64"/>
    <tableColumn id="28" xr3:uid="{00000000-0010-0000-0100-00001C000000}" name="Société" dataDxfId="103" totalsRowDxfId="63"/>
    <tableColumn id="8" xr3:uid="{00000000-0010-0000-0100-000008000000}" name="Début" dataDxfId="102" totalsRowDxfId="62"/>
    <tableColumn id="11" xr3:uid="{00000000-0010-0000-0100-00000B000000}" name="Fin" dataDxfId="101" totalsRowDxfId="61">
      <calculatedColumnFormula>WORKDAY.INTL(BDD_PRESTA_ESTIME3[[#This Row],[Début]]-1,BDD_PRESTA_ESTIME3[[#This Row],[Jours prév]],1,_Feries)</calculatedColumnFormula>
    </tableColumn>
    <tableColumn id="12" xr3:uid="{00000000-0010-0000-0100-00000C000000}" name="Prestataires" dataDxfId="100" totalsRowDxfId="60"/>
    <tableColumn id="27" xr3:uid="{00000000-0010-0000-0100-00001B000000}" name="TJM" dataDxfId="99" totalsRowDxfId="59"/>
    <tableColumn id="6" xr3:uid="{00000000-0010-0000-0100-000006000000}" name="Jours prév" dataDxfId="98" totalsRowDxfId="58"/>
    <tableColumn id="13" xr3:uid="{00000000-0010-0000-0100-00000D000000}" name="Jours trav" dataDxfId="97" totalsRowDxfId="57">
      <calculatedColumnFormula>SUM(#REF!)</calculatedColumnFormula>
    </tableColumn>
    <tableColumn id="14" xr3:uid="{00000000-0010-0000-0100-00000E000000}" name="Jours rest" dataDxfId="96" totalsRowDxfId="56">
      <calculatedColumnFormula>BDD_PRESTA_ESTIME3[[#This Row],[Jours prév]]-BDD_PRESTA_ESTIME3[[#This Row],[Jours trav]]</calculatedColumnFormula>
    </tableColumn>
    <tableColumn id="9" xr3:uid="{00000000-0010-0000-0100-000009000000}" name="Total" dataDxfId="95" totalsRowDxfId="55">
      <calculatedColumnFormula>BDD_PRESTA_ESTIME3[[#This Row],[Jours prév]]*BDD_PRESTA_ESTIME3[[#This Row],[TJM]]</calculatedColumnFormula>
    </tableColumn>
    <tableColumn id="7" xr3:uid="{00000000-0010-0000-0100-000007000000}" name="Reliquat 2022" dataDxfId="94" totalsRowDxfId="54"/>
    <tableColumn id="23" xr3:uid="{00000000-0010-0000-0100-000017000000}" name="prév Janv" dataDxfId="93" totalsRowDxfId="53"/>
    <tableColumn id="15" xr3:uid="{00000000-0010-0000-0100-00000F000000}" name="Reçu Janv" dataDxfId="92" totalsRowDxfId="52"/>
    <tableColumn id="16" xr3:uid="{00000000-0010-0000-0100-000010000000}" name="prév Fév" dataDxfId="91" totalsRowDxfId="51"/>
    <tableColumn id="24" xr3:uid="{00000000-0010-0000-0100-000018000000}" name="Reçu Fév" dataDxfId="90" totalsRowDxfId="50"/>
    <tableColumn id="17" xr3:uid="{00000000-0010-0000-0100-000011000000}" name="Prév Mars" dataDxfId="89" totalsRowDxfId="49"/>
    <tableColumn id="25" xr3:uid="{00000000-0010-0000-0100-000019000000}" name="Reçu Mars" dataDxfId="88" totalsRowDxfId="48"/>
    <tableColumn id="18" xr3:uid="{00000000-0010-0000-0100-000012000000}" name="Prév Avr" dataDxfId="87" totalsRowDxfId="47"/>
    <tableColumn id="26" xr3:uid="{00000000-0010-0000-0100-00001A000000}" name="Reçu Avr" dataDxfId="86" totalsRowDxfId="46"/>
    <tableColumn id="19" xr3:uid="{00000000-0010-0000-0100-000013000000}" name="Prév Mai" dataDxfId="85" totalsRowDxfId="45"/>
    <tableColumn id="34" xr3:uid="{00000000-0010-0000-0100-000022000000}" name="Reçu Mai" dataDxfId="84" totalsRowDxfId="44"/>
    <tableColumn id="20" xr3:uid="{00000000-0010-0000-0100-000014000000}" name="Prév Juin" dataDxfId="83" totalsRowDxfId="43"/>
    <tableColumn id="35" xr3:uid="{00000000-0010-0000-0100-000023000000}" name="Reçu Juin" dataDxfId="82" totalsRowDxfId="42"/>
    <tableColumn id="21" xr3:uid="{00000000-0010-0000-0100-000015000000}" name="Prév Juil" dataDxfId="81" totalsRowDxfId="41"/>
    <tableColumn id="36" xr3:uid="{00000000-0010-0000-0100-000024000000}" name="Reçu Juil" dataDxfId="80" totalsRowDxfId="40"/>
    <tableColumn id="22" xr3:uid="{00000000-0010-0000-0100-000016000000}" name="Prév Août" dataDxfId="79" totalsRowDxfId="39"/>
    <tableColumn id="37" xr3:uid="{00000000-0010-0000-0100-000025000000}" name="Reçu Août" dataDxfId="78" totalsRowDxfId="38"/>
    <tableColumn id="29" xr3:uid="{00000000-0010-0000-0100-00001D000000}" name="Prév Sept" dataDxfId="77" totalsRowDxfId="37"/>
    <tableColumn id="38" xr3:uid="{00000000-0010-0000-0100-000026000000}" name="Reçu Sept" dataDxfId="76" totalsRowDxfId="36"/>
    <tableColumn id="30" xr3:uid="{00000000-0010-0000-0100-00001E000000}" name="Prév Oct" dataDxfId="75" totalsRowDxfId="35"/>
    <tableColumn id="39" xr3:uid="{00000000-0010-0000-0100-000027000000}" name="Reçu Oct" dataDxfId="74" totalsRowDxfId="34"/>
    <tableColumn id="31" xr3:uid="{00000000-0010-0000-0100-00001F000000}" name="Prév Nov" dataDxfId="73" totalsRowDxfId="33"/>
    <tableColumn id="40" xr3:uid="{00000000-0010-0000-0100-000028000000}" name="Reçu Nov" dataDxfId="72" totalsRowDxfId="32"/>
    <tableColumn id="32" xr3:uid="{00000000-0010-0000-0100-000020000000}" name="Prév Déc" dataDxfId="71" totalsRowDxfId="31"/>
    <tableColumn id="41" xr3:uid="{00000000-0010-0000-0100-000029000000}" name="Reçu Déc" dataDxfId="70" totalsRowDxfId="30"/>
  </tableColumns>
  <tableStyleInfo name="TableStyleLight18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B2:C15" totalsRowShown="0">
  <autoFilter ref="B2:C15" xr:uid="{00000000-0009-0000-0100-000003000000}">
    <filterColumn colId="0" hiddenButton="1"/>
    <filterColumn colId="1" hiddenButton="1"/>
  </autoFilter>
  <tableColumns count="2">
    <tableColumn id="1" xr3:uid="{00000000-0010-0000-0200-000001000000}" name="Jours Fériés"/>
    <tableColumn id="2" xr3:uid="{00000000-0010-0000-0200-000002000000}" name="2023" dataDxfId="69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leau5" displayName="Tableau5" ref="E2:E13" totalsRowShown="0">
  <autoFilter ref="E2:E13" xr:uid="{00000000-0009-0000-0100-000005000000}"/>
  <tableColumns count="1">
    <tableColumn id="1" xr3:uid="{00000000-0010-0000-0300-000001000000}" name="Liste dépenses engagées" dataDxfId="6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4000000}" name="IO" displayName="IO" ref="A1:A13" totalsRowShown="0">
  <autoFilter ref="A1:A13" xr:uid="{00000000-0009-0000-0100-000002000000}"/>
  <tableColumns count="1">
    <tableColumn id="1" xr3:uid="{00000000-0010-0000-0400-000001000000}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W57"/>
  <sheetViews>
    <sheetView showGridLines="0" tabSelected="1" workbookViewId="0">
      <selection activeCell="D7" sqref="D7"/>
    </sheetView>
  </sheetViews>
  <sheetFormatPr baseColWidth="10" defaultRowHeight="14.4" x14ac:dyDescent="0.3"/>
  <cols>
    <col min="1" max="1" width="3.6640625" customWidth="1"/>
    <col min="2" max="2" width="11.77734375" customWidth="1"/>
    <col min="3" max="3" width="16.44140625" bestFit="1" customWidth="1"/>
    <col min="4" max="4" width="8.109375" bestFit="1" customWidth="1"/>
    <col min="5" max="5" width="13.6640625" bestFit="1" customWidth="1"/>
    <col min="6" max="7" width="10.5546875" bestFit="1" customWidth="1"/>
    <col min="8" max="8" width="12.33203125" bestFit="1" customWidth="1"/>
    <col min="9" max="9" width="8" style="35" bestFit="1" customWidth="1"/>
    <col min="10" max="17" width="11.77734375" style="35" bestFit="1" customWidth="1"/>
    <col min="18" max="18" width="11.33203125" style="35" bestFit="1" customWidth="1"/>
    <col min="19" max="19" width="11.6640625" style="35" bestFit="1" customWidth="1"/>
    <col min="20" max="20" width="12.88671875" style="35" customWidth="1"/>
    <col min="21" max="23" width="11.88671875" style="35" customWidth="1"/>
    <col min="24" max="24" width="11.88671875" bestFit="1" customWidth="1"/>
    <col min="25" max="26" width="8.88671875" bestFit="1" customWidth="1"/>
    <col min="28" max="28" width="11.88671875" bestFit="1" customWidth="1"/>
    <col min="31" max="31" width="11.88671875" bestFit="1" customWidth="1"/>
  </cols>
  <sheetData>
    <row r="2" spans="2:23" x14ac:dyDescent="0.3">
      <c r="B2" s="132" t="s">
        <v>122</v>
      </c>
    </row>
    <row r="4" spans="2:23" x14ac:dyDescent="0.3">
      <c r="B4" s="3" t="s">
        <v>19</v>
      </c>
      <c r="C4" s="3" t="s">
        <v>0</v>
      </c>
      <c r="D4" s="3" t="s">
        <v>1</v>
      </c>
      <c r="E4" s="3" t="s">
        <v>2</v>
      </c>
      <c r="F4" s="3" t="s">
        <v>16</v>
      </c>
      <c r="G4" s="3" t="s">
        <v>17</v>
      </c>
      <c r="H4" t="s">
        <v>21</v>
      </c>
      <c r="I4" t="s">
        <v>15</v>
      </c>
      <c r="J4" s="47" t="s">
        <v>64</v>
      </c>
      <c r="K4" s="47" t="s">
        <v>65</v>
      </c>
      <c r="L4" s="47" t="s">
        <v>66</v>
      </c>
      <c r="M4" s="35" t="s">
        <v>67</v>
      </c>
      <c r="N4" s="35" t="s">
        <v>72</v>
      </c>
      <c r="O4" s="35" t="s">
        <v>73</v>
      </c>
      <c r="P4" s="35" t="s">
        <v>74</v>
      </c>
      <c r="Q4" s="35" t="s">
        <v>75</v>
      </c>
      <c r="R4" s="35" t="s">
        <v>108</v>
      </c>
      <c r="S4" t="s">
        <v>18</v>
      </c>
      <c r="T4"/>
      <c r="U4"/>
      <c r="V4"/>
      <c r="W4"/>
    </row>
    <row r="5" spans="2:23" ht="15" customHeight="1" x14ac:dyDescent="0.3">
      <c r="B5" s="36" t="s">
        <v>137</v>
      </c>
      <c r="C5" t="s">
        <v>68</v>
      </c>
      <c r="D5" t="s">
        <v>133</v>
      </c>
      <c r="E5" s="51" t="s">
        <v>127</v>
      </c>
      <c r="F5" s="34">
        <v>44940</v>
      </c>
      <c r="G5" s="34">
        <v>44954</v>
      </c>
      <c r="H5" s="35">
        <v>12.5</v>
      </c>
      <c r="I5" s="38">
        <v>493</v>
      </c>
      <c r="J5" s="35">
        <v>4683.5</v>
      </c>
      <c r="Q5" s="38"/>
      <c r="R5" s="38"/>
      <c r="S5" s="35">
        <v>5176.5</v>
      </c>
      <c r="T5"/>
      <c r="U5"/>
      <c r="V5"/>
      <c r="W5"/>
    </row>
    <row r="6" spans="2:23" ht="15" customHeight="1" x14ac:dyDescent="0.3">
      <c r="B6" s="36" t="s">
        <v>137</v>
      </c>
      <c r="C6" t="s">
        <v>69</v>
      </c>
      <c r="D6" t="s">
        <v>133</v>
      </c>
      <c r="E6" s="51" t="s">
        <v>128</v>
      </c>
      <c r="F6" s="34">
        <v>44943</v>
      </c>
      <c r="G6" s="34">
        <v>45026</v>
      </c>
      <c r="H6" s="35">
        <v>7</v>
      </c>
      <c r="I6" s="38">
        <v>505</v>
      </c>
      <c r="J6" s="35">
        <v>5555</v>
      </c>
      <c r="K6" s="35">
        <v>10100</v>
      </c>
      <c r="L6" s="35">
        <v>11615</v>
      </c>
      <c r="M6" s="35">
        <v>2525</v>
      </c>
      <c r="Q6" s="38"/>
      <c r="R6" s="38"/>
      <c r="S6" s="35">
        <v>30300</v>
      </c>
      <c r="T6"/>
      <c r="U6"/>
      <c r="V6"/>
      <c r="W6"/>
    </row>
    <row r="7" spans="2:23" ht="15" customHeight="1" x14ac:dyDescent="0.3">
      <c r="B7" s="36" t="s">
        <v>137</v>
      </c>
      <c r="C7" t="s">
        <v>80</v>
      </c>
      <c r="D7" t="s">
        <v>133</v>
      </c>
      <c r="E7" s="51" t="s">
        <v>125</v>
      </c>
      <c r="F7" s="34">
        <v>44961</v>
      </c>
      <c r="G7" s="34">
        <v>45042</v>
      </c>
      <c r="H7" s="35">
        <v>15</v>
      </c>
      <c r="I7" s="38">
        <v>515</v>
      </c>
      <c r="K7" s="35">
        <v>8755</v>
      </c>
      <c r="L7" s="35">
        <v>11845</v>
      </c>
      <c r="M7" s="35">
        <v>8755</v>
      </c>
      <c r="Q7" s="38"/>
      <c r="R7" s="38"/>
      <c r="S7" s="35">
        <v>29870</v>
      </c>
      <c r="T7"/>
      <c r="U7"/>
      <c r="V7"/>
      <c r="W7"/>
    </row>
    <row r="8" spans="2:23" x14ac:dyDescent="0.3">
      <c r="B8" s="36" t="s">
        <v>137</v>
      </c>
      <c r="C8" t="s">
        <v>80</v>
      </c>
      <c r="D8" t="s">
        <v>133</v>
      </c>
      <c r="E8" s="51" t="s">
        <v>125</v>
      </c>
      <c r="F8" s="34">
        <v>45028</v>
      </c>
      <c r="G8" s="34">
        <v>45161</v>
      </c>
      <c r="H8" s="35">
        <v>0</v>
      </c>
      <c r="I8" s="38">
        <v>515</v>
      </c>
      <c r="M8" s="35">
        <v>6695</v>
      </c>
      <c r="N8" s="35">
        <v>9785</v>
      </c>
      <c r="O8" s="35">
        <v>11330</v>
      </c>
      <c r="P8" s="35">
        <v>10300</v>
      </c>
      <c r="Q8" s="38">
        <v>8240</v>
      </c>
      <c r="R8" s="38"/>
      <c r="S8" s="35">
        <v>46865</v>
      </c>
      <c r="T8"/>
      <c r="U8"/>
      <c r="V8"/>
      <c r="W8"/>
    </row>
    <row r="9" spans="2:23" x14ac:dyDescent="0.3">
      <c r="B9" s="36" t="s">
        <v>137</v>
      </c>
      <c r="C9" t="s">
        <v>85</v>
      </c>
      <c r="D9" t="s">
        <v>131</v>
      </c>
      <c r="E9" s="51"/>
      <c r="F9" s="34">
        <v>44927</v>
      </c>
      <c r="G9" s="34">
        <v>45169</v>
      </c>
      <c r="H9" s="35">
        <v>0</v>
      </c>
      <c r="I9" s="38">
        <v>200</v>
      </c>
      <c r="J9" s="35">
        <v>4400</v>
      </c>
      <c r="K9" s="35">
        <v>4000</v>
      </c>
      <c r="L9" s="35">
        <v>4600</v>
      </c>
      <c r="M9" s="35">
        <v>3800</v>
      </c>
      <c r="N9" s="35">
        <v>3800</v>
      </c>
      <c r="O9" s="35">
        <v>4400</v>
      </c>
      <c r="P9" s="35">
        <v>4000</v>
      </c>
      <c r="Q9" s="38">
        <v>4400</v>
      </c>
      <c r="R9" s="38"/>
      <c r="S9" s="35">
        <v>33600</v>
      </c>
      <c r="T9"/>
      <c r="U9"/>
      <c r="V9"/>
      <c r="W9"/>
    </row>
    <row r="10" spans="2:23" x14ac:dyDescent="0.3">
      <c r="B10" s="36" t="s">
        <v>138</v>
      </c>
      <c r="C10" t="s">
        <v>71</v>
      </c>
      <c r="D10" t="s">
        <v>131</v>
      </c>
      <c r="E10" s="51" t="s">
        <v>130</v>
      </c>
      <c r="F10" s="34">
        <v>44935</v>
      </c>
      <c r="G10" s="34">
        <v>45025</v>
      </c>
      <c r="H10" s="35">
        <v>4.5</v>
      </c>
      <c r="I10" s="38">
        <v>680</v>
      </c>
      <c r="J10" s="35">
        <v>11560</v>
      </c>
      <c r="K10" s="35">
        <v>13600</v>
      </c>
      <c r="L10" s="35">
        <v>15640</v>
      </c>
      <c r="M10" s="35">
        <v>3060</v>
      </c>
      <c r="Q10" s="38"/>
      <c r="R10" s="38"/>
      <c r="S10" s="35">
        <v>44540</v>
      </c>
      <c r="T10"/>
      <c r="U10"/>
      <c r="V10"/>
      <c r="W10"/>
    </row>
    <row r="11" spans="2:23" ht="15" customHeight="1" x14ac:dyDescent="0.3">
      <c r="B11" s="36" t="s">
        <v>138</v>
      </c>
      <c r="C11" t="s">
        <v>110</v>
      </c>
      <c r="D11" t="s">
        <v>131</v>
      </c>
      <c r="E11" s="51" t="s">
        <v>135</v>
      </c>
      <c r="F11" s="34">
        <v>44928</v>
      </c>
      <c r="G11" s="34">
        <v>44936</v>
      </c>
      <c r="H11" s="35">
        <v>0</v>
      </c>
      <c r="I11" s="38">
        <v>500</v>
      </c>
      <c r="J11" s="35">
        <v>3500</v>
      </c>
      <c r="Q11" s="38"/>
      <c r="R11" s="38"/>
      <c r="S11" s="35">
        <v>4000</v>
      </c>
      <c r="T11"/>
      <c r="U11"/>
      <c r="V11"/>
      <c r="W11"/>
    </row>
    <row r="12" spans="2:23" ht="15" customHeight="1" x14ac:dyDescent="0.3">
      <c r="B12" s="36" t="s">
        <v>138</v>
      </c>
      <c r="C12" t="s">
        <v>109</v>
      </c>
      <c r="D12" t="s">
        <v>131</v>
      </c>
      <c r="E12" s="51" t="s">
        <v>130</v>
      </c>
      <c r="F12" s="34">
        <v>44928</v>
      </c>
      <c r="G12" s="34">
        <v>44931</v>
      </c>
      <c r="H12" s="35">
        <v>0</v>
      </c>
      <c r="I12" s="38">
        <v>680</v>
      </c>
      <c r="J12" s="35">
        <v>2720</v>
      </c>
      <c r="Q12" s="38"/>
      <c r="R12" s="38"/>
      <c r="S12" s="35">
        <v>3400</v>
      </c>
      <c r="T12"/>
      <c r="U12"/>
      <c r="V12"/>
      <c r="W12"/>
    </row>
    <row r="13" spans="2:23" ht="15" customHeight="1" x14ac:dyDescent="0.3">
      <c r="B13" s="36" t="s">
        <v>138</v>
      </c>
      <c r="C13" t="s">
        <v>81</v>
      </c>
      <c r="D13" t="s">
        <v>131</v>
      </c>
      <c r="E13" s="51" t="s">
        <v>130</v>
      </c>
      <c r="F13" s="34">
        <v>45022</v>
      </c>
      <c r="G13" s="34">
        <v>45156</v>
      </c>
      <c r="H13" s="35">
        <v>0</v>
      </c>
      <c r="I13" s="38">
        <v>680</v>
      </c>
      <c r="M13" s="35">
        <v>10880</v>
      </c>
      <c r="N13" s="35">
        <v>12920</v>
      </c>
      <c r="O13" s="35">
        <v>14960</v>
      </c>
      <c r="P13" s="35">
        <v>13600</v>
      </c>
      <c r="Q13" s="38">
        <v>8840</v>
      </c>
      <c r="R13" s="38"/>
      <c r="S13" s="35">
        <v>61880</v>
      </c>
      <c r="T13"/>
      <c r="U13"/>
      <c r="V13"/>
      <c r="W13"/>
    </row>
    <row r="14" spans="2:23" ht="15" customHeight="1" x14ac:dyDescent="0.3">
      <c r="B14" s="36" t="s">
        <v>139</v>
      </c>
      <c r="C14" t="s">
        <v>111</v>
      </c>
      <c r="D14" t="s">
        <v>131</v>
      </c>
      <c r="E14" s="51" t="s">
        <v>136</v>
      </c>
      <c r="F14" s="34">
        <v>45170</v>
      </c>
      <c r="G14" s="34">
        <v>45197</v>
      </c>
      <c r="H14" s="35">
        <v>0</v>
      </c>
      <c r="I14" s="38">
        <v>1568.82</v>
      </c>
      <c r="Q14" s="38"/>
      <c r="R14" s="38">
        <v>31376.399999999998</v>
      </c>
      <c r="S14" s="35">
        <v>32945.22</v>
      </c>
      <c r="T14"/>
      <c r="U14"/>
      <c r="V14"/>
      <c r="W14"/>
    </row>
    <row r="15" spans="2:23" ht="15" customHeight="1" x14ac:dyDescent="0.3">
      <c r="B15" s="36" t="s">
        <v>140</v>
      </c>
      <c r="C15" t="s">
        <v>70</v>
      </c>
      <c r="D15" t="s">
        <v>132</v>
      </c>
      <c r="E15" s="51" t="s">
        <v>130</v>
      </c>
      <c r="F15" s="34">
        <v>44936</v>
      </c>
      <c r="G15" s="34">
        <v>45019</v>
      </c>
      <c r="H15" s="35">
        <v>0</v>
      </c>
      <c r="I15" s="38">
        <v>535</v>
      </c>
      <c r="J15" s="35">
        <v>8560</v>
      </c>
      <c r="K15" s="35">
        <v>10700</v>
      </c>
      <c r="L15" s="35">
        <v>12305</v>
      </c>
      <c r="M15" s="35">
        <v>535</v>
      </c>
      <c r="Q15" s="38"/>
      <c r="R15" s="38"/>
      <c r="S15" s="35">
        <v>32635</v>
      </c>
      <c r="T15"/>
      <c r="U15"/>
      <c r="V15"/>
      <c r="W15"/>
    </row>
    <row r="16" spans="2:23" ht="15" customHeight="1" x14ac:dyDescent="0.3">
      <c r="B16" s="36" t="s">
        <v>140</v>
      </c>
      <c r="C16" t="s">
        <v>70</v>
      </c>
      <c r="D16" t="s">
        <v>132</v>
      </c>
      <c r="E16" s="51" t="s">
        <v>129</v>
      </c>
      <c r="F16" s="34">
        <v>44989</v>
      </c>
      <c r="G16" s="34">
        <v>45074</v>
      </c>
      <c r="H16" s="35">
        <v>26</v>
      </c>
      <c r="I16" s="38">
        <v>560</v>
      </c>
      <c r="L16" s="35">
        <v>11200</v>
      </c>
      <c r="M16" s="35">
        <v>10640</v>
      </c>
      <c r="N16" s="35">
        <v>9520</v>
      </c>
      <c r="Q16" s="38"/>
      <c r="R16" s="38"/>
      <c r="S16" s="35">
        <v>31920</v>
      </c>
      <c r="T16"/>
      <c r="U16"/>
      <c r="V16"/>
      <c r="W16"/>
    </row>
    <row r="17" spans="2:23" ht="15" customHeight="1" x14ac:dyDescent="0.3">
      <c r="B17" s="36" t="s">
        <v>139</v>
      </c>
      <c r="C17" t="s">
        <v>81</v>
      </c>
      <c r="D17" t="s">
        <v>134</v>
      </c>
      <c r="E17" s="51" t="s">
        <v>126</v>
      </c>
      <c r="F17" s="34">
        <v>45029</v>
      </c>
      <c r="G17" s="34">
        <v>45162</v>
      </c>
      <c r="H17" s="35">
        <v>0</v>
      </c>
      <c r="I17" s="38">
        <v>493</v>
      </c>
      <c r="M17" s="35">
        <v>5916</v>
      </c>
      <c r="N17" s="35">
        <v>9367</v>
      </c>
      <c r="O17" s="35">
        <v>10846</v>
      </c>
      <c r="P17" s="35">
        <v>9860</v>
      </c>
      <c r="Q17" s="38">
        <v>8381</v>
      </c>
      <c r="R17" s="38"/>
      <c r="S17" s="35">
        <v>44863</v>
      </c>
      <c r="T17"/>
      <c r="U17"/>
      <c r="V17"/>
      <c r="W17"/>
    </row>
    <row r="18" spans="2:23" ht="15" customHeight="1" x14ac:dyDescent="0.3">
      <c r="B18" s="36" t="s">
        <v>139</v>
      </c>
      <c r="C18" t="s">
        <v>83</v>
      </c>
      <c r="D18" t="s">
        <v>134</v>
      </c>
      <c r="E18" s="51" t="s">
        <v>126</v>
      </c>
      <c r="F18" s="34">
        <v>44983</v>
      </c>
      <c r="G18" s="34">
        <v>45052</v>
      </c>
      <c r="H18" s="35">
        <v>24.5</v>
      </c>
      <c r="I18" s="38">
        <v>493</v>
      </c>
      <c r="K18" s="35">
        <v>986</v>
      </c>
      <c r="L18" s="35">
        <v>11339</v>
      </c>
      <c r="M18" s="35">
        <v>9367</v>
      </c>
      <c r="N18" s="35">
        <v>1725.5</v>
      </c>
      <c r="Q18" s="38"/>
      <c r="R18" s="38"/>
      <c r="S18" s="35">
        <v>23910.5</v>
      </c>
      <c r="T18"/>
      <c r="U18"/>
      <c r="V18"/>
      <c r="W18"/>
    </row>
    <row r="19" spans="2:23" x14ac:dyDescent="0.3">
      <c r="B19" t="s">
        <v>18</v>
      </c>
      <c r="F19" s="34"/>
      <c r="G19" s="34"/>
      <c r="I19" s="36"/>
      <c r="J19" s="131">
        <f>SUBTOTAL(109,BDD_PRESTA_ESTIME3_2[janvier])</f>
        <v>40978.5</v>
      </c>
      <c r="K19" s="131">
        <f>SUBTOTAL(109,BDD_PRESTA_ESTIME3_2[février])</f>
        <v>48141</v>
      </c>
      <c r="L19" s="131">
        <f>SUBTOTAL(109,BDD_PRESTA_ESTIME3_2[mars])</f>
        <v>78544</v>
      </c>
      <c r="M19" s="131">
        <f>SUBTOTAL(109,BDD_PRESTA_ESTIME3_2[avril])</f>
        <v>62173</v>
      </c>
      <c r="N19" s="131">
        <f>SUBTOTAL(109,BDD_PRESTA_ESTIME3_2[mai])</f>
        <v>47117.5</v>
      </c>
      <c r="O19" s="131">
        <f>SUBTOTAL(109,BDD_PRESTA_ESTIME3_2[juin])</f>
        <v>41536</v>
      </c>
      <c r="P19" s="131">
        <f>SUBTOTAL(109,BDD_PRESTA_ESTIME3_2[juillet])</f>
        <v>37760</v>
      </c>
      <c r="Q19" s="131">
        <f>SUBTOTAL(109,BDD_PRESTA_ESTIME3_2[août])</f>
        <v>29861</v>
      </c>
      <c r="R19" s="126"/>
      <c r="S19"/>
      <c r="T19"/>
      <c r="U19"/>
      <c r="V19"/>
      <c r="W19"/>
    </row>
    <row r="20" spans="2:23" x14ac:dyDescent="0.3">
      <c r="U20"/>
      <c r="V20"/>
      <c r="W20"/>
    </row>
    <row r="21" spans="2:23" x14ac:dyDescent="0.3">
      <c r="U21"/>
      <c r="V21"/>
      <c r="W21"/>
    </row>
    <row r="22" spans="2:23" x14ac:dyDescent="0.3">
      <c r="U22"/>
      <c r="V22"/>
      <c r="W22"/>
    </row>
    <row r="23" spans="2:23" x14ac:dyDescent="0.3">
      <c r="U23"/>
      <c r="V23"/>
      <c r="W23"/>
    </row>
    <row r="24" spans="2:23" x14ac:dyDescent="0.3">
      <c r="U24"/>
      <c r="V24"/>
      <c r="W24"/>
    </row>
    <row r="25" spans="2:23" x14ac:dyDescent="0.3">
      <c r="U25"/>
      <c r="V25"/>
      <c r="W25"/>
    </row>
    <row r="26" spans="2:23" ht="15" customHeight="1" x14ac:dyDescent="0.3">
      <c r="U26"/>
      <c r="V26"/>
      <c r="W26"/>
    </row>
    <row r="27" spans="2:23" ht="15" customHeight="1" x14ac:dyDescent="0.3">
      <c r="U27"/>
      <c r="V27"/>
      <c r="W27"/>
    </row>
    <row r="28" spans="2:23" ht="15" customHeight="1" x14ac:dyDescent="0.3">
      <c r="U28"/>
      <c r="V28"/>
      <c r="W28"/>
    </row>
    <row r="29" spans="2:23" x14ac:dyDescent="0.3">
      <c r="U29"/>
      <c r="V29"/>
      <c r="W29"/>
    </row>
    <row r="30" spans="2:23" x14ac:dyDescent="0.3">
      <c r="U30"/>
      <c r="V30"/>
      <c r="W30"/>
    </row>
    <row r="31" spans="2:23" x14ac:dyDescent="0.3">
      <c r="U31"/>
      <c r="V31"/>
      <c r="W31"/>
    </row>
    <row r="32" spans="2:23" x14ac:dyDescent="0.3">
      <c r="U32"/>
      <c r="V32"/>
      <c r="W32"/>
    </row>
    <row r="33" spans="21:23" ht="15" customHeight="1" x14ac:dyDescent="0.3">
      <c r="U33"/>
      <c r="V33"/>
      <c r="W33"/>
    </row>
    <row r="34" spans="21:23" ht="15" customHeight="1" x14ac:dyDescent="0.3">
      <c r="U34"/>
      <c r="V34"/>
      <c r="W34"/>
    </row>
    <row r="35" spans="21:23" x14ac:dyDescent="0.3">
      <c r="U35"/>
      <c r="V35"/>
      <c r="W35"/>
    </row>
    <row r="36" spans="21:23" x14ac:dyDescent="0.3">
      <c r="U36"/>
      <c r="V36"/>
      <c r="W36"/>
    </row>
    <row r="37" spans="21:23" ht="15" customHeight="1" x14ac:dyDescent="0.3">
      <c r="U37"/>
      <c r="V37"/>
      <c r="W37"/>
    </row>
    <row r="38" spans="21:23" ht="15" customHeight="1" x14ac:dyDescent="0.3">
      <c r="U38"/>
      <c r="V38"/>
      <c r="W38"/>
    </row>
    <row r="39" spans="21:23" ht="15" customHeight="1" x14ac:dyDescent="0.3">
      <c r="U39"/>
      <c r="V39"/>
      <c r="W39"/>
    </row>
    <row r="40" spans="21:23" x14ac:dyDescent="0.3">
      <c r="U40"/>
      <c r="V40"/>
      <c r="W40"/>
    </row>
    <row r="41" spans="21:23" ht="15" customHeight="1" x14ac:dyDescent="0.3">
      <c r="U41"/>
      <c r="V41"/>
      <c r="W41"/>
    </row>
    <row r="42" spans="21:23" ht="15" customHeight="1" x14ac:dyDescent="0.3">
      <c r="U42"/>
      <c r="V42"/>
      <c r="W42"/>
    </row>
    <row r="43" spans="21:23" ht="15" customHeight="1" x14ac:dyDescent="0.3">
      <c r="U43"/>
      <c r="V43"/>
      <c r="W43"/>
    </row>
    <row r="44" spans="21:23" x14ac:dyDescent="0.3">
      <c r="U44"/>
      <c r="V44"/>
      <c r="W44"/>
    </row>
    <row r="45" spans="21:23" ht="15" customHeight="1" x14ac:dyDescent="0.3">
      <c r="W45"/>
    </row>
    <row r="46" spans="21:23" ht="15" customHeight="1" x14ac:dyDescent="0.3">
      <c r="W46"/>
    </row>
    <row r="47" spans="21:23" ht="15" customHeight="1" x14ac:dyDescent="0.3">
      <c r="W47"/>
    </row>
    <row r="48" spans="21:23" x14ac:dyDescent="0.3">
      <c r="W48"/>
    </row>
    <row r="49" spans="23:23" x14ac:dyDescent="0.3">
      <c r="W49"/>
    </row>
    <row r="50" spans="23:23" x14ac:dyDescent="0.3">
      <c r="W50"/>
    </row>
    <row r="51" spans="23:23" x14ac:dyDescent="0.3">
      <c r="W51"/>
    </row>
    <row r="52" spans="23:23" ht="15" customHeight="1" x14ac:dyDescent="0.3">
      <c r="W52"/>
    </row>
    <row r="53" spans="23:23" ht="15" customHeight="1" x14ac:dyDescent="0.3">
      <c r="W53"/>
    </row>
    <row r="54" spans="23:23" ht="15" customHeight="1" x14ac:dyDescent="0.3">
      <c r="W54"/>
    </row>
    <row r="55" spans="23:23" ht="15" customHeight="1" x14ac:dyDescent="0.3">
      <c r="W55"/>
    </row>
    <row r="56" spans="23:23" ht="15" customHeight="1" x14ac:dyDescent="0.3">
      <c r="W56"/>
    </row>
    <row r="57" spans="23:23" x14ac:dyDescent="0.3">
      <c r="W57"/>
    </row>
  </sheetData>
  <phoneticPr fontId="4" type="noConversion"/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DBD90E9-E2A5-462F-A4C7-E503F6B4DEEA}">
          <x14:formula1>
            <xm:f>OFFSET(Paramètres!$G$2,,,COUNTA(Paramètres!$G:$G))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tabColor theme="0"/>
    <pageSetUpPr autoPageBreaks="0"/>
  </sheetPr>
  <dimension ref="A1:AL22"/>
  <sheetViews>
    <sheetView zoomScaleNormal="100" workbookViewId="0">
      <pane xSplit="2" ySplit="2" topLeftCell="Z3" activePane="bottomRight" state="frozen"/>
      <selection pane="topRight" activeCell="B1" sqref="B1"/>
      <selection pane="bottomLeft" activeCell="A3" sqref="A3"/>
      <selection pane="bottomRight" activeCell="A2" sqref="A2"/>
    </sheetView>
  </sheetViews>
  <sheetFormatPr baseColWidth="10" defaultRowHeight="14.4" x14ac:dyDescent="0.3"/>
  <cols>
    <col min="2" max="2" width="40.88671875" style="1" customWidth="1"/>
    <col min="3" max="3" width="16.109375" style="2" bestFit="1" customWidth="1"/>
    <col min="4" max="4" width="22.88671875" style="1" bestFit="1" customWidth="1"/>
    <col min="5" max="5" width="13.5546875" style="1" customWidth="1"/>
    <col min="6" max="6" width="13.5546875" style="8" customWidth="1"/>
    <col min="7" max="7" width="38.33203125" style="32" customWidth="1"/>
    <col min="8" max="8" width="12.44140625" style="43" bestFit="1" customWidth="1"/>
    <col min="9" max="9" width="7.88671875" customWidth="1"/>
    <col min="10" max="11" width="7.88671875" style="3" customWidth="1"/>
    <col min="12" max="12" width="13.5546875" style="3" bestFit="1" customWidth="1"/>
    <col min="13" max="13" width="7.5546875" style="4" hidden="1" customWidth="1"/>
    <col min="14" max="14" width="12.44140625" style="4" customWidth="1"/>
    <col min="15" max="15" width="12.44140625" style="42" customWidth="1"/>
    <col min="16" max="31" width="12.44140625" style="5" customWidth="1"/>
    <col min="32" max="33" width="12.44140625" style="7" customWidth="1"/>
    <col min="34" max="37" width="12.44140625" style="6" customWidth="1"/>
    <col min="38" max="38" width="5.5546875" style="6" customWidth="1"/>
  </cols>
  <sheetData>
    <row r="1" spans="1:38" x14ac:dyDescent="0.3">
      <c r="B1" s="48" t="s">
        <v>76</v>
      </c>
      <c r="C1" s="49" t="s">
        <v>77</v>
      </c>
      <c r="D1" s="50" t="s">
        <v>78</v>
      </c>
      <c r="E1" s="62" t="s">
        <v>82</v>
      </c>
      <c r="F1" s="52" t="s">
        <v>79</v>
      </c>
      <c r="I1" s="3"/>
      <c r="L1" s="4"/>
      <c r="M1" s="9"/>
      <c r="N1" s="9"/>
      <c r="O1" s="39"/>
      <c r="AD1" s="7"/>
      <c r="AE1" s="7"/>
      <c r="AF1" s="6"/>
      <c r="AG1" s="6"/>
      <c r="AL1"/>
    </row>
    <row r="2" spans="1:38" s="16" customFormat="1" ht="24" x14ac:dyDescent="0.3">
      <c r="A2" s="16" t="s">
        <v>148</v>
      </c>
      <c r="B2" s="10" t="s">
        <v>19</v>
      </c>
      <c r="C2" s="11" t="s">
        <v>0</v>
      </c>
      <c r="D2" s="10" t="s">
        <v>1</v>
      </c>
      <c r="E2" s="12" t="s">
        <v>16</v>
      </c>
      <c r="F2" s="12" t="s">
        <v>17</v>
      </c>
      <c r="G2" s="33" t="s">
        <v>2</v>
      </c>
      <c r="H2" s="44" t="s">
        <v>15</v>
      </c>
      <c r="I2" s="13" t="s">
        <v>58</v>
      </c>
      <c r="J2" s="13" t="s">
        <v>59</v>
      </c>
      <c r="K2" s="13" t="s">
        <v>60</v>
      </c>
      <c r="L2" s="17" t="s">
        <v>18</v>
      </c>
      <c r="M2" s="18" t="s">
        <v>21</v>
      </c>
      <c r="N2" s="14" t="s">
        <v>34</v>
      </c>
      <c r="O2" s="40" t="s">
        <v>35</v>
      </c>
      <c r="P2" s="14" t="s">
        <v>36</v>
      </c>
      <c r="Q2" s="14" t="s">
        <v>37</v>
      </c>
      <c r="R2" s="14" t="s">
        <v>38</v>
      </c>
      <c r="S2" s="14" t="s">
        <v>55</v>
      </c>
      <c r="T2" s="14" t="s">
        <v>39</v>
      </c>
      <c r="U2" s="14" t="s">
        <v>40</v>
      </c>
      <c r="V2" s="14" t="s">
        <v>41</v>
      </c>
      <c r="W2" s="14" t="s">
        <v>56</v>
      </c>
      <c r="X2" s="15" t="s">
        <v>42</v>
      </c>
      <c r="Y2" s="14" t="s">
        <v>57</v>
      </c>
      <c r="Z2" s="14" t="s">
        <v>43</v>
      </c>
      <c r="AA2" s="14" t="s">
        <v>44</v>
      </c>
      <c r="AB2" s="16" t="s">
        <v>45</v>
      </c>
      <c r="AC2" s="16" t="s">
        <v>46</v>
      </c>
      <c r="AD2" s="16" t="s">
        <v>47</v>
      </c>
      <c r="AE2" s="16" t="s">
        <v>48</v>
      </c>
      <c r="AF2" s="16" t="s">
        <v>49</v>
      </c>
      <c r="AG2" s="16" t="s">
        <v>50</v>
      </c>
      <c r="AH2" s="16" t="s">
        <v>51</v>
      </c>
      <c r="AI2" s="16" t="s">
        <v>52</v>
      </c>
      <c r="AJ2" s="16" t="s">
        <v>53</v>
      </c>
      <c r="AK2" s="16" t="s">
        <v>54</v>
      </c>
    </row>
    <row r="3" spans="1:38" s="16" customFormat="1" x14ac:dyDescent="0.3">
      <c r="A3" s="10" t="s">
        <v>121</v>
      </c>
      <c r="B3" s="19">
        <v>601000</v>
      </c>
      <c r="C3" s="20" t="s">
        <v>84</v>
      </c>
      <c r="D3" s="19" t="s">
        <v>131</v>
      </c>
      <c r="E3" s="71">
        <v>44927</v>
      </c>
      <c r="F3" s="73">
        <v>45169</v>
      </c>
      <c r="G3" s="127"/>
      <c r="H3" s="35">
        <v>10000</v>
      </c>
      <c r="I3" s="75">
        <v>7</v>
      </c>
      <c r="J3" s="22">
        <f>SUM(BDD_PRESTA_ESTIME3[[#This Row],[Reçu Janv]:[Prév Déc]])</f>
        <v>0</v>
      </c>
      <c r="K3" s="70">
        <f>BDD_PRESTA_ESTIME3[[#This Row],[Jours prév]]-BDD_PRESTA_ESTIME3[[#This Row],[Jours trav]]</f>
        <v>7</v>
      </c>
      <c r="L3" s="76">
        <f>BDD_PRESTA_ESTIME3[[#This Row],[Jours prév]]*BDD_PRESTA_ESTIME3[[#This Row],[TJM]]</f>
        <v>70000</v>
      </c>
      <c r="M3" s="67"/>
      <c r="N3" s="67"/>
      <c r="O3" s="77"/>
      <c r="P3" s="78"/>
      <c r="Q3" s="69"/>
      <c r="R3" s="78"/>
      <c r="S3" s="69"/>
      <c r="T3" s="78"/>
      <c r="U3" s="69"/>
      <c r="V3" s="78"/>
      <c r="W3" s="69"/>
      <c r="X3" s="78"/>
      <c r="Y3" s="69"/>
      <c r="Z3" s="78"/>
      <c r="AA3" s="69"/>
      <c r="AB3" s="78"/>
      <c r="AC3" s="69"/>
      <c r="AD3" s="79"/>
      <c r="AE3" s="69"/>
      <c r="AF3" s="79"/>
      <c r="AG3" s="69"/>
      <c r="AH3" s="79"/>
      <c r="AI3" s="69"/>
      <c r="AJ3" s="79"/>
      <c r="AK3" s="80"/>
    </row>
    <row r="4" spans="1:38" s="16" customFormat="1" x14ac:dyDescent="0.3">
      <c r="A4" s="10" t="s">
        <v>122</v>
      </c>
      <c r="B4" s="19">
        <v>601000</v>
      </c>
      <c r="C4" s="20" t="s">
        <v>85</v>
      </c>
      <c r="D4" s="19" t="s">
        <v>131</v>
      </c>
      <c r="E4" s="71">
        <v>44927</v>
      </c>
      <c r="F4" s="73">
        <v>45169</v>
      </c>
      <c r="G4" s="74"/>
      <c r="H4" s="35">
        <v>200</v>
      </c>
      <c r="I4" s="75"/>
      <c r="J4" s="22">
        <f>SUM(BDD_PRESTA_ESTIME3[[#This Row],[Reçu Janv]:[Prév Déc]])</f>
        <v>0</v>
      </c>
      <c r="K4" s="70">
        <f>BDD_PRESTA_ESTIME3[[#This Row],[Jours prév]]-BDD_PRESTA_ESTIME3[[#This Row],[Jours trav]]</f>
        <v>0</v>
      </c>
      <c r="L4" s="76">
        <f>BDD_PRESTA_ESTIME3[[#This Row],[Jours prév]]*BDD_PRESTA_ESTIME3[[#This Row],[TJM]]</f>
        <v>0</v>
      </c>
      <c r="M4" s="67"/>
      <c r="N4" s="67"/>
      <c r="O4" s="77"/>
      <c r="P4" s="78"/>
      <c r="Q4" s="69"/>
      <c r="R4" s="78"/>
      <c r="S4" s="69"/>
      <c r="T4" s="78"/>
      <c r="U4" s="69"/>
      <c r="V4" s="78"/>
      <c r="W4" s="69"/>
      <c r="X4" s="78"/>
      <c r="Y4" s="69"/>
      <c r="Z4" s="78"/>
      <c r="AA4" s="69"/>
      <c r="AB4" s="78"/>
      <c r="AC4" s="69"/>
      <c r="AD4" s="79"/>
      <c r="AE4" s="69"/>
      <c r="AF4" s="79"/>
      <c r="AG4" s="69"/>
      <c r="AH4" s="79"/>
      <c r="AI4" s="69"/>
      <c r="AJ4" s="79"/>
      <c r="AK4" s="80"/>
    </row>
    <row r="5" spans="1:38" s="16" customFormat="1" ht="13.8" x14ac:dyDescent="0.3">
      <c r="A5" s="10" t="s">
        <v>123</v>
      </c>
      <c r="B5" s="19">
        <v>601003</v>
      </c>
      <c r="C5" s="117" t="s">
        <v>86</v>
      </c>
      <c r="D5" s="19" t="s">
        <v>132</v>
      </c>
      <c r="E5" s="71">
        <v>44927</v>
      </c>
      <c r="F5" s="73">
        <v>45046</v>
      </c>
      <c r="G5" s="74"/>
      <c r="H5" s="72">
        <v>413.11</v>
      </c>
      <c r="I5" s="75">
        <v>4</v>
      </c>
      <c r="J5" s="22"/>
      <c r="K5" s="70">
        <f>BDD_PRESTA_ESTIME3[[#This Row],[Jours prév]]-BDD_PRESTA_ESTIME3[[#This Row],[Jours trav]]</f>
        <v>4</v>
      </c>
      <c r="L5" s="76">
        <f>BDD_PRESTA_ESTIME3[[#This Row],[Jours prév]]*BDD_PRESTA_ESTIME3[[#This Row],[TJM]]</f>
        <v>1652.44</v>
      </c>
      <c r="M5" s="67"/>
      <c r="N5" s="67"/>
      <c r="O5" s="118">
        <v>17350</v>
      </c>
      <c r="P5" s="78"/>
      <c r="Q5" s="69"/>
      <c r="R5" s="78"/>
      <c r="S5" s="69"/>
      <c r="T5" s="78"/>
      <c r="U5" s="69"/>
      <c r="V5" s="78"/>
      <c r="W5" s="69"/>
      <c r="X5" s="78"/>
      <c r="Y5" s="69"/>
      <c r="Z5" s="78"/>
      <c r="AA5" s="69"/>
      <c r="AB5" s="78"/>
      <c r="AC5" s="69"/>
      <c r="AD5" s="79"/>
      <c r="AE5" s="69"/>
      <c r="AF5" s="79"/>
      <c r="AG5" s="69"/>
      <c r="AH5" s="79"/>
      <c r="AI5" s="69"/>
      <c r="AJ5" s="79"/>
      <c r="AK5" s="80"/>
    </row>
    <row r="6" spans="1:38" s="16" customFormat="1" ht="43.5" customHeight="1" x14ac:dyDescent="0.3">
      <c r="A6" s="10" t="s">
        <v>124</v>
      </c>
      <c r="B6" s="63">
        <v>601229</v>
      </c>
      <c r="C6" s="64" t="s">
        <v>107</v>
      </c>
      <c r="D6" s="19" t="s">
        <v>132</v>
      </c>
      <c r="E6" s="71">
        <v>44963</v>
      </c>
      <c r="F6" s="73">
        <v>45107</v>
      </c>
      <c r="G6" s="74"/>
      <c r="H6" s="72"/>
      <c r="I6" s="75"/>
      <c r="J6" s="22">
        <f>SUM(BDD_PRESTA_ESTIME3[[#This Row],[Reçu Janv]:[Prév Déc]])</f>
        <v>0</v>
      </c>
      <c r="K6" s="70">
        <f>BDD_PRESTA_ESTIME3[[#This Row],[Jours prév]]-BDD_PRESTA_ESTIME3[[#This Row],[Jours trav]]</f>
        <v>0</v>
      </c>
      <c r="L6" s="76">
        <f>BDD_PRESTA_ESTIME3[[#This Row],[Jours prév]]*BDD_PRESTA_ESTIME3[[#This Row],[TJM]]</f>
        <v>0</v>
      </c>
      <c r="M6" s="67"/>
      <c r="N6" s="67"/>
      <c r="O6" s="77"/>
      <c r="P6" s="78"/>
      <c r="Q6" s="69"/>
      <c r="R6" s="78"/>
      <c r="S6" s="69"/>
      <c r="T6" s="78"/>
      <c r="U6" s="69"/>
      <c r="V6" s="78"/>
      <c r="W6" s="69"/>
      <c r="X6" s="78"/>
      <c r="Y6" s="69"/>
      <c r="Z6" s="78"/>
      <c r="AA6" s="69"/>
      <c r="AB6" s="78"/>
      <c r="AC6" s="69"/>
      <c r="AD6" s="79"/>
      <c r="AE6" s="69"/>
      <c r="AF6" s="79"/>
      <c r="AG6" s="69"/>
      <c r="AH6" s="79"/>
      <c r="AI6" s="69"/>
      <c r="AJ6" s="79"/>
      <c r="AK6" s="80"/>
    </row>
    <row r="7" spans="1:38" s="25" customFormat="1" ht="13.8" x14ac:dyDescent="0.3">
      <c r="A7" s="10" t="s">
        <v>122</v>
      </c>
      <c r="B7" s="19">
        <v>601000</v>
      </c>
      <c r="C7" s="20" t="s">
        <v>80</v>
      </c>
      <c r="D7" s="19" t="s">
        <v>133</v>
      </c>
      <c r="E7" s="31">
        <v>44946</v>
      </c>
      <c r="F7" s="30">
        <f>WORKDAY.INTL(BDD_PRESTA_ESTIME3[[#This Row],[Début]]-1,BDD_PRESTA_ESTIME3[[#This Row],[Jours prév]],1,_Feries)</f>
        <v>45027</v>
      </c>
      <c r="G7" s="21" t="s">
        <v>125</v>
      </c>
      <c r="H7" s="45">
        <v>515</v>
      </c>
      <c r="I7" s="22">
        <v>57</v>
      </c>
      <c r="J7" s="22">
        <f>SUM(BDD_PRESTA_ESTIME3[[#This Row],[Reçu Janv]:[Prév Déc]])</f>
        <v>0</v>
      </c>
      <c r="K7" s="37">
        <f>BDD_PRESTA_ESTIME3[[#This Row],[Jours prév]]-BDD_PRESTA_ESTIME3[[#This Row],[Jours trav]]</f>
        <v>57</v>
      </c>
      <c r="L7" s="23">
        <f>BDD_PRESTA_ESTIME3[[#This Row],[Jours prév]]*BDD_PRESTA_ESTIME3[[#This Row],[TJM]]</f>
        <v>29355</v>
      </c>
      <c r="M7" s="24">
        <v>15</v>
      </c>
      <c r="N7" s="28"/>
      <c r="O7" s="41"/>
      <c r="P7" s="29"/>
      <c r="Q7" s="29"/>
      <c r="R7" s="29"/>
      <c r="S7" s="29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</row>
    <row r="8" spans="1:38" s="25" customFormat="1" ht="13.8" x14ac:dyDescent="0.3">
      <c r="A8" s="10" t="s">
        <v>122</v>
      </c>
      <c r="B8" s="19">
        <v>601000</v>
      </c>
      <c r="C8" s="20" t="s">
        <v>80</v>
      </c>
      <c r="D8" s="19" t="s">
        <v>133</v>
      </c>
      <c r="E8" s="53">
        <v>45028</v>
      </c>
      <c r="F8" s="54">
        <f>WORKDAY.INTL(BDD_PRESTA_ESTIME3[[#This Row],[Début]]-1,BDD_PRESTA_ESTIME3[[#This Row],[Jours prév]],1,_Feries)</f>
        <v>45161</v>
      </c>
      <c r="G8" s="21" t="s">
        <v>125</v>
      </c>
      <c r="H8" s="45">
        <v>515</v>
      </c>
      <c r="I8" s="55">
        <v>90</v>
      </c>
      <c r="J8" s="22">
        <f>SUM(BDD_PRESTA_ESTIME3[[#This Row],[Reçu Janv]:[Prév Déc]])</f>
        <v>0</v>
      </c>
      <c r="K8" s="56">
        <f>BDD_PRESTA_ESTIME3[[#This Row],[Jours prév]]-BDD_PRESTA_ESTIME3[[#This Row],[Jours trav]]</f>
        <v>90</v>
      </c>
      <c r="L8" s="57">
        <f>BDD_PRESTA_ESTIME3[[#This Row],[Jours prév]]*BDD_PRESTA_ESTIME3[[#This Row],[TJM]]</f>
        <v>46350</v>
      </c>
      <c r="M8" s="58"/>
      <c r="N8" s="58"/>
      <c r="O8" s="59"/>
      <c r="P8" s="60"/>
      <c r="Q8" s="60"/>
      <c r="R8" s="60"/>
      <c r="S8" s="60"/>
      <c r="T8" s="61"/>
      <c r="U8" s="61"/>
      <c r="V8" s="61"/>
      <c r="W8" s="61"/>
      <c r="X8" s="61"/>
      <c r="Y8" s="61"/>
      <c r="Z8" s="61"/>
      <c r="AA8" s="61"/>
      <c r="AB8" s="61"/>
      <c r="AC8" s="61"/>
      <c r="AD8" s="60"/>
      <c r="AE8" s="60"/>
      <c r="AF8" s="60"/>
      <c r="AG8" s="60"/>
      <c r="AH8" s="60"/>
      <c r="AI8" s="60"/>
      <c r="AJ8" s="60"/>
      <c r="AK8" s="60"/>
    </row>
    <row r="9" spans="1:38" s="25" customFormat="1" ht="13.8" x14ac:dyDescent="0.3">
      <c r="A9" s="10" t="s">
        <v>122</v>
      </c>
      <c r="B9" s="19">
        <v>601006</v>
      </c>
      <c r="C9" s="20" t="s">
        <v>83</v>
      </c>
      <c r="D9" s="19" t="s">
        <v>134</v>
      </c>
      <c r="E9" s="31">
        <v>44959</v>
      </c>
      <c r="F9" s="30">
        <f>WORKDAY.INTL(BDD_PRESTA_ESTIME3[[#This Row],[Début]]-1,BDD_PRESTA_ESTIME3[[#This Row],[Jours prév]],1,_Feries)</f>
        <v>45028</v>
      </c>
      <c r="G9" s="21" t="s">
        <v>126</v>
      </c>
      <c r="H9" s="45">
        <v>493</v>
      </c>
      <c r="I9" s="22">
        <v>49</v>
      </c>
      <c r="J9" s="22">
        <f>SUM(BDD_PRESTA_ESTIME3[[#This Row],[Reçu Janv]:[Prév Déc]])</f>
        <v>0</v>
      </c>
      <c r="K9" s="37">
        <f>BDD_PRESTA_ESTIME3[[#This Row],[Jours prév]]-BDD_PRESTA_ESTIME3[[#This Row],[Jours trav]]</f>
        <v>49</v>
      </c>
      <c r="L9" s="23">
        <f>BDD_PRESTA_ESTIME3[[#This Row],[Jours prév]]*BDD_PRESTA_ESTIME3[[#This Row],[TJM]]</f>
        <v>24157</v>
      </c>
      <c r="M9" s="24">
        <v>24.5</v>
      </c>
      <c r="N9" s="24"/>
      <c r="O9" s="41"/>
      <c r="P9" s="29"/>
      <c r="Q9" s="29"/>
      <c r="R9" s="29"/>
      <c r="S9" s="29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</row>
    <row r="10" spans="1:38" s="25" customFormat="1" ht="12" customHeight="1" x14ac:dyDescent="0.3">
      <c r="A10" s="10" t="s">
        <v>122</v>
      </c>
      <c r="B10" s="19">
        <v>601006</v>
      </c>
      <c r="C10" s="20" t="s">
        <v>81</v>
      </c>
      <c r="D10" s="19" t="s">
        <v>134</v>
      </c>
      <c r="E10" s="53">
        <v>45029</v>
      </c>
      <c r="F10" s="54">
        <f>WORKDAY.INTL(BDD_PRESTA_ESTIME3[[#This Row],[Début]]-1,BDD_PRESTA_ESTIME3[[#This Row],[Jours prév]],1,_Feries)</f>
        <v>45162</v>
      </c>
      <c r="G10" s="21" t="s">
        <v>126</v>
      </c>
      <c r="H10" s="45">
        <v>493</v>
      </c>
      <c r="I10" s="55">
        <v>90</v>
      </c>
      <c r="J10" s="22">
        <f>SUM(BDD_PRESTA_ESTIME3[[#This Row],[Reçu Janv]:[Prév Déc]])</f>
        <v>0</v>
      </c>
      <c r="K10" s="56">
        <f>BDD_PRESTA_ESTIME3[[#This Row],[Jours prév]]-BDD_PRESTA_ESTIME3[[#This Row],[Jours trav]]</f>
        <v>90</v>
      </c>
      <c r="L10" s="57">
        <f>BDD_PRESTA_ESTIME3[[#This Row],[Jours prév]]*BDD_PRESTA_ESTIME3[[#This Row],[TJM]]</f>
        <v>44370</v>
      </c>
      <c r="M10" s="58"/>
      <c r="N10" s="58"/>
      <c r="O10" s="59"/>
      <c r="P10" s="60"/>
      <c r="Q10" s="60"/>
      <c r="R10" s="60"/>
      <c r="S10" s="60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0"/>
      <c r="AE10" s="60"/>
      <c r="AF10" s="60"/>
      <c r="AG10" s="60"/>
      <c r="AH10" s="60"/>
      <c r="AI10" s="60"/>
      <c r="AJ10" s="60"/>
      <c r="AK10" s="60"/>
    </row>
    <row r="11" spans="1:38" s="90" customFormat="1" ht="13.8" x14ac:dyDescent="0.3">
      <c r="A11" s="10" t="s">
        <v>122</v>
      </c>
      <c r="B11" s="19">
        <v>601000</v>
      </c>
      <c r="C11" s="81" t="s">
        <v>68</v>
      </c>
      <c r="D11" s="19" t="s">
        <v>133</v>
      </c>
      <c r="E11" s="82">
        <v>44928</v>
      </c>
      <c r="F11" s="83">
        <f>WORKDAY.INTL(BDD_PRESTA_ESTIME3[[#This Row],[Début]]-1,BDD_PRESTA_ESTIME3[[#This Row],[Jours prév]],1,_Feries)</f>
        <v>44942</v>
      </c>
      <c r="G11" s="84" t="s">
        <v>127</v>
      </c>
      <c r="H11" s="85">
        <v>493</v>
      </c>
      <c r="I11" s="86">
        <v>11.5</v>
      </c>
      <c r="J11" s="86">
        <f>SUM(BDD_PRESTA_ESTIME3[[#This Row],[Reçu Janv]:[Prév Déc]])</f>
        <v>5</v>
      </c>
      <c r="K11" s="87">
        <f>BDD_PRESTA_ESTIME3[[#This Row],[Jours prév]]-BDD_PRESTA_ESTIME3[[#This Row],[Jours trav]]</f>
        <v>6.5</v>
      </c>
      <c r="L11" s="85">
        <f>BDD_PRESTA_ESTIME3[[#This Row],[Jours prév]]*BDD_PRESTA_ESTIME3[[#This Row],[TJM]]</f>
        <v>5669.5</v>
      </c>
      <c r="M11" s="88">
        <v>11.5</v>
      </c>
      <c r="N11" s="88"/>
      <c r="O11" s="89">
        <v>5</v>
      </c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</row>
    <row r="12" spans="1:38" s="25" customFormat="1" ht="13.8" x14ac:dyDescent="0.3">
      <c r="A12" s="10" t="s">
        <v>122</v>
      </c>
      <c r="B12" s="19">
        <v>601000</v>
      </c>
      <c r="C12" s="20" t="s">
        <v>69</v>
      </c>
      <c r="D12" s="19" t="s">
        <v>133</v>
      </c>
      <c r="E12" s="31">
        <v>44936</v>
      </c>
      <c r="F12" s="30">
        <f>WORKDAY.INTL(BDD_PRESTA_ESTIME3[[#This Row],[Début]]-1,BDD_PRESTA_ESTIME3[[#This Row],[Jours prév]],1,_Feries)</f>
        <v>45019</v>
      </c>
      <c r="G12" s="21" t="s">
        <v>128</v>
      </c>
      <c r="H12" s="45">
        <v>505</v>
      </c>
      <c r="I12" s="22">
        <v>60</v>
      </c>
      <c r="J12" s="22">
        <f>SUM(BDD_PRESTA_ESTIME3[[#This Row],[Reçu Janv]:[Prév Déc]])</f>
        <v>0</v>
      </c>
      <c r="K12" s="37">
        <f>BDD_PRESTA_ESTIME3[[#This Row],[Jours prév]]-BDD_PRESTA_ESTIME3[[#This Row],[Jours trav]]</f>
        <v>60</v>
      </c>
      <c r="L12" s="23">
        <f>BDD_PRESTA_ESTIME3[[#This Row],[Jours prév]]*BDD_PRESTA_ESTIME3[[#This Row],[TJM]]</f>
        <v>30300</v>
      </c>
      <c r="M12" s="24">
        <v>7</v>
      </c>
      <c r="N12" s="28"/>
      <c r="O12" s="29"/>
      <c r="P12" s="29"/>
      <c r="Q12" s="29"/>
      <c r="R12" s="29"/>
      <c r="S12" s="29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</row>
    <row r="13" spans="1:38" s="25" customFormat="1" ht="13.8" x14ac:dyDescent="0.3">
      <c r="A13" s="10" t="s">
        <v>122</v>
      </c>
      <c r="B13" s="19">
        <v>600716</v>
      </c>
      <c r="C13" s="20" t="s">
        <v>70</v>
      </c>
      <c r="D13" s="19" t="s">
        <v>132</v>
      </c>
      <c r="E13" s="31">
        <v>44963</v>
      </c>
      <c r="F13" s="30">
        <f>WORKDAY.INTL(BDD_PRESTA_ESTIME3[[#This Row],[Début]]-1,BDD_PRESTA_ESTIME3[[#This Row],[Jours prév]],1,_Feries)</f>
        <v>45048</v>
      </c>
      <c r="G13" s="21" t="s">
        <v>129</v>
      </c>
      <c r="H13" s="45">
        <v>560</v>
      </c>
      <c r="I13" s="22">
        <v>60</v>
      </c>
      <c r="J13" s="22">
        <f>SUM(BDD_PRESTA_ESTIME3[[#This Row],[Reçu Janv]:[Prév Déc]])</f>
        <v>0</v>
      </c>
      <c r="K13" s="37">
        <f>BDD_PRESTA_ESTIME3[[#This Row],[Jours prév]]-BDD_PRESTA_ESTIME3[[#This Row],[Jours trav]]</f>
        <v>60</v>
      </c>
      <c r="L13" s="23">
        <f>BDD_PRESTA_ESTIME3[[#This Row],[Jours prév]]*BDD_PRESTA_ESTIME3[[#This Row],[TJM]]</f>
        <v>33600</v>
      </c>
      <c r="M13" s="24">
        <v>26</v>
      </c>
      <c r="N13" s="24"/>
      <c r="O13" s="41"/>
      <c r="P13" s="29"/>
      <c r="Q13" s="29"/>
      <c r="R13" s="29"/>
      <c r="S13" s="29"/>
      <c r="T13" s="29"/>
      <c r="U13" s="29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</row>
    <row r="14" spans="1:38" s="25" customFormat="1" ht="13.8" x14ac:dyDescent="0.3">
      <c r="A14" s="10" t="s">
        <v>122</v>
      </c>
      <c r="B14" s="19">
        <v>600716</v>
      </c>
      <c r="C14" s="20" t="s">
        <v>70</v>
      </c>
      <c r="D14" s="19" t="s">
        <v>132</v>
      </c>
      <c r="E14" s="31">
        <v>44936</v>
      </c>
      <c r="F14" s="30">
        <f>WORKDAY.INTL(BDD_PRESTA_ESTIME3[[#This Row],[Début]]-1,BDD_PRESTA_ESTIME3[[#This Row],[Jours prév]],1,_Feries)</f>
        <v>45019</v>
      </c>
      <c r="G14" s="21" t="s">
        <v>130</v>
      </c>
      <c r="H14" s="45">
        <v>535</v>
      </c>
      <c r="I14" s="22">
        <v>60</v>
      </c>
      <c r="J14" s="22">
        <f>SUM(BDD_PRESTA_ESTIME3[[#This Row],[Reçu Janv]:[Prév Déc]])</f>
        <v>0</v>
      </c>
      <c r="K14" s="37">
        <f>BDD_PRESTA_ESTIME3[[#This Row],[Jours prév]]-BDD_PRESTA_ESTIME3[[#This Row],[Jours trav]]</f>
        <v>60</v>
      </c>
      <c r="L14" s="23">
        <f>BDD_PRESTA_ESTIME3[[#This Row],[Jours prév]]*BDD_PRESTA_ESTIME3[[#This Row],[TJM]]</f>
        <v>32100</v>
      </c>
      <c r="M14" s="24"/>
      <c r="N14" s="24"/>
      <c r="O14" s="41"/>
      <c r="P14" s="29"/>
      <c r="Q14" s="29"/>
      <c r="R14" s="29"/>
      <c r="S14" s="29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</row>
    <row r="15" spans="1:38" s="25" customFormat="1" ht="13.8" x14ac:dyDescent="0.3">
      <c r="A15" s="10" t="s">
        <v>122</v>
      </c>
      <c r="B15" s="19">
        <v>601006</v>
      </c>
      <c r="C15" s="64" t="s">
        <v>111</v>
      </c>
      <c r="D15" s="19" t="s">
        <v>131</v>
      </c>
      <c r="E15" s="119">
        <v>45170</v>
      </c>
      <c r="F15" s="71">
        <f>WORKDAY.INTL(BDD_PRESTA_ESTIME3[[#This Row],[Début]]-1,BDD_PRESTA_ESTIME3[[#This Row],[Jours prév]],1,_Feries)</f>
        <v>45197</v>
      </c>
      <c r="G15" s="21" t="s">
        <v>136</v>
      </c>
      <c r="H15" s="72">
        <v>1568.82</v>
      </c>
      <c r="I15" s="65">
        <v>20</v>
      </c>
      <c r="J15" s="22">
        <f>SUM(BDD_PRESTA_ESTIME3[[#This Row],[Reçu Janv]:[Prév Déc]])</f>
        <v>0</v>
      </c>
      <c r="K15" s="70">
        <f>BDD_PRESTA_ESTIME3[[#This Row],[Jours prév]]-BDD_PRESTA_ESTIME3[[#This Row],[Jours trav]]</f>
        <v>20</v>
      </c>
      <c r="L15" s="66">
        <f>BDD_PRESTA_ESTIME3[[#This Row],[Jours prév]]*BDD_PRESTA_ESTIME3[[#This Row],[TJM]]</f>
        <v>31376.399999999998</v>
      </c>
      <c r="M15" s="67"/>
      <c r="N15" s="67"/>
      <c r="O15" s="68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</row>
    <row r="16" spans="1:38" s="25" customFormat="1" ht="13.8" x14ac:dyDescent="0.3">
      <c r="A16" s="10" t="s">
        <v>122</v>
      </c>
      <c r="B16" s="19">
        <v>601004</v>
      </c>
      <c r="C16" s="64" t="s">
        <v>110</v>
      </c>
      <c r="D16" s="19" t="s">
        <v>131</v>
      </c>
      <c r="E16" s="119">
        <v>44928</v>
      </c>
      <c r="F16" s="71">
        <f>WORKDAY.INTL(BDD_PRESTA_ESTIME3[[#This Row],[Début]]-1,BDD_PRESTA_ESTIME3[[#This Row],[Jours prév]],1,_Feries)</f>
        <v>44936</v>
      </c>
      <c r="G16" s="21" t="s">
        <v>135</v>
      </c>
      <c r="H16" s="72">
        <v>500</v>
      </c>
      <c r="I16" s="65">
        <v>7</v>
      </c>
      <c r="J16" s="22">
        <f>SUM(BDD_PRESTA_ESTIME3[[#This Row],[Reçu Janv]:[Prév Déc]])</f>
        <v>7</v>
      </c>
      <c r="K16" s="70">
        <f>BDD_PRESTA_ESTIME3[[#This Row],[Jours prév]]-BDD_PRESTA_ESTIME3[[#This Row],[Jours trav]]</f>
        <v>0</v>
      </c>
      <c r="L16" s="66">
        <f>BDD_PRESTA_ESTIME3[[#This Row],[Jours prév]]*BDD_PRESTA_ESTIME3[[#This Row],[TJM]]</f>
        <v>3500</v>
      </c>
      <c r="M16" s="67"/>
      <c r="N16" s="67"/>
      <c r="O16" s="68">
        <v>7</v>
      </c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</row>
    <row r="17" spans="1:38" s="25" customFormat="1" ht="13.8" x14ac:dyDescent="0.3">
      <c r="A17" s="10" t="s">
        <v>122</v>
      </c>
      <c r="B17" s="19">
        <v>601004</v>
      </c>
      <c r="C17" s="64" t="s">
        <v>109</v>
      </c>
      <c r="D17" s="19" t="s">
        <v>131</v>
      </c>
      <c r="E17" s="119">
        <v>44928</v>
      </c>
      <c r="F17" s="71">
        <f>WORKDAY.INTL(BDD_PRESTA_ESTIME3[[#This Row],[Début]]-1,BDD_PRESTA_ESTIME3[[#This Row],[Jours prév]],1,_Feries)</f>
        <v>44931</v>
      </c>
      <c r="G17" s="21" t="s">
        <v>130</v>
      </c>
      <c r="H17" s="45">
        <v>680</v>
      </c>
      <c r="I17" s="65">
        <v>4.5</v>
      </c>
      <c r="J17" s="22">
        <f>SUM(BDD_PRESTA_ESTIME3[[#This Row],[Reçu Janv]:[Prév Déc]])</f>
        <v>4.5</v>
      </c>
      <c r="K17" s="70">
        <f>BDD_PRESTA_ESTIME3[[#This Row],[Jours prév]]-BDD_PRESTA_ESTIME3[[#This Row],[Jours trav]]</f>
        <v>0</v>
      </c>
      <c r="L17" s="66">
        <f>BDD_PRESTA_ESTIME3[[#This Row],[Jours prév]]*BDD_PRESTA_ESTIME3[[#This Row],[TJM]]</f>
        <v>3060</v>
      </c>
      <c r="M17" s="67"/>
      <c r="N17" s="67"/>
      <c r="O17" s="68">
        <v>4.5</v>
      </c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</row>
    <row r="18" spans="1:38" s="25" customFormat="1" ht="13.8" x14ac:dyDescent="0.3">
      <c r="A18" s="10" t="s">
        <v>122</v>
      </c>
      <c r="B18" s="19">
        <v>601004</v>
      </c>
      <c r="C18" s="20" t="s">
        <v>71</v>
      </c>
      <c r="D18" s="19" t="s">
        <v>131</v>
      </c>
      <c r="E18" s="31">
        <v>44931</v>
      </c>
      <c r="F18" s="30">
        <f>WORKDAY.INTL(BDD_PRESTA_ESTIME3[[#This Row],[Début]]-1,BDD_PRESTA_ESTIME3[[#This Row],[Jours prév]],1,_Feries)</f>
        <v>45021</v>
      </c>
      <c r="G18" s="21" t="s">
        <v>130</v>
      </c>
      <c r="H18" s="45">
        <v>680</v>
      </c>
      <c r="I18" s="22">
        <v>65</v>
      </c>
      <c r="J18" s="22">
        <f>SUM(BDD_PRESTA_ESTIME3[[#This Row],[Reçu Janv]:[Prév Déc]])</f>
        <v>15.5</v>
      </c>
      <c r="K18" s="37">
        <f>BDD_PRESTA_ESTIME3[[#This Row],[Jours prév]]-BDD_PRESTA_ESTIME3[[#This Row],[Jours trav]]</f>
        <v>49.5</v>
      </c>
      <c r="L18" s="23">
        <f>BDD_PRESTA_ESTIME3[[#This Row],[Jours prév]]*BDD_PRESTA_ESTIME3[[#This Row],[TJM]]</f>
        <v>44200</v>
      </c>
      <c r="M18" s="24">
        <v>4.5</v>
      </c>
      <c r="N18" s="28">
        <v>15.5</v>
      </c>
      <c r="O18" s="29">
        <v>15.5</v>
      </c>
      <c r="P18" s="29"/>
      <c r="Q18" s="29"/>
      <c r="R18" s="29"/>
      <c r="S18" s="29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</row>
    <row r="19" spans="1:38" s="25" customFormat="1" ht="13.8" x14ac:dyDescent="0.3">
      <c r="A19" s="10" t="s">
        <v>122</v>
      </c>
      <c r="B19" s="19">
        <v>601004</v>
      </c>
      <c r="C19" s="20" t="s">
        <v>81</v>
      </c>
      <c r="D19" s="19" t="s">
        <v>131</v>
      </c>
      <c r="E19" s="53">
        <v>45022</v>
      </c>
      <c r="F19" s="54">
        <f>WORKDAY.INTL(BDD_PRESTA_ESTIME3[[#This Row],[Début]]-1,BDD_PRESTA_ESTIME3[[#This Row],[Jours prév]],1,_Feries)</f>
        <v>45156</v>
      </c>
      <c r="G19" s="21" t="s">
        <v>130</v>
      </c>
      <c r="H19" s="45">
        <v>680</v>
      </c>
      <c r="I19" s="55">
        <v>90</v>
      </c>
      <c r="J19" s="22">
        <f>SUM(BDD_PRESTA_ESTIME3[[#This Row],[Reçu Janv]:[Prév Déc]])</f>
        <v>0</v>
      </c>
      <c r="K19" s="56">
        <f>BDD_PRESTA_ESTIME3[[#This Row],[Jours prév]]-BDD_PRESTA_ESTIME3[[#This Row],[Jours trav]]</f>
        <v>90</v>
      </c>
      <c r="L19" s="57">
        <f>BDD_PRESTA_ESTIME3[[#This Row],[Jours prév]]*BDD_PRESTA_ESTIME3[[#This Row],[TJM]]</f>
        <v>61200</v>
      </c>
      <c r="M19" s="58"/>
      <c r="N19" s="58"/>
      <c r="O19" s="59"/>
      <c r="P19" s="60"/>
      <c r="Q19" s="60"/>
      <c r="R19" s="60"/>
      <c r="S19" s="60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0"/>
      <c r="AE19" s="60"/>
      <c r="AF19" s="60"/>
      <c r="AG19" s="60"/>
      <c r="AH19" s="60"/>
      <c r="AI19" s="60"/>
      <c r="AJ19" s="60"/>
      <c r="AK19" s="60"/>
    </row>
    <row r="20" spans="1:38" s="25" customFormat="1" x14ac:dyDescent="0.3">
      <c r="A20" s="19"/>
      <c r="B20" s="19"/>
      <c r="C20" s="20"/>
      <c r="D20" s="1"/>
      <c r="E20" s="19"/>
      <c r="F20" s="128"/>
      <c r="G20" s="21"/>
      <c r="H20" s="129"/>
      <c r="I20" s="130"/>
      <c r="J20" s="22"/>
      <c r="K20" s="22"/>
      <c r="L20" s="23"/>
      <c r="M20" s="24"/>
      <c r="N20" s="24"/>
      <c r="O20" s="41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6"/>
      <c r="AE20" s="26"/>
      <c r="AF20" s="26"/>
      <c r="AG20" s="26"/>
      <c r="AH20" s="26"/>
      <c r="AI20" s="26"/>
      <c r="AJ20" s="26"/>
      <c r="AK20" s="19"/>
      <c r="AL20" s="26"/>
    </row>
    <row r="21" spans="1:38" x14ac:dyDescent="0.3">
      <c r="H21" s="46"/>
    </row>
    <row r="22" spans="1:38" x14ac:dyDescent="0.3">
      <c r="H22" s="46"/>
    </row>
  </sheetData>
  <phoneticPr fontId="4" type="noConversion"/>
  <conditionalFormatting sqref="O3:AK19">
    <cfRule type="cellIs" dxfId="17" priority="6" operator="greaterThan">
      <formula>0</formula>
    </cfRule>
  </conditionalFormatting>
  <conditionalFormatting sqref="E3:F19">
    <cfRule type="colorScale" priority="42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orientation="portrait" r:id="rId1"/>
  <headerFooter>
    <oddHeader>&amp;L&amp;"Calibri"&amp;12&amp;K00B294Interne-Proprietary&amp;1#</oddHeader>
    <oddFooter>&amp;L&amp;"Times New Roman,Regular"&amp;12&amp;K00C0C0Interne&amp;K0000FF-&amp;K00C0C0Proprietary</oddFooter>
    <evenFooter>&amp;L&amp;"Times New Roman,Regular"&amp;12&amp;K00C0C0Interne&amp;K0000FF-&amp;K00C0C0Proprietary</evenFooter>
    <firstFooter>&amp;L&amp;"Times New Roman,Regular"&amp;12&amp;K00C0C0Interne&amp;K0000FF-&amp;K00C0C0Proprietary</firstFooter>
  </headerFooter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autoPageBreaks="0" fitToPage="1"/>
  </sheetPr>
  <dimension ref="A1:U12"/>
  <sheetViews>
    <sheetView zoomScale="82" zoomScaleNormal="82" workbookViewId="0">
      <pane xSplit="5" ySplit="3" topLeftCell="F4" activePane="bottomRight" state="frozen"/>
      <selection pane="topRight" activeCell="Q1" sqref="Q1"/>
      <selection pane="bottomLeft" activeCell="A3" sqref="A3"/>
      <selection pane="bottomRight" activeCell="C7" sqref="C7"/>
    </sheetView>
  </sheetViews>
  <sheetFormatPr baseColWidth="10" defaultColWidth="11.5546875" defaultRowHeight="14.4" x14ac:dyDescent="0.3"/>
  <cols>
    <col min="1" max="1" width="11.44140625" style="97" customWidth="1"/>
    <col min="2" max="2" width="43.5546875" style="94" customWidth="1"/>
    <col min="3" max="3" width="15.44140625" style="97" customWidth="1"/>
    <col min="4" max="4" width="13.44140625" style="97" customWidth="1"/>
    <col min="5" max="5" width="17.5546875" style="97" customWidth="1"/>
    <col min="6" max="17" width="14.33203125" style="97" customWidth="1"/>
    <col min="18" max="19" width="22.5546875" style="109" customWidth="1"/>
    <col min="20" max="21" width="23.5546875" style="109" customWidth="1"/>
    <col min="22" max="16384" width="11.5546875" style="94"/>
  </cols>
  <sheetData>
    <row r="1" spans="1:21" ht="141.75" customHeight="1" x14ac:dyDescent="0.3">
      <c r="B1" s="113"/>
      <c r="R1" s="125" t="s">
        <v>120</v>
      </c>
      <c r="S1" s="125" t="s">
        <v>117</v>
      </c>
      <c r="T1" s="125" t="s">
        <v>118</v>
      </c>
      <c r="U1" s="106"/>
    </row>
    <row r="2" spans="1:21" ht="24.75" customHeight="1" x14ac:dyDescent="0.3">
      <c r="E2" s="94"/>
      <c r="F2" s="102" t="s">
        <v>103</v>
      </c>
      <c r="G2" s="102" t="s">
        <v>102</v>
      </c>
      <c r="H2" s="102" t="s">
        <v>102</v>
      </c>
      <c r="I2" s="102" t="s">
        <v>102</v>
      </c>
      <c r="J2" s="102" t="s">
        <v>102</v>
      </c>
      <c r="K2" s="102" t="s">
        <v>102</v>
      </c>
      <c r="L2" s="102" t="s">
        <v>102</v>
      </c>
      <c r="M2" s="102" t="s">
        <v>102</v>
      </c>
      <c r="N2" s="102" t="s">
        <v>102</v>
      </c>
      <c r="O2" s="102" t="s">
        <v>102</v>
      </c>
      <c r="P2" s="102" t="s">
        <v>102</v>
      </c>
      <c r="Q2" s="102" t="s">
        <v>102</v>
      </c>
      <c r="R2" s="107"/>
      <c r="S2" s="107"/>
      <c r="T2" s="124">
        <v>44986</v>
      </c>
      <c r="U2" s="111"/>
    </row>
    <row r="3" spans="1:21" s="98" customFormat="1" ht="29.4" thickBot="1" x14ac:dyDescent="0.35">
      <c r="A3" s="103" t="s">
        <v>87</v>
      </c>
      <c r="B3" s="103" t="s">
        <v>88</v>
      </c>
      <c r="C3" s="103" t="s">
        <v>89</v>
      </c>
      <c r="D3" s="103" t="s">
        <v>90</v>
      </c>
      <c r="E3" s="103" t="s">
        <v>91</v>
      </c>
      <c r="F3" s="115" t="s">
        <v>93</v>
      </c>
      <c r="G3" s="114" t="s">
        <v>94</v>
      </c>
      <c r="H3" s="114" t="s">
        <v>95</v>
      </c>
      <c r="I3" s="114" t="s">
        <v>96</v>
      </c>
      <c r="J3" s="114" t="s">
        <v>97</v>
      </c>
      <c r="K3" s="114" t="s">
        <v>98</v>
      </c>
      <c r="L3" s="114" t="s">
        <v>99</v>
      </c>
      <c r="M3" s="114" t="s">
        <v>100</v>
      </c>
      <c r="N3" s="114" t="s">
        <v>101</v>
      </c>
      <c r="O3" s="114" t="s">
        <v>104</v>
      </c>
      <c r="P3" s="114" t="s">
        <v>105</v>
      </c>
      <c r="Q3" s="114" t="s">
        <v>106</v>
      </c>
      <c r="R3" s="108" t="s">
        <v>112</v>
      </c>
      <c r="S3" s="108" t="s">
        <v>116</v>
      </c>
      <c r="T3" s="112" t="s">
        <v>115</v>
      </c>
      <c r="U3" s="112" t="s">
        <v>113</v>
      </c>
    </row>
    <row r="4" spans="1:21" ht="87" customHeight="1" thickTop="1" x14ac:dyDescent="0.3">
      <c r="A4" s="91">
        <v>601000</v>
      </c>
      <c r="B4" s="92" t="s">
        <v>141</v>
      </c>
      <c r="C4" s="116">
        <v>34000</v>
      </c>
      <c r="D4" s="96">
        <v>44397</v>
      </c>
      <c r="E4" s="96">
        <v>44926</v>
      </c>
      <c r="F4" s="122">
        <v>294543.5</v>
      </c>
      <c r="G4" s="104">
        <v>312655</v>
      </c>
      <c r="H4" s="104">
        <v>354235</v>
      </c>
      <c r="I4" s="104">
        <v>324380</v>
      </c>
      <c r="J4" s="104">
        <v>304365</v>
      </c>
      <c r="K4" s="104">
        <v>353360</v>
      </c>
      <c r="L4" s="104">
        <v>305645</v>
      </c>
      <c r="M4" s="104">
        <v>283860</v>
      </c>
      <c r="N4" s="93"/>
      <c r="O4" s="93"/>
      <c r="P4" s="93"/>
      <c r="Q4" s="93"/>
      <c r="S4" s="121">
        <v>5989577.7800000003</v>
      </c>
      <c r="T4" s="109" t="s">
        <v>119</v>
      </c>
      <c r="U4" s="109" t="e">
        <f t="shared" ref="U4:U10" si="0">C4-T4</f>
        <v>#VALUE!</v>
      </c>
    </row>
    <row r="5" spans="1:21" x14ac:dyDescent="0.3">
      <c r="A5" s="99">
        <v>601003</v>
      </c>
      <c r="B5" s="92" t="s">
        <v>142</v>
      </c>
      <c r="C5" s="116">
        <v>36000</v>
      </c>
      <c r="D5" s="96">
        <v>44405</v>
      </c>
      <c r="E5" s="96">
        <v>44926</v>
      </c>
      <c r="F5" s="105">
        <f>17350+7350</f>
        <v>24700</v>
      </c>
      <c r="G5" s="104">
        <v>13652</v>
      </c>
      <c r="H5" s="104">
        <v>14551</v>
      </c>
      <c r="I5" s="104">
        <v>17191</v>
      </c>
      <c r="J5" s="93"/>
      <c r="K5" s="93"/>
      <c r="L5" s="93"/>
      <c r="M5" s="93"/>
      <c r="N5" s="93"/>
      <c r="O5" s="93"/>
      <c r="P5" s="93"/>
      <c r="Q5" s="93"/>
      <c r="S5" s="120">
        <v>258000</v>
      </c>
      <c r="U5" s="109">
        <f t="shared" si="0"/>
        <v>36000</v>
      </c>
    </row>
    <row r="6" spans="1:21" x14ac:dyDescent="0.3">
      <c r="A6" s="99">
        <v>601229</v>
      </c>
      <c r="B6" s="92" t="s">
        <v>143</v>
      </c>
      <c r="C6" s="116">
        <v>789000</v>
      </c>
      <c r="D6" s="96">
        <v>44405</v>
      </c>
      <c r="E6" s="96">
        <v>44926</v>
      </c>
      <c r="F6" s="105">
        <v>60762.879999999997</v>
      </c>
      <c r="G6" s="104">
        <v>45420</v>
      </c>
      <c r="H6" s="104">
        <v>40722</v>
      </c>
      <c r="I6" s="104">
        <v>34660</v>
      </c>
      <c r="J6" s="104">
        <v>12920</v>
      </c>
      <c r="K6" s="104">
        <v>14960</v>
      </c>
      <c r="L6" s="104">
        <v>13600</v>
      </c>
      <c r="M6" s="104">
        <v>8840</v>
      </c>
      <c r="N6" s="93"/>
      <c r="O6" s="93"/>
      <c r="P6" s="93"/>
      <c r="Q6" s="93"/>
      <c r="S6" s="120">
        <v>584257.52</v>
      </c>
      <c r="U6" s="109">
        <f t="shared" si="0"/>
        <v>789000</v>
      </c>
    </row>
    <row r="7" spans="1:21" x14ac:dyDescent="0.3">
      <c r="A7" s="99">
        <v>601006</v>
      </c>
      <c r="B7" s="92" t="s">
        <v>144</v>
      </c>
      <c r="C7" s="116">
        <v>671091</v>
      </c>
      <c r="D7" s="96">
        <v>44405</v>
      </c>
      <c r="E7" s="96">
        <v>44926</v>
      </c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S7" s="120">
        <v>639128.25</v>
      </c>
      <c r="U7" s="109">
        <f t="shared" si="0"/>
        <v>671091</v>
      </c>
    </row>
    <row r="8" spans="1:21" x14ac:dyDescent="0.3">
      <c r="A8" s="99">
        <v>601000</v>
      </c>
      <c r="B8" s="92" t="s">
        <v>147</v>
      </c>
      <c r="C8" s="116">
        <v>269300</v>
      </c>
      <c r="D8" s="96">
        <v>44405</v>
      </c>
      <c r="E8" s="96">
        <v>44926</v>
      </c>
      <c r="F8" s="105">
        <v>5775</v>
      </c>
      <c r="G8" s="104">
        <v>14540</v>
      </c>
      <c r="H8" s="104">
        <v>23690</v>
      </c>
      <c r="I8" s="104">
        <v>3150</v>
      </c>
      <c r="J8" s="93"/>
      <c r="K8" s="93"/>
      <c r="L8" s="93"/>
      <c r="M8" s="93"/>
      <c r="N8" s="93"/>
      <c r="O8" s="93"/>
      <c r="P8" s="93"/>
      <c r="Q8" s="93"/>
      <c r="S8" s="120">
        <v>251824.55</v>
      </c>
      <c r="U8" s="109">
        <f t="shared" si="0"/>
        <v>269300</v>
      </c>
    </row>
    <row r="9" spans="1:21" x14ac:dyDescent="0.3">
      <c r="A9" s="95">
        <v>600716</v>
      </c>
      <c r="B9" s="92" t="s">
        <v>145</v>
      </c>
      <c r="C9" s="116">
        <v>215240</v>
      </c>
      <c r="D9" s="96">
        <v>44529</v>
      </c>
      <c r="E9" s="96">
        <v>44561</v>
      </c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U9" s="109">
        <f t="shared" si="0"/>
        <v>215240</v>
      </c>
    </row>
    <row r="10" spans="1:21" x14ac:dyDescent="0.3">
      <c r="A10" s="95">
        <v>601004</v>
      </c>
      <c r="B10" s="92" t="s">
        <v>146</v>
      </c>
      <c r="C10" s="116">
        <v>400000</v>
      </c>
      <c r="D10" s="96">
        <v>44552</v>
      </c>
      <c r="E10" s="96">
        <v>44926</v>
      </c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U10" s="109">
        <f t="shared" si="0"/>
        <v>400000</v>
      </c>
    </row>
    <row r="12" spans="1:21" x14ac:dyDescent="0.3">
      <c r="B12" s="100"/>
      <c r="C12" s="100"/>
      <c r="D12" s="100"/>
      <c r="E12" s="101" t="s">
        <v>92</v>
      </c>
      <c r="F12" s="93">
        <f t="shared" ref="F12:Q12" si="1">SUM(F4:F10)</f>
        <v>385781.38</v>
      </c>
      <c r="G12" s="93">
        <f t="shared" si="1"/>
        <v>386267</v>
      </c>
      <c r="H12" s="93">
        <f t="shared" si="1"/>
        <v>433198</v>
      </c>
      <c r="I12" s="93">
        <f t="shared" si="1"/>
        <v>379381</v>
      </c>
      <c r="J12" s="93">
        <f t="shared" si="1"/>
        <v>317285</v>
      </c>
      <c r="K12" s="93">
        <f t="shared" si="1"/>
        <v>368320</v>
      </c>
      <c r="L12" s="93">
        <f t="shared" si="1"/>
        <v>319245</v>
      </c>
      <c r="M12" s="93">
        <f t="shared" si="1"/>
        <v>292700</v>
      </c>
      <c r="N12" s="93">
        <f t="shared" si="1"/>
        <v>0</v>
      </c>
      <c r="O12" s="93">
        <f t="shared" si="1"/>
        <v>0</v>
      </c>
      <c r="P12" s="93">
        <f t="shared" si="1"/>
        <v>0</v>
      </c>
      <c r="Q12" s="93">
        <f t="shared" si="1"/>
        <v>0</v>
      </c>
      <c r="R12" s="110">
        <f>SUM(R4:R11)</f>
        <v>0</v>
      </c>
      <c r="S12" s="110"/>
      <c r="T12" s="110">
        <f>SUM(T4:T11)</f>
        <v>0</v>
      </c>
      <c r="U12" s="110"/>
    </row>
  </sheetData>
  <autoFilter ref="A3:U12" xr:uid="{00000000-0009-0000-0000-000003000000}">
    <sortState xmlns:xlrd2="http://schemas.microsoft.com/office/spreadsheetml/2017/richdata2" ref="A3:AV223">
      <sortCondition ref="A2:A223"/>
    </sortState>
  </autoFilter>
  <conditionalFormatting sqref="T4:U10">
    <cfRule type="cellIs" dxfId="16" priority="6" operator="lessThan">
      <formula>0</formula>
    </cfRule>
  </conditionalFormatting>
  <pageMargins left="0.7" right="0.7" top="0.75" bottom="0.75" header="0.3" footer="0.3"/>
  <pageSetup paperSize="9" scale="79" orientation="landscape" r:id="rId1"/>
  <headerFooter>
    <oddFooter>&amp;L&amp;"Times New Roman,Regular"&amp;12&amp;KFF0000Sensible&amp;K0000FF-&amp;KFF0000Sensitive</oddFooter>
    <evenFooter>&amp;L&amp;"Times New Roman,Regular"&amp;12&amp;KFF0000Sensible&amp;K0000FF-&amp;KFF0000Sensitive</evenFooter>
    <firstFooter>&amp;L&amp;"Times New Roman,Regular"&amp;12&amp;KFF0000Sensible&amp;K0000FF-&amp;KFF0000Sensitive</first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Paramètres!$E$3:$E$13</xm:f>
          </x14:formula1>
          <xm:sqref>T2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G15"/>
  <sheetViews>
    <sheetView showGridLines="0" workbookViewId="0">
      <selection activeCell="G2" sqref="G2"/>
    </sheetView>
  </sheetViews>
  <sheetFormatPr baseColWidth="10" defaultRowHeight="14.4" x14ac:dyDescent="0.3"/>
  <cols>
    <col min="1" max="1" width="3.77734375" customWidth="1"/>
    <col min="2" max="2" width="16.6640625" bestFit="1" customWidth="1"/>
    <col min="4" max="4" width="3.77734375" customWidth="1"/>
    <col min="5" max="5" width="25.5546875" bestFit="1" customWidth="1"/>
    <col min="6" max="6" width="3.77734375" customWidth="1"/>
  </cols>
  <sheetData>
    <row r="2" spans="2:7" x14ac:dyDescent="0.3">
      <c r="B2" t="s">
        <v>22</v>
      </c>
      <c r="C2" s="3" t="s">
        <v>63</v>
      </c>
      <c r="E2" t="s">
        <v>114</v>
      </c>
      <c r="G2" t="str" cm="1">
        <f t="array" ref="G2:G5">_xlfn.UNIQUE(BDD_PRESTA_ESTIME3[Type])</f>
        <v>Matériel</v>
      </c>
    </row>
    <row r="3" spans="2:7" x14ac:dyDescent="0.3">
      <c r="B3" t="s">
        <v>23</v>
      </c>
      <c r="C3" s="34">
        <f>DATE($C$2,1,1)</f>
        <v>44927</v>
      </c>
      <c r="E3" s="123">
        <v>44958</v>
      </c>
      <c r="G3" t="str">
        <v xml:space="preserve">prestation </v>
      </c>
    </row>
    <row r="4" spans="2:7" x14ac:dyDescent="0.3">
      <c r="B4" t="s">
        <v>61</v>
      </c>
      <c r="C4" s="34">
        <f>FLOOR(DAY(MINUTE($C$2/38)/2+56)&amp;"/5/"&amp;$C$2,7)-34</f>
        <v>45025</v>
      </c>
      <c r="E4" s="123">
        <v>44986</v>
      </c>
      <c r="G4" t="str">
        <v>contrat</v>
      </c>
    </row>
    <row r="5" spans="2:7" x14ac:dyDescent="0.3">
      <c r="B5" t="s">
        <v>24</v>
      </c>
      <c r="C5" s="34">
        <f>C4+1</f>
        <v>45026</v>
      </c>
      <c r="E5" s="123">
        <v>45017</v>
      </c>
      <c r="G5" t="str">
        <v>application</v>
      </c>
    </row>
    <row r="6" spans="2:7" x14ac:dyDescent="0.3">
      <c r="B6" t="s">
        <v>25</v>
      </c>
      <c r="C6" s="34">
        <f>DATE($C$2,5,1)</f>
        <v>45047</v>
      </c>
      <c r="E6" s="123">
        <v>45047</v>
      </c>
    </row>
    <row r="7" spans="2:7" x14ac:dyDescent="0.3">
      <c r="B7" t="s">
        <v>26</v>
      </c>
      <c r="C7" s="34">
        <f>DATE($C$2,5,8)</f>
        <v>45054</v>
      </c>
      <c r="E7" s="123">
        <v>45078</v>
      </c>
    </row>
    <row r="8" spans="2:7" x14ac:dyDescent="0.3">
      <c r="B8" t="s">
        <v>27</v>
      </c>
      <c r="C8" s="34">
        <f>C4+39</f>
        <v>45064</v>
      </c>
      <c r="E8" s="123">
        <v>45108</v>
      </c>
    </row>
    <row r="9" spans="2:7" x14ac:dyDescent="0.3">
      <c r="B9" t="s">
        <v>62</v>
      </c>
      <c r="C9" s="34">
        <f>C4+49</f>
        <v>45074</v>
      </c>
      <c r="E9" s="123">
        <v>45139</v>
      </c>
    </row>
    <row r="10" spans="2:7" x14ac:dyDescent="0.3">
      <c r="B10" t="s">
        <v>28</v>
      </c>
      <c r="C10" s="34">
        <f>C4+50</f>
        <v>45075</v>
      </c>
      <c r="E10" s="123">
        <v>45170</v>
      </c>
    </row>
    <row r="11" spans="2:7" x14ac:dyDescent="0.3">
      <c r="B11" t="s">
        <v>29</v>
      </c>
      <c r="C11" s="34">
        <f>DATE($C$2,7,14)</f>
        <v>45121</v>
      </c>
      <c r="E11" s="123">
        <v>45200</v>
      </c>
    </row>
    <row r="12" spans="2:7" x14ac:dyDescent="0.3">
      <c r="B12" t="s">
        <v>30</v>
      </c>
      <c r="C12" s="34">
        <f>DATE($C$2,8,15)</f>
        <v>45153</v>
      </c>
      <c r="E12" s="123">
        <v>45231</v>
      </c>
    </row>
    <row r="13" spans="2:7" x14ac:dyDescent="0.3">
      <c r="B13" t="s">
        <v>31</v>
      </c>
      <c r="C13" s="34">
        <f>DATE($C$2,11,1)</f>
        <v>45231</v>
      </c>
      <c r="E13" s="123">
        <v>45261</v>
      </c>
    </row>
    <row r="14" spans="2:7" x14ac:dyDescent="0.3">
      <c r="B14" t="s">
        <v>32</v>
      </c>
      <c r="C14" s="34">
        <f>DATE($C$2,11,11)</f>
        <v>45241</v>
      </c>
    </row>
    <row r="15" spans="2:7" x14ac:dyDescent="0.3">
      <c r="B15" t="s">
        <v>33</v>
      </c>
      <c r="C15" s="34">
        <f>DATE($C$2,12,25)</f>
        <v>45285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/>
  <dimension ref="A1:A13"/>
  <sheetViews>
    <sheetView workbookViewId="0">
      <selection activeCell="A2" sqref="A2:A13"/>
    </sheetView>
  </sheetViews>
  <sheetFormatPr baseColWidth="10" defaultRowHeight="14.4" x14ac:dyDescent="0.3"/>
  <cols>
    <col min="1" max="1" width="46.33203125" bestFit="1" customWidth="1"/>
  </cols>
  <sheetData>
    <row r="1" spans="1:1" x14ac:dyDescent="0.3">
      <c r="A1" t="s">
        <v>20</v>
      </c>
    </row>
    <row r="2" spans="1:1" x14ac:dyDescent="0.3">
      <c r="A2" t="s">
        <v>3</v>
      </c>
    </row>
    <row r="3" spans="1:1" x14ac:dyDescent="0.3">
      <c r="A3" t="s">
        <v>4</v>
      </c>
    </row>
    <row r="4" spans="1:1" x14ac:dyDescent="0.3">
      <c r="A4" t="s">
        <v>5</v>
      </c>
    </row>
    <row r="5" spans="1:1" x14ac:dyDescent="0.3">
      <c r="A5" t="s">
        <v>6</v>
      </c>
    </row>
    <row r="6" spans="1:1" x14ac:dyDescent="0.3">
      <c r="A6" t="s">
        <v>7</v>
      </c>
    </row>
    <row r="7" spans="1:1" x14ac:dyDescent="0.3">
      <c r="A7" t="s">
        <v>8</v>
      </c>
    </row>
    <row r="8" spans="1:1" x14ac:dyDescent="0.3">
      <c r="A8" t="s">
        <v>9</v>
      </c>
    </row>
    <row r="9" spans="1:1" x14ac:dyDescent="0.3">
      <c r="A9" t="s">
        <v>10</v>
      </c>
    </row>
    <row r="10" spans="1:1" x14ac:dyDescent="0.3">
      <c r="A10" t="s">
        <v>11</v>
      </c>
    </row>
    <row r="11" spans="1:1" x14ac:dyDescent="0.3">
      <c r="A11" t="s">
        <v>12</v>
      </c>
    </row>
    <row r="12" spans="1:1" x14ac:dyDescent="0.3">
      <c r="A12" t="s">
        <v>13</v>
      </c>
    </row>
    <row r="13" spans="1:1" x14ac:dyDescent="0.3">
      <c r="A13" t="s">
        <v>14</v>
      </c>
    </row>
  </sheetData>
  <pageMargins left="0.7" right="0.7" top="0.75" bottom="0.75" header="0.3" footer="0.3"/>
  <pageSetup paperSize="9" orientation="portrait" r:id="rId1"/>
  <headerFooter>
    <oddHeader>&amp;L&amp;"Calibri"&amp;12&amp;K00B294Interne-Proprietary&amp;1#</oddHead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DA1C03E-1211-487E-9583-D303DF6143C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Informations</vt:lpstr>
      <vt:lpstr>BDD_PRESTA_ESTIME 2023</vt:lpstr>
      <vt:lpstr>PLANNING_PRESTA</vt:lpstr>
      <vt:lpstr>Etat des commandes passé par IO</vt:lpstr>
      <vt:lpstr>Paramètres</vt:lpstr>
      <vt:lpstr>Liste déroulante</vt:lpstr>
      <vt:lpstr>_Choix</vt:lpstr>
      <vt:lpstr>_Feries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Royer, Elodie</dc:creator>
  <cp:lastModifiedBy>JoDan</cp:lastModifiedBy>
  <dcterms:created xsi:type="dcterms:W3CDTF">2021-12-23T11:25:24Z</dcterms:created>
  <dcterms:modified xsi:type="dcterms:W3CDTF">2023-02-21T10:18:17Z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d1e3ad-c799-4853-a6fa-a1843e00f4cc_Enabled">
    <vt:lpwstr>true</vt:lpwstr>
  </property>
  <property fmtid="{D5CDD505-2E9C-101B-9397-08002B2CF9AE}" pid="3" name="MSIP_Label_afd1e3ad-c799-4853-a6fa-a1843e00f4cc_SetDate">
    <vt:lpwstr>2021-12-23T11:26:12Z</vt:lpwstr>
  </property>
  <property fmtid="{D5CDD505-2E9C-101B-9397-08002B2CF9AE}" pid="4" name="MSIP_Label_afd1e3ad-c799-4853-a6fa-a1843e00f4cc_Method">
    <vt:lpwstr>Privileged</vt:lpwstr>
  </property>
  <property fmtid="{D5CDD505-2E9C-101B-9397-08002B2CF9AE}" pid="5" name="MSIP_Label_afd1e3ad-c799-4853-a6fa-a1843e00f4cc_Name">
    <vt:lpwstr>French - Proprietary</vt:lpwstr>
  </property>
  <property fmtid="{D5CDD505-2E9C-101B-9397-08002B2CF9AE}" pid="6" name="MSIP_Label_afd1e3ad-c799-4853-a6fa-a1843e00f4cc_SiteId">
    <vt:lpwstr>a00de4ec-48a8-43a6-be74-e31274e2060d</vt:lpwstr>
  </property>
  <property fmtid="{D5CDD505-2E9C-101B-9397-08002B2CF9AE}" pid="7" name="MSIP_Label_afd1e3ad-c799-4853-a6fa-a1843e00f4cc_ActionId">
    <vt:lpwstr>8725851a-c5fb-48f6-b686-664cba237718</vt:lpwstr>
  </property>
  <property fmtid="{D5CDD505-2E9C-101B-9397-08002B2CF9AE}" pid="8" name="MSIP_Label_afd1e3ad-c799-4853-a6fa-a1843e00f4cc_ContentBits">
    <vt:lpwstr>1</vt:lpwstr>
  </property>
  <property fmtid="{D5CDD505-2E9C-101B-9397-08002B2CF9AE}" pid="9" name="MerckAIPLabel">
    <vt:lpwstr>Proprietary</vt:lpwstr>
  </property>
  <property fmtid="{D5CDD505-2E9C-101B-9397-08002B2CF9AE}" pid="10" name="MerckAIPDataExchange">
    <vt:lpwstr>!MRKMIP@Proprietary</vt:lpwstr>
  </property>
</Properties>
</file>